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JPG\Investor Reporting\Paragon Finance\PM21\"/>
    </mc:Choice>
  </mc:AlternateContent>
  <bookViews>
    <workbookView xWindow="3420" yWindow="2460" windowWidth="19980" windowHeight="11628" firstSheet="9" activeTab="15"/>
  </bookViews>
  <sheets>
    <sheet name="February 15" sheetId="11" r:id="rId1"/>
    <sheet name="May 15" sheetId="12" r:id="rId2"/>
    <sheet name="Aug 15" sheetId="13" r:id="rId3"/>
    <sheet name="Nov 15" sheetId="14" r:id="rId4"/>
    <sheet name="Feb 16" sheetId="15" r:id="rId5"/>
    <sheet name="May 16" sheetId="16" r:id="rId6"/>
    <sheet name="Aug 16" sheetId="17" r:id="rId7"/>
    <sheet name="Nov 16" sheetId="18" r:id="rId8"/>
    <sheet name="Feb 17" sheetId="19" r:id="rId9"/>
    <sheet name="May 17" sheetId="20" r:id="rId10"/>
    <sheet name="Aug 17" sheetId="21" r:id="rId11"/>
    <sheet name="Nov 17" sheetId="22" r:id="rId12"/>
    <sheet name="Feb 18" sheetId="23" r:id="rId13"/>
    <sheet name="May 18" sheetId="24" r:id="rId14"/>
    <sheet name="Aug 18" sheetId="25" r:id="rId15"/>
    <sheet name="Nov 18" sheetId="26" r:id="rId16"/>
  </sheets>
  <definedNames>
    <definedName name="_1PAGE_1" localSheetId="2">'Aug 15'!$A$1:$S$52</definedName>
    <definedName name="_1PAGE_1" localSheetId="6">'Aug 16'!$A$1:$S$52</definedName>
    <definedName name="_1PAGE_1" localSheetId="10">'Aug 17'!$A$1:$S$52</definedName>
    <definedName name="_1PAGE_1" localSheetId="14">'Aug 18'!$A$1:$S$52</definedName>
    <definedName name="_1PAGE_1" localSheetId="4">'Feb 16'!$A$1:$S$52</definedName>
    <definedName name="_1PAGE_1" localSheetId="8">'Feb 17'!$A$1:$S$52</definedName>
    <definedName name="_1PAGE_1" localSheetId="12">'Feb 18'!$A$1:$S$52</definedName>
    <definedName name="_1PAGE_1" localSheetId="0">'February 15'!$A$1:$S$52</definedName>
    <definedName name="_1PAGE_1" localSheetId="1">'May 15'!$A$1:$S$52</definedName>
    <definedName name="_1PAGE_1" localSheetId="5">'May 16'!$A$1:$S$52</definedName>
    <definedName name="_1PAGE_1" localSheetId="9">'May 17'!$A$1:$S$52</definedName>
    <definedName name="_1PAGE_1" localSheetId="13">'May 18'!$A$1:$S$52</definedName>
    <definedName name="_1PAGE_1" localSheetId="3">'Nov 15'!$A$1:$S$52</definedName>
    <definedName name="_1PAGE_1" localSheetId="7">'Nov 16'!$A$1:$S$52</definedName>
    <definedName name="_1PAGE_1" localSheetId="11">'Nov 17'!$A$1:$S$52</definedName>
    <definedName name="_1PAGE_1" localSheetId="15">'Nov 18'!$A$1:$S$52</definedName>
    <definedName name="_2PAGE_1" localSheetId="2">#REF!</definedName>
    <definedName name="_2PAGE_1" localSheetId="6">#REF!</definedName>
    <definedName name="_2PAGE_1" localSheetId="10">#REF!</definedName>
    <definedName name="_2PAGE_1" localSheetId="14">#REF!</definedName>
    <definedName name="_2PAGE_1" localSheetId="4">#REF!</definedName>
    <definedName name="_2PAGE_1" localSheetId="8">#REF!</definedName>
    <definedName name="_2PAGE_1" localSheetId="12">#REF!</definedName>
    <definedName name="_2PAGE_1" localSheetId="1">#REF!</definedName>
    <definedName name="_2PAGE_1" localSheetId="5">#REF!</definedName>
    <definedName name="_2PAGE_1" localSheetId="9">#REF!</definedName>
    <definedName name="_2PAGE_1" localSheetId="13">#REF!</definedName>
    <definedName name="_2PAGE_1" localSheetId="3">#REF!</definedName>
    <definedName name="_2PAGE_1" localSheetId="7">#REF!</definedName>
    <definedName name="_2PAGE_1" localSheetId="11">#REF!</definedName>
    <definedName name="_2PAGE_1" localSheetId="15">#REF!</definedName>
    <definedName name="_2PAGE_1">#REF!</definedName>
    <definedName name="_3PAGE_2" localSheetId="2">'Aug 15'!$A$53:$S$123</definedName>
    <definedName name="_3PAGE_2" localSheetId="6">'Aug 16'!$A$53:$S$123</definedName>
    <definedName name="_3PAGE_2" localSheetId="10">'Aug 17'!$A$53:$S$123</definedName>
    <definedName name="_3PAGE_2" localSheetId="14">'Aug 18'!$A$53:$S$123</definedName>
    <definedName name="_3PAGE_2" localSheetId="4">'Feb 16'!$A$53:$S$123</definedName>
    <definedName name="_3PAGE_2" localSheetId="8">'Feb 17'!$A$53:$S$123</definedName>
    <definedName name="_3PAGE_2" localSheetId="12">'Feb 18'!$A$53:$S$123</definedName>
    <definedName name="_3PAGE_2" localSheetId="0">'February 15'!$A$53:$S$124</definedName>
    <definedName name="_3PAGE_2" localSheetId="1">'May 15'!$A$53:$S$123</definedName>
    <definedName name="_3PAGE_2" localSheetId="5">'May 16'!$A$53:$S$123</definedName>
    <definedName name="_3PAGE_2" localSheetId="9">'May 17'!$A$53:$S$123</definedName>
    <definedName name="_3PAGE_2" localSheetId="13">'May 18'!$A$53:$S$123</definedName>
    <definedName name="_3PAGE_2" localSheetId="3">'Nov 15'!$A$53:$S$123</definedName>
    <definedName name="_3PAGE_2" localSheetId="7">'Nov 16'!$A$53:$S$123</definedName>
    <definedName name="_3PAGE_2" localSheetId="11">'Nov 17'!$A$53:$S$123</definedName>
    <definedName name="_3PAGE_2" localSheetId="15">'Nov 18'!$A$53:$S$124</definedName>
    <definedName name="_4PAGE_2" localSheetId="2">#REF!</definedName>
    <definedName name="_4PAGE_2" localSheetId="6">#REF!</definedName>
    <definedName name="_4PAGE_2" localSheetId="10">#REF!</definedName>
    <definedName name="_4PAGE_2" localSheetId="14">#REF!</definedName>
    <definedName name="_4PAGE_2" localSheetId="4">#REF!</definedName>
    <definedName name="_4PAGE_2" localSheetId="8">#REF!</definedName>
    <definedName name="_4PAGE_2" localSheetId="12">#REF!</definedName>
    <definedName name="_4PAGE_2" localSheetId="1">#REF!</definedName>
    <definedName name="_4PAGE_2" localSheetId="5">#REF!</definedName>
    <definedName name="_4PAGE_2" localSheetId="9">#REF!</definedName>
    <definedName name="_4PAGE_2" localSheetId="13">#REF!</definedName>
    <definedName name="_4PAGE_2" localSheetId="3">#REF!</definedName>
    <definedName name="_4PAGE_2" localSheetId="7">#REF!</definedName>
    <definedName name="_4PAGE_2" localSheetId="11">#REF!</definedName>
    <definedName name="_4PAGE_2" localSheetId="15">#REF!</definedName>
    <definedName name="_4PAGE_2">#REF!</definedName>
    <definedName name="_5PAGE_3" localSheetId="2">'Aug 15'!$A$124:$S$195</definedName>
    <definedName name="_5PAGE_3" localSheetId="6">'Aug 16'!$A$124:$S$196</definedName>
    <definedName name="_5PAGE_3" localSheetId="10">'Aug 17'!$A$124:$S$196</definedName>
    <definedName name="_5PAGE_3" localSheetId="14">'Aug 18'!$A$124:$S$196</definedName>
    <definedName name="_5PAGE_3" localSheetId="4">'Feb 16'!$A$124:$S$195</definedName>
    <definedName name="_5PAGE_3" localSheetId="8">'Feb 17'!$A$124:$S$196</definedName>
    <definedName name="_5PAGE_3" localSheetId="12">'Feb 18'!$A$124:$S$196</definedName>
    <definedName name="_5PAGE_3" localSheetId="0">'February 15'!$A$125:$S$196</definedName>
    <definedName name="_5PAGE_3" localSheetId="1">'May 15'!$A$124:$S$195</definedName>
    <definedName name="_5PAGE_3" localSheetId="5">'May 16'!$A$124:$S$195</definedName>
    <definedName name="_5PAGE_3" localSheetId="9">'May 17'!$A$124:$S$196</definedName>
    <definedName name="_5PAGE_3" localSheetId="13">'May 18'!$A$124:$S$196</definedName>
    <definedName name="_5PAGE_3" localSheetId="3">'Nov 15'!$A$124:$S$195</definedName>
    <definedName name="_5PAGE_3" localSheetId="7">'Nov 16'!$A$124:$S$196</definedName>
    <definedName name="_5PAGE_3" localSheetId="11">'Nov 17'!$A$124:$S$196</definedName>
    <definedName name="_5PAGE_3" localSheetId="15">'Nov 18'!$A$125:$S$198</definedName>
    <definedName name="_6PAGE_3" localSheetId="2">#REF!</definedName>
    <definedName name="_6PAGE_3" localSheetId="6">#REF!</definedName>
    <definedName name="_6PAGE_3" localSheetId="10">#REF!</definedName>
    <definedName name="_6PAGE_3" localSheetId="14">#REF!</definedName>
    <definedName name="_6PAGE_3" localSheetId="4">#REF!</definedName>
    <definedName name="_6PAGE_3" localSheetId="8">#REF!</definedName>
    <definedName name="_6PAGE_3" localSheetId="12">#REF!</definedName>
    <definedName name="_6PAGE_3" localSheetId="1">#REF!</definedName>
    <definedName name="_6PAGE_3" localSheetId="5">#REF!</definedName>
    <definedName name="_6PAGE_3" localSheetId="9">#REF!</definedName>
    <definedName name="_6PAGE_3" localSheetId="13">#REF!</definedName>
    <definedName name="_6PAGE_3" localSheetId="3">#REF!</definedName>
    <definedName name="_6PAGE_3" localSheetId="7">#REF!</definedName>
    <definedName name="_6PAGE_3" localSheetId="11">#REF!</definedName>
    <definedName name="_6PAGE_3" localSheetId="15">#REF!</definedName>
    <definedName name="_6PAGE_3">#REF!</definedName>
    <definedName name="_7PAGE_4" localSheetId="2">'Aug 15'!$A$196:$S$297</definedName>
    <definedName name="_7PAGE_4" localSheetId="6">'Aug 16'!$A$197:$S$298</definedName>
    <definedName name="_7PAGE_4" localSheetId="10">'Aug 17'!$A$197:$S$297</definedName>
    <definedName name="_7PAGE_4" localSheetId="14">'Aug 18'!$A$197:$S$297</definedName>
    <definedName name="_7PAGE_4" localSheetId="4">'Feb 16'!$A$196:$S$297</definedName>
    <definedName name="_7PAGE_4" localSheetId="8">'Feb 17'!$A$197:$S$297</definedName>
    <definedName name="_7PAGE_4" localSheetId="12">'Feb 18'!$A$197:$S$297</definedName>
    <definedName name="_7PAGE_4" localSheetId="0">'February 15'!$A$197:$S$298</definedName>
    <definedName name="_7PAGE_4" localSheetId="1">'May 15'!$A$196:$S$297</definedName>
    <definedName name="_7PAGE_4" localSheetId="5">'May 16'!$A$196:$S$297</definedName>
    <definedName name="_7PAGE_4" localSheetId="9">'May 17'!$A$197:$S$297</definedName>
    <definedName name="_7PAGE_4" localSheetId="13">'May 18'!$A$197:$S$297</definedName>
    <definedName name="_7PAGE_4" localSheetId="3">'Nov 15'!$A$196:$S$297</definedName>
    <definedName name="_7PAGE_4" localSheetId="7">'Nov 16'!$A$197:$S$298</definedName>
    <definedName name="_7PAGE_4" localSheetId="11">'Nov 17'!$A$197:$S$297</definedName>
    <definedName name="_7PAGE_4" localSheetId="15">'Nov 18'!$A$199:$S$299</definedName>
    <definedName name="_8PAGE_4" localSheetId="2">#REF!</definedName>
    <definedName name="_8PAGE_4" localSheetId="6">#REF!</definedName>
    <definedName name="_8PAGE_4" localSheetId="10">#REF!</definedName>
    <definedName name="_8PAGE_4" localSheetId="14">#REF!</definedName>
    <definedName name="_8PAGE_4" localSheetId="4">#REF!</definedName>
    <definedName name="_8PAGE_4" localSheetId="8">#REF!</definedName>
    <definedName name="_8PAGE_4" localSheetId="12">#REF!</definedName>
    <definedName name="_8PAGE_4" localSheetId="1">#REF!</definedName>
    <definedName name="_8PAGE_4" localSheetId="5">#REF!</definedName>
    <definedName name="_8PAGE_4" localSheetId="9">#REF!</definedName>
    <definedName name="_8PAGE_4" localSheetId="13">#REF!</definedName>
    <definedName name="_8PAGE_4" localSheetId="3">#REF!</definedName>
    <definedName name="_8PAGE_4" localSheetId="7">#REF!</definedName>
    <definedName name="_8PAGE_4" localSheetId="11">#REF!</definedName>
    <definedName name="_8PAGE_4" localSheetId="15">#REF!</definedName>
    <definedName name="_8PAGE_4">#REF!</definedName>
    <definedName name="_xlnm.Print_Area" localSheetId="2">'Aug 15'!$A$1:$S$298</definedName>
    <definedName name="_xlnm.Print_Area" localSheetId="6">'Aug 16'!$A$1:$S$299</definedName>
    <definedName name="_xlnm.Print_Area" localSheetId="10">'Aug 17'!$A$1:$S$298</definedName>
    <definedName name="_xlnm.Print_Area" localSheetId="14">'Aug 18'!$A$1:$S$298</definedName>
    <definedName name="_xlnm.Print_Area" localSheetId="4">'Feb 16'!$A$1:$S$298</definedName>
    <definedName name="_xlnm.Print_Area" localSheetId="8">'Feb 17'!$A$1:$S$298</definedName>
    <definedName name="_xlnm.Print_Area" localSheetId="12">'Feb 18'!$A$1:$S$298</definedName>
    <definedName name="_xlnm.Print_Area" localSheetId="0">'February 15'!$A$1:$S$299</definedName>
    <definedName name="_xlnm.Print_Area" localSheetId="1">'May 15'!$A$1:$S$298</definedName>
    <definedName name="_xlnm.Print_Area" localSheetId="5">'May 16'!$A$1:$S$298</definedName>
    <definedName name="_xlnm.Print_Area" localSheetId="9">'May 17'!$A$1:$S$298</definedName>
    <definedName name="_xlnm.Print_Area" localSheetId="13">'May 18'!$A$1:$S$298</definedName>
    <definedName name="_xlnm.Print_Area" localSheetId="3">'Nov 15'!$A$1:$S$298</definedName>
    <definedName name="_xlnm.Print_Area" localSheetId="7">'Nov 16'!$A$1:$S$299</definedName>
    <definedName name="_xlnm.Print_Area" localSheetId="11">'Nov 17'!$A$1:$S$298</definedName>
    <definedName name="_xlnm.Print_Area" localSheetId="15">'Nov 18'!$A$1:$S$300</definedName>
    <definedName name="_xlnm.Print_Area">#REF!</definedName>
  </definedNames>
  <calcPr calcId="152511"/>
</workbook>
</file>

<file path=xl/calcChain.xml><?xml version="1.0" encoding="utf-8"?>
<calcChain xmlns="http://schemas.openxmlformats.org/spreadsheetml/2006/main">
  <c r="R89" i="26" l="1"/>
  <c r="R34" i="26" l="1"/>
  <c r="R163" i="26" l="1"/>
  <c r="R110" i="26"/>
  <c r="R97" i="26"/>
  <c r="R80" i="26"/>
  <c r="P56" i="26"/>
  <c r="R90" i="26" l="1"/>
  <c r="R132" i="26" l="1"/>
  <c r="Q284" i="26" l="1"/>
  <c r="P284" i="26"/>
  <c r="O284" i="26"/>
  <c r="N284" i="26"/>
  <c r="P272" i="26"/>
  <c r="N272" i="26"/>
  <c r="P260" i="26"/>
  <c r="N260" i="26"/>
  <c r="P246" i="26"/>
  <c r="N246" i="26"/>
  <c r="P245" i="26"/>
  <c r="N245" i="26"/>
  <c r="P244" i="26"/>
  <c r="N244" i="26"/>
  <c r="P243" i="26"/>
  <c r="N243" i="26"/>
  <c r="P242" i="26"/>
  <c r="N242" i="26"/>
  <c r="P241" i="26"/>
  <c r="N241" i="26"/>
  <c r="P240" i="26"/>
  <c r="N240" i="26"/>
  <c r="P239" i="26"/>
  <c r="N239" i="26"/>
  <c r="P225" i="26"/>
  <c r="P223" i="26"/>
  <c r="P222" i="26"/>
  <c r="O221" i="26"/>
  <c r="P220" i="26"/>
  <c r="P203" i="26"/>
  <c r="R181" i="26"/>
  <c r="R172" i="26"/>
  <c r="R165" i="26"/>
  <c r="R159" i="26"/>
  <c r="R157" i="26"/>
  <c r="R156" i="26"/>
  <c r="R149" i="26"/>
  <c r="R151" i="26" s="1"/>
  <c r="R144" i="26"/>
  <c r="R145" i="26" s="1"/>
  <c r="B124" i="26"/>
  <c r="B198" i="26" s="1"/>
  <c r="B299" i="26" s="1"/>
  <c r="P115" i="26"/>
  <c r="P114" i="26"/>
  <c r="P120" i="26" s="1"/>
  <c r="P112" i="26"/>
  <c r="P103" i="26"/>
  <c r="P91" i="26"/>
  <c r="R93" i="26"/>
  <c r="P79" i="26"/>
  <c r="P77" i="26"/>
  <c r="J75" i="26"/>
  <c r="R70" i="26"/>
  <c r="R173" i="26" s="1"/>
  <c r="P287" i="26" s="1"/>
  <c r="P59" i="26"/>
  <c r="N59" i="26"/>
  <c r="L59" i="26"/>
  <c r="J59" i="26"/>
  <c r="H59" i="26"/>
  <c r="H72" i="26" s="1"/>
  <c r="F59" i="26"/>
  <c r="F72" i="26" s="1"/>
  <c r="R57" i="26"/>
  <c r="R56" i="26"/>
  <c r="R59" i="26" s="1"/>
  <c r="N47" i="26"/>
  <c r="N46" i="26"/>
  <c r="R40" i="26"/>
  <c r="J30" i="26"/>
  <c r="H30" i="26"/>
  <c r="F30" i="26"/>
  <c r="D30" i="26"/>
  <c r="J29" i="26"/>
  <c r="H29" i="26"/>
  <c r="F29" i="26"/>
  <c r="D29" i="26"/>
  <c r="R28" i="26"/>
  <c r="O179" i="26" s="1"/>
  <c r="P90" i="26" l="1"/>
  <c r="P93" i="26" s="1"/>
  <c r="P121" i="26" s="1"/>
  <c r="Q272" i="26"/>
  <c r="P286" i="26"/>
  <c r="P288" i="26" s="1"/>
  <c r="N248" i="26"/>
  <c r="R29" i="26"/>
  <c r="P207" i="26" s="1"/>
  <c r="P221" i="26"/>
  <c r="R158" i="26"/>
  <c r="O260" i="26"/>
  <c r="N286" i="26"/>
  <c r="O220" i="26"/>
  <c r="P248" i="26"/>
  <c r="Q260" i="26"/>
  <c r="O272" i="26"/>
  <c r="R171" i="26"/>
  <c r="R174" i="26" s="1"/>
  <c r="R72" i="26"/>
  <c r="R111" i="26"/>
  <c r="R120" i="26" s="1"/>
  <c r="R121" i="26" s="1"/>
  <c r="R30" i="26"/>
  <c r="R128" i="26"/>
  <c r="R131" i="26"/>
  <c r="R130" i="26" s="1"/>
  <c r="P79" i="25"/>
  <c r="R140" i="26" l="1"/>
  <c r="O248" i="26"/>
  <c r="P289" i="26"/>
  <c r="R175" i="26"/>
  <c r="R109" i="25"/>
  <c r="R96" i="25"/>
  <c r="R80" i="25"/>
  <c r="Q248" i="26" l="1"/>
  <c r="Q282" i="25"/>
  <c r="P282" i="25"/>
  <c r="O282" i="25"/>
  <c r="N282" i="25"/>
  <c r="P270" i="25"/>
  <c r="Q266" i="25" s="1"/>
  <c r="N270" i="25"/>
  <c r="O268" i="25" s="1"/>
  <c r="O267" i="25"/>
  <c r="O266" i="25"/>
  <c r="O263" i="25"/>
  <c r="O262" i="25"/>
  <c r="O261" i="25"/>
  <c r="P258" i="25"/>
  <c r="Q256" i="25" s="1"/>
  <c r="N258" i="25"/>
  <c r="O256" i="25" s="1"/>
  <c r="P244" i="25"/>
  <c r="N244" i="25"/>
  <c r="P243" i="25"/>
  <c r="N243" i="25"/>
  <c r="P242" i="25"/>
  <c r="N242" i="25"/>
  <c r="P241" i="25"/>
  <c r="N241" i="25"/>
  <c r="P240" i="25"/>
  <c r="N240" i="25"/>
  <c r="P239" i="25"/>
  <c r="N239" i="25"/>
  <c r="P238" i="25"/>
  <c r="N238" i="25"/>
  <c r="P237" i="25"/>
  <c r="N237" i="25"/>
  <c r="P223" i="25"/>
  <c r="P221" i="25"/>
  <c r="P219" i="25"/>
  <c r="O219" i="25"/>
  <c r="O218" i="25"/>
  <c r="P213" i="25"/>
  <c r="P201" i="25"/>
  <c r="R179" i="25"/>
  <c r="R170" i="25"/>
  <c r="R163" i="25"/>
  <c r="R157" i="25"/>
  <c r="R155" i="25"/>
  <c r="R154" i="25"/>
  <c r="R156" i="25" s="1"/>
  <c r="R147" i="25"/>
  <c r="R149" i="25" s="1"/>
  <c r="R142" i="25"/>
  <c r="R143" i="25" s="1"/>
  <c r="B123" i="25"/>
  <c r="B196" i="25" s="1"/>
  <c r="B297" i="25" s="1"/>
  <c r="P114" i="25"/>
  <c r="P113" i="25"/>
  <c r="P111" i="25"/>
  <c r="P102" i="25"/>
  <c r="P90" i="25"/>
  <c r="R89" i="25"/>
  <c r="R92" i="25" s="1"/>
  <c r="P77" i="25"/>
  <c r="J75" i="25"/>
  <c r="R70" i="25"/>
  <c r="R171" i="25" s="1"/>
  <c r="P285" i="25" s="1"/>
  <c r="N59" i="25"/>
  <c r="L59" i="25"/>
  <c r="J59" i="25"/>
  <c r="H59" i="25"/>
  <c r="H72" i="25" s="1"/>
  <c r="F59" i="25"/>
  <c r="F72" i="25" s="1"/>
  <c r="R57" i="25"/>
  <c r="R56" i="25"/>
  <c r="R59" i="25" s="1"/>
  <c r="P220" i="25"/>
  <c r="N47" i="25"/>
  <c r="N46" i="25"/>
  <c r="R40" i="25"/>
  <c r="J30" i="25"/>
  <c r="H30" i="25"/>
  <c r="F30" i="25"/>
  <c r="D30" i="25"/>
  <c r="R30" i="25" s="1"/>
  <c r="J29" i="25"/>
  <c r="H29" i="25"/>
  <c r="F29" i="25"/>
  <c r="D29" i="25"/>
  <c r="R29" i="25" s="1"/>
  <c r="R34" i="25" s="1"/>
  <c r="P204" i="25" s="1"/>
  <c r="P205" i="25" s="1"/>
  <c r="R28" i="25"/>
  <c r="O177" i="25" s="1"/>
  <c r="R127" i="25" l="1"/>
  <c r="O250" i="25"/>
  <c r="O254" i="25"/>
  <c r="O264" i="25"/>
  <c r="Q267" i="25"/>
  <c r="O251" i="25"/>
  <c r="O255" i="25"/>
  <c r="O270" i="25"/>
  <c r="O265" i="25"/>
  <c r="O249" i="25"/>
  <c r="O253" i="25"/>
  <c r="O252" i="25"/>
  <c r="Q263" i="25"/>
  <c r="Q264" i="25"/>
  <c r="Q268" i="25"/>
  <c r="P218" i="25"/>
  <c r="Q261" i="25"/>
  <c r="Q265" i="25"/>
  <c r="Q262" i="25"/>
  <c r="P119" i="25"/>
  <c r="R130" i="25"/>
  <c r="P246" i="25"/>
  <c r="Q244" i="25" s="1"/>
  <c r="N246" i="25"/>
  <c r="P284" i="25"/>
  <c r="P286" i="25" s="1"/>
  <c r="Q249" i="25"/>
  <c r="Q250" i="25"/>
  <c r="Q251" i="25"/>
  <c r="Q252" i="25"/>
  <c r="Q253" i="25"/>
  <c r="Q254" i="25"/>
  <c r="Q255" i="25"/>
  <c r="N284" i="25"/>
  <c r="R169" i="25"/>
  <c r="R172" i="25" s="1"/>
  <c r="R72" i="25"/>
  <c r="P206" i="25"/>
  <c r="R189" i="25"/>
  <c r="R185" i="25"/>
  <c r="R110" i="25"/>
  <c r="R119" i="25" s="1"/>
  <c r="R120" i="25" s="1"/>
  <c r="R191" i="25"/>
  <c r="R187" i="25"/>
  <c r="Q243" i="25"/>
  <c r="Q242" i="25"/>
  <c r="Q241" i="25"/>
  <c r="Q240" i="25"/>
  <c r="Q239" i="25"/>
  <c r="Q238" i="25"/>
  <c r="Q237" i="25"/>
  <c r="R129" i="25"/>
  <c r="R138" i="25" s="1"/>
  <c r="P289" i="25" s="1"/>
  <c r="O244" i="25"/>
  <c r="O243" i="25"/>
  <c r="O242" i="25"/>
  <c r="O241" i="25"/>
  <c r="O240" i="25"/>
  <c r="O239" i="25"/>
  <c r="O238" i="25"/>
  <c r="O237" i="25"/>
  <c r="R41" i="25"/>
  <c r="P59" i="25"/>
  <c r="P89" i="25"/>
  <c r="P92" i="25" s="1"/>
  <c r="O246" i="25" l="1"/>
  <c r="O258" i="25"/>
  <c r="Q270" i="25"/>
  <c r="P120" i="25"/>
  <c r="Q258" i="25"/>
  <c r="Q246" i="25"/>
  <c r="P287" i="25"/>
  <c r="R173" i="25"/>
  <c r="R109" i="24"/>
  <c r="R96" i="24"/>
  <c r="R80" i="24"/>
  <c r="P56" i="24"/>
  <c r="P79" i="24" s="1"/>
  <c r="Q282" i="24" l="1"/>
  <c r="P282" i="24"/>
  <c r="O282" i="24"/>
  <c r="N282" i="24"/>
  <c r="P270" i="24"/>
  <c r="Q266" i="24" s="1"/>
  <c r="N270" i="24"/>
  <c r="O268" i="24" s="1"/>
  <c r="O266" i="24"/>
  <c r="O265" i="24"/>
  <c r="O262" i="24"/>
  <c r="O261" i="24"/>
  <c r="P258" i="24"/>
  <c r="N258" i="24"/>
  <c r="O256" i="24"/>
  <c r="O255" i="24"/>
  <c r="O254" i="24"/>
  <c r="O253" i="24"/>
  <c r="O252" i="24"/>
  <c r="O251" i="24"/>
  <c r="O250" i="24"/>
  <c r="O249" i="24"/>
  <c r="P244" i="24"/>
  <c r="N244" i="24"/>
  <c r="P243" i="24"/>
  <c r="N243" i="24"/>
  <c r="P242" i="24"/>
  <c r="N242" i="24"/>
  <c r="P241" i="24"/>
  <c r="N241" i="24"/>
  <c r="P240" i="24"/>
  <c r="N240" i="24"/>
  <c r="P239" i="24"/>
  <c r="N239" i="24"/>
  <c r="P238" i="24"/>
  <c r="N238" i="24"/>
  <c r="P237" i="24"/>
  <c r="N237" i="24"/>
  <c r="N246" i="24" s="1"/>
  <c r="P223" i="24"/>
  <c r="P221" i="24"/>
  <c r="P219" i="24"/>
  <c r="O219" i="24"/>
  <c r="O218" i="24"/>
  <c r="P213" i="24"/>
  <c r="P201" i="24"/>
  <c r="R179" i="24"/>
  <c r="O177" i="24"/>
  <c r="R170" i="24"/>
  <c r="R163" i="24"/>
  <c r="R157" i="24"/>
  <c r="R155" i="24"/>
  <c r="R154" i="24"/>
  <c r="R156" i="24" s="1"/>
  <c r="R147" i="24"/>
  <c r="R149" i="24" s="1"/>
  <c r="R142" i="24"/>
  <c r="R143" i="24" s="1"/>
  <c r="B123" i="24"/>
  <c r="B196" i="24" s="1"/>
  <c r="B297" i="24" s="1"/>
  <c r="P114" i="24"/>
  <c r="P113" i="24"/>
  <c r="P119" i="24" s="1"/>
  <c r="P111" i="24"/>
  <c r="P102" i="24"/>
  <c r="P90" i="24"/>
  <c r="R89" i="24"/>
  <c r="R92" i="24" s="1"/>
  <c r="P77" i="24"/>
  <c r="J75" i="24"/>
  <c r="R70" i="24"/>
  <c r="R171" i="24" s="1"/>
  <c r="P285" i="24" s="1"/>
  <c r="N59" i="24"/>
  <c r="L59" i="24"/>
  <c r="J59" i="24"/>
  <c r="H59" i="24"/>
  <c r="H72" i="24" s="1"/>
  <c r="F59" i="24"/>
  <c r="F72" i="24" s="1"/>
  <c r="R57" i="24"/>
  <c r="R56" i="24"/>
  <c r="R59" i="24" s="1"/>
  <c r="P220" i="24"/>
  <c r="N47" i="24"/>
  <c r="N46" i="24"/>
  <c r="R40" i="24"/>
  <c r="J30" i="24"/>
  <c r="H30" i="24"/>
  <c r="F30" i="24"/>
  <c r="D30" i="24"/>
  <c r="J29" i="24"/>
  <c r="H29" i="24"/>
  <c r="F29" i="24"/>
  <c r="D29" i="24"/>
  <c r="R28" i="24"/>
  <c r="R127" i="24" s="1"/>
  <c r="O258" i="24" l="1"/>
  <c r="O263" i="24"/>
  <c r="O267" i="24"/>
  <c r="R30" i="24"/>
  <c r="O264" i="24"/>
  <c r="R29" i="24"/>
  <c r="R34" i="24" s="1"/>
  <c r="P204" i="24" s="1"/>
  <c r="P205" i="24" s="1"/>
  <c r="O270" i="24"/>
  <c r="Q267" i="24"/>
  <c r="P218" i="24"/>
  <c r="Q261" i="24"/>
  <c r="Q263" i="24"/>
  <c r="Q265" i="24"/>
  <c r="P284" i="24"/>
  <c r="Q262" i="24"/>
  <c r="Q264" i="24"/>
  <c r="Q268" i="24"/>
  <c r="R130" i="24"/>
  <c r="P246" i="24"/>
  <c r="Q243" i="24" s="1"/>
  <c r="Q249" i="24"/>
  <c r="Q250" i="24"/>
  <c r="Q251" i="24"/>
  <c r="Q252" i="24"/>
  <c r="Q253" i="24"/>
  <c r="Q254" i="24"/>
  <c r="Q255" i="24"/>
  <c r="Q256" i="24"/>
  <c r="N284" i="24"/>
  <c r="R169" i="24"/>
  <c r="R172" i="24" s="1"/>
  <c r="R72" i="24"/>
  <c r="P206" i="24"/>
  <c r="R189" i="24"/>
  <c r="R185" i="24"/>
  <c r="R110" i="24"/>
  <c r="R119" i="24" s="1"/>
  <c r="R120" i="24" s="1"/>
  <c r="R191" i="24"/>
  <c r="R187" i="24"/>
  <c r="R129" i="24"/>
  <c r="R138" i="24" s="1"/>
  <c r="O244" i="24"/>
  <c r="O243" i="24"/>
  <c r="O242" i="24"/>
  <c r="O241" i="24"/>
  <c r="O240" i="24"/>
  <c r="O239" i="24"/>
  <c r="O238" i="24"/>
  <c r="O237" i="24"/>
  <c r="P286" i="24"/>
  <c r="R41" i="24"/>
  <c r="P59" i="24"/>
  <c r="P89" i="24"/>
  <c r="P92" i="24" s="1"/>
  <c r="P120" i="24" s="1"/>
  <c r="O246" i="24" l="1"/>
  <c r="P289" i="24"/>
  <c r="Q239" i="24"/>
  <c r="Q270" i="24"/>
  <c r="Q237" i="24"/>
  <c r="Q244" i="24"/>
  <c r="Q240" i="24"/>
  <c r="Q238" i="24"/>
  <c r="Q242" i="24"/>
  <c r="Q241" i="24"/>
  <c r="Q258" i="24"/>
  <c r="P287" i="24"/>
  <c r="R173" i="24"/>
  <c r="Q246" i="24" l="1"/>
  <c r="R109" i="23" l="1"/>
  <c r="R96" i="23"/>
  <c r="R80" i="23"/>
  <c r="P56" i="23"/>
  <c r="P79" i="23" s="1"/>
  <c r="Q282" i="23" l="1"/>
  <c r="P282" i="23"/>
  <c r="O282" i="23"/>
  <c r="N282" i="23"/>
  <c r="P270" i="23"/>
  <c r="P218" i="23" s="1"/>
  <c r="N270" i="23"/>
  <c r="P258" i="23"/>
  <c r="Q256" i="23" s="1"/>
  <c r="N258" i="23"/>
  <c r="O256" i="23" s="1"/>
  <c r="Q255" i="23"/>
  <c r="Q254" i="23"/>
  <c r="Q253" i="23"/>
  <c r="Q252" i="23"/>
  <c r="Q251" i="23"/>
  <c r="O251" i="23"/>
  <c r="Q250" i="23"/>
  <c r="Q249" i="23"/>
  <c r="O249" i="23"/>
  <c r="P244" i="23"/>
  <c r="N244" i="23"/>
  <c r="P243" i="23"/>
  <c r="N243" i="23"/>
  <c r="P242" i="23"/>
  <c r="N242" i="23"/>
  <c r="P241" i="23"/>
  <c r="N241" i="23"/>
  <c r="P240" i="23"/>
  <c r="N240" i="23"/>
  <c r="P239" i="23"/>
  <c r="N239" i="23"/>
  <c r="P238" i="23"/>
  <c r="N238" i="23"/>
  <c r="P237" i="23"/>
  <c r="N237" i="23"/>
  <c r="P223" i="23"/>
  <c r="P221" i="23"/>
  <c r="P219" i="23"/>
  <c r="O219" i="23"/>
  <c r="O218" i="23"/>
  <c r="P213" i="23"/>
  <c r="P201" i="23"/>
  <c r="R179" i="23"/>
  <c r="R170" i="23"/>
  <c r="R163" i="23"/>
  <c r="R157" i="23"/>
  <c r="R155" i="23"/>
  <c r="R154" i="23"/>
  <c r="R147" i="23"/>
  <c r="R149" i="23" s="1"/>
  <c r="R142" i="23"/>
  <c r="R143" i="23" s="1"/>
  <c r="R127" i="23"/>
  <c r="B123" i="23"/>
  <c r="B196" i="23" s="1"/>
  <c r="B297" i="23" s="1"/>
  <c r="P114" i="23"/>
  <c r="P113" i="23"/>
  <c r="P119" i="23" s="1"/>
  <c r="P111" i="23"/>
  <c r="P102" i="23"/>
  <c r="P90" i="23"/>
  <c r="R89" i="23"/>
  <c r="R92" i="23" s="1"/>
  <c r="P77" i="23"/>
  <c r="J75" i="23"/>
  <c r="R70" i="23"/>
  <c r="R171" i="23" s="1"/>
  <c r="P285" i="23" s="1"/>
  <c r="N59" i="23"/>
  <c r="L59" i="23"/>
  <c r="J59" i="23"/>
  <c r="H59" i="23"/>
  <c r="H72" i="23" s="1"/>
  <c r="F59" i="23"/>
  <c r="F72" i="23" s="1"/>
  <c r="R57" i="23"/>
  <c r="R56" i="23"/>
  <c r="P220" i="23"/>
  <c r="N47" i="23"/>
  <c r="N46" i="23"/>
  <c r="R40" i="23"/>
  <c r="J30" i="23"/>
  <c r="H30" i="23"/>
  <c r="F30" i="23"/>
  <c r="R130" i="23" s="1"/>
  <c r="D30" i="23"/>
  <c r="J29" i="23"/>
  <c r="H29" i="23"/>
  <c r="F29" i="23"/>
  <c r="D29" i="23"/>
  <c r="R28" i="23"/>
  <c r="O177" i="23" s="1"/>
  <c r="O253" i="23" l="1"/>
  <c r="O255" i="23"/>
  <c r="Q258" i="23"/>
  <c r="O250" i="23"/>
  <c r="O252" i="23"/>
  <c r="O254" i="23"/>
  <c r="O258" i="23" s="1"/>
  <c r="O262" i="23"/>
  <c r="O266" i="23"/>
  <c r="O263" i="23"/>
  <c r="O267" i="23"/>
  <c r="O265" i="23"/>
  <c r="O264" i="23"/>
  <c r="O268" i="23"/>
  <c r="O261" i="23"/>
  <c r="O270" i="23" s="1"/>
  <c r="R29" i="23"/>
  <c r="R34" i="23" s="1"/>
  <c r="P204" i="23" s="1"/>
  <c r="P205" i="23" s="1"/>
  <c r="R30" i="23"/>
  <c r="R59" i="23"/>
  <c r="R156" i="23"/>
  <c r="Q262" i="23"/>
  <c r="Q266" i="23"/>
  <c r="Q261" i="23"/>
  <c r="Q263" i="23"/>
  <c r="Q267" i="23"/>
  <c r="Q268" i="23"/>
  <c r="Q264" i="23"/>
  <c r="Q265" i="23"/>
  <c r="P284" i="23"/>
  <c r="P246" i="23"/>
  <c r="Q244" i="23" s="1"/>
  <c r="N246" i="23"/>
  <c r="O243" i="23" s="1"/>
  <c r="N284" i="23"/>
  <c r="R129" i="23"/>
  <c r="R138" i="23" s="1"/>
  <c r="P289" i="23" s="1"/>
  <c r="O244" i="23"/>
  <c r="O242" i="23"/>
  <c r="O241" i="23"/>
  <c r="O240" i="23"/>
  <c r="O239" i="23"/>
  <c r="O237" i="23"/>
  <c r="R169" i="23"/>
  <c r="R172" i="23" s="1"/>
  <c r="R72" i="23"/>
  <c r="P206" i="23"/>
  <c r="R189" i="23"/>
  <c r="R185" i="23"/>
  <c r="R110" i="23"/>
  <c r="R119" i="23" s="1"/>
  <c r="R120" i="23" s="1"/>
  <c r="R191" i="23"/>
  <c r="R187" i="23"/>
  <c r="Q243" i="23"/>
  <c r="Q242" i="23"/>
  <c r="Q241" i="23"/>
  <c r="Q239" i="23"/>
  <c r="Q238" i="23"/>
  <c r="Q237" i="23"/>
  <c r="P286" i="23"/>
  <c r="R41" i="23"/>
  <c r="P59" i="23"/>
  <c r="P89" i="23"/>
  <c r="P92" i="23" s="1"/>
  <c r="P120" i="23" s="1"/>
  <c r="O238" i="23" l="1"/>
  <c r="Q270" i="23"/>
  <c r="Q240" i="23"/>
  <c r="Q246" i="23"/>
  <c r="P287" i="23"/>
  <c r="R173" i="23"/>
  <c r="O246" i="23"/>
  <c r="R109" i="22" l="1"/>
  <c r="R96" i="22"/>
  <c r="R80" i="22"/>
  <c r="P56" i="22"/>
  <c r="P79" i="22" s="1"/>
  <c r="N46" i="22" l="1"/>
  <c r="Q282" i="22" l="1"/>
  <c r="P282" i="22"/>
  <c r="P219" i="22" s="1"/>
  <c r="O282" i="22"/>
  <c r="N282" i="22"/>
  <c r="Q270" i="22"/>
  <c r="P270" i="22"/>
  <c r="O270" i="22"/>
  <c r="N270" i="22"/>
  <c r="P258" i="22"/>
  <c r="Q255" i="22" s="1"/>
  <c r="N258" i="22"/>
  <c r="O256" i="22" s="1"/>
  <c r="Q250" i="22"/>
  <c r="P244" i="22"/>
  <c r="N244" i="22"/>
  <c r="P243" i="22"/>
  <c r="N243" i="22"/>
  <c r="P242" i="22"/>
  <c r="N242" i="22"/>
  <c r="P241" i="22"/>
  <c r="N241" i="22"/>
  <c r="P240" i="22"/>
  <c r="N240" i="22"/>
  <c r="P239" i="22"/>
  <c r="N239" i="22"/>
  <c r="P238" i="22"/>
  <c r="N238" i="22"/>
  <c r="P237" i="22"/>
  <c r="N237" i="22"/>
  <c r="P223" i="22"/>
  <c r="P221" i="22"/>
  <c r="O219" i="22"/>
  <c r="P218" i="22"/>
  <c r="O218" i="22"/>
  <c r="P201" i="22"/>
  <c r="R179" i="22"/>
  <c r="R170" i="22"/>
  <c r="R163" i="22"/>
  <c r="R157" i="22"/>
  <c r="R155" i="22"/>
  <c r="R154" i="22"/>
  <c r="R156" i="22" s="1"/>
  <c r="R147" i="22"/>
  <c r="R149" i="22" s="1"/>
  <c r="R142" i="22"/>
  <c r="R143" i="22" s="1"/>
  <c r="B123" i="22"/>
  <c r="B196" i="22" s="1"/>
  <c r="B297" i="22" s="1"/>
  <c r="P114" i="22"/>
  <c r="P113" i="22"/>
  <c r="P119" i="22" s="1"/>
  <c r="P111" i="22"/>
  <c r="P102" i="22"/>
  <c r="P90" i="22"/>
  <c r="R89" i="22"/>
  <c r="R92" i="22" s="1"/>
  <c r="P77" i="22"/>
  <c r="J75" i="22"/>
  <c r="R70" i="22"/>
  <c r="R171" i="22" s="1"/>
  <c r="P285" i="22" s="1"/>
  <c r="N59" i="22"/>
  <c r="L59" i="22"/>
  <c r="J59" i="22"/>
  <c r="H59" i="22"/>
  <c r="H72" i="22" s="1"/>
  <c r="F59" i="22"/>
  <c r="F72" i="22" s="1"/>
  <c r="R57" i="22"/>
  <c r="P220" i="22"/>
  <c r="N47" i="22"/>
  <c r="R40" i="22"/>
  <c r="J30" i="22"/>
  <c r="H30" i="22"/>
  <c r="F30" i="22"/>
  <c r="D30" i="22"/>
  <c r="R130" i="22" s="1"/>
  <c r="J29" i="22"/>
  <c r="H29" i="22"/>
  <c r="F29" i="22"/>
  <c r="D29" i="22"/>
  <c r="R28" i="22"/>
  <c r="O177" i="22" s="1"/>
  <c r="R29" i="22" l="1"/>
  <c r="R34" i="22" s="1"/>
  <c r="P204" i="22" s="1"/>
  <c r="P205" i="22" s="1"/>
  <c r="Q252" i="22"/>
  <c r="Q256" i="22"/>
  <c r="R41" i="22"/>
  <c r="P246" i="22"/>
  <c r="Q239" i="22" s="1"/>
  <c r="Q254" i="22"/>
  <c r="Q249" i="22"/>
  <c r="Q251" i="22"/>
  <c r="Q253" i="22"/>
  <c r="P284" i="22"/>
  <c r="N246" i="22"/>
  <c r="O239" i="22" s="1"/>
  <c r="O249" i="22"/>
  <c r="O250" i="22"/>
  <c r="O251" i="22"/>
  <c r="O252" i="22"/>
  <c r="O253" i="22"/>
  <c r="O254" i="22"/>
  <c r="O255" i="22"/>
  <c r="N284" i="22"/>
  <c r="P206" i="22"/>
  <c r="R189" i="22"/>
  <c r="R185" i="22"/>
  <c r="R110" i="22"/>
  <c r="R191" i="22"/>
  <c r="R187" i="22"/>
  <c r="O238" i="22"/>
  <c r="O241" i="22"/>
  <c r="O243" i="22"/>
  <c r="P286" i="22"/>
  <c r="Q238" i="22"/>
  <c r="Q240" i="22"/>
  <c r="Q242" i="22"/>
  <c r="Q244" i="22"/>
  <c r="R30" i="22"/>
  <c r="R56" i="22"/>
  <c r="R59" i="22" s="1"/>
  <c r="R127" i="22"/>
  <c r="R129" i="22" s="1"/>
  <c r="R138" i="22" s="1"/>
  <c r="P289" i="22" s="1"/>
  <c r="P213" i="22"/>
  <c r="Q237" i="22"/>
  <c r="P59" i="22"/>
  <c r="P89" i="22"/>
  <c r="P92" i="22" s="1"/>
  <c r="P120" i="22" s="1"/>
  <c r="O237" i="22" l="1"/>
  <c r="Q241" i="22"/>
  <c r="O242" i="22"/>
  <c r="Q246" i="22"/>
  <c r="Q243" i="22"/>
  <c r="O244" i="22"/>
  <c r="O240" i="22"/>
  <c r="O246" i="22" s="1"/>
  <c r="R120" i="22"/>
  <c r="R119" i="22"/>
  <c r="Q258" i="22"/>
  <c r="O258" i="22"/>
  <c r="R169" i="22"/>
  <c r="R172" i="22" s="1"/>
  <c r="R72" i="22"/>
  <c r="P287" i="22" l="1"/>
  <c r="R173" i="22"/>
  <c r="R109" i="21"/>
  <c r="R96" i="21"/>
  <c r="R80" i="21"/>
  <c r="P56" i="21"/>
  <c r="P79" i="21" l="1"/>
  <c r="P220" i="21"/>
  <c r="P213" i="21"/>
  <c r="Q282" i="21"/>
  <c r="P282" i="21"/>
  <c r="P219" i="21" s="1"/>
  <c r="O282" i="21"/>
  <c r="N282" i="21"/>
  <c r="Q270" i="21"/>
  <c r="P270" i="21"/>
  <c r="P218" i="21" s="1"/>
  <c r="O270" i="21"/>
  <c r="N270" i="21"/>
  <c r="P258" i="21"/>
  <c r="N258" i="21"/>
  <c r="O254" i="21" s="1"/>
  <c r="Q254" i="21"/>
  <c r="Q253" i="21"/>
  <c r="Q252" i="21"/>
  <c r="Q251" i="21"/>
  <c r="Q250" i="21"/>
  <c r="Q249" i="21"/>
  <c r="P244" i="21"/>
  <c r="N244" i="21"/>
  <c r="P243" i="21"/>
  <c r="N243" i="21"/>
  <c r="P242" i="21"/>
  <c r="N242" i="21"/>
  <c r="P241" i="21"/>
  <c r="N241" i="21"/>
  <c r="P240" i="21"/>
  <c r="N240" i="21"/>
  <c r="P239" i="21"/>
  <c r="N239" i="21"/>
  <c r="P238" i="21"/>
  <c r="N238" i="21"/>
  <c r="P237" i="21"/>
  <c r="N237" i="21"/>
  <c r="P223" i="21"/>
  <c r="P221" i="21"/>
  <c r="O219" i="21"/>
  <c r="O218" i="21"/>
  <c r="P201" i="21"/>
  <c r="R179" i="21"/>
  <c r="R170" i="21"/>
  <c r="R163" i="21"/>
  <c r="R157" i="21"/>
  <c r="R155" i="21"/>
  <c r="R154" i="21"/>
  <c r="R149" i="21"/>
  <c r="R147" i="21"/>
  <c r="R143" i="21"/>
  <c r="R142" i="21"/>
  <c r="B123" i="21"/>
  <c r="B196" i="21" s="1"/>
  <c r="B297" i="21" s="1"/>
  <c r="P114" i="21"/>
  <c r="P113" i="21"/>
  <c r="P111" i="21"/>
  <c r="P102" i="21"/>
  <c r="P90" i="21"/>
  <c r="R89" i="21"/>
  <c r="R92" i="21" s="1"/>
  <c r="P77" i="21"/>
  <c r="J75" i="21"/>
  <c r="R70" i="21"/>
  <c r="R171" i="21" s="1"/>
  <c r="P285" i="21" s="1"/>
  <c r="P59" i="21"/>
  <c r="N59" i="21"/>
  <c r="J59" i="21"/>
  <c r="H59" i="21"/>
  <c r="H72" i="21" s="1"/>
  <c r="F59" i="21"/>
  <c r="F72" i="21" s="1"/>
  <c r="R57" i="21"/>
  <c r="N47" i="21"/>
  <c r="R40" i="21"/>
  <c r="J30" i="21"/>
  <c r="H30" i="21"/>
  <c r="F30" i="21"/>
  <c r="D30" i="21"/>
  <c r="R130" i="21" s="1"/>
  <c r="J29" i="21"/>
  <c r="H29" i="21"/>
  <c r="F29" i="21"/>
  <c r="D29" i="21"/>
  <c r="R28" i="21"/>
  <c r="O177" i="21" s="1"/>
  <c r="P284" i="21" l="1"/>
  <c r="Q255" i="21"/>
  <c r="R29" i="21"/>
  <c r="R34" i="21" s="1"/>
  <c r="P204" i="21" s="1"/>
  <c r="P205" i="21" s="1"/>
  <c r="R156" i="21"/>
  <c r="Q256" i="21"/>
  <c r="O251" i="21"/>
  <c r="O255" i="21"/>
  <c r="O249" i="21"/>
  <c r="O253" i="21"/>
  <c r="O250" i="21"/>
  <c r="O252" i="21"/>
  <c r="O256" i="21"/>
  <c r="P246" i="21"/>
  <c r="Q243" i="21" s="1"/>
  <c r="N246" i="21"/>
  <c r="O243" i="21" s="1"/>
  <c r="Q258" i="21"/>
  <c r="N284" i="21"/>
  <c r="P119" i="21"/>
  <c r="R41" i="21"/>
  <c r="R191" i="21"/>
  <c r="R187" i="21"/>
  <c r="P206" i="21"/>
  <c r="R189" i="21"/>
  <c r="R185" i="21"/>
  <c r="R110" i="21"/>
  <c r="R119" i="21" s="1"/>
  <c r="R120" i="21" s="1"/>
  <c r="O244" i="21"/>
  <c r="O240" i="21"/>
  <c r="O239" i="21"/>
  <c r="O238" i="21"/>
  <c r="O237" i="21"/>
  <c r="Q244" i="21"/>
  <c r="Q241" i="21"/>
  <c r="Q240" i="21"/>
  <c r="Q239" i="21"/>
  <c r="Q238" i="21"/>
  <c r="Q237" i="21"/>
  <c r="P286" i="21"/>
  <c r="L59" i="21"/>
  <c r="P89" i="21"/>
  <c r="P92" i="21" s="1"/>
  <c r="R30" i="21"/>
  <c r="R56" i="21"/>
  <c r="R59" i="21" s="1"/>
  <c r="R127" i="21"/>
  <c r="R129" i="21" s="1"/>
  <c r="R138" i="21" s="1"/>
  <c r="P289" i="21" l="1"/>
  <c r="O258" i="21"/>
  <c r="Q242" i="21"/>
  <c r="Q246" i="21" s="1"/>
  <c r="O242" i="21"/>
  <c r="O241" i="21"/>
  <c r="P120" i="21"/>
  <c r="R72" i="21"/>
  <c r="R169" i="21"/>
  <c r="R172" i="21" s="1"/>
  <c r="R109" i="20"/>
  <c r="R96" i="20"/>
  <c r="R80" i="20"/>
  <c r="L56" i="20"/>
  <c r="P79" i="20" s="1"/>
  <c r="O246" i="21" l="1"/>
  <c r="P287" i="21"/>
  <c r="R173" i="21"/>
  <c r="Q282" i="20"/>
  <c r="P282" i="20"/>
  <c r="O282" i="20"/>
  <c r="N282" i="20"/>
  <c r="O219" i="20" s="1"/>
  <c r="Q270" i="20"/>
  <c r="P270" i="20"/>
  <c r="O270" i="20"/>
  <c r="N270" i="20"/>
  <c r="P258" i="20"/>
  <c r="P284" i="20" s="1"/>
  <c r="N258" i="20"/>
  <c r="O256" i="20"/>
  <c r="O255" i="20"/>
  <c r="O254" i="20"/>
  <c r="O253" i="20"/>
  <c r="O252" i="20"/>
  <c r="O251" i="20"/>
  <c r="O250" i="20"/>
  <c r="Q249" i="20"/>
  <c r="O249" i="20"/>
  <c r="P244" i="20"/>
  <c r="N244" i="20"/>
  <c r="P243" i="20"/>
  <c r="N243" i="20"/>
  <c r="P242" i="20"/>
  <c r="N242" i="20"/>
  <c r="P241" i="20"/>
  <c r="N241" i="20"/>
  <c r="P240" i="20"/>
  <c r="N240" i="20"/>
  <c r="P239" i="20"/>
  <c r="N239" i="20"/>
  <c r="P238" i="20"/>
  <c r="N238" i="20"/>
  <c r="P237" i="20"/>
  <c r="P246" i="20" s="1"/>
  <c r="N237" i="20"/>
  <c r="P223" i="20"/>
  <c r="P221" i="20"/>
  <c r="P219" i="20"/>
  <c r="P218" i="20"/>
  <c r="O218" i="20"/>
  <c r="P201" i="20"/>
  <c r="R179" i="20"/>
  <c r="R170" i="20"/>
  <c r="R163" i="20"/>
  <c r="R157" i="20"/>
  <c r="R155" i="20"/>
  <c r="R154" i="20"/>
  <c r="R156" i="20" s="1"/>
  <c r="R149" i="20"/>
  <c r="R147" i="20"/>
  <c r="R142" i="20"/>
  <c r="R143" i="20" s="1"/>
  <c r="B123" i="20"/>
  <c r="B196" i="20" s="1"/>
  <c r="B297" i="20" s="1"/>
  <c r="P114" i="20"/>
  <c r="P113" i="20"/>
  <c r="P119" i="20" s="1"/>
  <c r="P111" i="20"/>
  <c r="P102" i="20"/>
  <c r="P90" i="20"/>
  <c r="R89" i="20"/>
  <c r="R92" i="20" s="1"/>
  <c r="P77" i="20"/>
  <c r="J75" i="20"/>
  <c r="R70" i="20"/>
  <c r="R171" i="20" s="1"/>
  <c r="P285" i="20" s="1"/>
  <c r="P59" i="20"/>
  <c r="N59" i="20"/>
  <c r="J59" i="20"/>
  <c r="H59" i="20"/>
  <c r="H72" i="20" s="1"/>
  <c r="F59" i="20"/>
  <c r="F72" i="20" s="1"/>
  <c r="R57" i="20"/>
  <c r="P213" i="20"/>
  <c r="N47" i="20"/>
  <c r="R40" i="20"/>
  <c r="J30" i="20"/>
  <c r="H30" i="20"/>
  <c r="F30" i="20"/>
  <c r="D30" i="20"/>
  <c r="R130" i="20" s="1"/>
  <c r="J29" i="20"/>
  <c r="H29" i="20"/>
  <c r="F29" i="20"/>
  <c r="D29" i="20"/>
  <c r="R28" i="20"/>
  <c r="O177" i="20" s="1"/>
  <c r="Q251" i="20" l="1"/>
  <c r="Q253" i="20"/>
  <c r="Q255" i="20"/>
  <c r="Q250" i="20"/>
  <c r="Q258" i="20" s="1"/>
  <c r="Q252" i="20"/>
  <c r="Q254" i="20"/>
  <c r="Q256" i="20"/>
  <c r="R29" i="20"/>
  <c r="N246" i="20"/>
  <c r="O258" i="20"/>
  <c r="R41" i="20"/>
  <c r="N284" i="20"/>
  <c r="R191" i="20"/>
  <c r="R187" i="20"/>
  <c r="P206" i="20"/>
  <c r="R189" i="20"/>
  <c r="R185" i="20"/>
  <c r="R110" i="20"/>
  <c r="O244" i="20"/>
  <c r="O243" i="20"/>
  <c r="O242" i="20"/>
  <c r="O241" i="20"/>
  <c r="O240" i="20"/>
  <c r="O239" i="20"/>
  <c r="O238" i="20"/>
  <c r="O237" i="20"/>
  <c r="Q244" i="20"/>
  <c r="Q243" i="20"/>
  <c r="Q242" i="20"/>
  <c r="Q241" i="20"/>
  <c r="Q240" i="20"/>
  <c r="Q239" i="20"/>
  <c r="Q238" i="20"/>
  <c r="Q237" i="20"/>
  <c r="P286" i="20"/>
  <c r="L59" i="20"/>
  <c r="P89" i="20"/>
  <c r="P92" i="20" s="1"/>
  <c r="P120" i="20" s="1"/>
  <c r="R30" i="20"/>
  <c r="R56" i="20"/>
  <c r="R59" i="20" s="1"/>
  <c r="R127" i="20"/>
  <c r="R129" i="20" s="1"/>
  <c r="R138" i="20" s="1"/>
  <c r="P289" i="20" s="1"/>
  <c r="O246" i="20" l="1"/>
  <c r="R119" i="20"/>
  <c r="R120" i="20" s="1"/>
  <c r="P204" i="20"/>
  <c r="P205" i="20" s="1"/>
  <c r="R34" i="20"/>
  <c r="R72" i="20"/>
  <c r="R169" i="20"/>
  <c r="R172" i="20" s="1"/>
  <c r="Q246" i="20"/>
  <c r="R109" i="19"/>
  <c r="R96" i="19"/>
  <c r="R80" i="19"/>
  <c r="L56" i="19"/>
  <c r="P79" i="19" s="1"/>
  <c r="P287" i="20" l="1"/>
  <c r="R173" i="20"/>
  <c r="Q282" i="19"/>
  <c r="P282" i="19"/>
  <c r="O282" i="19"/>
  <c r="N282" i="19"/>
  <c r="Q270" i="19"/>
  <c r="P270" i="19"/>
  <c r="O270" i="19"/>
  <c r="N270" i="19"/>
  <c r="O218" i="19" s="1"/>
  <c r="P258" i="19"/>
  <c r="N258" i="19"/>
  <c r="Q256" i="19"/>
  <c r="O256" i="19"/>
  <c r="Q255" i="19"/>
  <c r="O255" i="19"/>
  <c r="Q254" i="19"/>
  <c r="O254" i="19"/>
  <c r="Q253" i="19"/>
  <c r="O253" i="19"/>
  <c r="Q252" i="19"/>
  <c r="O252" i="19"/>
  <c r="Q251" i="19"/>
  <c r="O251" i="19"/>
  <c r="Q250" i="19"/>
  <c r="O250" i="19"/>
  <c r="Q249" i="19"/>
  <c r="O249" i="19"/>
  <c r="P244" i="19"/>
  <c r="N244" i="19"/>
  <c r="P243" i="19"/>
  <c r="N243" i="19"/>
  <c r="P242" i="19"/>
  <c r="N242" i="19"/>
  <c r="P241" i="19"/>
  <c r="N241" i="19"/>
  <c r="P240" i="19"/>
  <c r="N240" i="19"/>
  <c r="P239" i="19"/>
  <c r="N239" i="19"/>
  <c r="P238" i="19"/>
  <c r="N238" i="19"/>
  <c r="P237" i="19"/>
  <c r="N237" i="19"/>
  <c r="P223" i="19"/>
  <c r="P221" i="19"/>
  <c r="P219" i="19"/>
  <c r="P218" i="19"/>
  <c r="P201" i="19"/>
  <c r="R179" i="19"/>
  <c r="R170" i="19"/>
  <c r="R163" i="19"/>
  <c r="R157" i="19"/>
  <c r="R155" i="19"/>
  <c r="R154" i="19"/>
  <c r="R156" i="19" s="1"/>
  <c r="R147" i="19"/>
  <c r="R149" i="19" s="1"/>
  <c r="R142" i="19"/>
  <c r="R143" i="19" s="1"/>
  <c r="B123" i="19"/>
  <c r="B196" i="19" s="1"/>
  <c r="B297" i="19" s="1"/>
  <c r="P114" i="19"/>
  <c r="P113" i="19"/>
  <c r="P111" i="19"/>
  <c r="P102" i="19"/>
  <c r="P90" i="19"/>
  <c r="R89" i="19"/>
  <c r="R92" i="19" s="1"/>
  <c r="P77" i="19"/>
  <c r="J75" i="19"/>
  <c r="R70" i="19"/>
  <c r="R171" i="19" s="1"/>
  <c r="P285" i="19" s="1"/>
  <c r="P59" i="19"/>
  <c r="N59" i="19"/>
  <c r="J59" i="19"/>
  <c r="H59" i="19"/>
  <c r="H72" i="19" s="1"/>
  <c r="F59" i="19"/>
  <c r="F72" i="19" s="1"/>
  <c r="R57" i="19"/>
  <c r="P213" i="19"/>
  <c r="N47" i="19"/>
  <c r="R40" i="19"/>
  <c r="J30" i="19"/>
  <c r="H30" i="19"/>
  <c r="F30" i="19"/>
  <c r="D30" i="19"/>
  <c r="J29" i="19"/>
  <c r="H29" i="19"/>
  <c r="F29" i="19"/>
  <c r="D29" i="19"/>
  <c r="R28" i="19"/>
  <c r="O177" i="19" s="1"/>
  <c r="O258" i="19" l="1"/>
  <c r="Q258" i="19"/>
  <c r="R41" i="19"/>
  <c r="P246" i="19"/>
  <c r="P284" i="19"/>
  <c r="N246" i="19"/>
  <c r="O243" i="19" s="1"/>
  <c r="N284" i="19"/>
  <c r="R29" i="19"/>
  <c r="R130" i="19"/>
  <c r="P119" i="19"/>
  <c r="O219" i="19"/>
  <c r="R191" i="19"/>
  <c r="R187" i="19"/>
  <c r="P206" i="19"/>
  <c r="R189" i="19"/>
  <c r="R185" i="19"/>
  <c r="R110" i="19"/>
  <c r="R119" i="19" s="1"/>
  <c r="R120" i="19" s="1"/>
  <c r="O244" i="19"/>
  <c r="O241" i="19"/>
  <c r="O240" i="19"/>
  <c r="O237" i="19"/>
  <c r="Q244" i="19"/>
  <c r="Q243" i="19"/>
  <c r="Q242" i="19"/>
  <c r="Q241" i="19"/>
  <c r="Q240" i="19"/>
  <c r="Q239" i="19"/>
  <c r="Q238" i="19"/>
  <c r="Q237" i="19"/>
  <c r="P286" i="19"/>
  <c r="L59" i="19"/>
  <c r="P89" i="19"/>
  <c r="P92" i="19" s="1"/>
  <c r="R30" i="19"/>
  <c r="R56" i="19"/>
  <c r="R59" i="19" s="1"/>
  <c r="R127" i="19"/>
  <c r="R129" i="19" s="1"/>
  <c r="R138" i="19" s="1"/>
  <c r="P289" i="19" s="1"/>
  <c r="O238" i="19" l="1"/>
  <c r="O242" i="19"/>
  <c r="P120" i="19"/>
  <c r="O239" i="19"/>
  <c r="O246" i="19" s="1"/>
  <c r="R34" i="19"/>
  <c r="P204" i="19" s="1"/>
  <c r="P205" i="19" s="1"/>
  <c r="R72" i="19"/>
  <c r="R169" i="19"/>
  <c r="R172" i="19" s="1"/>
  <c r="Q246" i="19"/>
  <c r="R80" i="18"/>
  <c r="R109" i="18"/>
  <c r="R96" i="18"/>
  <c r="L56" i="18"/>
  <c r="P79" i="18" s="1"/>
  <c r="P287" i="19" l="1"/>
  <c r="R173" i="19"/>
  <c r="Q282" i="18"/>
  <c r="P282" i="18"/>
  <c r="P219" i="18" s="1"/>
  <c r="O282" i="18"/>
  <c r="N282" i="18"/>
  <c r="Q270" i="18"/>
  <c r="P270" i="18"/>
  <c r="O270" i="18"/>
  <c r="N270" i="18"/>
  <c r="P258" i="18"/>
  <c r="N258" i="18"/>
  <c r="O256" i="18" s="1"/>
  <c r="Q256" i="18"/>
  <c r="Q255" i="18"/>
  <c r="Q254" i="18"/>
  <c r="Q253" i="18"/>
  <c r="O253" i="18"/>
  <c r="Q252" i="18"/>
  <c r="Q251" i="18"/>
  <c r="O251" i="18"/>
  <c r="Q250" i="18"/>
  <c r="Q249" i="18"/>
  <c r="O249" i="18"/>
  <c r="P244" i="18"/>
  <c r="N244" i="18"/>
  <c r="P243" i="18"/>
  <c r="N243" i="18"/>
  <c r="P242" i="18"/>
  <c r="N242" i="18"/>
  <c r="P241" i="18"/>
  <c r="N241" i="18"/>
  <c r="P240" i="18"/>
  <c r="N240" i="18"/>
  <c r="P239" i="18"/>
  <c r="N239" i="18"/>
  <c r="P238" i="18"/>
  <c r="N238" i="18"/>
  <c r="P237" i="18"/>
  <c r="N237" i="18"/>
  <c r="P223" i="18"/>
  <c r="P221" i="18"/>
  <c r="O219" i="18"/>
  <c r="P218" i="18"/>
  <c r="O218" i="18"/>
  <c r="P201" i="18"/>
  <c r="R179" i="18"/>
  <c r="R170" i="18"/>
  <c r="R163" i="18"/>
  <c r="R157" i="18"/>
  <c r="R155" i="18"/>
  <c r="R154" i="18"/>
  <c r="R156" i="18" s="1"/>
  <c r="R147" i="18"/>
  <c r="R149" i="18" s="1"/>
  <c r="R142" i="18"/>
  <c r="R143" i="18" s="1"/>
  <c r="B123" i="18"/>
  <c r="B196" i="18" s="1"/>
  <c r="B298" i="18" s="1"/>
  <c r="P114" i="18"/>
  <c r="P113" i="18"/>
  <c r="P111" i="18"/>
  <c r="P102" i="18"/>
  <c r="P90" i="18"/>
  <c r="R89" i="18"/>
  <c r="R92" i="18" s="1"/>
  <c r="P77" i="18"/>
  <c r="J75" i="18"/>
  <c r="R70" i="18"/>
  <c r="R171" i="18" s="1"/>
  <c r="P285" i="18" s="1"/>
  <c r="P59" i="18"/>
  <c r="L59" i="18"/>
  <c r="J59" i="18"/>
  <c r="H59" i="18"/>
  <c r="H72" i="18" s="1"/>
  <c r="F59" i="18"/>
  <c r="F72" i="18" s="1"/>
  <c r="R57" i="18"/>
  <c r="N59" i="18"/>
  <c r="P213" i="18"/>
  <c r="N47" i="18"/>
  <c r="R40" i="18"/>
  <c r="J30" i="18"/>
  <c r="H30" i="18"/>
  <c r="F30" i="18"/>
  <c r="D30" i="18"/>
  <c r="J29" i="18"/>
  <c r="H29" i="18"/>
  <c r="F29" i="18"/>
  <c r="D29" i="18"/>
  <c r="R28" i="18"/>
  <c r="O177" i="18" s="1"/>
  <c r="R29" i="18" l="1"/>
  <c r="R34" i="18" s="1"/>
  <c r="P204" i="18" s="1"/>
  <c r="P205" i="18" s="1"/>
  <c r="R130" i="18"/>
  <c r="Q258" i="18"/>
  <c r="O255" i="18"/>
  <c r="O250" i="18"/>
  <c r="O252" i="18"/>
  <c r="O254" i="18"/>
  <c r="O258" i="18" s="1"/>
  <c r="P119" i="18"/>
  <c r="P246" i="18"/>
  <c r="Q238" i="18" s="1"/>
  <c r="P284" i="18"/>
  <c r="P286" i="18" s="1"/>
  <c r="N246" i="18"/>
  <c r="N284" i="18"/>
  <c r="R191" i="18"/>
  <c r="R187" i="18"/>
  <c r="P206" i="18"/>
  <c r="R189" i="18"/>
  <c r="R185" i="18"/>
  <c r="R110" i="18"/>
  <c r="R119" i="18" s="1"/>
  <c r="R120" i="18" s="1"/>
  <c r="O242" i="18"/>
  <c r="O241" i="18"/>
  <c r="O240" i="18"/>
  <c r="O239" i="18"/>
  <c r="O238" i="18"/>
  <c r="O237" i="18"/>
  <c r="O243" i="18"/>
  <c r="O244" i="18"/>
  <c r="Q240" i="18"/>
  <c r="Q239" i="18"/>
  <c r="Q242" i="18"/>
  <c r="Q243" i="18"/>
  <c r="R30" i="18"/>
  <c r="P89" i="18"/>
  <c r="P92" i="18" s="1"/>
  <c r="R41" i="18"/>
  <c r="R56" i="18"/>
  <c r="R59" i="18" s="1"/>
  <c r="R127" i="18"/>
  <c r="R129" i="18" s="1"/>
  <c r="R138" i="18" s="1"/>
  <c r="P289" i="18" s="1"/>
  <c r="R163" i="17"/>
  <c r="Q237" i="18" l="1"/>
  <c r="Q241" i="18"/>
  <c r="Q244" i="18"/>
  <c r="P120" i="18"/>
  <c r="R72" i="18"/>
  <c r="R169" i="18"/>
  <c r="R172" i="18" s="1"/>
  <c r="Q246" i="18"/>
  <c r="O246" i="18"/>
  <c r="R109" i="17"/>
  <c r="R96" i="17"/>
  <c r="R80" i="17"/>
  <c r="P114" i="17"/>
  <c r="L56" i="17"/>
  <c r="P79" i="17" s="1"/>
  <c r="N56" i="17"/>
  <c r="P287" i="18" l="1"/>
  <c r="R173" i="18"/>
  <c r="Q282" i="17"/>
  <c r="P282" i="17"/>
  <c r="O282" i="17"/>
  <c r="N282" i="17"/>
  <c r="Q270" i="17"/>
  <c r="P270" i="17"/>
  <c r="P218" i="17" s="1"/>
  <c r="O270" i="17"/>
  <c r="N270" i="17"/>
  <c r="P258" i="17"/>
  <c r="Q256" i="17" s="1"/>
  <c r="N258" i="17"/>
  <c r="O256" i="17" s="1"/>
  <c r="O253" i="17"/>
  <c r="Q250" i="17"/>
  <c r="Q249" i="17"/>
  <c r="P244" i="17"/>
  <c r="N244" i="17"/>
  <c r="P243" i="17"/>
  <c r="N243" i="17"/>
  <c r="P242" i="17"/>
  <c r="N242" i="17"/>
  <c r="P241" i="17"/>
  <c r="N241" i="17"/>
  <c r="P240" i="17"/>
  <c r="N240" i="17"/>
  <c r="P239" i="17"/>
  <c r="N239" i="17"/>
  <c r="P238" i="17"/>
  <c r="N238" i="17"/>
  <c r="P237" i="17"/>
  <c r="P246" i="17" s="1"/>
  <c r="N237" i="17"/>
  <c r="P223" i="17"/>
  <c r="P224" i="18" s="1"/>
  <c r="P224" i="19" s="1"/>
  <c r="P224" i="20" s="1"/>
  <c r="P224" i="21" s="1"/>
  <c r="P224" i="22" s="1"/>
  <c r="P224" i="23" s="1"/>
  <c r="P224" i="24" s="1"/>
  <c r="P224" i="25" s="1"/>
  <c r="P226" i="26" s="1"/>
  <c r="P221" i="17"/>
  <c r="O219" i="17"/>
  <c r="O218" i="17"/>
  <c r="P201" i="17"/>
  <c r="R179" i="17"/>
  <c r="R170" i="17"/>
  <c r="R157" i="17"/>
  <c r="R155" i="17"/>
  <c r="R154" i="17"/>
  <c r="R147" i="17"/>
  <c r="R142" i="17"/>
  <c r="R143" i="17" s="1"/>
  <c r="B123" i="17"/>
  <c r="B196" i="17" s="1"/>
  <c r="B298" i="17" s="1"/>
  <c r="P113" i="17"/>
  <c r="P119" i="17" s="1"/>
  <c r="P111" i="17"/>
  <c r="P102" i="17"/>
  <c r="P90" i="17"/>
  <c r="R89" i="17"/>
  <c r="R92" i="17" s="1"/>
  <c r="P77" i="17"/>
  <c r="J75" i="17"/>
  <c r="R70" i="17"/>
  <c r="R171" i="17" s="1"/>
  <c r="P285" i="17" s="1"/>
  <c r="P59" i="17"/>
  <c r="L59" i="17"/>
  <c r="J59" i="17"/>
  <c r="H59" i="17"/>
  <c r="H72" i="17" s="1"/>
  <c r="F59" i="17"/>
  <c r="F72" i="17" s="1"/>
  <c r="R57" i="17"/>
  <c r="N59" i="17"/>
  <c r="P213" i="17"/>
  <c r="N47" i="17"/>
  <c r="R40" i="17"/>
  <c r="J30" i="17"/>
  <c r="H30" i="17"/>
  <c r="F30" i="17"/>
  <c r="D30" i="17"/>
  <c r="J29" i="17"/>
  <c r="H29" i="17"/>
  <c r="F29" i="17"/>
  <c r="D29" i="17"/>
  <c r="R28" i="17"/>
  <c r="O177" i="17" s="1"/>
  <c r="Q253" i="17" l="1"/>
  <c r="Q251" i="17"/>
  <c r="Q254" i="17"/>
  <c r="Q258" i="17" s="1"/>
  <c r="N246" i="17"/>
  <c r="O244" i="17" s="1"/>
  <c r="O249" i="17"/>
  <c r="Q252" i="17"/>
  <c r="Q255" i="17"/>
  <c r="P284" i="17"/>
  <c r="R156" i="17"/>
  <c r="P219" i="17"/>
  <c r="O251" i="17"/>
  <c r="R29" i="17"/>
  <c r="R34" i="17" s="1"/>
  <c r="R41" i="17"/>
  <c r="O255" i="17"/>
  <c r="O250" i="17"/>
  <c r="O252" i="17"/>
  <c r="O254" i="17"/>
  <c r="N284" i="17"/>
  <c r="R149" i="17"/>
  <c r="P89" i="17"/>
  <c r="P92" i="17" s="1"/>
  <c r="P120" i="17" s="1"/>
  <c r="R191" i="17"/>
  <c r="R187" i="17"/>
  <c r="P206" i="17"/>
  <c r="R189" i="17"/>
  <c r="R185" i="17"/>
  <c r="R110" i="17"/>
  <c r="R119" i="17" s="1"/>
  <c r="R120" i="17" s="1"/>
  <c r="Q244" i="17"/>
  <c r="Q243" i="17"/>
  <c r="Q242" i="17"/>
  <c r="Q241" i="17"/>
  <c r="Q240" i="17"/>
  <c r="Q239" i="17"/>
  <c r="Q238" i="17"/>
  <c r="Q237" i="17"/>
  <c r="P286" i="17"/>
  <c r="O241" i="17"/>
  <c r="O237" i="17"/>
  <c r="R30" i="17"/>
  <c r="R127" i="17"/>
  <c r="R130" i="17"/>
  <c r="R56" i="17"/>
  <c r="R59" i="17" s="1"/>
  <c r="R109" i="16"/>
  <c r="R96" i="16"/>
  <c r="R80" i="16"/>
  <c r="P79" i="16"/>
  <c r="L56" i="16"/>
  <c r="N56" i="16"/>
  <c r="O239" i="17" l="1"/>
  <c r="O243" i="17"/>
  <c r="O238" i="17"/>
  <c r="O242" i="17"/>
  <c r="O246" i="17" s="1"/>
  <c r="O240" i="17"/>
  <c r="O258" i="17"/>
  <c r="P204" i="17"/>
  <c r="P205" i="17" s="1"/>
  <c r="R72" i="17"/>
  <c r="R169" i="17"/>
  <c r="R172" i="17" s="1"/>
  <c r="R129" i="17"/>
  <c r="R138" i="17" s="1"/>
  <c r="P289" i="17" s="1"/>
  <c r="Q246" i="17"/>
  <c r="Q281" i="16"/>
  <c r="P281" i="16"/>
  <c r="O281" i="16"/>
  <c r="N281" i="16"/>
  <c r="O218" i="16" s="1"/>
  <c r="Q269" i="16"/>
  <c r="P269" i="16"/>
  <c r="O269" i="16"/>
  <c r="N269" i="16"/>
  <c r="P257" i="16"/>
  <c r="Q255" i="16" s="1"/>
  <c r="N257" i="16"/>
  <c r="O255" i="16"/>
  <c r="O254" i="16"/>
  <c r="O253" i="16"/>
  <c r="O252" i="16"/>
  <c r="O251" i="16"/>
  <c r="O250" i="16"/>
  <c r="O249" i="16"/>
  <c r="O248" i="16"/>
  <c r="P243" i="16"/>
  <c r="N243" i="16"/>
  <c r="P242" i="16"/>
  <c r="N242" i="16"/>
  <c r="P241" i="16"/>
  <c r="N241" i="16"/>
  <c r="P240" i="16"/>
  <c r="N240" i="16"/>
  <c r="P239" i="16"/>
  <c r="N239" i="16"/>
  <c r="P238" i="16"/>
  <c r="N238" i="16"/>
  <c r="P237" i="16"/>
  <c r="N237" i="16"/>
  <c r="P236" i="16"/>
  <c r="N236" i="16"/>
  <c r="P222" i="16"/>
  <c r="P220" i="16"/>
  <c r="P218" i="16"/>
  <c r="P217" i="16"/>
  <c r="O217" i="16"/>
  <c r="P200" i="16"/>
  <c r="R178" i="16"/>
  <c r="R169" i="16"/>
  <c r="R162" i="16"/>
  <c r="R157" i="16"/>
  <c r="R155" i="16"/>
  <c r="R154" i="16"/>
  <c r="R156" i="16" s="1"/>
  <c r="R142" i="16"/>
  <c r="R143" i="16" s="1"/>
  <c r="B123" i="16"/>
  <c r="B195" i="16" s="1"/>
  <c r="B297" i="16" s="1"/>
  <c r="P113" i="16"/>
  <c r="P119" i="16" s="1"/>
  <c r="P111" i="16"/>
  <c r="P102" i="16"/>
  <c r="P90" i="16"/>
  <c r="R89" i="16"/>
  <c r="R92" i="16" s="1"/>
  <c r="P77" i="16"/>
  <c r="R147" i="16" s="1"/>
  <c r="J75" i="16"/>
  <c r="R70" i="16"/>
  <c r="R170" i="16" s="1"/>
  <c r="P284" i="16" s="1"/>
  <c r="P59" i="16"/>
  <c r="N59" i="16"/>
  <c r="J59" i="16"/>
  <c r="H59" i="16"/>
  <c r="H72" i="16" s="1"/>
  <c r="F59" i="16"/>
  <c r="F72" i="16" s="1"/>
  <c r="R57" i="16"/>
  <c r="P212" i="16"/>
  <c r="N47" i="16"/>
  <c r="R40" i="16"/>
  <c r="J30" i="16"/>
  <c r="H30" i="16"/>
  <c r="F30" i="16"/>
  <c r="D30" i="16"/>
  <c r="J29" i="16"/>
  <c r="H29" i="16"/>
  <c r="F29" i="16"/>
  <c r="D29" i="16"/>
  <c r="R28" i="16"/>
  <c r="O176" i="16" s="1"/>
  <c r="R30" i="16" l="1"/>
  <c r="N245" i="16"/>
  <c r="O257" i="16"/>
  <c r="P283" i="16"/>
  <c r="P285" i="16" s="1"/>
  <c r="R29" i="16"/>
  <c r="R34" i="16" s="1"/>
  <c r="P203" i="16" s="1"/>
  <c r="P204" i="16" s="1"/>
  <c r="R127" i="16"/>
  <c r="P245" i="16"/>
  <c r="Q243" i="16" s="1"/>
  <c r="Q248" i="16"/>
  <c r="Q249" i="16"/>
  <c r="Q250" i="16"/>
  <c r="Q251" i="16"/>
  <c r="Q252" i="16"/>
  <c r="Q253" i="16"/>
  <c r="Q254" i="16"/>
  <c r="N283" i="16"/>
  <c r="P287" i="17"/>
  <c r="R173" i="17"/>
  <c r="R130" i="16"/>
  <c r="R129" i="16" s="1"/>
  <c r="R138" i="16" s="1"/>
  <c r="P288" i="16" s="1"/>
  <c r="R190" i="16"/>
  <c r="R186" i="16"/>
  <c r="P205" i="16"/>
  <c r="R188" i="16"/>
  <c r="R184" i="16"/>
  <c r="R110" i="16"/>
  <c r="R119" i="16" s="1"/>
  <c r="R120" i="16" s="1"/>
  <c r="O243" i="16"/>
  <c r="O242" i="16"/>
  <c r="O241" i="16"/>
  <c r="O240" i="16"/>
  <c r="O239" i="16"/>
  <c r="O238" i="16"/>
  <c r="O237" i="16"/>
  <c r="O236" i="16"/>
  <c r="Q241" i="16"/>
  <c r="Q240" i="16"/>
  <c r="Q237" i="16"/>
  <c r="Q236" i="16"/>
  <c r="R41" i="16"/>
  <c r="R56" i="16"/>
  <c r="R59" i="16" s="1"/>
  <c r="P89" i="16"/>
  <c r="P92" i="16" s="1"/>
  <c r="P120" i="16" s="1"/>
  <c r="L59" i="16"/>
  <c r="R40" i="15"/>
  <c r="Q238" i="16" l="1"/>
  <c r="Q242" i="16"/>
  <c r="Q239" i="16"/>
  <c r="Q257" i="16"/>
  <c r="R168" i="16"/>
  <c r="R171" i="16" s="1"/>
  <c r="R72" i="16"/>
  <c r="Q245" i="16"/>
  <c r="O245" i="16"/>
  <c r="R109" i="15"/>
  <c r="R96" i="15"/>
  <c r="R80" i="15"/>
  <c r="L56" i="15"/>
  <c r="P79" i="15" s="1"/>
  <c r="N56" i="15"/>
  <c r="P286" i="16" l="1"/>
  <c r="R172" i="16"/>
  <c r="Q281" i="15"/>
  <c r="P281" i="15"/>
  <c r="P283" i="15" s="1"/>
  <c r="O281" i="15"/>
  <c r="N281" i="15"/>
  <c r="Q269" i="15"/>
  <c r="P269" i="15"/>
  <c r="P217" i="15" s="1"/>
  <c r="O269" i="15"/>
  <c r="N269" i="15"/>
  <c r="O217" i="15" s="1"/>
  <c r="P257" i="15"/>
  <c r="Q255" i="15" s="1"/>
  <c r="O257" i="15"/>
  <c r="N257" i="15"/>
  <c r="O255" i="15"/>
  <c r="Q254" i="15"/>
  <c r="O254" i="15"/>
  <c r="O253" i="15"/>
  <c r="Q252" i="15"/>
  <c r="O252" i="15"/>
  <c r="O251" i="15"/>
  <c r="Q250" i="15"/>
  <c r="O250" i="15"/>
  <c r="O249" i="15"/>
  <c r="Q248" i="15"/>
  <c r="O248" i="15"/>
  <c r="P243" i="15"/>
  <c r="N243" i="15"/>
  <c r="P242" i="15"/>
  <c r="N242" i="15"/>
  <c r="P241" i="15"/>
  <c r="N241" i="15"/>
  <c r="P240" i="15"/>
  <c r="N240" i="15"/>
  <c r="P239" i="15"/>
  <c r="N239" i="15"/>
  <c r="P238" i="15"/>
  <c r="N238" i="15"/>
  <c r="P237" i="15"/>
  <c r="N237" i="15"/>
  <c r="P236" i="15"/>
  <c r="P245" i="15" s="1"/>
  <c r="N236" i="15"/>
  <c r="P222" i="15"/>
  <c r="P220" i="15"/>
  <c r="P218" i="15"/>
  <c r="P200" i="15"/>
  <c r="R178" i="15"/>
  <c r="R169" i="15"/>
  <c r="R162" i="15"/>
  <c r="R157" i="15"/>
  <c r="R155" i="15"/>
  <c r="R154" i="15"/>
  <c r="R142" i="15"/>
  <c r="R143" i="15" s="1"/>
  <c r="B123" i="15"/>
  <c r="B195" i="15" s="1"/>
  <c r="B297" i="15" s="1"/>
  <c r="P113" i="15"/>
  <c r="P119" i="15" s="1"/>
  <c r="P111" i="15"/>
  <c r="P102" i="15"/>
  <c r="P90" i="15"/>
  <c r="R89" i="15"/>
  <c r="R92" i="15" s="1"/>
  <c r="P77" i="15"/>
  <c r="P78" i="15" s="1"/>
  <c r="R147" i="15" s="1"/>
  <c r="J75" i="15"/>
  <c r="R70" i="15"/>
  <c r="R170" i="15" s="1"/>
  <c r="P284" i="15" s="1"/>
  <c r="P59" i="15"/>
  <c r="L59" i="15"/>
  <c r="J59" i="15"/>
  <c r="H59" i="15"/>
  <c r="H72" i="15" s="1"/>
  <c r="F59" i="15"/>
  <c r="F72" i="15" s="1"/>
  <c r="R57" i="15"/>
  <c r="N59" i="15"/>
  <c r="P212" i="15"/>
  <c r="N47" i="15"/>
  <c r="J30" i="15"/>
  <c r="H30" i="15"/>
  <c r="F30" i="15"/>
  <c r="D30" i="15"/>
  <c r="J29" i="15"/>
  <c r="H29" i="15"/>
  <c r="F29" i="15"/>
  <c r="D29" i="15"/>
  <c r="R28" i="15"/>
  <c r="O176" i="15" s="1"/>
  <c r="Q249" i="15" l="1"/>
  <c r="Q257" i="15" s="1"/>
  <c r="Q251" i="15"/>
  <c r="Q253" i="15"/>
  <c r="N245" i="15"/>
  <c r="N283" i="15"/>
  <c r="R29" i="15"/>
  <c r="R34" i="15" s="1"/>
  <c r="P203" i="15" s="1"/>
  <c r="P204" i="15" s="1"/>
  <c r="R41" i="15"/>
  <c r="R156" i="15"/>
  <c r="O218" i="15"/>
  <c r="P89" i="15"/>
  <c r="P92" i="15" s="1"/>
  <c r="P120" i="15" s="1"/>
  <c r="R190" i="15"/>
  <c r="R186" i="15"/>
  <c r="P205" i="15"/>
  <c r="R188" i="15"/>
  <c r="R184" i="15"/>
  <c r="R110" i="15"/>
  <c r="R119" i="15" s="1"/>
  <c r="R120" i="15" s="1"/>
  <c r="Q243" i="15"/>
  <c r="Q242" i="15"/>
  <c r="Q241" i="15"/>
  <c r="Q240" i="15"/>
  <c r="Q239" i="15"/>
  <c r="Q238" i="15"/>
  <c r="Q237" i="15"/>
  <c r="Q236" i="15"/>
  <c r="P285" i="15"/>
  <c r="O243" i="15"/>
  <c r="O242" i="15"/>
  <c r="O241" i="15"/>
  <c r="O240" i="15"/>
  <c r="O239" i="15"/>
  <c r="O238" i="15"/>
  <c r="O237" i="15"/>
  <c r="O236" i="15"/>
  <c r="R30" i="15"/>
  <c r="R127" i="15"/>
  <c r="R130" i="15"/>
  <c r="R56" i="15"/>
  <c r="R59" i="15" s="1"/>
  <c r="R150" i="11"/>
  <c r="R72" i="15" l="1"/>
  <c r="R168" i="15"/>
  <c r="R171" i="15" s="1"/>
  <c r="R129" i="15"/>
  <c r="R138" i="15" s="1"/>
  <c r="P288" i="15" s="1"/>
  <c r="O245" i="15"/>
  <c r="Q245" i="15"/>
  <c r="P286" i="15" l="1"/>
  <c r="R172" i="15"/>
  <c r="R147" i="14"/>
  <c r="R40" i="14" l="1"/>
  <c r="R109" i="14" l="1"/>
  <c r="R96" i="14"/>
  <c r="R80" i="14"/>
  <c r="L56" i="14" l="1"/>
  <c r="P79" i="14" s="1"/>
  <c r="N56" i="14"/>
  <c r="Q281" i="14" l="1"/>
  <c r="P281" i="14"/>
  <c r="O281" i="14"/>
  <c r="N281" i="14"/>
  <c r="Q269" i="14"/>
  <c r="P269" i="14"/>
  <c r="P217" i="14" s="1"/>
  <c r="O269" i="14"/>
  <c r="N269" i="14"/>
  <c r="O217" i="14" s="1"/>
  <c r="P257" i="14"/>
  <c r="Q252" i="14" s="1"/>
  <c r="N257" i="14"/>
  <c r="O255" i="14" s="1"/>
  <c r="Q254" i="14"/>
  <c r="Q253" i="14"/>
  <c r="Q251" i="14"/>
  <c r="Q250" i="14"/>
  <c r="O250" i="14"/>
  <c r="Q248" i="14"/>
  <c r="P243" i="14"/>
  <c r="N243" i="14"/>
  <c r="P242" i="14"/>
  <c r="N242" i="14"/>
  <c r="P241" i="14"/>
  <c r="N241" i="14"/>
  <c r="P240" i="14"/>
  <c r="N240" i="14"/>
  <c r="P239" i="14"/>
  <c r="N239" i="14"/>
  <c r="P238" i="14"/>
  <c r="N238" i="14"/>
  <c r="P237" i="14"/>
  <c r="N237" i="14"/>
  <c r="P236" i="14"/>
  <c r="P245" i="14" s="1"/>
  <c r="N236" i="14"/>
  <c r="P222" i="14"/>
  <c r="P220" i="14"/>
  <c r="P218" i="14"/>
  <c r="O218" i="14"/>
  <c r="P200" i="14"/>
  <c r="R178" i="14"/>
  <c r="R169" i="14"/>
  <c r="R162" i="14"/>
  <c r="R157" i="14"/>
  <c r="R155" i="14"/>
  <c r="R154" i="14"/>
  <c r="R142" i="14"/>
  <c r="R143" i="14" s="1"/>
  <c r="B123" i="14"/>
  <c r="B195" i="14" s="1"/>
  <c r="B297" i="14" s="1"/>
  <c r="P113" i="14"/>
  <c r="P119" i="14" s="1"/>
  <c r="P111" i="14"/>
  <c r="P102" i="14"/>
  <c r="P90" i="14"/>
  <c r="R89" i="14"/>
  <c r="R92" i="14" s="1"/>
  <c r="P77" i="14"/>
  <c r="J75" i="14"/>
  <c r="R70" i="14"/>
  <c r="R170" i="14" s="1"/>
  <c r="P284" i="14" s="1"/>
  <c r="P59" i="14"/>
  <c r="N59" i="14"/>
  <c r="L59" i="14"/>
  <c r="J59" i="14"/>
  <c r="H59" i="14"/>
  <c r="H72" i="14" s="1"/>
  <c r="F59" i="14"/>
  <c r="F72" i="14" s="1"/>
  <c r="R57" i="14"/>
  <c r="R56" i="14"/>
  <c r="N47" i="14"/>
  <c r="J30" i="14"/>
  <c r="H30" i="14"/>
  <c r="F30" i="14"/>
  <c r="D30" i="14"/>
  <c r="J29" i="14"/>
  <c r="H29" i="14"/>
  <c r="F29" i="14"/>
  <c r="D29" i="14"/>
  <c r="R28" i="14"/>
  <c r="O176" i="14" s="1"/>
  <c r="P283" i="14" l="1"/>
  <c r="R59" i="14"/>
  <c r="R30" i="14"/>
  <c r="P205" i="14"/>
  <c r="R29" i="14"/>
  <c r="R34" i="14"/>
  <c r="R130" i="14"/>
  <c r="R41" i="14"/>
  <c r="P285" i="14"/>
  <c r="R156" i="14"/>
  <c r="P89" i="14"/>
  <c r="P92" i="14" s="1"/>
  <c r="P120" i="14" s="1"/>
  <c r="Q255" i="14"/>
  <c r="Q249" i="14"/>
  <c r="O254" i="14"/>
  <c r="O248" i="14"/>
  <c r="O252" i="14"/>
  <c r="N283" i="14"/>
  <c r="R190" i="14"/>
  <c r="R184" i="14"/>
  <c r="R188" i="14"/>
  <c r="R110" i="14"/>
  <c r="R119" i="14" s="1"/>
  <c r="R120" i="14" s="1"/>
  <c r="R186" i="14"/>
  <c r="Q242" i="14"/>
  <c r="Q240" i="14"/>
  <c r="Q237" i="14"/>
  <c r="Q243" i="14"/>
  <c r="Q241" i="14"/>
  <c r="Q239" i="14"/>
  <c r="Q238" i="14"/>
  <c r="Q236" i="14"/>
  <c r="R72" i="14"/>
  <c r="R168" i="14"/>
  <c r="R171" i="14" s="1"/>
  <c r="P212" i="14"/>
  <c r="N245" i="14"/>
  <c r="O238" i="14" s="1"/>
  <c r="R127" i="14"/>
  <c r="O249" i="14"/>
  <c r="O251" i="14"/>
  <c r="O253" i="14"/>
  <c r="R70" i="13"/>
  <c r="O237" i="14" l="1"/>
  <c r="O240" i="14"/>
  <c r="O236" i="14"/>
  <c r="Q257" i="14"/>
  <c r="R129" i="14"/>
  <c r="R138" i="14" s="1"/>
  <c r="P288" i="14" s="1"/>
  <c r="P203" i="14"/>
  <c r="P204" i="14" s="1"/>
  <c r="O257" i="14"/>
  <c r="O241" i="14"/>
  <c r="Q245" i="14"/>
  <c r="O242" i="14"/>
  <c r="O243" i="14"/>
  <c r="O239" i="14"/>
  <c r="R172" i="14"/>
  <c r="P286" i="14"/>
  <c r="O245" i="14" l="1"/>
  <c r="R109" i="13"/>
  <c r="R96" i="13"/>
  <c r="R80" i="13"/>
  <c r="P113" i="13"/>
  <c r="P119" i="13" s="1"/>
  <c r="N56" i="13"/>
  <c r="L56" i="13"/>
  <c r="P79" i="13" s="1"/>
  <c r="Q281" i="13" l="1"/>
  <c r="P281" i="13"/>
  <c r="O281" i="13"/>
  <c r="N281" i="13"/>
  <c r="O218" i="13" s="1"/>
  <c r="Q269" i="13"/>
  <c r="P269" i="13"/>
  <c r="O269" i="13"/>
  <c r="N269" i="13"/>
  <c r="P257" i="13"/>
  <c r="N257" i="13"/>
  <c r="O255" i="13" s="1"/>
  <c r="O254" i="13"/>
  <c r="O252" i="13"/>
  <c r="O250" i="13"/>
  <c r="O248" i="13"/>
  <c r="P243" i="13"/>
  <c r="N243" i="13"/>
  <c r="P242" i="13"/>
  <c r="N242" i="13"/>
  <c r="P241" i="13"/>
  <c r="N241" i="13"/>
  <c r="P240" i="13"/>
  <c r="N240" i="13"/>
  <c r="P239" i="13"/>
  <c r="N239" i="13"/>
  <c r="P238" i="13"/>
  <c r="N238" i="13"/>
  <c r="P237" i="13"/>
  <c r="N237" i="13"/>
  <c r="P236" i="13"/>
  <c r="N236" i="13"/>
  <c r="P222" i="13"/>
  <c r="P220" i="13"/>
  <c r="P218" i="13"/>
  <c r="P217" i="13"/>
  <c r="O217" i="13"/>
  <c r="R178" i="13"/>
  <c r="R169" i="13"/>
  <c r="R162" i="13"/>
  <c r="R157" i="13"/>
  <c r="R155" i="13"/>
  <c r="R154" i="13"/>
  <c r="R142" i="13"/>
  <c r="R143" i="13" s="1"/>
  <c r="B123" i="13"/>
  <c r="B195" i="13" s="1"/>
  <c r="B297" i="13" s="1"/>
  <c r="P111" i="13"/>
  <c r="P102" i="13"/>
  <c r="P90" i="13"/>
  <c r="R89" i="13"/>
  <c r="R92" i="13" s="1"/>
  <c r="P77" i="13"/>
  <c r="P78" i="13" s="1"/>
  <c r="R147" i="13" s="1"/>
  <c r="J75" i="13"/>
  <c r="R170" i="13"/>
  <c r="P284" i="13" s="1"/>
  <c r="P59" i="13"/>
  <c r="N59" i="13"/>
  <c r="J59" i="13"/>
  <c r="H59" i="13"/>
  <c r="H72" i="13" s="1"/>
  <c r="F59" i="13"/>
  <c r="F72" i="13" s="1"/>
  <c r="R57" i="13"/>
  <c r="N47" i="13"/>
  <c r="N46" i="13"/>
  <c r="R40" i="13"/>
  <c r="J30" i="13"/>
  <c r="H30" i="13"/>
  <c r="F30" i="13"/>
  <c r="D30" i="13"/>
  <c r="J29" i="13"/>
  <c r="H29" i="13"/>
  <c r="F29" i="13"/>
  <c r="D29" i="13"/>
  <c r="R28" i="13"/>
  <c r="O176" i="13" s="1"/>
  <c r="R29" i="13" l="1"/>
  <c r="R34" i="13" s="1"/>
  <c r="P203" i="13" s="1"/>
  <c r="P204" i="13" s="1"/>
  <c r="R130" i="13"/>
  <c r="P245" i="13"/>
  <c r="Q236" i="13" s="1"/>
  <c r="R156" i="13"/>
  <c r="Q253" i="13"/>
  <c r="P283" i="13"/>
  <c r="P285" i="13" s="1"/>
  <c r="P89" i="13"/>
  <c r="P92" i="13" s="1"/>
  <c r="P120" i="13" s="1"/>
  <c r="Q248" i="13"/>
  <c r="Q251" i="13"/>
  <c r="Q249" i="13"/>
  <c r="Q252" i="13"/>
  <c r="Q255" i="13"/>
  <c r="Q254" i="13"/>
  <c r="Q250" i="13"/>
  <c r="O249" i="13"/>
  <c r="O253" i="13"/>
  <c r="N283" i="13"/>
  <c r="O251" i="13"/>
  <c r="P200" i="13"/>
  <c r="R184" i="13"/>
  <c r="R190" i="13"/>
  <c r="P205" i="13"/>
  <c r="R186" i="13"/>
  <c r="R188" i="13"/>
  <c r="R110" i="13"/>
  <c r="Q242" i="13"/>
  <c r="Q240" i="13"/>
  <c r="Q238" i="13"/>
  <c r="Q243" i="13"/>
  <c r="Q241" i="13"/>
  <c r="Q239" i="13"/>
  <c r="R41" i="13"/>
  <c r="R127" i="13"/>
  <c r="R129" i="13" s="1"/>
  <c r="R138" i="13" s="1"/>
  <c r="P288" i="13" s="1"/>
  <c r="P212" i="13"/>
  <c r="N245" i="13"/>
  <c r="O237" i="13" s="1"/>
  <c r="R30" i="13"/>
  <c r="R56" i="13"/>
  <c r="R59" i="13" s="1"/>
  <c r="L59" i="13"/>
  <c r="Q237" i="13" l="1"/>
  <c r="R119" i="13"/>
  <c r="R120" i="13" s="1"/>
  <c r="O243" i="13"/>
  <c r="O257" i="13"/>
  <c r="Q257" i="13"/>
  <c r="O242" i="13"/>
  <c r="O241" i="13"/>
  <c r="O236" i="13"/>
  <c r="R72" i="13"/>
  <c r="R168" i="13"/>
  <c r="R171" i="13" s="1"/>
  <c r="O240" i="13"/>
  <c r="O239" i="13"/>
  <c r="Q245" i="13"/>
  <c r="O238" i="13"/>
  <c r="O245" i="13" l="1"/>
  <c r="P286" i="13"/>
  <c r="R172" i="13"/>
  <c r="R40" i="12" l="1"/>
  <c r="H30" i="12" l="1"/>
  <c r="H29" i="12"/>
  <c r="F29" i="12"/>
  <c r="R109" i="12" l="1"/>
  <c r="R96" i="12"/>
  <c r="R80" i="12"/>
  <c r="R70" i="12" l="1"/>
  <c r="L56" i="12" l="1"/>
  <c r="P212" i="12" s="1"/>
  <c r="N56" i="12"/>
  <c r="R56" i="12" l="1"/>
  <c r="P79" i="12"/>
  <c r="N46" i="12"/>
  <c r="J29" i="12"/>
  <c r="D29" i="12"/>
  <c r="D30" i="12"/>
  <c r="Q281" i="12" l="1"/>
  <c r="P281" i="12"/>
  <c r="P218" i="12" s="1"/>
  <c r="O281" i="12"/>
  <c r="N281" i="12"/>
  <c r="Q269" i="12"/>
  <c r="P269" i="12"/>
  <c r="P217" i="12" s="1"/>
  <c r="O269" i="12"/>
  <c r="N269" i="12"/>
  <c r="O217" i="12" s="1"/>
  <c r="P257" i="12"/>
  <c r="Q255" i="12" s="1"/>
  <c r="N257" i="12"/>
  <c r="O254" i="12" s="1"/>
  <c r="P243" i="12"/>
  <c r="N243" i="12"/>
  <c r="P242" i="12"/>
  <c r="N242" i="12"/>
  <c r="P241" i="12"/>
  <c r="N241" i="12"/>
  <c r="P240" i="12"/>
  <c r="N240" i="12"/>
  <c r="P239" i="12"/>
  <c r="N239" i="12"/>
  <c r="P238" i="12"/>
  <c r="N238" i="12"/>
  <c r="P237" i="12"/>
  <c r="N237" i="12"/>
  <c r="P236" i="12"/>
  <c r="N236" i="12"/>
  <c r="P222" i="12"/>
  <c r="P220" i="12"/>
  <c r="R178" i="12"/>
  <c r="R169" i="12"/>
  <c r="R162" i="12"/>
  <c r="R157" i="12"/>
  <c r="R155" i="12"/>
  <c r="R154" i="12"/>
  <c r="R142" i="12"/>
  <c r="B123" i="12"/>
  <c r="B195" i="12" s="1"/>
  <c r="B297" i="12" s="1"/>
  <c r="P113" i="12"/>
  <c r="P111" i="12"/>
  <c r="P102" i="12"/>
  <c r="P90" i="12"/>
  <c r="R89" i="12"/>
  <c r="R92" i="12" s="1"/>
  <c r="P77" i="12"/>
  <c r="P78" i="12" s="1"/>
  <c r="R147" i="12" s="1"/>
  <c r="J75" i="12"/>
  <c r="R170" i="12"/>
  <c r="P284" i="12" s="1"/>
  <c r="P59" i="12"/>
  <c r="L59" i="12"/>
  <c r="J59" i="12"/>
  <c r="H59" i="12"/>
  <c r="H72" i="12" s="1"/>
  <c r="F59" i="12"/>
  <c r="F72" i="12" s="1"/>
  <c r="R57" i="12"/>
  <c r="R59" i="12" s="1"/>
  <c r="N59" i="12"/>
  <c r="N47" i="12"/>
  <c r="J30" i="12"/>
  <c r="F30" i="12"/>
  <c r="R130" i="12" s="1"/>
  <c r="R29" i="12"/>
  <c r="R34" i="12" s="1"/>
  <c r="R28" i="12"/>
  <c r="R127" i="12" s="1"/>
  <c r="P245" i="12" l="1"/>
  <c r="R129" i="12"/>
  <c r="O249" i="12"/>
  <c r="O252" i="12"/>
  <c r="O248" i="12"/>
  <c r="Q252" i="12"/>
  <c r="R41" i="12"/>
  <c r="P205" i="12"/>
  <c r="R156" i="12"/>
  <c r="Q248" i="12"/>
  <c r="O253" i="12"/>
  <c r="Q254" i="12"/>
  <c r="Q250" i="12"/>
  <c r="O250" i="12"/>
  <c r="O255" i="12"/>
  <c r="O251" i="12"/>
  <c r="P200" i="12"/>
  <c r="P119" i="12"/>
  <c r="Q249" i="12"/>
  <c r="Q251" i="12"/>
  <c r="Q253" i="12"/>
  <c r="O176" i="12"/>
  <c r="N283" i="12"/>
  <c r="O218" i="12"/>
  <c r="P283" i="12"/>
  <c r="P285" i="12" s="1"/>
  <c r="R143" i="12"/>
  <c r="R168" i="12"/>
  <c r="R171" i="12" s="1"/>
  <c r="R72" i="12"/>
  <c r="R138" i="12"/>
  <c r="R184" i="12"/>
  <c r="R110" i="12"/>
  <c r="R119" i="12" s="1"/>
  <c r="R120" i="12" s="1"/>
  <c r="R190" i="12"/>
  <c r="R188" i="12"/>
  <c r="R186" i="12"/>
  <c r="Q242" i="12"/>
  <c r="Q239" i="12"/>
  <c r="Q237" i="12"/>
  <c r="Q243" i="12"/>
  <c r="Q241" i="12"/>
  <c r="Q240" i="12"/>
  <c r="Q238" i="12"/>
  <c r="Q236" i="12"/>
  <c r="R30" i="12"/>
  <c r="P89" i="12"/>
  <c r="P92" i="12" s="1"/>
  <c r="N245" i="12"/>
  <c r="O239" i="12" s="1"/>
  <c r="P244" i="11"/>
  <c r="P243" i="11"/>
  <c r="P242" i="11"/>
  <c r="P241" i="11"/>
  <c r="P240" i="11"/>
  <c r="P239" i="11"/>
  <c r="P238" i="11"/>
  <c r="P237" i="11"/>
  <c r="N244" i="11"/>
  <c r="N243" i="11"/>
  <c r="N242" i="11"/>
  <c r="N241" i="11"/>
  <c r="N240" i="11"/>
  <c r="N239" i="11"/>
  <c r="N238" i="11"/>
  <c r="N237" i="11"/>
  <c r="P288" i="12" l="1"/>
  <c r="O257" i="12"/>
  <c r="P120" i="12"/>
  <c r="Q257" i="12"/>
  <c r="P203" i="12"/>
  <c r="P204" i="12" s="1"/>
  <c r="O243" i="12"/>
  <c r="O238" i="12"/>
  <c r="O241" i="12"/>
  <c r="R172" i="12"/>
  <c r="P286" i="12"/>
  <c r="O236" i="12"/>
  <c r="O237" i="12"/>
  <c r="O242" i="12"/>
  <c r="Q245" i="12"/>
  <c r="O240" i="12"/>
  <c r="R28" i="11"/>
  <c r="R34" i="11" s="1"/>
  <c r="R40" i="11"/>
  <c r="R110" i="11"/>
  <c r="R98" i="11"/>
  <c r="R97" i="11"/>
  <c r="R81" i="11"/>
  <c r="R70" i="11"/>
  <c r="N56" i="11"/>
  <c r="L56" i="11"/>
  <c r="P80" i="11" s="1"/>
  <c r="O245" i="12" l="1"/>
  <c r="P213" i="11"/>
  <c r="P78" i="11"/>
  <c r="P79" i="11" s="1"/>
  <c r="R146" i="12" l="1"/>
  <c r="R149" i="12" s="1"/>
  <c r="R146" i="13" l="1"/>
  <c r="R29" i="11"/>
  <c r="F30" i="11"/>
  <c r="H30" i="11"/>
  <c r="J30" i="11"/>
  <c r="D30" i="11"/>
  <c r="R149" i="13" l="1"/>
  <c r="R146" i="14" s="1"/>
  <c r="R149" i="14" s="1"/>
  <c r="R146" i="15" s="1"/>
  <c r="R149" i="15" s="1"/>
  <c r="R146" i="16" s="1"/>
  <c r="R149" i="16" s="1"/>
  <c r="R41" i="11"/>
  <c r="R128" i="11"/>
  <c r="O177" i="11"/>
  <c r="R131" i="11"/>
  <c r="P221" i="11"/>
  <c r="P77" i="11" l="1"/>
  <c r="P90" i="11" l="1"/>
  <c r="R143" i="11" l="1"/>
  <c r="R142" i="11"/>
  <c r="R30" i="11" l="1"/>
  <c r="J75" i="11"/>
  <c r="N59" i="11" l="1"/>
  <c r="R90" i="11"/>
  <c r="R93" i="11" s="1"/>
  <c r="P114" i="11"/>
  <c r="N47" i="11"/>
  <c r="R144" i="11"/>
  <c r="P112" i="11"/>
  <c r="F59" i="11"/>
  <c r="F72" i="11" s="1"/>
  <c r="R170" i="11"/>
  <c r="R57" i="11"/>
  <c r="H59" i="11"/>
  <c r="H72" i="11" s="1"/>
  <c r="P91" i="11"/>
  <c r="P93" i="11" s="1"/>
  <c r="N258" i="11"/>
  <c r="O251" i="11" s="1"/>
  <c r="P258" i="11"/>
  <c r="Q250" i="11" s="1"/>
  <c r="P223" i="11"/>
  <c r="P224" i="11" s="1"/>
  <c r="P223" i="12" s="1"/>
  <c r="P223" i="13" s="1"/>
  <c r="P223" i="14" s="1"/>
  <c r="P223" i="15" s="1"/>
  <c r="P223" i="16" s="1"/>
  <c r="P224" i="17" s="1"/>
  <c r="J59" i="11"/>
  <c r="P59" i="11"/>
  <c r="P103" i="11"/>
  <c r="B124" i="11"/>
  <c r="B196" i="11" s="1"/>
  <c r="B298" i="11" s="1"/>
  <c r="R155" i="11"/>
  <c r="R157" i="11"/>
  <c r="R156" i="11"/>
  <c r="R158" i="11"/>
  <c r="R163" i="11"/>
  <c r="R164" i="11" s="1"/>
  <c r="R161" i="12" s="1"/>
  <c r="R163" i="12" s="1"/>
  <c r="R161" i="13" s="1"/>
  <c r="R163" i="13" s="1"/>
  <c r="R161" i="14" s="1"/>
  <c r="R163" i="14" s="1"/>
  <c r="R161" i="15" s="1"/>
  <c r="R163" i="15" s="1"/>
  <c r="R161" i="16" s="1"/>
  <c r="R163" i="16" s="1"/>
  <c r="R161" i="17" s="1"/>
  <c r="R164" i="17" s="1"/>
  <c r="R161" i="18" s="1"/>
  <c r="R164" i="18" s="1"/>
  <c r="R161" i="19" s="1"/>
  <c r="R164" i="19" s="1"/>
  <c r="R161" i="20" s="1"/>
  <c r="R164" i="20" s="1"/>
  <c r="R161" i="21" s="1"/>
  <c r="R164" i="21" s="1"/>
  <c r="R161" i="22" s="1"/>
  <c r="R164" i="22" s="1"/>
  <c r="R161" i="23" s="1"/>
  <c r="R164" i="23" s="1"/>
  <c r="R161" i="24" s="1"/>
  <c r="R164" i="24" s="1"/>
  <c r="N270" i="11"/>
  <c r="O218" i="11" s="1"/>
  <c r="P270" i="11"/>
  <c r="P218" i="11" s="1"/>
  <c r="N282" i="11"/>
  <c r="O219" i="11" s="1"/>
  <c r="P282" i="11"/>
  <c r="L59" i="11"/>
  <c r="P180" i="11"/>
  <c r="P177" i="12" s="1"/>
  <c r="P179" i="12" s="1"/>
  <c r="P177" i="13" s="1"/>
  <c r="P179" i="13" s="1"/>
  <c r="P177" i="14" s="1"/>
  <c r="P179" i="14" s="1"/>
  <c r="P177" i="15" s="1"/>
  <c r="P179" i="15" s="1"/>
  <c r="P177" i="16" s="1"/>
  <c r="P179" i="16" s="1"/>
  <c r="P178" i="17" s="1"/>
  <c r="P180" i="17" s="1"/>
  <c r="P178" i="18" s="1"/>
  <c r="P180" i="18" s="1"/>
  <c r="P178" i="19" s="1"/>
  <c r="P180" i="19" s="1"/>
  <c r="P178" i="20" s="1"/>
  <c r="P180" i="20" s="1"/>
  <c r="P178" i="21" s="1"/>
  <c r="P180" i="21" s="1"/>
  <c r="P178" i="22" s="1"/>
  <c r="P180" i="22" s="1"/>
  <c r="P178" i="23" s="1"/>
  <c r="P180" i="23" s="1"/>
  <c r="P178" i="24" s="1"/>
  <c r="P180" i="24" s="1"/>
  <c r="P178" i="25" s="1"/>
  <c r="P180" i="25" s="1"/>
  <c r="P180" i="26" s="1"/>
  <c r="P182" i="26" s="1"/>
  <c r="P115" i="11"/>
  <c r="R179" i="11"/>
  <c r="O180" i="11"/>
  <c r="O177" i="12" s="1"/>
  <c r="R178" i="11"/>
  <c r="O282" i="11"/>
  <c r="Q282" i="11"/>
  <c r="O270" i="11"/>
  <c r="Q270" i="11"/>
  <c r="R56" i="11"/>
  <c r="R59" i="11" s="1"/>
  <c r="P246" i="11"/>
  <c r="Q244" i="11" s="1"/>
  <c r="Q254" i="11"/>
  <c r="Q253" i="11"/>
  <c r="R166" i="26" l="1"/>
  <c r="R161" i="25"/>
  <c r="R164" i="25" s="1"/>
  <c r="O255" i="11"/>
  <c r="O250" i="11"/>
  <c r="O179" i="12"/>
  <c r="O177" i="13" s="1"/>
  <c r="R177" i="12"/>
  <c r="O254" i="11"/>
  <c r="N284" i="11"/>
  <c r="O253" i="11"/>
  <c r="Q252" i="11"/>
  <c r="O252" i="11"/>
  <c r="P206" i="11"/>
  <c r="R189" i="11"/>
  <c r="R185" i="11"/>
  <c r="R191" i="11"/>
  <c r="R187" i="11"/>
  <c r="R111" i="11"/>
  <c r="P284" i="11"/>
  <c r="Q251" i="11"/>
  <c r="Q249" i="11"/>
  <c r="O256" i="11"/>
  <c r="P120" i="11"/>
  <c r="P121" i="11" s="1"/>
  <c r="P219" i="11"/>
  <c r="R180" i="11"/>
  <c r="O181" i="11"/>
  <c r="N246" i="11"/>
  <c r="O240" i="11" s="1"/>
  <c r="P200" i="11"/>
  <c r="P201" i="11" s="1"/>
  <c r="Q255" i="11"/>
  <c r="Q256" i="11"/>
  <c r="O249" i="11"/>
  <c r="Q239" i="11"/>
  <c r="Q241" i="11"/>
  <c r="Q240" i="11"/>
  <c r="Q243" i="11"/>
  <c r="Q237" i="11"/>
  <c r="Q242" i="11"/>
  <c r="Q238" i="11"/>
  <c r="R169" i="11"/>
  <c r="R130" i="11"/>
  <c r="R139" i="11" s="1"/>
  <c r="P289" i="11" s="1"/>
  <c r="O179" i="13" l="1"/>
  <c r="R177" i="13"/>
  <c r="R179" i="12"/>
  <c r="O180" i="12"/>
  <c r="O258" i="11"/>
  <c r="R120" i="11"/>
  <c r="R121" i="11" s="1"/>
  <c r="Q258" i="11"/>
  <c r="Q246" i="11"/>
  <c r="R72" i="11"/>
  <c r="R173" i="11" s="1"/>
  <c r="P204" i="11"/>
  <c r="P205" i="11" s="1"/>
  <c r="O243" i="11"/>
  <c r="O239" i="11"/>
  <c r="O237" i="11"/>
  <c r="O242" i="11"/>
  <c r="O238" i="11"/>
  <c r="O244" i="11"/>
  <c r="O241" i="11"/>
  <c r="O177" i="14" l="1"/>
  <c r="O180" i="13"/>
  <c r="R179" i="13"/>
  <c r="O246" i="11"/>
  <c r="R171" i="11"/>
  <c r="R177" i="14" l="1"/>
  <c r="O179" i="14"/>
  <c r="O177" i="15" s="1"/>
  <c r="R172" i="11"/>
  <c r="P285" i="11"/>
  <c r="P286" i="11" s="1"/>
  <c r="P287" i="11"/>
  <c r="O179" i="15" l="1"/>
  <c r="R177" i="15"/>
  <c r="O180" i="14"/>
  <c r="R179" i="14"/>
  <c r="O177" i="16" l="1"/>
  <c r="O180" i="15"/>
  <c r="R179" i="15"/>
  <c r="O179" i="16" l="1"/>
  <c r="R177" i="16"/>
  <c r="O178" i="17" l="1"/>
  <c r="O180" i="16"/>
  <c r="R179" i="16"/>
  <c r="O180" i="17" l="1"/>
  <c r="O178" i="18" s="1"/>
  <c r="R178" i="17"/>
  <c r="O180" i="18" l="1"/>
  <c r="R178" i="18"/>
  <c r="R180" i="17"/>
  <c r="O181" i="17"/>
  <c r="O178" i="19" l="1"/>
  <c r="O181" i="18"/>
  <c r="R180" i="18"/>
  <c r="O180" i="19" l="1"/>
  <c r="R178" i="19"/>
  <c r="O178" i="20" l="1"/>
  <c r="R180" i="19"/>
  <c r="O181" i="19"/>
  <c r="O180" i="20" l="1"/>
  <c r="R178" i="20"/>
  <c r="O178" i="21" l="1"/>
  <c r="R180" i="20"/>
  <c r="O181" i="20"/>
  <c r="O180" i="21" l="1"/>
  <c r="R178" i="21"/>
  <c r="O178" i="22" l="1"/>
  <c r="O181" i="21"/>
  <c r="R180" i="21"/>
  <c r="O180" i="22" l="1"/>
  <c r="R178" i="22"/>
  <c r="O178" i="23" l="1"/>
  <c r="O181" i="22"/>
  <c r="R180" i="22"/>
  <c r="O180" i="23" l="1"/>
  <c r="R178" i="23"/>
  <c r="O178" i="24" l="1"/>
  <c r="R180" i="23"/>
  <c r="O181" i="23"/>
  <c r="O180" i="24" l="1"/>
  <c r="R178" i="24"/>
  <c r="O178" i="25" l="1"/>
  <c r="R180" i="24"/>
  <c r="O181" i="24"/>
  <c r="O180" i="25" l="1"/>
  <c r="R178" i="25"/>
  <c r="O180" i="26" l="1"/>
  <c r="O181" i="25"/>
  <c r="R180" i="25"/>
  <c r="O182" i="26" l="1"/>
  <c r="R180" i="26"/>
  <c r="R182" i="26" l="1"/>
  <c r="O183" i="26"/>
</calcChain>
</file>

<file path=xl/sharedStrings.xml><?xml version="1.0" encoding="utf-8"?>
<sst xmlns="http://schemas.openxmlformats.org/spreadsheetml/2006/main" count="5295" uniqueCount="283">
  <si>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</si>
  <si>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</si>
  <si>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</si>
  <si>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</si>
  <si>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</si>
  <si>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</si>
  <si>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</si>
  <si>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</si>
  <si>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</si>
  <si>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</si>
  <si>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</si>
  <si>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</si>
  <si>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</si>
  <si>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</si>
  <si>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</si>
  <si>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</si>
  <si>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</si>
  <si>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</si>
  <si>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</si>
  <si>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</si>
  <si>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</si>
  <si>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</si>
  <si>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</si>
  <si>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</si>
  <si>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</si>
  <si>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</si>
  <si>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</si>
  <si>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</si>
  <si>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</si>
  <si>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</si>
  <si>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</si>
  <si>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</si>
  <si>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</si>
  <si>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</si>
  <si>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</si>
  <si>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</si>
  <si>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</si>
  <si>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</si>
  <si>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</si>
  <si>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</si>
  <si>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</si>
  <si>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</si>
  <si>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</si>
  <si>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</si>
  <si>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</si>
  <si>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</si>
  <si>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</si>
  <si>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</si>
  <si>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</si>
  <si>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</si>
  <si>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</si>
  <si>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</si>
  <si>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</si>
  <si>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</si>
  <si>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</si>
  <si>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</si>
  <si>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</si>
  <si>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</si>
  <si>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</si>
  <si>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</si>
  <si>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</si>
  <si>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</si>
  <si>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</si>
  <si>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</si>
  <si>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</si>
  <si>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</si>
  <si>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</si>
  <si>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</si>
  <si>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</si>
  <si>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</si>
  <si>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</si>
  <si>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</si>
  <si>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</si>
  <si>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</si>
  <si>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</si>
  <si>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</si>
  <si>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</si>
  <si>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</si>
  <si>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</si>
  <si>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</si>
  <si>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</si>
  <si>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</si>
  <si>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</si>
  <si>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</si>
  <si>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</si>
  <si>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</si>
  <si>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</si>
  <si>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</si>
  <si>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</si>
  <si>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</si>
  <si>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</si>
  <si>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</si>
  <si>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</si>
  <si>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</si>
  <si>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</si>
  <si>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</si>
  <si>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</si>
  <si>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</si>
  <si>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</si>
  <si>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</si>
  <si>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</si>
  <si>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</si>
  <si>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</si>
  <si>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</si>
  <si>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</si>
  <si>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</si>
  <si>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</si>
  <si>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</si>
  <si>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</si>
  <si>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</si>
  <si>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</si>
  <si>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</si>
  <si>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</si>
  <si>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Appointment of a Receiver of Rent</t>
  </si>
  <si>
    <t>+44 (0) 121 712 2315</t>
  </si>
  <si>
    <t>+44 (0) 121 712 3894</t>
  </si>
  <si>
    <t>john.harvey@paragon-group.co.uk</t>
  </si>
  <si>
    <t>jimmy.giles@paragon-group.co.uk</t>
  </si>
  <si>
    <t>ACTUAL/365</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</si>
  <si>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</si>
  <si>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</si>
  <si>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</si>
  <si>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</si>
  <si>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</si>
  <si>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</si>
  <si>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</si>
  <si>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</si>
  <si>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</si>
  <si>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</si>
  <si>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</si>
  <si>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</si>
  <si>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</si>
  <si>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</si>
  <si>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</si>
  <si>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</si>
  <si>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</si>
  <si>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</si>
  <si>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</si>
  <si>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</si>
  <si>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Total Income as a % of the Total Assets</t>
  </si>
  <si>
    <t>Aggregate Balance of Substituted Loans (Pre Funding Reserve)</t>
  </si>
  <si>
    <t>Opening Balance</t>
  </si>
  <si>
    <t>Closing Balance</t>
  </si>
  <si>
    <t>Swap Receipts</t>
  </si>
  <si>
    <t>Scheduled Release to the Revenue Ledger</t>
  </si>
  <si>
    <t xml:space="preserve">Scheduled Releases from the Margin Reserve Fund </t>
  </si>
  <si>
    <t>Delinquency Summary (For Receiver of Rent Cases)</t>
  </si>
  <si>
    <t>+44 (0) 121 712 3896</t>
  </si>
  <si>
    <t>andrew.kitching@paragon-group.co.uk</t>
  </si>
  <si>
    <t>N/A: Sequential Paydown</t>
  </si>
  <si>
    <t>Accrual from Revenue for potential Losses</t>
  </si>
  <si>
    <t>Possession Properties Sold</t>
  </si>
  <si>
    <t>Class A Notes</t>
  </si>
  <si>
    <t>Delinquency Summary</t>
  </si>
  <si>
    <t>Unrated</t>
  </si>
  <si>
    <t>Optional Redemption (Call) / Turbo Dates</t>
  </si>
  <si>
    <t>PM (2010) Ltd</t>
  </si>
  <si>
    <t>Class A Note Interest</t>
  </si>
  <si>
    <t>Issuer Profit Amount</t>
  </si>
  <si>
    <t>Swap Retention fund</t>
  </si>
  <si>
    <t>Class A Note repayment</t>
  </si>
  <si>
    <t>Original Weighted Average Note Coupon</t>
  </si>
  <si>
    <t>Current Weighted Average Note Coupon</t>
  </si>
  <si>
    <t>Properties Sold by Mortgagee - Outstanding Principal Balance</t>
  </si>
  <si>
    <t>Minimum Mortgage Rate</t>
  </si>
  <si>
    <t>This Quarter's Scheduled Repayments</t>
  </si>
  <si>
    <t>This Quarter's Unscheduled / Redemptions</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</si>
  <si>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</si>
  <si>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</si>
  <si>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</si>
  <si>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</si>
  <si>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</si>
  <si>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Excess Amount (First Loss Fund - Liquidity Amount)</t>
  </si>
  <si>
    <t>MFA's</t>
  </si>
  <si>
    <t>Unutilised Pre Funding Reserve diverted to Principal</t>
  </si>
  <si>
    <t>Surplus income to the Issuer (prior to Call Option Date)</t>
  </si>
  <si>
    <t>Surplus income diverted to Principal (on or after Call Option Date)</t>
  </si>
  <si>
    <t>Current Principal Balance Outstanding (£'000)</t>
  </si>
  <si>
    <t>Pre Funding Reserve Outstanding (£'000)</t>
  </si>
  <si>
    <t>PDL replenishment (+) from Revenue income / Liquidity Excess Amount / Recovery (+) to Revenue income</t>
  </si>
  <si>
    <t>Accrued Arrears and Interest not Sold to Issuer</t>
  </si>
  <si>
    <t>Total Note Principal</t>
  </si>
  <si>
    <t>Total Mortgage Assets</t>
  </si>
  <si>
    <t>Standard &amp; Poors Rating at Closing</t>
  </si>
  <si>
    <t>AA</t>
  </si>
  <si>
    <t>Class B Notes</t>
  </si>
  <si>
    <t>Class C Notes</t>
  </si>
  <si>
    <t>Class D Notes</t>
  </si>
  <si>
    <t>A</t>
  </si>
  <si>
    <t>Class B Note repayment</t>
  </si>
  <si>
    <t>Class C Note repayment</t>
  </si>
  <si>
    <t>Class D Note repayment</t>
  </si>
  <si>
    <t>Cover Ratio for Class B Notes (at last Interest Payment Date)</t>
  </si>
  <si>
    <t xml:space="preserve">Cover Ratio for Class B Notes (cumulative) </t>
  </si>
  <si>
    <t>Cover Ratio for Class C Notes (at last Interest Payment Date)</t>
  </si>
  <si>
    <t xml:space="preserve">Cover Ratio for Class C Notes (cumulative) </t>
  </si>
  <si>
    <t>Cover Ratio for Class D Notes (at last Interest Payment Date)</t>
  </si>
  <si>
    <t xml:space="preserve">Cover Ratio for Class D Notes (cumulative) </t>
  </si>
  <si>
    <t>Stated Maturity - Class B Notes</t>
  </si>
  <si>
    <t>Stated Maturity - Class C Notes</t>
  </si>
  <si>
    <t>Stated Maturity - Class D Notes</t>
  </si>
  <si>
    <t>Current Standard &amp; Poors Rating</t>
  </si>
  <si>
    <t>Class B, C and D Notes as a percentage Class A Notes at issue</t>
  </si>
  <si>
    <t>Current Outstanding Class B, C and D Notes as a percentage of Current Outstanding Class A Notes</t>
  </si>
  <si>
    <t>Determination Event for Paying Class B, C and D Notes</t>
  </si>
  <si>
    <t>Class A, B, C and D Interest Payment Cycle</t>
  </si>
  <si>
    <t>Class A, B, C and D Interest Calculated on</t>
  </si>
  <si>
    <t>Class B Note Interest</t>
  </si>
  <si>
    <t>Class C Note Interest</t>
  </si>
  <si>
    <t>Class D Note Interest and Deferred Interest</t>
  </si>
  <si>
    <t>Pre Funding utilised this quarter</t>
  </si>
  <si>
    <t>John Harvey, 51 Homer Road, Solihull, West Midlands, B91 3QJ</t>
  </si>
  <si>
    <t>Andrew Kitching, 51 Homer Road, Solihull, West Midlands, B91 3QJ</t>
  </si>
  <si>
    <t>Jimmy Giles, 51 Homer Road, Solihull, West Midlands, B91 3QJ</t>
  </si>
  <si>
    <t>Trustee Fee/Costs and Expenses claimed by the Substitute Administrator &amp; SFM Corporate Services Provider</t>
  </si>
  <si>
    <t>Pre Funding Reserve / Available Redemption Funds</t>
  </si>
  <si>
    <t>Moody's Rating at Closing</t>
  </si>
  <si>
    <t>Current Moody's Rating</t>
  </si>
  <si>
    <t>Aaa</t>
  </si>
  <si>
    <t>Aa2</t>
  </si>
  <si>
    <t>A1</t>
  </si>
  <si>
    <t>Retention Requirement under Article 405 of Regulation (EU) No.575/2013 (as amended) (the "Capital Requirements Regulation")</t>
  </si>
  <si>
    <t xml:space="preserve">Pre Funding Reserve Ledger </t>
  </si>
  <si>
    <t xml:space="preserve">Margin Reserve Fund </t>
  </si>
  <si>
    <t>Pre Funding Reserve Remaining / Diverted to Principal to form part of the Available Redemption Funds</t>
  </si>
  <si>
    <t>Paragon Mortgages (No.21) PLC</t>
  </si>
  <si>
    <t>PM21 PLC</t>
  </si>
  <si>
    <t>Drawing on the PFPLC/PM21 Subordinated Loan for Interest Shortfalls</t>
  </si>
  <si>
    <t>Replenishments from drawings on the PM21/PFPLC Subordinated Loan</t>
  </si>
  <si>
    <t>PM21 INVESTOR REPORT QUARTER ENDING FEBRUARY 2015</t>
  </si>
  <si>
    <t>This performance report is issued by Paragon Mortgages (2010) Limited for and on behalf of Paragon Mortgages (No.21) PLC</t>
  </si>
  <si>
    <t>XS1130118745</t>
  </si>
  <si>
    <t>XS1130120212</t>
  </si>
  <si>
    <t>XS1130121293</t>
  </si>
  <si>
    <t>XS1130121616</t>
  </si>
  <si>
    <t>Discretionary Further Advance Pre Funding Reserve</t>
  </si>
  <si>
    <t>Senior Administration Fee to PM (2010) / Out of pocket expenses/ Substitute Administrator Commitment Fee/ Substitute Administrator Facilitator Fee / Surveillance Fees to Rating Agencies / Fees to Corporate Services Provider</t>
  </si>
  <si>
    <t>Junior Administration Fee to PM (2010)</t>
  </si>
  <si>
    <t>PM (2010) Mandatory Further Advances</t>
  </si>
  <si>
    <t>PM (2010) Discretionary Further Advances</t>
  </si>
  <si>
    <t>Liquidity Amount (2.50% of the Class A, B and C Notes outstanding)</t>
  </si>
  <si>
    <t>Discretionary Further Advance Pre Funding Reserve Ledger (DFAPFRL)</t>
  </si>
  <si>
    <t>Discretionary Further Advance Pre Funding Reserve at Closing</t>
  </si>
  <si>
    <t>Discretionary Further Advance Pre Funding Reserve utilised this quarter</t>
  </si>
  <si>
    <t>Discretionary Further Advance Pre Funding Reserve Diverted to Principal to form part of the Available Redemption Funds</t>
  </si>
  <si>
    <t xml:space="preserve">Closing Discretionary Further Advance Pre Funding Reserve </t>
  </si>
  <si>
    <t>Discretionary Further Advance Pre Funding Reserve Outstanding (£'000)</t>
  </si>
  <si>
    <t xml:space="preserve">Outstanding Pre Funding Reserve and DFAPFRL </t>
  </si>
  <si>
    <t>PM (2010) Discretionary Further Advance Pre Funding Reserve diverted to Principal</t>
  </si>
  <si>
    <t xml:space="preserve">Funding of PM (2010) Discretionary Further Advances </t>
  </si>
  <si>
    <t>80bp</t>
  </si>
  <si>
    <t>140bp</t>
  </si>
  <si>
    <t>175bp</t>
  </si>
  <si>
    <t>210bp</t>
  </si>
  <si>
    <t>PM21 INVESTOR REPORT QUARTER ENDING MAY 2015</t>
  </si>
  <si>
    <t>Discretionary Further Advance Pre Funding Reserve at last quarter end</t>
  </si>
  <si>
    <t xml:space="preserve">Pre Funding Reserve at last quarter end </t>
  </si>
  <si>
    <t>PM21 INVESTOR REPORT QUARTER ENDING AUGUST 2015</t>
  </si>
  <si>
    <t>PM21 INVESTOR REPORT QUARTER ENDING NOVEMBER 2015</t>
  </si>
  <si>
    <t>PM21 INVESTOR REPORT QUARTER ENDING FEBRUARY 2016</t>
  </si>
  <si>
    <t>PM21 INVESTOR REPORT QUARTER ENDING MAY 2016</t>
  </si>
  <si>
    <t>PM21 INVESTOR REPORT QUARTER ENDING AUGUST 2016</t>
  </si>
  <si>
    <t>Margin Rerseve Fund Ledger Conversion Required Amount</t>
  </si>
  <si>
    <t>Aggregate Principal Balance of Repurchased Loans (during related Collection Period)</t>
  </si>
  <si>
    <t>PM21 INVESTOR REPORT QUARTER ENDING NOVEMBER 2016</t>
  </si>
  <si>
    <t>A+</t>
  </si>
  <si>
    <t>PM21 INVESTOR REPORT QUARTER ENDING FEBRUARY 2017</t>
  </si>
  <si>
    <t>Senior Administration Fee to PM (2010) / Out of pocket expenses/ Senior Expenses</t>
  </si>
  <si>
    <t>Margin Rerseve Fund Ledger Conversion Required Amount for the period</t>
  </si>
  <si>
    <t>PM21 INVESTOR REPORT QUARTER ENDING MAY 2017</t>
  </si>
  <si>
    <t>PM21 INVESTOR REPORT QUARTER ENDING AUGUST 2017</t>
  </si>
  <si>
    <t>http://www.paragonbankinggroup.co.uk</t>
  </si>
  <si>
    <t>andrew.kitching@paragonbank.co.uk</t>
  </si>
  <si>
    <t>jimmy.giles@paragonbank.co.uk</t>
  </si>
  <si>
    <t>PM21 INVESTOR REPORT QUARTER ENDING NOVEMBER 2017</t>
  </si>
  <si>
    <t>PM21 INVESTOR REPORT QUARTER ENDING FEBRUARY 2018</t>
  </si>
  <si>
    <t>AA+</t>
  </si>
  <si>
    <t>Aa1</t>
  </si>
  <si>
    <t>PM21 INVESTOR REPORT QUARTER ENDING MAY 2018</t>
  </si>
  <si>
    <t>PM21 INVESTOR REPORT QUARTER ENDING AUGUST 2018</t>
  </si>
  <si>
    <t>PM21 INVESTOR REPORT QUARTER ENDING NOVEMBER 2018</t>
  </si>
  <si>
    <t>Release of the First Loss Fund following repayment of the Notes</t>
  </si>
  <si>
    <t>Release of the First Loss Fund to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</si>
</sst>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s>
  <fonts count="64"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sz val="12"/>
      <color rgb="FF002060"/>
      <name val="Times New Roman"/>
      <family val="1"/>
    </font>
    <font>
      <sz val="12"/>
      <color rgb="FF000080"/>
      <name val="Times New Roman"/>
      <family val="1"/>
    </font>
    <font>
      <b/>
      <sz val="12"/>
      <color rgb="FF000080"/>
      <name val="Times New Roman"/>
      <family val="1"/>
    </font>
    <font>
      <b/>
      <u/>
      <sz val="12"/>
      <color rgb="FF89CB31"/>
      <name val="Calibri"/>
      <family val="2"/>
      <scheme val="minor"/>
    </font>
    <font>
      <sz val="12"/>
      <name val="Calibri"/>
      <family val="2"/>
      <scheme val="minor"/>
    </font>
    <font>
      <b/>
      <u/>
      <sz val="16"/>
      <color theme="6"/>
      <name val="Calibri"/>
      <family val="2"/>
      <scheme val="minor"/>
    </font>
    <font>
      <u/>
      <sz val="12"/>
      <name val="Calibri"/>
      <family val="2"/>
      <scheme val="minor"/>
    </font>
    <font>
      <b/>
      <sz val="12"/>
      <color theme="4"/>
      <name val="Calibri"/>
      <family val="2"/>
      <scheme val="minor"/>
    </font>
    <font>
      <b/>
      <i/>
      <sz val="10"/>
      <color theme="6"/>
      <name val="Calibri"/>
      <family val="2"/>
      <scheme val="minor"/>
    </font>
    <font>
      <b/>
      <i/>
      <sz val="10"/>
      <name val="Calibri"/>
      <family val="2"/>
      <scheme val="minor"/>
    </font>
    <font>
      <b/>
      <sz val="14"/>
      <color theme="4"/>
      <name val="Calibri"/>
      <family val="2"/>
      <scheme val="minor"/>
    </font>
    <font>
      <b/>
      <u/>
      <sz val="14"/>
      <color indexed="53"/>
      <name val="Calibri"/>
      <family val="2"/>
      <scheme val="minor"/>
    </font>
    <font>
      <b/>
      <sz val="12"/>
      <name val="Calibri"/>
      <family val="2"/>
      <scheme val="minor"/>
    </font>
    <font>
      <b/>
      <sz val="12"/>
      <color theme="6"/>
      <name val="Calibri"/>
      <family val="2"/>
      <scheme val="minor"/>
    </font>
    <font>
      <sz val="12"/>
      <color theme="6"/>
      <name val="Calibri"/>
      <family val="2"/>
      <scheme val="minor"/>
    </font>
    <font>
      <b/>
      <u/>
      <sz val="12"/>
      <color theme="6"/>
      <name val="Calibri"/>
      <family val="2"/>
      <scheme val="minor"/>
    </font>
    <font>
      <sz val="12"/>
      <color indexed="9"/>
      <name val="Calibri"/>
      <family val="2"/>
      <scheme val="minor"/>
    </font>
    <font>
      <b/>
      <sz val="12"/>
      <color indexed="9"/>
      <name val="Calibri"/>
      <family val="2"/>
      <scheme val="minor"/>
    </font>
    <font>
      <b/>
      <sz val="14"/>
      <color theme="6"/>
      <name val="Calibri"/>
      <family val="2"/>
      <scheme val="minor"/>
    </font>
    <font>
      <b/>
      <u/>
      <sz val="12"/>
      <color indexed="9"/>
      <name val="Calibri"/>
      <family val="2"/>
      <scheme val="minor"/>
    </font>
    <font>
      <sz val="12"/>
      <color indexed="8"/>
      <name val="Calibri"/>
      <family val="2"/>
      <scheme val="minor"/>
    </font>
    <font>
      <sz val="12"/>
      <color indexed="18"/>
      <name val="Calibri"/>
      <family val="2"/>
      <scheme val="minor"/>
    </font>
    <font>
      <b/>
      <u/>
      <sz val="12"/>
      <name val="Calibri"/>
      <family val="2"/>
      <scheme val="minor"/>
    </font>
    <font>
      <b/>
      <u/>
      <sz val="12"/>
      <color indexed="8"/>
      <name val="Calibri"/>
      <family val="2"/>
      <scheme val="minor"/>
    </font>
    <font>
      <b/>
      <sz val="12"/>
      <color indexed="8"/>
      <name val="Calibri"/>
      <family val="2"/>
      <scheme val="minor"/>
    </font>
    <font>
      <b/>
      <sz val="14"/>
      <color indexed="53"/>
      <name val="Calibri"/>
      <family val="2"/>
      <scheme val="minor"/>
    </font>
    <font>
      <sz val="12"/>
      <color theme="4"/>
      <name val="Calibri"/>
      <family val="2"/>
      <scheme val="minor"/>
    </font>
    <font>
      <b/>
      <u/>
      <sz val="12"/>
      <color theme="4"/>
      <name val="Calibri"/>
      <family val="2"/>
      <scheme val="minor"/>
    </font>
    <font>
      <b/>
      <sz val="12"/>
      <color rgb="FF2D2926"/>
      <name val="Calibri"/>
      <family val="2"/>
      <scheme val="minor"/>
    </font>
    <font>
      <b/>
      <u/>
      <sz val="14"/>
      <color rgb="FF89CB31"/>
      <name val="Calibri"/>
      <family val="2"/>
      <scheme val="minor"/>
    </font>
  </fonts>
  <fills count="6">
    <fill>
      <patternFill patternType="none"/>
    </fill>
    <fill>
      <patternFill patternType="gray125"/>
    </fill>
    <fill>
      <patternFill patternType="solid">
        <fgColor indexed="38"/>
        <bgColor indexed="64"/>
      </patternFill>
    </fill>
    <fill>
      <patternFill patternType="solid">
        <fgColor indexed="18"/>
        <bgColor indexed="64"/>
      </patternFill>
    </fill>
    <fill>
      <patternFill patternType="solid">
        <fgColor rgb="FFF4F4F4"/>
        <bgColor indexed="64"/>
      </patternFill>
    </fill>
    <fill>
      <patternFill patternType="solid">
        <fgColor theme="4"/>
        <bgColor indexed="64"/>
      </patternFill>
    </fill>
  </fills>
  <borders count="26">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8"/>
      </right>
      <top style="medium">
        <color indexed="8"/>
      </top>
      <bottom/>
      <diagonal/>
    </border>
    <border>
      <left/>
      <right style="medium">
        <color indexed="8"/>
      </right>
      <top/>
      <bottom/>
      <diagonal/>
    </border>
    <border>
      <left/>
      <right style="medium">
        <color indexed="8"/>
      </right>
      <top style="thin">
        <color indexed="8"/>
      </top>
      <bottom/>
      <diagonal/>
    </border>
    <border>
      <left style="medium">
        <color indexed="8"/>
      </left>
      <right/>
      <top style="thin">
        <color rgb="FF969696"/>
      </top>
      <bottom style="thin">
        <color rgb="FF969696"/>
      </bottom>
      <diagonal/>
    </border>
    <border>
      <left/>
      <right/>
      <top style="thin">
        <color rgb="FF969696"/>
      </top>
      <bottom style="thin">
        <color rgb="FF969696"/>
      </bottom>
      <diagonal/>
    </border>
    <border>
      <left/>
      <right style="medium">
        <color indexed="8"/>
      </right>
      <top style="thin">
        <color rgb="FF969696"/>
      </top>
      <bottom style="thin">
        <color rgb="FF969696"/>
      </bottom>
      <diagonal/>
    </border>
    <border>
      <left/>
      <right/>
      <top style="thin">
        <color rgb="FF969696"/>
      </top>
      <bottom/>
      <diagonal/>
    </border>
    <border>
      <left/>
      <right/>
      <top style="thin">
        <color indexed="55"/>
      </top>
      <bottom style="thin">
        <color rgb="FF969696"/>
      </bottom>
      <diagonal/>
    </border>
    <border>
      <left/>
      <right/>
      <top/>
      <bottom style="thin">
        <color indexed="55"/>
      </bottom>
      <diagonal/>
    </border>
  </borders>
  <cellStyleXfs count="2">
    <xf numFmtId="0" fontId="0" fillId="0" borderId="0"/>
    <xf numFmtId="0" fontId="15" fillId="0" borderId="0" applyNumberFormat="0" applyFill="0" applyBorder="0" applyAlignment="0" applyProtection="0">
      <alignment vertical="top"/>
      <protection locked="0"/>
    </xf>
  </cellStyleXfs>
  <cellXfs count="465">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27" fillId="2" borderId="7"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0" fontId="24" fillId="2" borderId="7" xfId="0" applyNumberFormat="1" applyFont="1" applyFill="1" applyBorder="1" applyAlignment="1">
      <alignment horizontal="center" wrapText="1"/>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0" fontId="24" fillId="2" borderId="0" xfId="0" applyNumberFormat="1" applyFont="1" applyFill="1" applyBorder="1" applyAlignment="1"/>
    <xf numFmtId="2" fontId="24" fillId="2" borderId="15" xfId="0" applyNumberFormat="1" applyFont="1" applyFill="1" applyBorder="1" applyAlignment="1" applyProtection="1">
      <alignment horizontal="right"/>
      <protection locked="0"/>
    </xf>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10" fontId="34" fillId="2" borderId="15" xfId="0" applyNumberFormat="1" applyFont="1" applyFill="1" applyBorder="1" applyAlignment="1">
      <alignment horizontal="center"/>
    </xf>
    <xf numFmtId="4" fontId="34" fillId="2" borderId="15" xfId="0" applyNumberFormat="1" applyFont="1" applyFill="1" applyBorder="1" applyAlignment="1">
      <alignment horizontal="center"/>
    </xf>
    <xf numFmtId="10" fontId="35" fillId="2" borderId="15" xfId="0" applyNumberFormat="1" applyFont="1" applyFill="1" applyBorder="1" applyAlignment="1">
      <alignment horizontal="center"/>
    </xf>
    <xf numFmtId="169" fontId="1" fillId="0" borderId="0" xfId="0" applyNumberFormat="1" applyFont="1" applyAlignment="1"/>
    <xf numFmtId="171" fontId="1" fillId="0" borderId="0" xfId="0" applyNumberFormat="1" applyFont="1" applyAlignment="1"/>
    <xf numFmtId="0" fontId="36" fillId="2" borderId="0" xfId="0" applyNumberFormat="1" applyFont="1" applyFill="1" applyAlignment="1"/>
    <xf numFmtId="10" fontId="26" fillId="2" borderId="15" xfId="0" applyNumberFormat="1" applyFont="1" applyFill="1" applyBorder="1" applyAlignment="1" applyProtection="1">
      <alignment horizontal="right"/>
      <protection locked="0"/>
    </xf>
    <xf numFmtId="15" fontId="25" fillId="2" borderId="0" xfId="0" applyNumberFormat="1" applyFont="1" applyFill="1" applyAlignment="1">
      <alignment horizontal="center"/>
    </xf>
    <xf numFmtId="0" fontId="2" fillId="2" borderId="17" xfId="0" applyNumberFormat="1" applyFont="1" applyFill="1" applyBorder="1" applyAlignment="1"/>
    <xf numFmtId="0" fontId="2" fillId="2" borderId="18" xfId="0" applyNumberFormat="1" applyFont="1" applyFill="1" applyBorder="1" applyAlignment="1"/>
    <xf numFmtId="0" fontId="24" fillId="2" borderId="18" xfId="0" applyNumberFormat="1" applyFont="1" applyFill="1" applyBorder="1" applyAlignment="1"/>
    <xf numFmtId="0" fontId="18" fillId="3" borderId="18" xfId="0" applyNumberFormat="1" applyFont="1" applyFill="1" applyBorder="1" applyAlignment="1"/>
    <xf numFmtId="0" fontId="24" fillId="2" borderId="19" xfId="0" applyNumberFormat="1" applyFont="1" applyFill="1" applyBorder="1" applyAlignment="1"/>
    <xf numFmtId="0" fontId="13" fillId="2" borderId="18" xfId="0" applyNumberFormat="1" applyFont="1" applyFill="1" applyBorder="1" applyAlignment="1"/>
    <xf numFmtId="0" fontId="2" fillId="2" borderId="19" xfId="0" applyNumberFormat="1" applyFont="1" applyFill="1" applyBorder="1" applyAlignment="1"/>
    <xf numFmtId="0" fontId="18" fillId="3" borderId="17" xfId="0" applyNumberFormat="1" applyFont="1" applyFill="1" applyBorder="1" applyAlignment="1"/>
    <xf numFmtId="0" fontId="5" fillId="2" borderId="18" xfId="0" applyNumberFormat="1" applyFont="1" applyFill="1" applyBorder="1" applyAlignment="1"/>
    <xf numFmtId="3" fontId="10" fillId="2" borderId="19" xfId="0" applyNumberFormat="1" applyFont="1" applyFill="1" applyBorder="1" applyAlignment="1"/>
    <xf numFmtId="0" fontId="10" fillId="2" borderId="18" xfId="0" applyNumberFormat="1" applyFont="1" applyFill="1" applyBorder="1" applyAlignment="1"/>
    <xf numFmtId="0" fontId="23" fillId="3" borderId="18" xfId="0" applyNumberFormat="1" applyFont="1" applyFill="1" applyBorder="1" applyAlignment="1"/>
    <xf numFmtId="0" fontId="26" fillId="2" borderId="19" xfId="0" applyNumberFormat="1" applyFont="1" applyFill="1" applyBorder="1" applyAlignment="1"/>
    <xf numFmtId="0" fontId="27" fillId="2" borderId="18" xfId="0" applyNumberFormat="1" applyFont="1" applyFill="1" applyBorder="1" applyAlignment="1"/>
    <xf numFmtId="10" fontId="25" fillId="2" borderId="0" xfId="0" applyNumberFormat="1" applyFont="1" applyFill="1" applyAlignment="1">
      <alignment horizontal="center"/>
    </xf>
    <xf numFmtId="0" fontId="2" fillId="2" borderId="20" xfId="0" applyNumberFormat="1" applyFont="1" applyFill="1" applyBorder="1" applyAlignment="1"/>
    <xf numFmtId="0" fontId="24" fillId="2" borderId="21" xfId="0" applyNumberFormat="1" applyFont="1" applyFill="1" applyBorder="1" applyAlignment="1"/>
    <xf numFmtId="3" fontId="24" fillId="2" borderId="21" xfId="0" applyNumberFormat="1" applyFont="1" applyFill="1" applyBorder="1" applyAlignment="1" applyProtection="1">
      <alignment horizontal="right"/>
      <protection locked="0"/>
    </xf>
    <xf numFmtId="0" fontId="2" fillId="2" borderId="22" xfId="0" applyNumberFormat="1" applyFont="1" applyFill="1" applyBorder="1" applyAlignment="1"/>
    <xf numFmtId="0" fontId="37" fillId="4" borderId="0" xfId="1" applyNumberFormat="1" applyFont="1" applyFill="1" applyAlignment="1" applyProtection="1"/>
    <xf numFmtId="0" fontId="38" fillId="2" borderId="5" xfId="0" applyNumberFormat="1" applyFont="1" applyFill="1" applyBorder="1" applyAlignment="1"/>
    <xf numFmtId="0" fontId="39" fillId="2" borderId="2" xfId="0" applyNumberFormat="1" applyFont="1" applyFill="1" applyBorder="1" applyAlignment="1"/>
    <xf numFmtId="0" fontId="38" fillId="2" borderId="2" xfId="0" applyNumberFormat="1" applyFont="1" applyFill="1" applyBorder="1" applyAlignment="1"/>
    <xf numFmtId="0" fontId="38" fillId="2" borderId="17" xfId="0" applyNumberFormat="1" applyFont="1" applyFill="1" applyBorder="1" applyAlignment="1"/>
    <xf numFmtId="0" fontId="38" fillId="0" borderId="1" xfId="0" applyNumberFormat="1" applyFont="1" applyBorder="1"/>
    <xf numFmtId="0" fontId="38" fillId="0" borderId="0" xfId="0" applyNumberFormat="1" applyFont="1" applyAlignment="1"/>
    <xf numFmtId="0" fontId="38" fillId="2" borderId="1" xfId="0" applyNumberFormat="1" applyFont="1" applyFill="1" applyBorder="1" applyAlignment="1"/>
    <xf numFmtId="0" fontId="40" fillId="2" borderId="0" xfId="0" applyNumberFormat="1" applyFont="1" applyFill="1" applyAlignment="1"/>
    <xf numFmtId="0" fontId="38" fillId="2" borderId="0" xfId="0" applyNumberFormat="1" applyFont="1" applyFill="1" applyAlignment="1"/>
    <xf numFmtId="0" fontId="38" fillId="2" borderId="18" xfId="0" applyNumberFormat="1" applyFont="1" applyFill="1" applyBorder="1" applyAlignment="1"/>
    <xf numFmtId="0" fontId="38" fillId="2" borderId="1" xfId="0" applyNumberFormat="1" applyFont="1" applyFill="1" applyBorder="1" applyAlignment="1">
      <alignment horizontal="center"/>
    </xf>
    <xf numFmtId="0" fontId="41" fillId="2" borderId="0" xfId="0" applyNumberFormat="1" applyFont="1" applyFill="1" applyAlignment="1"/>
    <xf numFmtId="0" fontId="42" fillId="2" borderId="0" xfId="0" applyNumberFormat="1" applyFont="1" applyFill="1" applyAlignment="1"/>
    <xf numFmtId="0" fontId="43" fillId="2" borderId="0" xfId="0" applyNumberFormat="1" applyFont="1" applyFill="1" applyAlignment="1"/>
    <xf numFmtId="0" fontId="44" fillId="2" borderId="0" xfId="0" applyNumberFormat="1" applyFont="1" applyFill="1" applyAlignment="1"/>
    <xf numFmtId="0" fontId="45" fillId="2" borderId="0" xfId="1" applyNumberFormat="1" applyFont="1" applyFill="1" applyAlignment="1" applyProtection="1"/>
    <xf numFmtId="0" fontId="46" fillId="2" borderId="0" xfId="0" applyNumberFormat="1" applyFont="1" applyFill="1" applyAlignment="1"/>
    <xf numFmtId="0" fontId="47" fillId="2" borderId="0" xfId="0" applyNumberFormat="1" applyFont="1" applyFill="1" applyAlignment="1"/>
    <xf numFmtId="0" fontId="48" fillId="2" borderId="1" xfId="0" applyNumberFormat="1" applyFont="1" applyFill="1" applyBorder="1" applyAlignment="1"/>
    <xf numFmtId="0" fontId="48" fillId="2" borderId="0" xfId="0" applyNumberFormat="1" applyFont="1" applyFill="1" applyAlignment="1"/>
    <xf numFmtId="0" fontId="49" fillId="2" borderId="0" xfId="0" applyNumberFormat="1" applyFont="1" applyFill="1" applyAlignment="1">
      <alignment horizontal="center" wrapText="1"/>
    </xf>
    <xf numFmtId="0" fontId="48" fillId="2" borderId="18" xfId="0" applyNumberFormat="1" applyFont="1" applyFill="1" applyBorder="1" applyAlignment="1"/>
    <xf numFmtId="0" fontId="48" fillId="0" borderId="1" xfId="0" applyNumberFormat="1" applyFont="1" applyBorder="1"/>
    <xf numFmtId="0" fontId="48" fillId="0" borderId="0" xfId="0" applyNumberFormat="1" applyFont="1" applyAlignment="1"/>
    <xf numFmtId="9" fontId="47" fillId="2" borderId="0" xfId="0" applyNumberFormat="1" applyFont="1" applyFill="1" applyAlignment="1">
      <alignment horizontal="center"/>
    </xf>
    <xf numFmtId="10" fontId="47" fillId="2" borderId="0" xfId="0" applyNumberFormat="1" applyFont="1" applyFill="1" applyAlignment="1">
      <alignment horizontal="center"/>
    </xf>
    <xf numFmtId="15" fontId="47" fillId="2" borderId="0" xfId="0" applyNumberFormat="1" applyFont="1" applyFill="1" applyAlignment="1">
      <alignment horizontal="center"/>
    </xf>
    <xf numFmtId="0" fontId="48" fillId="2" borderId="0" xfId="0" applyNumberFormat="1" applyFont="1" applyFill="1" applyAlignment="1">
      <alignment horizontal="center"/>
    </xf>
    <xf numFmtId="0" fontId="49" fillId="2" borderId="0" xfId="0" applyNumberFormat="1" applyFont="1" applyFill="1" applyAlignment="1"/>
    <xf numFmtId="0" fontId="38" fillId="2" borderId="0" xfId="0" applyNumberFormat="1" applyFont="1" applyFill="1" applyAlignment="1">
      <alignment horizontal="right"/>
    </xf>
    <xf numFmtId="0" fontId="47" fillId="2" borderId="14" xfId="0" applyNumberFormat="1" applyFont="1" applyFill="1" applyBorder="1" applyAlignment="1"/>
    <xf numFmtId="0" fontId="48" fillId="2" borderId="15" xfId="0" applyNumberFormat="1" applyFont="1" applyFill="1" applyBorder="1" applyAlignment="1"/>
    <xf numFmtId="0" fontId="47" fillId="2" borderId="15" xfId="0" applyNumberFormat="1" applyFont="1" applyFill="1" applyBorder="1" applyAlignment="1">
      <alignment horizontal="center" wrapText="1"/>
    </xf>
    <xf numFmtId="0" fontId="48" fillId="2" borderId="15" xfId="0" applyNumberFormat="1" applyFont="1" applyFill="1" applyBorder="1" applyAlignment="1">
      <alignment horizontal="center" wrapText="1"/>
    </xf>
    <xf numFmtId="0" fontId="48" fillId="2" borderId="16" xfId="0" applyNumberFormat="1" applyFont="1" applyFill="1" applyBorder="1" applyAlignment="1"/>
    <xf numFmtId="0" fontId="47" fillId="2" borderId="15" xfId="0" applyNumberFormat="1" applyFont="1" applyFill="1" applyBorder="1" applyAlignment="1"/>
    <xf numFmtId="169" fontId="48" fillId="0" borderId="0" xfId="0" applyNumberFormat="1" applyFont="1" applyAlignment="1"/>
    <xf numFmtId="171" fontId="48" fillId="0" borderId="0" xfId="0" applyNumberFormat="1" applyFont="1" applyAlignment="1"/>
    <xf numFmtId="0" fontId="48" fillId="2" borderId="14" xfId="0" applyNumberFormat="1" applyFont="1" applyFill="1" applyBorder="1" applyAlignment="1"/>
    <xf numFmtId="0" fontId="48" fillId="2" borderId="15" xfId="0" applyNumberFormat="1" applyFont="1" applyFill="1" applyBorder="1" applyAlignment="1">
      <alignment horizontal="center"/>
    </xf>
    <xf numFmtId="164" fontId="48" fillId="2" borderId="15" xfId="0" applyNumberFormat="1" applyFont="1" applyFill="1" applyBorder="1" applyAlignment="1"/>
    <xf numFmtId="164" fontId="48" fillId="2" borderId="15" xfId="0" applyNumberFormat="1" applyFont="1" applyFill="1" applyBorder="1" applyAlignment="1">
      <alignment horizontal="center"/>
    </xf>
    <xf numFmtId="3" fontId="48" fillId="2" borderId="16" xfId="0" applyNumberFormat="1" applyFont="1" applyFill="1" applyBorder="1" applyAlignment="1"/>
    <xf numFmtId="164" fontId="47" fillId="2" borderId="15" xfId="0" applyNumberFormat="1" applyFont="1" applyFill="1" applyBorder="1" applyAlignment="1"/>
    <xf numFmtId="169" fontId="48" fillId="2" borderId="15" xfId="0" applyNumberFormat="1" applyFont="1" applyFill="1" applyBorder="1" applyAlignment="1">
      <alignment horizontal="center"/>
    </xf>
    <xf numFmtId="168" fontId="48" fillId="2" borderId="15" xfId="0" applyNumberFormat="1" applyFont="1" applyFill="1" applyBorder="1" applyAlignment="1">
      <alignment horizontal="center"/>
    </xf>
    <xf numFmtId="171" fontId="48" fillId="2" borderId="15" xfId="0" applyNumberFormat="1" applyFont="1" applyFill="1" applyBorder="1" applyAlignment="1">
      <alignment horizontal="center"/>
    </xf>
    <xf numFmtId="164" fontId="47" fillId="2" borderId="15" xfId="0" applyNumberFormat="1" applyFont="1" applyFill="1" applyBorder="1" applyAlignment="1">
      <alignment horizontal="center"/>
    </xf>
    <xf numFmtId="169" fontId="47" fillId="2" borderId="15" xfId="0" applyNumberFormat="1" applyFont="1" applyFill="1" applyBorder="1" applyAlignment="1">
      <alignment horizontal="center"/>
    </xf>
    <xf numFmtId="168" fontId="47" fillId="2" borderId="15" xfId="0" applyNumberFormat="1" applyFont="1" applyFill="1" applyBorder="1" applyAlignment="1">
      <alignment horizontal="center"/>
    </xf>
    <xf numFmtId="0" fontId="38" fillId="2" borderId="14" xfId="0" applyNumberFormat="1" applyFont="1" applyFill="1" applyBorder="1" applyAlignment="1"/>
    <xf numFmtId="0" fontId="38" fillId="2" borderId="15" xfId="0" applyNumberFormat="1" applyFont="1" applyFill="1" applyBorder="1" applyAlignment="1"/>
    <xf numFmtId="0" fontId="38" fillId="2" borderId="16" xfId="0" applyNumberFormat="1" applyFont="1" applyFill="1" applyBorder="1" applyAlignment="1"/>
    <xf numFmtId="10" fontId="48" fillId="2" borderId="15" xfId="0" applyNumberFormat="1" applyFont="1" applyFill="1" applyBorder="1" applyAlignment="1">
      <alignment horizontal="center"/>
    </xf>
    <xf numFmtId="165" fontId="48" fillId="2" borderId="15" xfId="0" applyNumberFormat="1" applyFont="1" applyFill="1" applyBorder="1" applyAlignment="1">
      <alignment horizontal="center"/>
    </xf>
    <xf numFmtId="167" fontId="48" fillId="2" borderId="15" xfId="0" applyNumberFormat="1" applyFont="1" applyFill="1" applyBorder="1" applyAlignment="1">
      <alignment horizontal="center"/>
    </xf>
    <xf numFmtId="0" fontId="48" fillId="2" borderId="15" xfId="0" applyNumberFormat="1" applyFont="1" applyFill="1" applyBorder="1" applyAlignment="1">
      <alignment horizontal="right"/>
    </xf>
    <xf numFmtId="4" fontId="48" fillId="2" borderId="15" xfId="0" applyNumberFormat="1" applyFont="1" applyFill="1" applyBorder="1" applyAlignment="1">
      <alignment horizontal="center"/>
    </xf>
    <xf numFmtId="0" fontId="47" fillId="2" borderId="15" xfId="0" applyNumberFormat="1" applyFont="1" applyFill="1" applyBorder="1" applyAlignment="1">
      <alignment horizontal="center"/>
    </xf>
    <xf numFmtId="15" fontId="47" fillId="2" borderId="15" xfId="0" applyNumberFormat="1" applyFont="1" applyFill="1" applyBorder="1" applyAlignment="1">
      <alignment horizontal="center"/>
    </xf>
    <xf numFmtId="15" fontId="47" fillId="2" borderId="15" xfId="0" applyNumberFormat="1" applyFont="1" applyFill="1" applyBorder="1" applyAlignment="1" applyProtection="1">
      <alignment horizontal="center"/>
      <protection locked="0"/>
    </xf>
    <xf numFmtId="15" fontId="48" fillId="2" borderId="15" xfId="0" applyNumberFormat="1" applyFont="1" applyFill="1" applyBorder="1" applyAlignment="1"/>
    <xf numFmtId="15" fontId="48" fillId="2" borderId="15" xfId="0" applyNumberFormat="1" applyFont="1" applyFill="1" applyBorder="1" applyAlignment="1" applyProtection="1">
      <alignment horizontal="center"/>
      <protection locked="0"/>
    </xf>
    <xf numFmtId="15" fontId="48" fillId="2" borderId="15" xfId="0" applyNumberFormat="1" applyFont="1" applyFill="1" applyBorder="1" applyAlignment="1">
      <alignment horizontal="center"/>
    </xf>
    <xf numFmtId="0" fontId="48" fillId="0" borderId="0" xfId="0" applyNumberFormat="1" applyFont="1" applyFill="1" applyBorder="1" applyAlignment="1"/>
    <xf numFmtId="0" fontId="48" fillId="2" borderId="0" xfId="0" applyNumberFormat="1" applyFont="1" applyFill="1" applyBorder="1" applyAlignment="1"/>
    <xf numFmtId="15" fontId="48" fillId="2" borderId="0" xfId="0" applyNumberFormat="1" applyFont="1" applyFill="1" applyBorder="1" applyAlignment="1" applyProtection="1">
      <alignment horizontal="center"/>
      <protection locked="0"/>
    </xf>
    <xf numFmtId="15" fontId="48" fillId="2" borderId="0" xfId="0" applyNumberFormat="1" applyFont="1" applyFill="1" applyBorder="1" applyAlignment="1">
      <alignment horizontal="center"/>
    </xf>
    <xf numFmtId="15" fontId="48" fillId="2" borderId="0" xfId="0" applyNumberFormat="1" applyFont="1" applyFill="1" applyAlignment="1" applyProtection="1">
      <alignment horizontal="center"/>
      <protection locked="0"/>
    </xf>
    <xf numFmtId="15" fontId="48" fillId="2" borderId="0" xfId="0" applyNumberFormat="1" applyFont="1" applyFill="1" applyAlignment="1">
      <alignment horizontal="center"/>
    </xf>
    <xf numFmtId="0" fontId="48" fillId="2" borderId="8" xfId="0" applyNumberFormat="1" applyFont="1" applyFill="1" applyBorder="1" applyAlignment="1"/>
    <xf numFmtId="0" fontId="52" fillId="2" borderId="9" xfId="0" applyNumberFormat="1" applyFont="1" applyFill="1" applyBorder="1" applyAlignment="1"/>
    <xf numFmtId="0" fontId="48" fillId="2" borderId="9" xfId="0" applyNumberFormat="1" applyFont="1" applyFill="1" applyBorder="1" applyAlignment="1"/>
    <xf numFmtId="0" fontId="48" fillId="2" borderId="9" xfId="0" applyNumberFormat="1" applyFont="1" applyFill="1" applyBorder="1" applyAlignment="1" applyProtection="1">
      <alignment horizontal="right"/>
      <protection locked="0"/>
    </xf>
    <xf numFmtId="0" fontId="48" fillId="2" borderId="10" xfId="0" applyNumberFormat="1" applyFont="1" applyFill="1" applyBorder="1" applyAlignment="1"/>
    <xf numFmtId="4" fontId="38" fillId="2" borderId="0" xfId="0" applyNumberFormat="1" applyFont="1" applyFill="1" applyAlignment="1" applyProtection="1">
      <alignment horizontal="right"/>
      <protection locked="0"/>
    </xf>
    <xf numFmtId="3" fontId="48" fillId="2" borderId="15" xfId="0" applyNumberFormat="1" applyFont="1" applyFill="1" applyBorder="1" applyAlignment="1"/>
    <xf numFmtId="3" fontId="48" fillId="2" borderId="15" xfId="0" applyNumberFormat="1" applyFont="1" applyFill="1" applyBorder="1" applyAlignment="1" applyProtection="1">
      <alignment horizontal="right"/>
      <protection locked="0"/>
    </xf>
    <xf numFmtId="0" fontId="38" fillId="2" borderId="0" xfId="0" applyNumberFormat="1" applyFont="1" applyFill="1" applyBorder="1" applyAlignment="1"/>
    <xf numFmtId="3" fontId="38" fillId="2" borderId="0" xfId="0" applyNumberFormat="1" applyFont="1" applyFill="1" applyBorder="1" applyAlignment="1"/>
    <xf numFmtId="3" fontId="54" fillId="2" borderId="0" xfId="0" applyNumberFormat="1" applyFont="1" applyFill="1" applyBorder="1" applyAlignment="1"/>
    <xf numFmtId="3" fontId="38" fillId="2" borderId="0" xfId="0" applyNumberFormat="1" applyFont="1" applyFill="1" applyAlignment="1"/>
    <xf numFmtId="3" fontId="54" fillId="2" borderId="0" xfId="0" applyNumberFormat="1" applyFont="1" applyFill="1" applyAlignment="1"/>
    <xf numFmtId="14" fontId="48" fillId="2" borderId="15" xfId="0" applyNumberFormat="1" applyFont="1" applyFill="1" applyBorder="1" applyAlignment="1">
      <alignment horizontal="right"/>
    </xf>
    <xf numFmtId="167" fontId="48" fillId="2" borderId="15" xfId="0" applyNumberFormat="1" applyFont="1" applyFill="1" applyBorder="1" applyAlignment="1">
      <alignment horizontal="right"/>
    </xf>
    <xf numFmtId="3" fontId="55" fillId="2" borderId="15" xfId="0" applyNumberFormat="1" applyFont="1" applyFill="1" applyBorder="1" applyAlignment="1"/>
    <xf numFmtId="0" fontId="55" fillId="2" borderId="15" xfId="0" applyNumberFormat="1" applyFont="1" applyFill="1" applyBorder="1" applyAlignment="1"/>
    <xf numFmtId="3" fontId="55" fillId="2" borderId="15" xfId="0" applyNumberFormat="1" applyFont="1" applyFill="1" applyBorder="1" applyAlignment="1" applyProtection="1">
      <alignment horizontal="right"/>
      <protection locked="0"/>
    </xf>
    <xf numFmtId="3" fontId="48" fillId="0" borderId="0" xfId="0" applyNumberFormat="1" applyFont="1" applyAlignment="1"/>
    <xf numFmtId="4" fontId="55" fillId="2" borderId="15" xfId="0" applyNumberFormat="1" applyFont="1" applyFill="1" applyBorder="1" applyAlignment="1" applyProtection="1">
      <alignment horizontal="right"/>
      <protection locked="0"/>
    </xf>
    <xf numFmtId="3" fontId="48" fillId="2" borderId="0" xfId="0" applyNumberFormat="1" applyFont="1" applyFill="1" applyBorder="1" applyAlignment="1"/>
    <xf numFmtId="4" fontId="48" fillId="2" borderId="0" xfId="0" applyNumberFormat="1" applyFont="1" applyFill="1" applyAlignment="1" applyProtection="1">
      <alignment horizontal="right"/>
      <protection locked="0"/>
    </xf>
    <xf numFmtId="4" fontId="48" fillId="2" borderId="9" xfId="0" applyNumberFormat="1" applyFont="1" applyFill="1" applyBorder="1" applyAlignment="1" applyProtection="1">
      <alignment horizontal="right"/>
      <protection locked="0"/>
    </xf>
    <xf numFmtId="0" fontId="56" fillId="2" borderId="0" xfId="0" applyNumberFormat="1" applyFont="1" applyFill="1" applyAlignment="1"/>
    <xf numFmtId="4" fontId="38" fillId="2" borderId="0" xfId="0" applyNumberFormat="1" applyFont="1" applyFill="1" applyBorder="1" applyAlignment="1" applyProtection="1">
      <alignment horizontal="right"/>
      <protection locked="0"/>
    </xf>
    <xf numFmtId="0" fontId="55" fillId="2" borderId="0" xfId="0" applyNumberFormat="1" applyFont="1" applyFill="1" applyBorder="1" applyAlignment="1"/>
    <xf numFmtId="3" fontId="55" fillId="2" borderId="0" xfId="0" applyNumberFormat="1" applyFont="1" applyFill="1" applyBorder="1" applyAlignment="1" applyProtection="1">
      <alignment horizontal="right"/>
      <protection locked="0"/>
    </xf>
    <xf numFmtId="0" fontId="48" fillId="2" borderId="20" xfId="0" applyNumberFormat="1" applyFont="1" applyFill="1" applyBorder="1" applyAlignment="1"/>
    <xf numFmtId="0" fontId="48" fillId="2" borderId="21" xfId="0" applyNumberFormat="1" applyFont="1" applyFill="1" applyBorder="1" applyAlignment="1"/>
    <xf numFmtId="3" fontId="48" fillId="2" borderId="21" xfId="0" applyNumberFormat="1" applyFont="1" applyFill="1" applyBorder="1" applyAlignment="1" applyProtection="1">
      <alignment horizontal="right"/>
      <protection locked="0"/>
    </xf>
    <xf numFmtId="0" fontId="48" fillId="2" borderId="22" xfId="0" applyNumberFormat="1" applyFont="1" applyFill="1" applyBorder="1" applyAlignment="1"/>
    <xf numFmtId="4" fontId="54" fillId="2" borderId="0" xfId="0" applyNumberFormat="1" applyFont="1" applyFill="1" applyAlignment="1" applyProtection="1">
      <alignment horizontal="right"/>
      <protection locked="0"/>
    </xf>
    <xf numFmtId="4" fontId="38" fillId="2" borderId="2" xfId="0" applyNumberFormat="1" applyFont="1" applyFill="1" applyBorder="1" applyAlignment="1" applyProtection="1">
      <alignment horizontal="right"/>
      <protection locked="0"/>
    </xf>
    <xf numFmtId="3" fontId="38" fillId="2" borderId="0" xfId="0" applyNumberFormat="1" applyFont="1" applyFill="1" applyBorder="1" applyAlignment="1" applyProtection="1">
      <alignment horizontal="right"/>
      <protection locked="0"/>
    </xf>
    <xf numFmtId="0" fontId="38" fillId="0" borderId="0" xfId="0" applyNumberFormat="1" applyFont="1" applyBorder="1" applyAlignment="1"/>
    <xf numFmtId="0" fontId="48" fillId="0" borderId="3" xfId="0" applyNumberFormat="1" applyFont="1" applyBorder="1" applyAlignment="1"/>
    <xf numFmtId="0" fontId="38" fillId="2" borderId="8" xfId="0" applyNumberFormat="1" applyFont="1" applyFill="1" applyBorder="1" applyAlignment="1"/>
    <xf numFmtId="0" fontId="38" fillId="0" borderId="4" xfId="0" applyNumberFormat="1" applyFont="1" applyBorder="1" applyAlignment="1"/>
    <xf numFmtId="0" fontId="38" fillId="0" borderId="2" xfId="0" applyNumberFormat="1" applyFont="1" applyBorder="1" applyAlignment="1"/>
    <xf numFmtId="0" fontId="38" fillId="2" borderId="0" xfId="0" applyNumberFormat="1" applyFont="1" applyFill="1" applyAlignment="1" applyProtection="1">
      <protection locked="0"/>
    </xf>
    <xf numFmtId="4" fontId="48" fillId="2" borderId="15" xfId="0" applyNumberFormat="1" applyFont="1" applyFill="1" applyBorder="1" applyAlignment="1" applyProtection="1">
      <alignment horizontal="right"/>
      <protection locked="0"/>
    </xf>
    <xf numFmtId="2" fontId="48" fillId="2" borderId="15" xfId="0" applyNumberFormat="1" applyFont="1" applyFill="1" applyBorder="1" applyAlignment="1" applyProtection="1">
      <alignment horizontal="right"/>
      <protection locked="0"/>
    </xf>
    <xf numFmtId="0" fontId="54" fillId="2" borderId="1" xfId="0" applyNumberFormat="1" applyFont="1" applyFill="1" applyBorder="1" applyAlignment="1"/>
    <xf numFmtId="0" fontId="57" fillId="2" borderId="0" xfId="0" applyNumberFormat="1" applyFont="1" applyFill="1" applyAlignment="1"/>
    <xf numFmtId="15" fontId="58" fillId="2" borderId="0" xfId="0" applyNumberFormat="1" applyFont="1" applyFill="1" applyAlignment="1">
      <alignment horizontal="centerContinuous"/>
    </xf>
    <xf numFmtId="15" fontId="58" fillId="2" borderId="0" xfId="0" applyNumberFormat="1" applyFont="1" applyFill="1" applyAlignment="1">
      <alignment horizontal="center"/>
    </xf>
    <xf numFmtId="15" fontId="47" fillId="2" borderId="15" xfId="0" applyNumberFormat="1" applyFont="1" applyFill="1" applyBorder="1" applyAlignment="1">
      <alignment horizontal="centerContinuous"/>
    </xf>
    <xf numFmtId="17" fontId="48" fillId="2" borderId="15" xfId="0" applyNumberFormat="1" applyFont="1" applyFill="1" applyBorder="1" applyAlignment="1">
      <alignment horizontal="center"/>
    </xf>
    <xf numFmtId="0" fontId="54" fillId="2" borderId="0" xfId="0" applyNumberFormat="1" applyFont="1" applyFill="1" applyBorder="1" applyAlignment="1"/>
    <xf numFmtId="0" fontId="38" fillId="2" borderId="0" xfId="0" applyNumberFormat="1" applyFont="1" applyFill="1" applyBorder="1" applyAlignment="1" applyProtection="1">
      <protection locked="0"/>
    </xf>
    <xf numFmtId="0" fontId="48" fillId="2" borderId="14" xfId="0" applyNumberFormat="1" applyFont="1" applyFill="1" applyBorder="1" applyAlignment="1">
      <alignment horizontal="right"/>
    </xf>
    <xf numFmtId="3" fontId="48" fillId="2" borderId="15" xfId="0" applyNumberFormat="1" applyFont="1" applyFill="1" applyBorder="1" applyAlignment="1">
      <alignment horizontal="center"/>
    </xf>
    <xf numFmtId="3" fontId="48" fillId="2" borderId="15" xfId="0" applyNumberFormat="1" applyFont="1" applyFill="1" applyBorder="1" applyAlignment="1" applyProtection="1">
      <alignment horizontal="center"/>
      <protection locked="0"/>
    </xf>
    <xf numFmtId="0" fontId="48" fillId="2" borderId="15" xfId="0" applyNumberFormat="1" applyFont="1" applyFill="1" applyBorder="1" applyAlignment="1" applyProtection="1">
      <protection locked="0"/>
    </xf>
    <xf numFmtId="3" fontId="47" fillId="2" borderId="16" xfId="0" applyNumberFormat="1" applyFont="1" applyFill="1" applyBorder="1" applyAlignment="1"/>
    <xf numFmtId="0" fontId="54" fillId="2" borderId="14" xfId="0" applyNumberFormat="1" applyFont="1" applyFill="1" applyBorder="1" applyAlignment="1">
      <alignment horizontal="right"/>
    </xf>
    <xf numFmtId="3" fontId="54" fillId="2" borderId="15" xfId="0" applyNumberFormat="1" applyFont="1" applyFill="1" applyBorder="1" applyAlignment="1"/>
    <xf numFmtId="0" fontId="38" fillId="2" borderId="15" xfId="0" applyNumberFormat="1" applyFont="1" applyFill="1" applyBorder="1" applyAlignment="1" applyProtection="1">
      <protection locked="0"/>
    </xf>
    <xf numFmtId="3" fontId="58" fillId="2" borderId="16" xfId="0" applyNumberFormat="1" applyFont="1" applyFill="1" applyBorder="1" applyAlignment="1"/>
    <xf numFmtId="0" fontId="54" fillId="2" borderId="14" xfId="0" applyNumberFormat="1" applyFont="1" applyFill="1" applyBorder="1" applyAlignment="1">
      <alignment horizontal="center"/>
    </xf>
    <xf numFmtId="0" fontId="54" fillId="2" borderId="15" xfId="0" applyNumberFormat="1" applyFont="1" applyFill="1" applyBorder="1" applyAlignment="1"/>
    <xf numFmtId="3" fontId="55" fillId="2" borderId="15" xfId="0" applyNumberFormat="1" applyFont="1" applyFill="1" applyBorder="1" applyAlignment="1" applyProtection="1">
      <alignment horizontal="center"/>
      <protection locked="0"/>
    </xf>
    <xf numFmtId="0" fontId="58" fillId="2" borderId="16" xfId="0" applyNumberFormat="1" applyFont="1" applyFill="1" applyBorder="1" applyAlignment="1"/>
    <xf numFmtId="0" fontId="48" fillId="2" borderId="14" xfId="0" applyNumberFormat="1" applyFont="1" applyFill="1" applyBorder="1" applyAlignment="1">
      <alignment horizontal="center"/>
    </xf>
    <xf numFmtId="0" fontId="47" fillId="2" borderId="16" xfId="0" applyNumberFormat="1" applyFont="1" applyFill="1" applyBorder="1" applyAlignment="1"/>
    <xf numFmtId="0" fontId="55" fillId="2" borderId="15" xfId="0" applyNumberFormat="1" applyFont="1" applyFill="1" applyBorder="1" applyAlignment="1">
      <alignment horizontal="center"/>
    </xf>
    <xf numFmtId="4" fontId="48" fillId="2" borderId="15" xfId="0" applyNumberFormat="1" applyFont="1" applyFill="1" applyBorder="1" applyAlignment="1" applyProtection="1">
      <alignment horizontal="center"/>
      <protection locked="0"/>
    </xf>
    <xf numFmtId="0" fontId="54" fillId="2" borderId="15" xfId="0" applyNumberFormat="1" applyFont="1" applyFill="1" applyBorder="1" applyAlignment="1">
      <alignment horizontal="right"/>
    </xf>
    <xf numFmtId="10" fontId="55" fillId="2" borderId="15" xfId="0" applyNumberFormat="1" applyFont="1" applyFill="1" applyBorder="1" applyAlignment="1" applyProtection="1">
      <alignment horizontal="center"/>
      <protection locked="0"/>
    </xf>
    <xf numFmtId="10" fontId="54" fillId="2" borderId="15" xfId="0" applyNumberFormat="1" applyFont="1" applyFill="1" applyBorder="1" applyAlignment="1" applyProtection="1">
      <alignment horizontal="center"/>
      <protection locked="0"/>
    </xf>
    <xf numFmtId="10" fontId="45" fillId="2" borderId="15" xfId="1" applyNumberFormat="1" applyFont="1" applyFill="1" applyBorder="1" applyAlignment="1">
      <alignment horizontal="left"/>
      <protection locked="0"/>
    </xf>
    <xf numFmtId="0" fontId="54" fillId="2" borderId="1" xfId="0" applyNumberFormat="1" applyFont="1" applyFill="1" applyBorder="1" applyAlignment="1">
      <alignment horizontal="right"/>
    </xf>
    <xf numFmtId="0" fontId="59" fillId="2" borderId="0" xfId="0" applyNumberFormat="1" applyFont="1" applyFill="1" applyBorder="1" applyAlignment="1"/>
    <xf numFmtId="0" fontId="54" fillId="2" borderId="0" xfId="0" applyNumberFormat="1" applyFont="1" applyFill="1" applyBorder="1" applyAlignment="1">
      <alignment horizontal="right"/>
    </xf>
    <xf numFmtId="10" fontId="45" fillId="2" borderId="0" xfId="1" applyNumberFormat="1" applyFont="1" applyFill="1" applyBorder="1" applyAlignment="1">
      <alignment horizontal="left"/>
      <protection locked="0"/>
    </xf>
    <xf numFmtId="10" fontId="54" fillId="2" borderId="0" xfId="0" applyNumberFormat="1" applyFont="1" applyFill="1" applyBorder="1" applyAlignment="1" applyProtection="1">
      <alignment horizontal="center"/>
      <protection locked="0"/>
    </xf>
    <xf numFmtId="0" fontId="58" fillId="2" borderId="18" xfId="0" applyNumberFormat="1" applyFont="1" applyFill="1" applyBorder="1" applyAlignment="1"/>
    <xf numFmtId="166" fontId="48" fillId="2" borderId="15" xfId="0" applyNumberFormat="1" applyFont="1" applyFill="1" applyBorder="1" applyAlignment="1"/>
    <xf numFmtId="10" fontId="48" fillId="2" borderId="15" xfId="0" applyNumberFormat="1" applyFont="1" applyFill="1" applyBorder="1" applyAlignment="1"/>
    <xf numFmtId="9" fontId="48" fillId="2" borderId="15" xfId="0" applyNumberFormat="1" applyFont="1" applyFill="1" applyBorder="1" applyAlignment="1"/>
    <xf numFmtId="9" fontId="38" fillId="2" borderId="0" xfId="0" applyNumberFormat="1" applyFont="1" applyFill="1" applyBorder="1" applyAlignment="1"/>
    <xf numFmtId="10" fontId="38" fillId="2" borderId="0" xfId="0" applyNumberFormat="1" applyFont="1" applyFill="1" applyBorder="1" applyAlignment="1"/>
    <xf numFmtId="3" fontId="54" fillId="2" borderId="0" xfId="0" applyNumberFormat="1" applyFont="1" applyFill="1" applyBorder="1" applyAlignment="1" applyProtection="1">
      <alignment horizontal="right"/>
      <protection locked="0"/>
    </xf>
    <xf numFmtId="3" fontId="47" fillId="2" borderId="15" xfId="0" applyNumberFormat="1" applyFont="1" applyFill="1" applyBorder="1" applyAlignment="1"/>
    <xf numFmtId="3" fontId="47" fillId="2" borderId="15" xfId="0" applyNumberFormat="1" applyFont="1" applyFill="1" applyBorder="1" applyAlignment="1" applyProtection="1">
      <alignment horizontal="right"/>
      <protection locked="0"/>
    </xf>
    <xf numFmtId="9" fontId="47" fillId="2" borderId="15" xfId="0" applyNumberFormat="1" applyFont="1" applyFill="1" applyBorder="1" applyAlignment="1"/>
    <xf numFmtId="10" fontId="47" fillId="2" borderId="15" xfId="0" applyNumberFormat="1" applyFont="1" applyFill="1" applyBorder="1" applyAlignment="1"/>
    <xf numFmtId="10" fontId="47" fillId="2" borderId="15" xfId="0" applyNumberFormat="1" applyFont="1" applyFill="1" applyBorder="1" applyAlignment="1" applyProtection="1">
      <alignment horizontal="right"/>
      <protection locked="0"/>
    </xf>
    <xf numFmtId="9" fontId="48" fillId="2" borderId="0" xfId="0" applyNumberFormat="1" applyFont="1" applyFill="1" applyAlignment="1"/>
    <xf numFmtId="3" fontId="48" fillId="2" borderId="0" xfId="0" applyNumberFormat="1" applyFont="1" applyFill="1" applyAlignment="1" applyProtection="1">
      <alignment horizontal="right"/>
      <protection locked="0"/>
    </xf>
    <xf numFmtId="0" fontId="47" fillId="2" borderId="0" xfId="0" applyNumberFormat="1" applyFont="1" applyFill="1" applyAlignment="1">
      <alignment horizontal="center"/>
    </xf>
    <xf numFmtId="0" fontId="47" fillId="2" borderId="0" xfId="0" quotePrefix="1" applyNumberFormat="1" applyFont="1" applyFill="1" applyAlignment="1">
      <alignment horizontal="center"/>
    </xf>
    <xf numFmtId="0" fontId="52" fillId="2" borderId="0" xfId="0" applyNumberFormat="1" applyFont="1" applyFill="1" applyAlignment="1"/>
    <xf numFmtId="0" fontId="38" fillId="0" borderId="2" xfId="0" applyNumberFormat="1" applyFont="1" applyBorder="1"/>
    <xf numFmtId="0" fontId="60" fillId="2" borderId="14" xfId="0" applyNumberFormat="1" applyFont="1" applyFill="1" applyBorder="1" applyAlignment="1"/>
    <xf numFmtId="0" fontId="41" fillId="2" borderId="15" xfId="0" applyNumberFormat="1" applyFont="1" applyFill="1" applyBorder="1" applyAlignment="1"/>
    <xf numFmtId="0" fontId="60" fillId="2" borderId="15" xfId="0" applyNumberFormat="1" applyFont="1" applyFill="1" applyBorder="1" applyAlignment="1"/>
    <xf numFmtId="170" fontId="41" fillId="2" borderId="15" xfId="0" applyNumberFormat="1" applyFont="1" applyFill="1" applyBorder="1" applyAlignment="1">
      <alignment horizontal="center"/>
    </xf>
    <xf numFmtId="0" fontId="60" fillId="2" borderId="15" xfId="0" applyNumberFormat="1" applyFont="1" applyFill="1" applyBorder="1" applyAlignment="1">
      <alignment horizontal="center"/>
    </xf>
    <xf numFmtId="164" fontId="60" fillId="2" borderId="15" xfId="0" applyNumberFormat="1" applyFont="1" applyFill="1" applyBorder="1" applyAlignment="1"/>
    <xf numFmtId="0" fontId="60" fillId="2" borderId="16" xfId="0" applyNumberFormat="1" applyFont="1" applyFill="1" applyBorder="1" applyAlignment="1"/>
    <xf numFmtId="0" fontId="60" fillId="0" borderId="1" xfId="0" applyNumberFormat="1" applyFont="1" applyBorder="1"/>
    <xf numFmtId="0" fontId="60" fillId="0" borderId="0" xfId="0" applyNumberFormat="1" applyFont="1" applyAlignment="1"/>
    <xf numFmtId="10" fontId="60" fillId="2" borderId="15" xfId="0" applyNumberFormat="1" applyFont="1" applyFill="1" applyBorder="1" applyAlignment="1">
      <alignment horizontal="center"/>
    </xf>
    <xf numFmtId="165" fontId="60" fillId="2" borderId="15" xfId="0" applyNumberFormat="1" applyFont="1" applyFill="1" applyBorder="1" applyAlignment="1">
      <alignment horizontal="center"/>
    </xf>
    <xf numFmtId="0" fontId="60" fillId="2" borderId="1" xfId="0" applyNumberFormat="1" applyFont="1" applyFill="1" applyBorder="1" applyAlignment="1"/>
    <xf numFmtId="0" fontId="41" fillId="2" borderId="0" xfId="0" applyNumberFormat="1" applyFont="1" applyFill="1" applyAlignment="1">
      <alignment horizontal="left" vertical="top" wrapText="1"/>
    </xf>
    <xf numFmtId="0" fontId="41" fillId="2" borderId="0" xfId="0" applyNumberFormat="1" applyFont="1" applyFill="1" applyAlignment="1">
      <alignment horizontal="center" vertical="top" wrapText="1"/>
    </xf>
    <xf numFmtId="4" fontId="41" fillId="2" borderId="0" xfId="0" applyNumberFormat="1" applyFont="1" applyFill="1" applyAlignment="1" applyProtection="1">
      <alignment horizontal="center" vertical="top" wrapText="1"/>
      <protection locked="0"/>
    </xf>
    <xf numFmtId="0" fontId="60" fillId="2" borderId="18" xfId="0" applyNumberFormat="1" applyFont="1" applyFill="1" applyBorder="1" applyAlignment="1"/>
    <xf numFmtId="0" fontId="61" fillId="2" borderId="15" xfId="0" applyNumberFormat="1" applyFont="1" applyFill="1" applyBorder="1" applyAlignment="1"/>
    <xf numFmtId="0" fontId="61" fillId="2" borderId="0" xfId="0" applyNumberFormat="1" applyFont="1" applyFill="1" applyAlignment="1"/>
    <xf numFmtId="0" fontId="60" fillId="2" borderId="0" xfId="0" applyNumberFormat="1" applyFont="1" applyFill="1" applyAlignment="1"/>
    <xf numFmtId="0" fontId="41" fillId="2" borderId="0" xfId="0" applyNumberFormat="1" applyFont="1" applyFill="1" applyAlignment="1">
      <alignment horizontal="right"/>
    </xf>
    <xf numFmtId="4" fontId="41" fillId="2" borderId="0" xfId="0" applyNumberFormat="1" applyFont="1" applyFill="1" applyAlignment="1" applyProtection="1">
      <alignment horizontal="right"/>
      <protection locked="0"/>
    </xf>
    <xf numFmtId="0" fontId="41" fillId="2" borderId="18" xfId="0" applyNumberFormat="1" applyFont="1" applyFill="1" applyBorder="1" applyAlignment="1"/>
    <xf numFmtId="0" fontId="44" fillId="2" borderId="15" xfId="0" applyNumberFormat="1" applyFont="1" applyFill="1" applyBorder="1" applyAlignment="1"/>
    <xf numFmtId="0" fontId="50" fillId="5" borderId="1" xfId="0" applyNumberFormat="1" applyFont="1" applyFill="1" applyBorder="1" applyAlignment="1"/>
    <xf numFmtId="0" fontId="50" fillId="5" borderId="0" xfId="0" applyNumberFormat="1" applyFont="1" applyFill="1" applyAlignment="1"/>
    <xf numFmtId="0" fontId="50" fillId="5" borderId="18" xfId="0" applyNumberFormat="1" applyFont="1" applyFill="1" applyBorder="1" applyAlignment="1"/>
    <xf numFmtId="0" fontId="48" fillId="2" borderId="0" xfId="0" applyNumberFormat="1" applyFont="1" applyFill="1" applyBorder="1" applyAlignment="1">
      <alignment horizontal="center" wrapText="1"/>
    </xf>
    <xf numFmtId="0" fontId="50" fillId="5" borderId="0" xfId="0" applyNumberFormat="1" applyFont="1" applyFill="1" applyBorder="1" applyAlignment="1"/>
    <xf numFmtId="0" fontId="51" fillId="5" borderId="0" xfId="0" applyNumberFormat="1" applyFont="1" applyFill="1" applyBorder="1" applyAlignment="1">
      <alignment horizontal="center" wrapText="1"/>
    </xf>
    <xf numFmtId="0" fontId="50" fillId="5" borderId="0" xfId="0" applyNumberFormat="1" applyFont="1" applyFill="1" applyBorder="1" applyAlignment="1">
      <alignment horizontal="center" wrapText="1"/>
    </xf>
    <xf numFmtId="0" fontId="53" fillId="5" borderId="0" xfId="0" applyNumberFormat="1" applyFont="1" applyFill="1" applyAlignment="1"/>
    <xf numFmtId="4" fontId="50" fillId="5" borderId="0" xfId="0" applyNumberFormat="1" applyFont="1" applyFill="1" applyAlignment="1" applyProtection="1">
      <alignment horizontal="right"/>
      <protection locked="0"/>
    </xf>
    <xf numFmtId="3" fontId="48" fillId="2" borderId="0" xfId="0" applyNumberFormat="1" applyFont="1" applyFill="1" applyBorder="1" applyAlignment="1" applyProtection="1">
      <alignment horizontal="right"/>
      <protection locked="0"/>
    </xf>
    <xf numFmtId="0" fontId="51" fillId="5" borderId="0" xfId="0" applyNumberFormat="1" applyFont="1" applyFill="1" applyBorder="1" applyAlignment="1"/>
    <xf numFmtId="0" fontId="51" fillId="5" borderId="0" xfId="0" applyNumberFormat="1" applyFont="1" applyFill="1" applyBorder="1" applyAlignment="1">
      <alignment horizontal="center"/>
    </xf>
    <xf numFmtId="0" fontId="51" fillId="5" borderId="0" xfId="0" applyNumberFormat="1" applyFont="1" applyFill="1" applyBorder="1" applyAlignment="1">
      <alignment horizontal="right"/>
    </xf>
    <xf numFmtId="15" fontId="51" fillId="5" borderId="0" xfId="0" applyNumberFormat="1" applyFont="1" applyFill="1" applyBorder="1" applyAlignment="1">
      <alignment horizontal="right"/>
    </xf>
    <xf numFmtId="0" fontId="50" fillId="5" borderId="5" xfId="0" applyNumberFormat="1" applyFont="1" applyFill="1" applyBorder="1" applyAlignment="1"/>
    <xf numFmtId="0" fontId="51" fillId="5" borderId="2" xfId="0" applyNumberFormat="1" applyFont="1" applyFill="1" applyBorder="1" applyAlignment="1"/>
    <xf numFmtId="0" fontId="50" fillId="5" borderId="2" xfId="0" applyNumberFormat="1" applyFont="1" applyFill="1" applyBorder="1" applyAlignment="1"/>
    <xf numFmtId="4" fontId="50" fillId="5" borderId="2" xfId="0" applyNumberFormat="1" applyFont="1" applyFill="1" applyBorder="1" applyAlignment="1" applyProtection="1">
      <alignment horizontal="right"/>
      <protection locked="0"/>
    </xf>
    <xf numFmtId="0" fontId="50" fillId="5" borderId="17" xfId="0" applyNumberFormat="1" applyFont="1" applyFill="1" applyBorder="1" applyAlignment="1"/>
    <xf numFmtId="15" fontId="51" fillId="5" borderId="2" xfId="0" applyNumberFormat="1" applyFont="1" applyFill="1" applyBorder="1" applyAlignment="1">
      <alignment horizontal="centerContinuous"/>
    </xf>
    <xf numFmtId="15" fontId="51" fillId="5" borderId="2" xfId="0" applyNumberFormat="1" applyFont="1" applyFill="1" applyBorder="1" applyAlignment="1">
      <alignment horizontal="center"/>
    </xf>
    <xf numFmtId="0" fontId="50" fillId="5" borderId="1" xfId="0" applyNumberFormat="1" applyFont="1" applyFill="1" applyBorder="1" applyAlignment="1">
      <alignment horizontal="right"/>
    </xf>
    <xf numFmtId="0" fontId="48" fillId="2" borderId="1" xfId="0" applyNumberFormat="1" applyFont="1" applyFill="1" applyBorder="1" applyAlignment="1">
      <alignment horizontal="right"/>
    </xf>
    <xf numFmtId="0" fontId="48" fillId="2" borderId="0" xfId="0" applyNumberFormat="1" applyFont="1" applyFill="1" applyBorder="1" applyAlignment="1">
      <alignment horizontal="center"/>
    </xf>
    <xf numFmtId="3" fontId="48" fillId="2" borderId="0" xfId="0" applyNumberFormat="1" applyFont="1" applyFill="1" applyBorder="1" applyAlignment="1" applyProtection="1">
      <alignment horizontal="center"/>
      <protection locked="0"/>
    </xf>
    <xf numFmtId="0" fontId="48" fillId="2" borderId="0" xfId="0" applyNumberFormat="1" applyFont="1" applyFill="1" applyBorder="1" applyAlignment="1" applyProtection="1">
      <protection locked="0"/>
    </xf>
    <xf numFmtId="3" fontId="47" fillId="2" borderId="18" xfId="0" applyNumberFormat="1" applyFont="1" applyFill="1" applyBorder="1" applyAlignment="1"/>
    <xf numFmtId="3" fontId="51" fillId="5" borderId="0" xfId="0" applyNumberFormat="1" applyFont="1" applyFill="1" applyBorder="1" applyAlignment="1">
      <alignment horizontal="center"/>
    </xf>
    <xf numFmtId="0" fontId="51" fillId="5" borderId="18" xfId="0" applyNumberFormat="1" applyFont="1" applyFill="1" applyBorder="1" applyAlignment="1"/>
    <xf numFmtId="166" fontId="48" fillId="2" borderId="0" xfId="0" applyNumberFormat="1" applyFont="1" applyFill="1" applyBorder="1" applyAlignment="1"/>
    <xf numFmtId="10" fontId="48" fillId="2" borderId="0" xfId="0" applyNumberFormat="1" applyFont="1" applyFill="1" applyBorder="1" applyAlignment="1"/>
    <xf numFmtId="0" fontId="47" fillId="2" borderId="18" xfId="0" applyNumberFormat="1" applyFont="1" applyFill="1" applyBorder="1" applyAlignment="1"/>
    <xf numFmtId="9" fontId="48" fillId="2" borderId="0" xfId="0" applyNumberFormat="1" applyFont="1" applyFill="1" applyBorder="1" applyAlignment="1"/>
    <xf numFmtId="9" fontId="50" fillId="5" borderId="0" xfId="0" applyNumberFormat="1" applyFont="1" applyFill="1" applyBorder="1" applyAlignment="1"/>
    <xf numFmtId="0" fontId="62" fillId="4" borderId="0" xfId="0" applyNumberFormat="1" applyFont="1" applyFill="1" applyAlignment="1"/>
    <xf numFmtId="0" fontId="63" fillId="4" borderId="15" xfId="1" applyNumberFormat="1" applyFont="1" applyFill="1" applyBorder="1" applyAlignment="1" applyProtection="1"/>
    <xf numFmtId="10" fontId="48" fillId="2" borderId="21" xfId="0" applyNumberFormat="1" applyFont="1" applyFill="1" applyBorder="1" applyAlignment="1"/>
    <xf numFmtId="10" fontId="48" fillId="2" borderId="23" xfId="0" applyNumberFormat="1" applyFont="1" applyFill="1" applyBorder="1" applyAlignment="1"/>
    <xf numFmtId="10" fontId="48" fillId="2" borderId="24" xfId="0" applyNumberFormat="1" applyFont="1" applyFill="1" applyBorder="1" applyAlignment="1"/>
    <xf numFmtId="10" fontId="48" fillId="2" borderId="25" xfId="0" applyNumberFormat="1" applyFont="1" applyFill="1" applyBorder="1" applyAlignment="1"/>
    <xf numFmtId="10" fontId="38" fillId="2" borderId="15"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3724" name="Picture 1" descr="C:\WINDOWS\TEMP\Symbol.gif">
          <a:extLst>
            <a:ext uri="{FF2B5EF4-FFF2-40B4-BE49-F238E27FC236}">
              <a16:creationId xmlns="" xmlns:a16="http://schemas.microsoft.com/office/drawing/2014/main" id="{00000000-0008-0000-0000-0000AC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122</xdr:row>
      <xdr:rowOff>161925</xdr:rowOff>
    </xdr:from>
    <xdr:to>
      <xdr:col>1</xdr:col>
      <xdr:colOff>28575</xdr:colOff>
      <xdr:row>123</xdr:row>
      <xdr:rowOff>200025</xdr:rowOff>
    </xdr:to>
    <xdr:pic>
      <xdr:nvPicPr>
        <xdr:cNvPr id="23725" name="Picture 2" descr="C:\WINDOWS\TEMP\Symbol.gif">
          <a:extLst>
            <a:ext uri="{FF2B5EF4-FFF2-40B4-BE49-F238E27FC236}">
              <a16:creationId xmlns="" xmlns:a16="http://schemas.microsoft.com/office/drawing/2014/main" id="{00000000-0008-0000-0000-0000AD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23726" name="Picture 3" descr="C:\WINDOWS\TEMP\Symbol.gif">
          <a:extLst>
            <a:ext uri="{FF2B5EF4-FFF2-40B4-BE49-F238E27FC236}">
              <a16:creationId xmlns="" xmlns:a16="http://schemas.microsoft.com/office/drawing/2014/main" id="{00000000-0008-0000-0000-0000AE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23727" name="Picture 4" descr="C:\WINDOWS\TEMP\Symbol.gif">
          <a:extLst>
            <a:ext uri="{FF2B5EF4-FFF2-40B4-BE49-F238E27FC236}">
              <a16:creationId xmlns="" xmlns:a16="http://schemas.microsoft.com/office/drawing/2014/main" id="{00000000-0008-0000-0000-0000AF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23728" name="Picture 5" descr="C:\WINDOWS\TEMP\~0003946.gif">
          <a:extLst>
            <a:ext uri="{FF2B5EF4-FFF2-40B4-BE49-F238E27FC236}">
              <a16:creationId xmlns="" xmlns:a16="http://schemas.microsoft.com/office/drawing/2014/main" id="{00000000-0008-0000-0000-0000B0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23729" name="Picture 6" descr="C:\WINDOWS\TEMP\~0003946.gif">
          <a:extLst>
            <a:ext uri="{FF2B5EF4-FFF2-40B4-BE49-F238E27FC236}">
              <a16:creationId xmlns="" xmlns:a16="http://schemas.microsoft.com/office/drawing/2014/main" id="{00000000-0008-0000-0000-0000B1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23730" name="Picture 7" descr="C:\WINDOWS\TEMP\~0003946.gif">
          <a:extLst>
            <a:ext uri="{FF2B5EF4-FFF2-40B4-BE49-F238E27FC236}">
              <a16:creationId xmlns="" xmlns:a16="http://schemas.microsoft.com/office/drawing/2014/main" id="{00000000-0008-0000-0000-0000B2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3731" name="Picture 8" descr="C:\WINDOWS\TEMP\~0003946.gif">
          <a:extLst>
            <a:ext uri="{FF2B5EF4-FFF2-40B4-BE49-F238E27FC236}">
              <a16:creationId xmlns="" xmlns:a16="http://schemas.microsoft.com/office/drawing/2014/main" id="{00000000-0008-0000-0000-0000B3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3732" name="Picture 9" descr="C:\WINDOWS\TEMP\~0003946.gif">
          <a:extLst>
            <a:ext uri="{FF2B5EF4-FFF2-40B4-BE49-F238E27FC236}">
              <a16:creationId xmlns="" xmlns:a16="http://schemas.microsoft.com/office/drawing/2014/main" id="{00000000-0008-0000-0000-0000B4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122</xdr:row>
      <xdr:rowOff>123825</xdr:rowOff>
    </xdr:from>
    <xdr:to>
      <xdr:col>18</xdr:col>
      <xdr:colOff>895350</xdr:colOff>
      <xdr:row>123</xdr:row>
      <xdr:rowOff>152400</xdr:rowOff>
    </xdr:to>
    <xdr:pic>
      <xdr:nvPicPr>
        <xdr:cNvPr id="23733" name="Picture 10" descr="C:\WINDOWS\TEMP\~0003946.gif">
          <a:extLst>
            <a:ext uri="{FF2B5EF4-FFF2-40B4-BE49-F238E27FC236}">
              <a16:creationId xmlns="" xmlns:a16="http://schemas.microsoft.com/office/drawing/2014/main" id="{00000000-0008-0000-0000-0000B5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23734" name="Picture 11" descr="C:\WINDOWS\TEMP\~0003946.gif">
          <a:extLst>
            <a:ext uri="{FF2B5EF4-FFF2-40B4-BE49-F238E27FC236}">
              <a16:creationId xmlns="" xmlns:a16="http://schemas.microsoft.com/office/drawing/2014/main" id="{00000000-0008-0000-0000-0000B6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23735" name="Picture 12" descr="C:\WINDOWS\TEMP\~0003946.gif">
          <a:extLst>
            <a:ext uri="{FF2B5EF4-FFF2-40B4-BE49-F238E27FC236}">
              <a16:creationId xmlns="" xmlns:a16="http://schemas.microsoft.com/office/drawing/2014/main" id="{00000000-0008-0000-0000-0000B7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E790F03E-5F89-4670-B9A5-FD1F58C25DE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D40710EF-EB84-4C64-AAA8-9B67C4DECBA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a:extLst>
            <a:ext uri="{FF2B5EF4-FFF2-40B4-BE49-F238E27FC236}">
              <a16:creationId xmlns="" xmlns:a16="http://schemas.microsoft.com/office/drawing/2014/main" id="{01BD6C2E-8E09-45E6-875D-E40383E6F99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295</xdr:row>
      <xdr:rowOff>161925</xdr:rowOff>
    </xdr:from>
    <xdr:to>
      <xdr:col>1</xdr:col>
      <xdr:colOff>19050</xdr:colOff>
      <xdr:row>296</xdr:row>
      <xdr:rowOff>200025</xdr:rowOff>
    </xdr:to>
    <xdr:pic>
      <xdr:nvPicPr>
        <xdr:cNvPr id="5" name="Picture 4" descr="C:\WINDOWS\TEMP\Symbol.gif">
          <a:extLst>
            <a:ext uri="{FF2B5EF4-FFF2-40B4-BE49-F238E27FC236}">
              <a16:creationId xmlns="" xmlns:a16="http://schemas.microsoft.com/office/drawing/2014/main" id="{4C2516DA-64EB-462D-A647-5B4E8CC91F9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9313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1B2DC60D-55F8-4F1C-8CCF-C24DC9F3D78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598932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a:extLst>
            <a:ext uri="{FF2B5EF4-FFF2-40B4-BE49-F238E27FC236}">
              <a16:creationId xmlns="" xmlns:a16="http://schemas.microsoft.com/office/drawing/2014/main" id="{E0560815-6B2F-445F-B864-9BFCED8CB0FC}"/>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87A88B1A-DE71-4F40-8122-57D0B499D61D}"/>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E7F77D96-870E-44F2-A392-25757A380848}"/>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5790A552-FA05-4966-BF05-780F50D108C2}"/>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54900"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32DFB8A-F284-47DE-932D-8EE7EA380086}"/>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a:extLst>
            <a:ext uri="{FF2B5EF4-FFF2-40B4-BE49-F238E27FC236}">
              <a16:creationId xmlns="" xmlns:a16="http://schemas.microsoft.com/office/drawing/2014/main" id="{37A00D47-C31C-47DB-9985-0D51D5751B1A}"/>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78700"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295</xdr:row>
      <xdr:rowOff>104775</xdr:rowOff>
    </xdr:from>
    <xdr:to>
      <xdr:col>18</xdr:col>
      <xdr:colOff>895350</xdr:colOff>
      <xdr:row>296</xdr:row>
      <xdr:rowOff>133350</xdr:rowOff>
    </xdr:to>
    <xdr:pic>
      <xdr:nvPicPr>
        <xdr:cNvPr id="13" name="Picture 12" descr="C:\WINDOWS\TEMP\~0003946.gif">
          <a:extLst>
            <a:ext uri="{FF2B5EF4-FFF2-40B4-BE49-F238E27FC236}">
              <a16:creationId xmlns="" xmlns:a16="http://schemas.microsoft.com/office/drawing/2014/main" id="{85382471-B81F-41E7-9DBF-8CC5F7EE14C5}"/>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598741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651061BA-EE20-4650-8142-0E7C17A66C2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AC65A056-6857-41B8-B010-74E3F01BAA3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a:extLst>
            <a:ext uri="{FF2B5EF4-FFF2-40B4-BE49-F238E27FC236}">
              <a16:creationId xmlns="" xmlns:a16="http://schemas.microsoft.com/office/drawing/2014/main" id="{2F9AC9E2-C6C4-4199-A573-C95D4ED3BCB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295</xdr:row>
      <xdr:rowOff>161925</xdr:rowOff>
    </xdr:from>
    <xdr:to>
      <xdr:col>1</xdr:col>
      <xdr:colOff>19050</xdr:colOff>
      <xdr:row>296</xdr:row>
      <xdr:rowOff>200025</xdr:rowOff>
    </xdr:to>
    <xdr:pic>
      <xdr:nvPicPr>
        <xdr:cNvPr id="5" name="Picture 4" descr="C:\WINDOWS\TEMP\Symbol.gif">
          <a:extLst>
            <a:ext uri="{FF2B5EF4-FFF2-40B4-BE49-F238E27FC236}">
              <a16:creationId xmlns="" xmlns:a16="http://schemas.microsoft.com/office/drawing/2014/main" id="{086B470B-6B66-4197-B599-F7FCED92080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9313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9608856A-1CA7-49D8-99DC-9F2EE2990251}"/>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598932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a:extLst>
            <a:ext uri="{FF2B5EF4-FFF2-40B4-BE49-F238E27FC236}">
              <a16:creationId xmlns="" xmlns:a16="http://schemas.microsoft.com/office/drawing/2014/main" id="{0E3040E7-D1BC-4A24-ADF0-AA6ADED20704}"/>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F6281E15-8FEF-4971-9223-0FAA7F1AD7AB}"/>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DBF9BEDC-35F2-45F3-849A-88F190A7D801}"/>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E1E60314-1D0C-4803-A5D3-20C22C6B6E89}"/>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54900"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B97563CC-149F-44CE-822B-B65A090243FA}"/>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a:extLst>
            <a:ext uri="{FF2B5EF4-FFF2-40B4-BE49-F238E27FC236}">
              <a16:creationId xmlns="" xmlns:a16="http://schemas.microsoft.com/office/drawing/2014/main" id="{BE9835F1-9F80-46BB-B0DC-B53BA64B3C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78700"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295</xdr:row>
      <xdr:rowOff>104775</xdr:rowOff>
    </xdr:from>
    <xdr:to>
      <xdr:col>18</xdr:col>
      <xdr:colOff>895350</xdr:colOff>
      <xdr:row>296</xdr:row>
      <xdr:rowOff>133350</xdr:rowOff>
    </xdr:to>
    <xdr:pic>
      <xdr:nvPicPr>
        <xdr:cNvPr id="13" name="Picture 12" descr="C:\WINDOWS\TEMP\~0003946.gif">
          <a:extLst>
            <a:ext uri="{FF2B5EF4-FFF2-40B4-BE49-F238E27FC236}">
              <a16:creationId xmlns="" xmlns:a16="http://schemas.microsoft.com/office/drawing/2014/main" id="{78A48FD9-0409-47EB-BCFD-CC8B61B485D3}"/>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598741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918C7E9E-BDD3-4753-9AB0-F91A04F5BED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598932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a:extLst>
            <a:ext uri="{FF2B5EF4-FFF2-40B4-BE49-F238E27FC236}">
              <a16:creationId xmlns="" xmlns:a16="http://schemas.microsoft.com/office/drawing/2014/main" id="{D2EC3605-13A0-4053-B9DB-10AC8C8FBF4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31F51900-685C-48A6-8CF6-5818C8A173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C5365604-0B77-4B36-8395-7CC23246AD0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1238250</xdr:colOff>
      <xdr:row>294</xdr:row>
      <xdr:rowOff>190500</xdr:rowOff>
    </xdr:from>
    <xdr:to>
      <xdr:col>18</xdr:col>
      <xdr:colOff>870390</xdr:colOff>
      <xdr:row>296</xdr:row>
      <xdr:rowOff>81015</xdr:rowOff>
    </xdr:to>
    <xdr:pic>
      <xdr:nvPicPr>
        <xdr:cNvPr id="15" name="Picture 14">
          <a:extLst>
            <a:ext uri="{FF2B5EF4-FFF2-40B4-BE49-F238E27FC236}">
              <a16:creationId xmlns="" xmlns:a16="http://schemas.microsoft.com/office/drawing/2014/main" id="{DA9CA664-D7DB-4A5B-9EC6-9500B349C8C1}"/>
            </a:ext>
          </a:extLst>
        </xdr:cNvPr>
        <xdr:cNvPicPr>
          <a:picLocks noChangeAspect="1"/>
        </xdr:cNvPicPr>
      </xdr:nvPicPr>
      <xdr:blipFill>
        <a:blip xmlns:r="http://schemas.openxmlformats.org/officeDocument/2006/relationships" r:embed="rId3"/>
        <a:stretch>
          <a:fillRect/>
        </a:stretch>
      </xdr:blipFill>
      <xdr:spPr>
        <a:xfrm>
          <a:off x="20070536" y="60905571"/>
          <a:ext cx="883997" cy="298730"/>
        </a:xfrm>
        <a:prstGeom prst="rect">
          <a:avLst/>
        </a:prstGeom>
      </xdr:spPr>
    </xdr:pic>
    <xdr:clientData/>
  </xdr:twoCellAnchor>
  <xdr:twoCellAnchor editAs="oneCell">
    <xdr:from>
      <xdr:col>18</xdr:col>
      <xdr:colOff>0</xdr:colOff>
      <xdr:row>194</xdr:row>
      <xdr:rowOff>0</xdr:rowOff>
    </xdr:from>
    <xdr:to>
      <xdr:col>18</xdr:col>
      <xdr:colOff>883997</xdr:colOff>
      <xdr:row>195</xdr:row>
      <xdr:rowOff>94623</xdr:rowOff>
    </xdr:to>
    <xdr:pic>
      <xdr:nvPicPr>
        <xdr:cNvPr id="16" name="Picture 15">
          <a:extLst>
            <a:ext uri="{FF2B5EF4-FFF2-40B4-BE49-F238E27FC236}">
              <a16:creationId xmlns="" xmlns:a16="http://schemas.microsoft.com/office/drawing/2014/main" id="{986C8DC4-9471-4605-B2E5-6C6E2BF75E2D}"/>
            </a:ext>
          </a:extLst>
        </xdr:cNvPr>
        <xdr:cNvPicPr>
          <a:picLocks noChangeAspect="1"/>
        </xdr:cNvPicPr>
      </xdr:nvPicPr>
      <xdr:blipFill>
        <a:blip xmlns:r="http://schemas.openxmlformats.org/officeDocument/2006/relationships" r:embed="rId3"/>
        <a:stretch>
          <a:fillRect/>
        </a:stretch>
      </xdr:blipFill>
      <xdr:spPr>
        <a:xfrm>
          <a:off x="20084143" y="40181893"/>
          <a:ext cx="883997" cy="298730"/>
        </a:xfrm>
        <a:prstGeom prst="rect">
          <a:avLst/>
        </a:prstGeom>
      </xdr:spPr>
    </xdr:pic>
    <xdr:clientData/>
  </xdr:twoCellAnchor>
  <xdr:twoCellAnchor editAs="oneCell">
    <xdr:from>
      <xdr:col>18</xdr:col>
      <xdr:colOff>0</xdr:colOff>
      <xdr:row>121</xdr:row>
      <xdr:rowOff>0</xdr:rowOff>
    </xdr:from>
    <xdr:to>
      <xdr:col>18</xdr:col>
      <xdr:colOff>883997</xdr:colOff>
      <xdr:row>122</xdr:row>
      <xdr:rowOff>94623</xdr:rowOff>
    </xdr:to>
    <xdr:pic>
      <xdr:nvPicPr>
        <xdr:cNvPr id="17" name="Picture 16">
          <a:extLst>
            <a:ext uri="{FF2B5EF4-FFF2-40B4-BE49-F238E27FC236}">
              <a16:creationId xmlns="" xmlns:a16="http://schemas.microsoft.com/office/drawing/2014/main" id="{00C5A925-18BE-4610-95B8-23C4ED07F593}"/>
            </a:ext>
          </a:extLst>
        </xdr:cNvPr>
        <xdr:cNvPicPr>
          <a:picLocks noChangeAspect="1"/>
        </xdr:cNvPicPr>
      </xdr:nvPicPr>
      <xdr:blipFill>
        <a:blip xmlns:r="http://schemas.openxmlformats.org/officeDocument/2006/relationships" r:embed="rId3"/>
        <a:stretch>
          <a:fillRect/>
        </a:stretch>
      </xdr:blipFill>
      <xdr:spPr>
        <a:xfrm>
          <a:off x="20084143" y="25241250"/>
          <a:ext cx="883997" cy="298730"/>
        </a:xfrm>
        <a:prstGeom prst="rect">
          <a:avLst/>
        </a:prstGeom>
      </xdr:spPr>
    </xdr:pic>
    <xdr:clientData/>
  </xdr:twoCellAnchor>
  <xdr:twoCellAnchor editAs="oneCell">
    <xdr:from>
      <xdr:col>18</xdr:col>
      <xdr:colOff>13607</xdr:colOff>
      <xdr:row>50</xdr:row>
      <xdr:rowOff>40821</xdr:rowOff>
    </xdr:from>
    <xdr:to>
      <xdr:col>18</xdr:col>
      <xdr:colOff>897604</xdr:colOff>
      <xdr:row>51</xdr:row>
      <xdr:rowOff>135444</xdr:rowOff>
    </xdr:to>
    <xdr:pic>
      <xdr:nvPicPr>
        <xdr:cNvPr id="18" name="Picture 17">
          <a:extLst>
            <a:ext uri="{FF2B5EF4-FFF2-40B4-BE49-F238E27FC236}">
              <a16:creationId xmlns="" xmlns:a16="http://schemas.microsoft.com/office/drawing/2014/main" id="{42B9CECB-448E-45A1-894B-5B0C70E1DF36}"/>
            </a:ext>
          </a:extLst>
        </xdr:cNvPr>
        <xdr:cNvPicPr>
          <a:picLocks noChangeAspect="1"/>
        </xdr:cNvPicPr>
      </xdr:nvPicPr>
      <xdr:blipFill>
        <a:blip xmlns:r="http://schemas.openxmlformats.org/officeDocument/2006/relationships" r:embed="rId3"/>
        <a:stretch>
          <a:fillRect/>
        </a:stretch>
      </xdr:blipFill>
      <xdr:spPr>
        <a:xfrm>
          <a:off x="20097750" y="10355035"/>
          <a:ext cx="883997" cy="298730"/>
        </a:xfrm>
        <a:prstGeom prst="rect">
          <a:avLst/>
        </a:prstGeom>
      </xdr:spPr>
    </xdr:pic>
    <xdr:clientData/>
  </xdr:twoCellAnchor>
  <xdr:twoCellAnchor editAs="oneCell">
    <xdr:from>
      <xdr:col>0</xdr:col>
      <xdr:colOff>190500</xdr:colOff>
      <xdr:row>295</xdr:row>
      <xdr:rowOff>149678</xdr:rowOff>
    </xdr:from>
    <xdr:to>
      <xdr:col>1</xdr:col>
      <xdr:colOff>21024</xdr:colOff>
      <xdr:row>296</xdr:row>
      <xdr:rowOff>171143</xdr:rowOff>
    </xdr:to>
    <xdr:pic>
      <xdr:nvPicPr>
        <xdr:cNvPr id="19" name="Picture 18">
          <a:extLst>
            <a:ext uri="{FF2B5EF4-FFF2-40B4-BE49-F238E27FC236}">
              <a16:creationId xmlns="" xmlns:a16="http://schemas.microsoft.com/office/drawing/2014/main" id="{D9F62CDA-072E-46AC-B286-E35AB4AEB90B}"/>
            </a:ext>
          </a:extLst>
        </xdr:cNvPr>
        <xdr:cNvPicPr>
          <a:picLocks noChangeAspect="1"/>
        </xdr:cNvPicPr>
      </xdr:nvPicPr>
      <xdr:blipFill>
        <a:blip xmlns:r="http://schemas.openxmlformats.org/officeDocument/2006/relationships" r:embed="rId4"/>
        <a:stretch>
          <a:fillRect/>
        </a:stretch>
      </xdr:blipFill>
      <xdr:spPr>
        <a:xfrm>
          <a:off x="190500" y="61068857"/>
          <a:ext cx="170703" cy="225572"/>
        </a:xfrm>
        <a:prstGeom prst="rect">
          <a:avLst/>
        </a:prstGeom>
      </xdr:spPr>
    </xdr:pic>
    <xdr:clientData/>
  </xdr:twoCellAnchor>
  <xdr:twoCellAnchor editAs="oneCell">
    <xdr:from>
      <xdr:col>0</xdr:col>
      <xdr:colOff>176893</xdr:colOff>
      <xdr:row>194</xdr:row>
      <xdr:rowOff>136071</xdr:rowOff>
    </xdr:from>
    <xdr:to>
      <xdr:col>1</xdr:col>
      <xdr:colOff>7417</xdr:colOff>
      <xdr:row>195</xdr:row>
      <xdr:rowOff>157536</xdr:rowOff>
    </xdr:to>
    <xdr:pic>
      <xdr:nvPicPr>
        <xdr:cNvPr id="20" name="Picture 19">
          <a:extLst>
            <a:ext uri="{FF2B5EF4-FFF2-40B4-BE49-F238E27FC236}">
              <a16:creationId xmlns="" xmlns:a16="http://schemas.microsoft.com/office/drawing/2014/main" id="{2D2DB8AF-0F30-4934-8042-D8100794052B}"/>
            </a:ext>
          </a:extLst>
        </xdr:cNvPr>
        <xdr:cNvPicPr>
          <a:picLocks noChangeAspect="1"/>
        </xdr:cNvPicPr>
      </xdr:nvPicPr>
      <xdr:blipFill>
        <a:blip xmlns:r="http://schemas.openxmlformats.org/officeDocument/2006/relationships" r:embed="rId4"/>
        <a:stretch>
          <a:fillRect/>
        </a:stretch>
      </xdr:blipFill>
      <xdr:spPr>
        <a:xfrm>
          <a:off x="176893" y="40317964"/>
          <a:ext cx="170703" cy="225572"/>
        </a:xfrm>
        <a:prstGeom prst="rect">
          <a:avLst/>
        </a:prstGeom>
      </xdr:spPr>
    </xdr:pic>
    <xdr:clientData/>
  </xdr:twoCellAnchor>
  <xdr:twoCellAnchor editAs="oneCell">
    <xdr:from>
      <xdr:col>0</xdr:col>
      <xdr:colOff>176893</xdr:colOff>
      <xdr:row>121</xdr:row>
      <xdr:rowOff>122464</xdr:rowOff>
    </xdr:from>
    <xdr:to>
      <xdr:col>1</xdr:col>
      <xdr:colOff>7417</xdr:colOff>
      <xdr:row>122</xdr:row>
      <xdr:rowOff>143929</xdr:rowOff>
    </xdr:to>
    <xdr:pic>
      <xdr:nvPicPr>
        <xdr:cNvPr id="22" name="Picture 21">
          <a:extLst>
            <a:ext uri="{FF2B5EF4-FFF2-40B4-BE49-F238E27FC236}">
              <a16:creationId xmlns="" xmlns:a16="http://schemas.microsoft.com/office/drawing/2014/main" id="{EA907CFE-9B35-4A8F-AC8B-C29B69303D21}"/>
            </a:ext>
          </a:extLst>
        </xdr:cNvPr>
        <xdr:cNvPicPr>
          <a:picLocks noChangeAspect="1"/>
        </xdr:cNvPicPr>
      </xdr:nvPicPr>
      <xdr:blipFill>
        <a:blip xmlns:r="http://schemas.openxmlformats.org/officeDocument/2006/relationships" r:embed="rId4"/>
        <a:stretch>
          <a:fillRect/>
        </a:stretch>
      </xdr:blipFill>
      <xdr:spPr>
        <a:xfrm>
          <a:off x="176893" y="25363714"/>
          <a:ext cx="170703" cy="225572"/>
        </a:xfrm>
        <a:prstGeom prst="rect">
          <a:avLst/>
        </a:prstGeom>
      </xdr:spPr>
    </xdr:pic>
    <xdr:clientData/>
  </xdr:twoCellAnchor>
  <xdr:twoCellAnchor editAs="oneCell">
    <xdr:from>
      <xdr:col>0</xdr:col>
      <xdr:colOff>204107</xdr:colOff>
      <xdr:row>50</xdr:row>
      <xdr:rowOff>95250</xdr:rowOff>
    </xdr:from>
    <xdr:to>
      <xdr:col>1</xdr:col>
      <xdr:colOff>34631</xdr:colOff>
      <xdr:row>51</xdr:row>
      <xdr:rowOff>116715</xdr:rowOff>
    </xdr:to>
    <xdr:pic>
      <xdr:nvPicPr>
        <xdr:cNvPr id="23" name="Picture 22">
          <a:extLst>
            <a:ext uri="{FF2B5EF4-FFF2-40B4-BE49-F238E27FC236}">
              <a16:creationId xmlns="" xmlns:a16="http://schemas.microsoft.com/office/drawing/2014/main" id="{B504CAFB-3D45-4753-9946-44F662FA7794}"/>
            </a:ext>
          </a:extLst>
        </xdr:cNvPr>
        <xdr:cNvPicPr>
          <a:picLocks noChangeAspect="1"/>
        </xdr:cNvPicPr>
      </xdr:nvPicPr>
      <xdr:blipFill>
        <a:blip xmlns:r="http://schemas.openxmlformats.org/officeDocument/2006/relationships" r:embed="rId4"/>
        <a:stretch>
          <a:fillRect/>
        </a:stretch>
      </xdr:blipFill>
      <xdr:spPr>
        <a:xfrm>
          <a:off x="204107" y="10409464"/>
          <a:ext cx="170703" cy="2255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1095375</xdr:colOff>
      <xdr:row>295</xdr:row>
      <xdr:rowOff>123825</xdr:rowOff>
    </xdr:from>
    <xdr:to>
      <xdr:col>18</xdr:col>
      <xdr:colOff>1895475</xdr:colOff>
      <xdr:row>296</xdr:row>
      <xdr:rowOff>152400</xdr:rowOff>
    </xdr:to>
    <xdr:pic>
      <xdr:nvPicPr>
        <xdr:cNvPr id="2" name="Picture 1" descr="C:\WINDOWS\TEMP\~0003946.gif">
          <a:extLst>
            <a:ext uri="{FF2B5EF4-FFF2-40B4-BE49-F238E27FC236}">
              <a16:creationId xmlns="" xmlns:a16="http://schemas.microsoft.com/office/drawing/2014/main" id="{DC335B8D-8FA7-425D-A04E-B7686E40E8E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599027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3" name="Picture 2" descr="C:\WINDOWS\TEMP\~0003946.gif">
          <a:extLst>
            <a:ext uri="{FF2B5EF4-FFF2-40B4-BE49-F238E27FC236}">
              <a16:creationId xmlns="" xmlns:a16="http://schemas.microsoft.com/office/drawing/2014/main" id="{D6262F78-FFB6-4B82-B41E-17EBF77B535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39604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4" name="Picture 3" descr="C:\WINDOWS\TEMP\~0003946.gif">
          <a:extLst>
            <a:ext uri="{FF2B5EF4-FFF2-40B4-BE49-F238E27FC236}">
              <a16:creationId xmlns="" xmlns:a16="http://schemas.microsoft.com/office/drawing/2014/main" id="{C5B5F177-0036-42AE-BE41-0550FF3B6C9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249269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5" name="Picture 4" descr="C:\WINDOWS\TEMP\~0003946.gif">
          <a:extLst>
            <a:ext uri="{FF2B5EF4-FFF2-40B4-BE49-F238E27FC236}">
              <a16:creationId xmlns="" xmlns:a16="http://schemas.microsoft.com/office/drawing/2014/main" id="{17032470-15A5-4777-8BB1-AB4F4ED9509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10277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1238250</xdr:colOff>
      <xdr:row>294</xdr:row>
      <xdr:rowOff>190500</xdr:rowOff>
    </xdr:from>
    <xdr:to>
      <xdr:col>18</xdr:col>
      <xdr:colOff>870390</xdr:colOff>
      <xdr:row>296</xdr:row>
      <xdr:rowOff>81015</xdr:rowOff>
    </xdr:to>
    <xdr:pic>
      <xdr:nvPicPr>
        <xdr:cNvPr id="6" name="Picture 5">
          <a:extLst>
            <a:ext uri="{FF2B5EF4-FFF2-40B4-BE49-F238E27FC236}">
              <a16:creationId xmlns="" xmlns:a16="http://schemas.microsoft.com/office/drawing/2014/main" id="{6D93D239-1FF1-42C4-A1D7-4E516861E3F8}"/>
            </a:ext>
          </a:extLst>
        </xdr:cNvPr>
        <xdr:cNvPicPr>
          <a:picLocks noChangeAspect="1"/>
        </xdr:cNvPicPr>
      </xdr:nvPicPr>
      <xdr:blipFill>
        <a:blip xmlns:r="http://schemas.openxmlformats.org/officeDocument/2006/relationships" r:embed="rId3"/>
        <a:stretch>
          <a:fillRect/>
        </a:stretch>
      </xdr:blipFill>
      <xdr:spPr>
        <a:xfrm>
          <a:off x="20050125" y="59769375"/>
          <a:ext cx="889440" cy="290565"/>
        </a:xfrm>
        <a:prstGeom prst="rect">
          <a:avLst/>
        </a:prstGeom>
      </xdr:spPr>
    </xdr:pic>
    <xdr:clientData/>
  </xdr:twoCellAnchor>
  <xdr:twoCellAnchor editAs="oneCell">
    <xdr:from>
      <xdr:col>18</xdr:col>
      <xdr:colOff>0</xdr:colOff>
      <xdr:row>194</xdr:row>
      <xdr:rowOff>0</xdr:rowOff>
    </xdr:from>
    <xdr:to>
      <xdr:col>18</xdr:col>
      <xdr:colOff>883997</xdr:colOff>
      <xdr:row>195</xdr:row>
      <xdr:rowOff>94623</xdr:rowOff>
    </xdr:to>
    <xdr:pic>
      <xdr:nvPicPr>
        <xdr:cNvPr id="7" name="Picture 6">
          <a:extLst>
            <a:ext uri="{FF2B5EF4-FFF2-40B4-BE49-F238E27FC236}">
              <a16:creationId xmlns="" xmlns:a16="http://schemas.microsoft.com/office/drawing/2014/main" id="{4C837478-7389-45E8-B542-D26EAE96B52E}"/>
            </a:ext>
          </a:extLst>
        </xdr:cNvPr>
        <xdr:cNvPicPr>
          <a:picLocks noChangeAspect="1"/>
        </xdr:cNvPicPr>
      </xdr:nvPicPr>
      <xdr:blipFill>
        <a:blip xmlns:r="http://schemas.openxmlformats.org/officeDocument/2006/relationships" r:embed="rId3"/>
        <a:stretch>
          <a:fillRect/>
        </a:stretch>
      </xdr:blipFill>
      <xdr:spPr>
        <a:xfrm>
          <a:off x="20069175" y="39452550"/>
          <a:ext cx="883997" cy="294648"/>
        </a:xfrm>
        <a:prstGeom prst="rect">
          <a:avLst/>
        </a:prstGeom>
      </xdr:spPr>
    </xdr:pic>
    <xdr:clientData/>
  </xdr:twoCellAnchor>
  <xdr:twoCellAnchor editAs="oneCell">
    <xdr:from>
      <xdr:col>18</xdr:col>
      <xdr:colOff>0</xdr:colOff>
      <xdr:row>121</xdr:row>
      <xdr:rowOff>0</xdr:rowOff>
    </xdr:from>
    <xdr:to>
      <xdr:col>18</xdr:col>
      <xdr:colOff>883997</xdr:colOff>
      <xdr:row>122</xdr:row>
      <xdr:rowOff>94623</xdr:rowOff>
    </xdr:to>
    <xdr:pic>
      <xdr:nvPicPr>
        <xdr:cNvPr id="8" name="Picture 7">
          <a:extLst>
            <a:ext uri="{FF2B5EF4-FFF2-40B4-BE49-F238E27FC236}">
              <a16:creationId xmlns="" xmlns:a16="http://schemas.microsoft.com/office/drawing/2014/main" id="{30622F4B-36A7-43C0-84F5-EF91B7BC922B}"/>
            </a:ext>
          </a:extLst>
        </xdr:cNvPr>
        <xdr:cNvPicPr>
          <a:picLocks noChangeAspect="1"/>
        </xdr:cNvPicPr>
      </xdr:nvPicPr>
      <xdr:blipFill>
        <a:blip xmlns:r="http://schemas.openxmlformats.org/officeDocument/2006/relationships" r:embed="rId3"/>
        <a:stretch>
          <a:fillRect/>
        </a:stretch>
      </xdr:blipFill>
      <xdr:spPr>
        <a:xfrm>
          <a:off x="20069175" y="24765000"/>
          <a:ext cx="883997" cy="294648"/>
        </a:xfrm>
        <a:prstGeom prst="rect">
          <a:avLst/>
        </a:prstGeom>
      </xdr:spPr>
    </xdr:pic>
    <xdr:clientData/>
  </xdr:twoCellAnchor>
  <xdr:twoCellAnchor editAs="oneCell">
    <xdr:from>
      <xdr:col>18</xdr:col>
      <xdr:colOff>13607</xdr:colOff>
      <xdr:row>50</xdr:row>
      <xdr:rowOff>40821</xdr:rowOff>
    </xdr:from>
    <xdr:to>
      <xdr:col>18</xdr:col>
      <xdr:colOff>897604</xdr:colOff>
      <xdr:row>51</xdr:row>
      <xdr:rowOff>135444</xdr:rowOff>
    </xdr:to>
    <xdr:pic>
      <xdr:nvPicPr>
        <xdr:cNvPr id="9" name="Picture 8">
          <a:extLst>
            <a:ext uri="{FF2B5EF4-FFF2-40B4-BE49-F238E27FC236}">
              <a16:creationId xmlns="" xmlns:a16="http://schemas.microsoft.com/office/drawing/2014/main" id="{D716BD27-A246-4735-89FF-0B83D6282FE3}"/>
            </a:ext>
          </a:extLst>
        </xdr:cNvPr>
        <xdr:cNvPicPr>
          <a:picLocks noChangeAspect="1"/>
        </xdr:cNvPicPr>
      </xdr:nvPicPr>
      <xdr:blipFill>
        <a:blip xmlns:r="http://schemas.openxmlformats.org/officeDocument/2006/relationships" r:embed="rId3"/>
        <a:stretch>
          <a:fillRect/>
        </a:stretch>
      </xdr:blipFill>
      <xdr:spPr>
        <a:xfrm>
          <a:off x="20082782" y="10156371"/>
          <a:ext cx="883997" cy="294648"/>
        </a:xfrm>
        <a:prstGeom prst="rect">
          <a:avLst/>
        </a:prstGeom>
      </xdr:spPr>
    </xdr:pic>
    <xdr:clientData/>
  </xdr:twoCellAnchor>
  <xdr:twoCellAnchor editAs="oneCell">
    <xdr:from>
      <xdr:col>0</xdr:col>
      <xdr:colOff>190500</xdr:colOff>
      <xdr:row>295</xdr:row>
      <xdr:rowOff>149678</xdr:rowOff>
    </xdr:from>
    <xdr:to>
      <xdr:col>1</xdr:col>
      <xdr:colOff>21024</xdr:colOff>
      <xdr:row>296</xdr:row>
      <xdr:rowOff>171143</xdr:rowOff>
    </xdr:to>
    <xdr:pic>
      <xdr:nvPicPr>
        <xdr:cNvPr id="10" name="Picture 9">
          <a:extLst>
            <a:ext uri="{FF2B5EF4-FFF2-40B4-BE49-F238E27FC236}">
              <a16:creationId xmlns="" xmlns:a16="http://schemas.microsoft.com/office/drawing/2014/main" id="{D0C7245E-2CAE-4729-B921-13DE4B981B59}"/>
            </a:ext>
          </a:extLst>
        </xdr:cNvPr>
        <xdr:cNvPicPr>
          <a:picLocks noChangeAspect="1"/>
        </xdr:cNvPicPr>
      </xdr:nvPicPr>
      <xdr:blipFill>
        <a:blip xmlns:r="http://schemas.openxmlformats.org/officeDocument/2006/relationships" r:embed="rId4"/>
        <a:stretch>
          <a:fillRect/>
        </a:stretch>
      </xdr:blipFill>
      <xdr:spPr>
        <a:xfrm>
          <a:off x="190500" y="59928578"/>
          <a:ext cx="173424" cy="221490"/>
        </a:xfrm>
        <a:prstGeom prst="rect">
          <a:avLst/>
        </a:prstGeom>
      </xdr:spPr>
    </xdr:pic>
    <xdr:clientData/>
  </xdr:twoCellAnchor>
  <xdr:twoCellAnchor editAs="oneCell">
    <xdr:from>
      <xdr:col>0</xdr:col>
      <xdr:colOff>176893</xdr:colOff>
      <xdr:row>194</xdr:row>
      <xdr:rowOff>136071</xdr:rowOff>
    </xdr:from>
    <xdr:to>
      <xdr:col>1</xdr:col>
      <xdr:colOff>7417</xdr:colOff>
      <xdr:row>195</xdr:row>
      <xdr:rowOff>157536</xdr:rowOff>
    </xdr:to>
    <xdr:pic>
      <xdr:nvPicPr>
        <xdr:cNvPr id="11" name="Picture 10">
          <a:extLst>
            <a:ext uri="{FF2B5EF4-FFF2-40B4-BE49-F238E27FC236}">
              <a16:creationId xmlns="" xmlns:a16="http://schemas.microsoft.com/office/drawing/2014/main" id="{AD8D257C-2E5F-4971-A2B5-BA9DA4C6A830}"/>
            </a:ext>
          </a:extLst>
        </xdr:cNvPr>
        <xdr:cNvPicPr>
          <a:picLocks noChangeAspect="1"/>
        </xdr:cNvPicPr>
      </xdr:nvPicPr>
      <xdr:blipFill>
        <a:blip xmlns:r="http://schemas.openxmlformats.org/officeDocument/2006/relationships" r:embed="rId4"/>
        <a:stretch>
          <a:fillRect/>
        </a:stretch>
      </xdr:blipFill>
      <xdr:spPr>
        <a:xfrm>
          <a:off x="176893" y="39588621"/>
          <a:ext cx="173424" cy="221490"/>
        </a:xfrm>
        <a:prstGeom prst="rect">
          <a:avLst/>
        </a:prstGeom>
      </xdr:spPr>
    </xdr:pic>
    <xdr:clientData/>
  </xdr:twoCellAnchor>
  <xdr:twoCellAnchor editAs="oneCell">
    <xdr:from>
      <xdr:col>0</xdr:col>
      <xdr:colOff>176893</xdr:colOff>
      <xdr:row>121</xdr:row>
      <xdr:rowOff>122464</xdr:rowOff>
    </xdr:from>
    <xdr:to>
      <xdr:col>1</xdr:col>
      <xdr:colOff>7417</xdr:colOff>
      <xdr:row>122</xdr:row>
      <xdr:rowOff>143929</xdr:rowOff>
    </xdr:to>
    <xdr:pic>
      <xdr:nvPicPr>
        <xdr:cNvPr id="12" name="Picture 11">
          <a:extLst>
            <a:ext uri="{FF2B5EF4-FFF2-40B4-BE49-F238E27FC236}">
              <a16:creationId xmlns="" xmlns:a16="http://schemas.microsoft.com/office/drawing/2014/main" id="{81B74C5B-3F57-44B1-B2D3-A9CBB810A880}"/>
            </a:ext>
          </a:extLst>
        </xdr:cNvPr>
        <xdr:cNvPicPr>
          <a:picLocks noChangeAspect="1"/>
        </xdr:cNvPicPr>
      </xdr:nvPicPr>
      <xdr:blipFill>
        <a:blip xmlns:r="http://schemas.openxmlformats.org/officeDocument/2006/relationships" r:embed="rId4"/>
        <a:stretch>
          <a:fillRect/>
        </a:stretch>
      </xdr:blipFill>
      <xdr:spPr>
        <a:xfrm>
          <a:off x="176893" y="24887464"/>
          <a:ext cx="173424" cy="221490"/>
        </a:xfrm>
        <a:prstGeom prst="rect">
          <a:avLst/>
        </a:prstGeom>
      </xdr:spPr>
    </xdr:pic>
    <xdr:clientData/>
  </xdr:twoCellAnchor>
  <xdr:twoCellAnchor editAs="oneCell">
    <xdr:from>
      <xdr:col>0</xdr:col>
      <xdr:colOff>204107</xdr:colOff>
      <xdr:row>50</xdr:row>
      <xdr:rowOff>95250</xdr:rowOff>
    </xdr:from>
    <xdr:to>
      <xdr:col>1</xdr:col>
      <xdr:colOff>34631</xdr:colOff>
      <xdr:row>51</xdr:row>
      <xdr:rowOff>116715</xdr:rowOff>
    </xdr:to>
    <xdr:pic>
      <xdr:nvPicPr>
        <xdr:cNvPr id="13" name="Picture 12">
          <a:extLst>
            <a:ext uri="{FF2B5EF4-FFF2-40B4-BE49-F238E27FC236}">
              <a16:creationId xmlns="" xmlns:a16="http://schemas.microsoft.com/office/drawing/2014/main" id="{E49898E4-49D3-4181-AB11-499AB874B4B5}"/>
            </a:ext>
          </a:extLst>
        </xdr:cNvPr>
        <xdr:cNvPicPr>
          <a:picLocks noChangeAspect="1"/>
        </xdr:cNvPicPr>
      </xdr:nvPicPr>
      <xdr:blipFill>
        <a:blip xmlns:r="http://schemas.openxmlformats.org/officeDocument/2006/relationships" r:embed="rId4"/>
        <a:stretch>
          <a:fillRect/>
        </a:stretch>
      </xdr:blipFill>
      <xdr:spPr>
        <a:xfrm>
          <a:off x="204107" y="10210800"/>
          <a:ext cx="173424" cy="2214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1095375</xdr:colOff>
      <xdr:row>295</xdr:row>
      <xdr:rowOff>123825</xdr:rowOff>
    </xdr:from>
    <xdr:to>
      <xdr:col>18</xdr:col>
      <xdr:colOff>1895475</xdr:colOff>
      <xdr:row>296</xdr:row>
      <xdr:rowOff>152400</xdr:rowOff>
    </xdr:to>
    <xdr:pic>
      <xdr:nvPicPr>
        <xdr:cNvPr id="2" name="Picture 1" descr="C:\WINDOWS\TEMP\~0003946.gif">
          <a:extLst>
            <a:ext uri="{FF2B5EF4-FFF2-40B4-BE49-F238E27FC236}">
              <a16:creationId xmlns="" xmlns:a16="http://schemas.microsoft.com/office/drawing/2014/main" id="{89A4D556-8005-4F46-9B68-F5FE9087E58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599027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3" name="Picture 2" descr="C:\WINDOWS\TEMP\~0003946.gif">
          <a:extLst>
            <a:ext uri="{FF2B5EF4-FFF2-40B4-BE49-F238E27FC236}">
              <a16:creationId xmlns="" xmlns:a16="http://schemas.microsoft.com/office/drawing/2014/main" id="{B1741629-E798-4D3D-8EFC-23568DD659A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39604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4" name="Picture 3" descr="C:\WINDOWS\TEMP\~0003946.gif">
          <a:extLst>
            <a:ext uri="{FF2B5EF4-FFF2-40B4-BE49-F238E27FC236}">
              <a16:creationId xmlns="" xmlns:a16="http://schemas.microsoft.com/office/drawing/2014/main" id="{EB477BDC-7C9D-4754-B1B0-24D9BC4912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249269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5" name="Picture 4" descr="C:\WINDOWS\TEMP\~0003946.gif">
          <a:extLst>
            <a:ext uri="{FF2B5EF4-FFF2-40B4-BE49-F238E27FC236}">
              <a16:creationId xmlns="" xmlns:a16="http://schemas.microsoft.com/office/drawing/2014/main" id="{DB2CC954-22A2-4A33-90DA-9DC1982A2C8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10277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1238250</xdr:colOff>
      <xdr:row>294</xdr:row>
      <xdr:rowOff>190500</xdr:rowOff>
    </xdr:from>
    <xdr:to>
      <xdr:col>18</xdr:col>
      <xdr:colOff>870390</xdr:colOff>
      <xdr:row>296</xdr:row>
      <xdr:rowOff>81015</xdr:rowOff>
    </xdr:to>
    <xdr:pic>
      <xdr:nvPicPr>
        <xdr:cNvPr id="6" name="Picture 5">
          <a:extLst>
            <a:ext uri="{FF2B5EF4-FFF2-40B4-BE49-F238E27FC236}">
              <a16:creationId xmlns="" xmlns:a16="http://schemas.microsoft.com/office/drawing/2014/main" id="{F76AE522-BFDF-44DC-85DA-A9A7B409EF05}"/>
            </a:ext>
          </a:extLst>
        </xdr:cNvPr>
        <xdr:cNvPicPr>
          <a:picLocks noChangeAspect="1"/>
        </xdr:cNvPicPr>
      </xdr:nvPicPr>
      <xdr:blipFill>
        <a:blip xmlns:r="http://schemas.openxmlformats.org/officeDocument/2006/relationships" r:embed="rId3"/>
        <a:stretch>
          <a:fillRect/>
        </a:stretch>
      </xdr:blipFill>
      <xdr:spPr>
        <a:xfrm>
          <a:off x="20050125" y="59769375"/>
          <a:ext cx="889440" cy="290565"/>
        </a:xfrm>
        <a:prstGeom prst="rect">
          <a:avLst/>
        </a:prstGeom>
      </xdr:spPr>
    </xdr:pic>
    <xdr:clientData/>
  </xdr:twoCellAnchor>
  <xdr:twoCellAnchor editAs="oneCell">
    <xdr:from>
      <xdr:col>18</xdr:col>
      <xdr:colOff>0</xdr:colOff>
      <xdr:row>194</xdr:row>
      <xdr:rowOff>0</xdr:rowOff>
    </xdr:from>
    <xdr:to>
      <xdr:col>18</xdr:col>
      <xdr:colOff>883997</xdr:colOff>
      <xdr:row>195</xdr:row>
      <xdr:rowOff>94623</xdr:rowOff>
    </xdr:to>
    <xdr:pic>
      <xdr:nvPicPr>
        <xdr:cNvPr id="7" name="Picture 6">
          <a:extLst>
            <a:ext uri="{FF2B5EF4-FFF2-40B4-BE49-F238E27FC236}">
              <a16:creationId xmlns="" xmlns:a16="http://schemas.microsoft.com/office/drawing/2014/main" id="{4FA285B2-6C9C-40C1-8A8D-F02585BED1CA}"/>
            </a:ext>
          </a:extLst>
        </xdr:cNvPr>
        <xdr:cNvPicPr>
          <a:picLocks noChangeAspect="1"/>
        </xdr:cNvPicPr>
      </xdr:nvPicPr>
      <xdr:blipFill>
        <a:blip xmlns:r="http://schemas.openxmlformats.org/officeDocument/2006/relationships" r:embed="rId3"/>
        <a:stretch>
          <a:fillRect/>
        </a:stretch>
      </xdr:blipFill>
      <xdr:spPr>
        <a:xfrm>
          <a:off x="20069175" y="39452550"/>
          <a:ext cx="883997" cy="294648"/>
        </a:xfrm>
        <a:prstGeom prst="rect">
          <a:avLst/>
        </a:prstGeom>
      </xdr:spPr>
    </xdr:pic>
    <xdr:clientData/>
  </xdr:twoCellAnchor>
  <xdr:twoCellAnchor editAs="oneCell">
    <xdr:from>
      <xdr:col>18</xdr:col>
      <xdr:colOff>0</xdr:colOff>
      <xdr:row>121</xdr:row>
      <xdr:rowOff>0</xdr:rowOff>
    </xdr:from>
    <xdr:to>
      <xdr:col>18</xdr:col>
      <xdr:colOff>883997</xdr:colOff>
      <xdr:row>122</xdr:row>
      <xdr:rowOff>94623</xdr:rowOff>
    </xdr:to>
    <xdr:pic>
      <xdr:nvPicPr>
        <xdr:cNvPr id="8" name="Picture 7">
          <a:extLst>
            <a:ext uri="{FF2B5EF4-FFF2-40B4-BE49-F238E27FC236}">
              <a16:creationId xmlns="" xmlns:a16="http://schemas.microsoft.com/office/drawing/2014/main" id="{E72DFB50-2257-4F2B-9B09-8A0B7643DBE8}"/>
            </a:ext>
          </a:extLst>
        </xdr:cNvPr>
        <xdr:cNvPicPr>
          <a:picLocks noChangeAspect="1"/>
        </xdr:cNvPicPr>
      </xdr:nvPicPr>
      <xdr:blipFill>
        <a:blip xmlns:r="http://schemas.openxmlformats.org/officeDocument/2006/relationships" r:embed="rId3"/>
        <a:stretch>
          <a:fillRect/>
        </a:stretch>
      </xdr:blipFill>
      <xdr:spPr>
        <a:xfrm>
          <a:off x="20069175" y="24765000"/>
          <a:ext cx="883997" cy="294648"/>
        </a:xfrm>
        <a:prstGeom prst="rect">
          <a:avLst/>
        </a:prstGeom>
      </xdr:spPr>
    </xdr:pic>
    <xdr:clientData/>
  </xdr:twoCellAnchor>
  <xdr:twoCellAnchor editAs="oneCell">
    <xdr:from>
      <xdr:col>18</xdr:col>
      <xdr:colOff>13607</xdr:colOff>
      <xdr:row>50</xdr:row>
      <xdr:rowOff>40821</xdr:rowOff>
    </xdr:from>
    <xdr:to>
      <xdr:col>18</xdr:col>
      <xdr:colOff>897604</xdr:colOff>
      <xdr:row>51</xdr:row>
      <xdr:rowOff>135444</xdr:rowOff>
    </xdr:to>
    <xdr:pic>
      <xdr:nvPicPr>
        <xdr:cNvPr id="9" name="Picture 8">
          <a:extLst>
            <a:ext uri="{FF2B5EF4-FFF2-40B4-BE49-F238E27FC236}">
              <a16:creationId xmlns="" xmlns:a16="http://schemas.microsoft.com/office/drawing/2014/main" id="{9EFA76C5-BD49-432C-B40A-B2A018067D7E}"/>
            </a:ext>
          </a:extLst>
        </xdr:cNvPr>
        <xdr:cNvPicPr>
          <a:picLocks noChangeAspect="1"/>
        </xdr:cNvPicPr>
      </xdr:nvPicPr>
      <xdr:blipFill>
        <a:blip xmlns:r="http://schemas.openxmlformats.org/officeDocument/2006/relationships" r:embed="rId3"/>
        <a:stretch>
          <a:fillRect/>
        </a:stretch>
      </xdr:blipFill>
      <xdr:spPr>
        <a:xfrm>
          <a:off x="20082782" y="10156371"/>
          <a:ext cx="883997" cy="294648"/>
        </a:xfrm>
        <a:prstGeom prst="rect">
          <a:avLst/>
        </a:prstGeom>
      </xdr:spPr>
    </xdr:pic>
    <xdr:clientData/>
  </xdr:twoCellAnchor>
  <xdr:twoCellAnchor editAs="oneCell">
    <xdr:from>
      <xdr:col>0</xdr:col>
      <xdr:colOff>190500</xdr:colOff>
      <xdr:row>295</xdr:row>
      <xdr:rowOff>149678</xdr:rowOff>
    </xdr:from>
    <xdr:to>
      <xdr:col>1</xdr:col>
      <xdr:colOff>21024</xdr:colOff>
      <xdr:row>296</xdr:row>
      <xdr:rowOff>171143</xdr:rowOff>
    </xdr:to>
    <xdr:pic>
      <xdr:nvPicPr>
        <xdr:cNvPr id="10" name="Picture 9">
          <a:extLst>
            <a:ext uri="{FF2B5EF4-FFF2-40B4-BE49-F238E27FC236}">
              <a16:creationId xmlns="" xmlns:a16="http://schemas.microsoft.com/office/drawing/2014/main" id="{6C4FC2A7-2A3E-44E8-8309-06C3D1EE8C0B}"/>
            </a:ext>
          </a:extLst>
        </xdr:cNvPr>
        <xdr:cNvPicPr>
          <a:picLocks noChangeAspect="1"/>
        </xdr:cNvPicPr>
      </xdr:nvPicPr>
      <xdr:blipFill>
        <a:blip xmlns:r="http://schemas.openxmlformats.org/officeDocument/2006/relationships" r:embed="rId4"/>
        <a:stretch>
          <a:fillRect/>
        </a:stretch>
      </xdr:blipFill>
      <xdr:spPr>
        <a:xfrm>
          <a:off x="190500" y="59928578"/>
          <a:ext cx="173424" cy="221490"/>
        </a:xfrm>
        <a:prstGeom prst="rect">
          <a:avLst/>
        </a:prstGeom>
      </xdr:spPr>
    </xdr:pic>
    <xdr:clientData/>
  </xdr:twoCellAnchor>
  <xdr:twoCellAnchor editAs="oneCell">
    <xdr:from>
      <xdr:col>0</xdr:col>
      <xdr:colOff>176893</xdr:colOff>
      <xdr:row>194</xdr:row>
      <xdr:rowOff>136071</xdr:rowOff>
    </xdr:from>
    <xdr:to>
      <xdr:col>1</xdr:col>
      <xdr:colOff>7417</xdr:colOff>
      <xdr:row>195</xdr:row>
      <xdr:rowOff>157536</xdr:rowOff>
    </xdr:to>
    <xdr:pic>
      <xdr:nvPicPr>
        <xdr:cNvPr id="11" name="Picture 10">
          <a:extLst>
            <a:ext uri="{FF2B5EF4-FFF2-40B4-BE49-F238E27FC236}">
              <a16:creationId xmlns="" xmlns:a16="http://schemas.microsoft.com/office/drawing/2014/main" id="{E92E6B2A-AE5F-43FC-9EE6-C01CC20397EF}"/>
            </a:ext>
          </a:extLst>
        </xdr:cNvPr>
        <xdr:cNvPicPr>
          <a:picLocks noChangeAspect="1"/>
        </xdr:cNvPicPr>
      </xdr:nvPicPr>
      <xdr:blipFill>
        <a:blip xmlns:r="http://schemas.openxmlformats.org/officeDocument/2006/relationships" r:embed="rId4"/>
        <a:stretch>
          <a:fillRect/>
        </a:stretch>
      </xdr:blipFill>
      <xdr:spPr>
        <a:xfrm>
          <a:off x="176893" y="39588621"/>
          <a:ext cx="173424" cy="221490"/>
        </a:xfrm>
        <a:prstGeom prst="rect">
          <a:avLst/>
        </a:prstGeom>
      </xdr:spPr>
    </xdr:pic>
    <xdr:clientData/>
  </xdr:twoCellAnchor>
  <xdr:twoCellAnchor editAs="oneCell">
    <xdr:from>
      <xdr:col>0</xdr:col>
      <xdr:colOff>176893</xdr:colOff>
      <xdr:row>121</xdr:row>
      <xdr:rowOff>122464</xdr:rowOff>
    </xdr:from>
    <xdr:to>
      <xdr:col>1</xdr:col>
      <xdr:colOff>7417</xdr:colOff>
      <xdr:row>122</xdr:row>
      <xdr:rowOff>143929</xdr:rowOff>
    </xdr:to>
    <xdr:pic>
      <xdr:nvPicPr>
        <xdr:cNvPr id="12" name="Picture 11">
          <a:extLst>
            <a:ext uri="{FF2B5EF4-FFF2-40B4-BE49-F238E27FC236}">
              <a16:creationId xmlns="" xmlns:a16="http://schemas.microsoft.com/office/drawing/2014/main" id="{5E69EFED-25A5-4C01-B37A-E10EF0D6B1A9}"/>
            </a:ext>
          </a:extLst>
        </xdr:cNvPr>
        <xdr:cNvPicPr>
          <a:picLocks noChangeAspect="1"/>
        </xdr:cNvPicPr>
      </xdr:nvPicPr>
      <xdr:blipFill>
        <a:blip xmlns:r="http://schemas.openxmlformats.org/officeDocument/2006/relationships" r:embed="rId4"/>
        <a:stretch>
          <a:fillRect/>
        </a:stretch>
      </xdr:blipFill>
      <xdr:spPr>
        <a:xfrm>
          <a:off x="176893" y="24887464"/>
          <a:ext cx="173424" cy="221490"/>
        </a:xfrm>
        <a:prstGeom prst="rect">
          <a:avLst/>
        </a:prstGeom>
      </xdr:spPr>
    </xdr:pic>
    <xdr:clientData/>
  </xdr:twoCellAnchor>
  <xdr:twoCellAnchor editAs="oneCell">
    <xdr:from>
      <xdr:col>0</xdr:col>
      <xdr:colOff>204107</xdr:colOff>
      <xdr:row>50</xdr:row>
      <xdr:rowOff>95250</xdr:rowOff>
    </xdr:from>
    <xdr:to>
      <xdr:col>1</xdr:col>
      <xdr:colOff>34631</xdr:colOff>
      <xdr:row>51</xdr:row>
      <xdr:rowOff>116715</xdr:rowOff>
    </xdr:to>
    <xdr:pic>
      <xdr:nvPicPr>
        <xdr:cNvPr id="13" name="Picture 12">
          <a:extLst>
            <a:ext uri="{FF2B5EF4-FFF2-40B4-BE49-F238E27FC236}">
              <a16:creationId xmlns="" xmlns:a16="http://schemas.microsoft.com/office/drawing/2014/main" id="{387970C5-E17E-468F-A938-61F7B7A70363}"/>
            </a:ext>
          </a:extLst>
        </xdr:cNvPr>
        <xdr:cNvPicPr>
          <a:picLocks noChangeAspect="1"/>
        </xdr:cNvPicPr>
      </xdr:nvPicPr>
      <xdr:blipFill>
        <a:blip xmlns:r="http://schemas.openxmlformats.org/officeDocument/2006/relationships" r:embed="rId4"/>
        <a:stretch>
          <a:fillRect/>
        </a:stretch>
      </xdr:blipFill>
      <xdr:spPr>
        <a:xfrm>
          <a:off x="204107" y="10210800"/>
          <a:ext cx="173424" cy="2214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1095375</xdr:colOff>
      <xdr:row>295</xdr:row>
      <xdr:rowOff>123825</xdr:rowOff>
    </xdr:from>
    <xdr:to>
      <xdr:col>18</xdr:col>
      <xdr:colOff>1895475</xdr:colOff>
      <xdr:row>296</xdr:row>
      <xdr:rowOff>152400</xdr:rowOff>
    </xdr:to>
    <xdr:pic>
      <xdr:nvPicPr>
        <xdr:cNvPr id="2" name="Picture 1" descr="C:\WINDOWS\TEMP\~0003946.gif">
          <a:extLst>
            <a:ext uri="{FF2B5EF4-FFF2-40B4-BE49-F238E27FC236}">
              <a16:creationId xmlns="" xmlns:a16="http://schemas.microsoft.com/office/drawing/2014/main" id="{9A07EC8C-4043-4BB2-A5EB-13F5B6DCE36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599027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3" name="Picture 2" descr="C:\WINDOWS\TEMP\~0003946.gif">
          <a:extLst>
            <a:ext uri="{FF2B5EF4-FFF2-40B4-BE49-F238E27FC236}">
              <a16:creationId xmlns="" xmlns:a16="http://schemas.microsoft.com/office/drawing/2014/main" id="{9FD46643-739B-4BE0-A033-A0B95D7302D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39604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4" name="Picture 3" descr="C:\WINDOWS\TEMP\~0003946.gif">
          <a:extLst>
            <a:ext uri="{FF2B5EF4-FFF2-40B4-BE49-F238E27FC236}">
              <a16:creationId xmlns="" xmlns:a16="http://schemas.microsoft.com/office/drawing/2014/main" id="{FED925F5-8664-4931-BF43-A625568C11F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249269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5" name="Picture 4" descr="C:\WINDOWS\TEMP\~0003946.gif">
          <a:extLst>
            <a:ext uri="{FF2B5EF4-FFF2-40B4-BE49-F238E27FC236}">
              <a16:creationId xmlns="" xmlns:a16="http://schemas.microsoft.com/office/drawing/2014/main" id="{F2FC503C-5AAA-4856-9F19-CC432C7BD38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10277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1238250</xdr:colOff>
      <xdr:row>294</xdr:row>
      <xdr:rowOff>190500</xdr:rowOff>
    </xdr:from>
    <xdr:to>
      <xdr:col>18</xdr:col>
      <xdr:colOff>870390</xdr:colOff>
      <xdr:row>296</xdr:row>
      <xdr:rowOff>81015</xdr:rowOff>
    </xdr:to>
    <xdr:pic>
      <xdr:nvPicPr>
        <xdr:cNvPr id="6" name="Picture 5">
          <a:extLst>
            <a:ext uri="{FF2B5EF4-FFF2-40B4-BE49-F238E27FC236}">
              <a16:creationId xmlns="" xmlns:a16="http://schemas.microsoft.com/office/drawing/2014/main" id="{000040DA-8234-4EC6-9993-F491AE925ACD}"/>
            </a:ext>
          </a:extLst>
        </xdr:cNvPr>
        <xdr:cNvPicPr>
          <a:picLocks noChangeAspect="1"/>
        </xdr:cNvPicPr>
      </xdr:nvPicPr>
      <xdr:blipFill>
        <a:blip xmlns:r="http://schemas.openxmlformats.org/officeDocument/2006/relationships" r:embed="rId3"/>
        <a:stretch>
          <a:fillRect/>
        </a:stretch>
      </xdr:blipFill>
      <xdr:spPr>
        <a:xfrm>
          <a:off x="20050125" y="59769375"/>
          <a:ext cx="889440" cy="290565"/>
        </a:xfrm>
        <a:prstGeom prst="rect">
          <a:avLst/>
        </a:prstGeom>
      </xdr:spPr>
    </xdr:pic>
    <xdr:clientData/>
  </xdr:twoCellAnchor>
  <xdr:twoCellAnchor editAs="oneCell">
    <xdr:from>
      <xdr:col>18</xdr:col>
      <xdr:colOff>0</xdr:colOff>
      <xdr:row>194</xdr:row>
      <xdr:rowOff>0</xdr:rowOff>
    </xdr:from>
    <xdr:to>
      <xdr:col>18</xdr:col>
      <xdr:colOff>883997</xdr:colOff>
      <xdr:row>195</xdr:row>
      <xdr:rowOff>94623</xdr:rowOff>
    </xdr:to>
    <xdr:pic>
      <xdr:nvPicPr>
        <xdr:cNvPr id="7" name="Picture 6">
          <a:extLst>
            <a:ext uri="{FF2B5EF4-FFF2-40B4-BE49-F238E27FC236}">
              <a16:creationId xmlns="" xmlns:a16="http://schemas.microsoft.com/office/drawing/2014/main" id="{27420BB4-A868-47F3-A8D3-530774BD67FC}"/>
            </a:ext>
          </a:extLst>
        </xdr:cNvPr>
        <xdr:cNvPicPr>
          <a:picLocks noChangeAspect="1"/>
        </xdr:cNvPicPr>
      </xdr:nvPicPr>
      <xdr:blipFill>
        <a:blip xmlns:r="http://schemas.openxmlformats.org/officeDocument/2006/relationships" r:embed="rId3"/>
        <a:stretch>
          <a:fillRect/>
        </a:stretch>
      </xdr:blipFill>
      <xdr:spPr>
        <a:xfrm>
          <a:off x="20069175" y="39452550"/>
          <a:ext cx="883997" cy="294648"/>
        </a:xfrm>
        <a:prstGeom prst="rect">
          <a:avLst/>
        </a:prstGeom>
      </xdr:spPr>
    </xdr:pic>
    <xdr:clientData/>
  </xdr:twoCellAnchor>
  <xdr:twoCellAnchor editAs="oneCell">
    <xdr:from>
      <xdr:col>18</xdr:col>
      <xdr:colOff>0</xdr:colOff>
      <xdr:row>121</xdr:row>
      <xdr:rowOff>0</xdr:rowOff>
    </xdr:from>
    <xdr:to>
      <xdr:col>18</xdr:col>
      <xdr:colOff>883997</xdr:colOff>
      <xdr:row>122</xdr:row>
      <xdr:rowOff>94623</xdr:rowOff>
    </xdr:to>
    <xdr:pic>
      <xdr:nvPicPr>
        <xdr:cNvPr id="8" name="Picture 7">
          <a:extLst>
            <a:ext uri="{FF2B5EF4-FFF2-40B4-BE49-F238E27FC236}">
              <a16:creationId xmlns="" xmlns:a16="http://schemas.microsoft.com/office/drawing/2014/main" id="{4C0C1D49-ECE2-4BA2-B4DD-30B0F56AC782}"/>
            </a:ext>
          </a:extLst>
        </xdr:cNvPr>
        <xdr:cNvPicPr>
          <a:picLocks noChangeAspect="1"/>
        </xdr:cNvPicPr>
      </xdr:nvPicPr>
      <xdr:blipFill>
        <a:blip xmlns:r="http://schemas.openxmlformats.org/officeDocument/2006/relationships" r:embed="rId3"/>
        <a:stretch>
          <a:fillRect/>
        </a:stretch>
      </xdr:blipFill>
      <xdr:spPr>
        <a:xfrm>
          <a:off x="20069175" y="24765000"/>
          <a:ext cx="883997" cy="294648"/>
        </a:xfrm>
        <a:prstGeom prst="rect">
          <a:avLst/>
        </a:prstGeom>
      </xdr:spPr>
    </xdr:pic>
    <xdr:clientData/>
  </xdr:twoCellAnchor>
  <xdr:twoCellAnchor editAs="oneCell">
    <xdr:from>
      <xdr:col>18</xdr:col>
      <xdr:colOff>13607</xdr:colOff>
      <xdr:row>50</xdr:row>
      <xdr:rowOff>40821</xdr:rowOff>
    </xdr:from>
    <xdr:to>
      <xdr:col>18</xdr:col>
      <xdr:colOff>897604</xdr:colOff>
      <xdr:row>51</xdr:row>
      <xdr:rowOff>135444</xdr:rowOff>
    </xdr:to>
    <xdr:pic>
      <xdr:nvPicPr>
        <xdr:cNvPr id="9" name="Picture 8">
          <a:extLst>
            <a:ext uri="{FF2B5EF4-FFF2-40B4-BE49-F238E27FC236}">
              <a16:creationId xmlns="" xmlns:a16="http://schemas.microsoft.com/office/drawing/2014/main" id="{B4AA2879-86B4-4BD9-B134-77896894D266}"/>
            </a:ext>
          </a:extLst>
        </xdr:cNvPr>
        <xdr:cNvPicPr>
          <a:picLocks noChangeAspect="1"/>
        </xdr:cNvPicPr>
      </xdr:nvPicPr>
      <xdr:blipFill>
        <a:blip xmlns:r="http://schemas.openxmlformats.org/officeDocument/2006/relationships" r:embed="rId3"/>
        <a:stretch>
          <a:fillRect/>
        </a:stretch>
      </xdr:blipFill>
      <xdr:spPr>
        <a:xfrm>
          <a:off x="20082782" y="10156371"/>
          <a:ext cx="883997" cy="294648"/>
        </a:xfrm>
        <a:prstGeom prst="rect">
          <a:avLst/>
        </a:prstGeom>
      </xdr:spPr>
    </xdr:pic>
    <xdr:clientData/>
  </xdr:twoCellAnchor>
  <xdr:twoCellAnchor editAs="oneCell">
    <xdr:from>
      <xdr:col>0</xdr:col>
      <xdr:colOff>190500</xdr:colOff>
      <xdr:row>295</xdr:row>
      <xdr:rowOff>149678</xdr:rowOff>
    </xdr:from>
    <xdr:to>
      <xdr:col>1</xdr:col>
      <xdr:colOff>21024</xdr:colOff>
      <xdr:row>296</xdr:row>
      <xdr:rowOff>171143</xdr:rowOff>
    </xdr:to>
    <xdr:pic>
      <xdr:nvPicPr>
        <xdr:cNvPr id="10" name="Picture 9">
          <a:extLst>
            <a:ext uri="{FF2B5EF4-FFF2-40B4-BE49-F238E27FC236}">
              <a16:creationId xmlns="" xmlns:a16="http://schemas.microsoft.com/office/drawing/2014/main" id="{6DFC56CE-30CD-4447-B859-EF96BA84FD9B}"/>
            </a:ext>
          </a:extLst>
        </xdr:cNvPr>
        <xdr:cNvPicPr>
          <a:picLocks noChangeAspect="1"/>
        </xdr:cNvPicPr>
      </xdr:nvPicPr>
      <xdr:blipFill>
        <a:blip xmlns:r="http://schemas.openxmlformats.org/officeDocument/2006/relationships" r:embed="rId4"/>
        <a:stretch>
          <a:fillRect/>
        </a:stretch>
      </xdr:blipFill>
      <xdr:spPr>
        <a:xfrm>
          <a:off x="190500" y="59928578"/>
          <a:ext cx="173424" cy="221490"/>
        </a:xfrm>
        <a:prstGeom prst="rect">
          <a:avLst/>
        </a:prstGeom>
      </xdr:spPr>
    </xdr:pic>
    <xdr:clientData/>
  </xdr:twoCellAnchor>
  <xdr:twoCellAnchor editAs="oneCell">
    <xdr:from>
      <xdr:col>0</xdr:col>
      <xdr:colOff>176893</xdr:colOff>
      <xdr:row>194</xdr:row>
      <xdr:rowOff>136071</xdr:rowOff>
    </xdr:from>
    <xdr:to>
      <xdr:col>1</xdr:col>
      <xdr:colOff>7417</xdr:colOff>
      <xdr:row>195</xdr:row>
      <xdr:rowOff>157536</xdr:rowOff>
    </xdr:to>
    <xdr:pic>
      <xdr:nvPicPr>
        <xdr:cNvPr id="11" name="Picture 10">
          <a:extLst>
            <a:ext uri="{FF2B5EF4-FFF2-40B4-BE49-F238E27FC236}">
              <a16:creationId xmlns="" xmlns:a16="http://schemas.microsoft.com/office/drawing/2014/main" id="{CCE49ACB-E746-47C6-A88F-6E72ACBAA15A}"/>
            </a:ext>
          </a:extLst>
        </xdr:cNvPr>
        <xdr:cNvPicPr>
          <a:picLocks noChangeAspect="1"/>
        </xdr:cNvPicPr>
      </xdr:nvPicPr>
      <xdr:blipFill>
        <a:blip xmlns:r="http://schemas.openxmlformats.org/officeDocument/2006/relationships" r:embed="rId4"/>
        <a:stretch>
          <a:fillRect/>
        </a:stretch>
      </xdr:blipFill>
      <xdr:spPr>
        <a:xfrm>
          <a:off x="176893" y="39588621"/>
          <a:ext cx="173424" cy="221490"/>
        </a:xfrm>
        <a:prstGeom prst="rect">
          <a:avLst/>
        </a:prstGeom>
      </xdr:spPr>
    </xdr:pic>
    <xdr:clientData/>
  </xdr:twoCellAnchor>
  <xdr:twoCellAnchor editAs="oneCell">
    <xdr:from>
      <xdr:col>0</xdr:col>
      <xdr:colOff>176893</xdr:colOff>
      <xdr:row>121</xdr:row>
      <xdr:rowOff>122464</xdr:rowOff>
    </xdr:from>
    <xdr:to>
      <xdr:col>1</xdr:col>
      <xdr:colOff>7417</xdr:colOff>
      <xdr:row>122</xdr:row>
      <xdr:rowOff>143929</xdr:rowOff>
    </xdr:to>
    <xdr:pic>
      <xdr:nvPicPr>
        <xdr:cNvPr id="12" name="Picture 11">
          <a:extLst>
            <a:ext uri="{FF2B5EF4-FFF2-40B4-BE49-F238E27FC236}">
              <a16:creationId xmlns="" xmlns:a16="http://schemas.microsoft.com/office/drawing/2014/main" id="{35369733-5028-4A27-9831-1E2539EEED06}"/>
            </a:ext>
          </a:extLst>
        </xdr:cNvPr>
        <xdr:cNvPicPr>
          <a:picLocks noChangeAspect="1"/>
        </xdr:cNvPicPr>
      </xdr:nvPicPr>
      <xdr:blipFill>
        <a:blip xmlns:r="http://schemas.openxmlformats.org/officeDocument/2006/relationships" r:embed="rId4"/>
        <a:stretch>
          <a:fillRect/>
        </a:stretch>
      </xdr:blipFill>
      <xdr:spPr>
        <a:xfrm>
          <a:off x="176893" y="24887464"/>
          <a:ext cx="173424" cy="221490"/>
        </a:xfrm>
        <a:prstGeom prst="rect">
          <a:avLst/>
        </a:prstGeom>
      </xdr:spPr>
    </xdr:pic>
    <xdr:clientData/>
  </xdr:twoCellAnchor>
  <xdr:twoCellAnchor editAs="oneCell">
    <xdr:from>
      <xdr:col>0</xdr:col>
      <xdr:colOff>204107</xdr:colOff>
      <xdr:row>50</xdr:row>
      <xdr:rowOff>95250</xdr:rowOff>
    </xdr:from>
    <xdr:to>
      <xdr:col>1</xdr:col>
      <xdr:colOff>34631</xdr:colOff>
      <xdr:row>51</xdr:row>
      <xdr:rowOff>116715</xdr:rowOff>
    </xdr:to>
    <xdr:pic>
      <xdr:nvPicPr>
        <xdr:cNvPr id="13" name="Picture 12">
          <a:extLst>
            <a:ext uri="{FF2B5EF4-FFF2-40B4-BE49-F238E27FC236}">
              <a16:creationId xmlns="" xmlns:a16="http://schemas.microsoft.com/office/drawing/2014/main" id="{8A4A1B83-060A-4BB0-A629-C1C3FDE78D67}"/>
            </a:ext>
          </a:extLst>
        </xdr:cNvPr>
        <xdr:cNvPicPr>
          <a:picLocks noChangeAspect="1"/>
        </xdr:cNvPicPr>
      </xdr:nvPicPr>
      <xdr:blipFill>
        <a:blip xmlns:r="http://schemas.openxmlformats.org/officeDocument/2006/relationships" r:embed="rId4"/>
        <a:stretch>
          <a:fillRect/>
        </a:stretch>
      </xdr:blipFill>
      <xdr:spPr>
        <a:xfrm>
          <a:off x="204107" y="10210800"/>
          <a:ext cx="173424" cy="2214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1095375</xdr:colOff>
      <xdr:row>297</xdr:row>
      <xdr:rowOff>123825</xdr:rowOff>
    </xdr:from>
    <xdr:to>
      <xdr:col>18</xdr:col>
      <xdr:colOff>1895475</xdr:colOff>
      <xdr:row>298</xdr:row>
      <xdr:rowOff>152400</xdr:rowOff>
    </xdr:to>
    <xdr:pic>
      <xdr:nvPicPr>
        <xdr:cNvPr id="2" name="Picture 1" descr="C:\WINDOWS\TEMP\~0003946.gif">
          <a:extLst>
            <a:ext uri="{FF2B5EF4-FFF2-40B4-BE49-F238E27FC236}">
              <a16:creationId xmlns="" xmlns:a16="http://schemas.microsoft.com/office/drawing/2014/main" id="{B9A92D0A-9B06-4E30-A23B-80A1E1022E0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599027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196</xdr:row>
      <xdr:rowOff>152400</xdr:rowOff>
    </xdr:from>
    <xdr:to>
      <xdr:col>18</xdr:col>
      <xdr:colOff>1924050</xdr:colOff>
      <xdr:row>197</xdr:row>
      <xdr:rowOff>180975</xdr:rowOff>
    </xdr:to>
    <xdr:pic>
      <xdr:nvPicPr>
        <xdr:cNvPr id="3" name="Picture 2" descr="C:\WINDOWS\TEMP\~0003946.gif">
          <a:extLst>
            <a:ext uri="{FF2B5EF4-FFF2-40B4-BE49-F238E27FC236}">
              <a16:creationId xmlns="" xmlns:a16="http://schemas.microsoft.com/office/drawing/2014/main" id="{4AD4472F-4232-4408-842F-F911AB129D9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39604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122</xdr:row>
      <xdr:rowOff>161925</xdr:rowOff>
    </xdr:from>
    <xdr:to>
      <xdr:col>18</xdr:col>
      <xdr:colOff>1952625</xdr:colOff>
      <xdr:row>123</xdr:row>
      <xdr:rowOff>190500</xdr:rowOff>
    </xdr:to>
    <xdr:pic>
      <xdr:nvPicPr>
        <xdr:cNvPr id="4" name="Picture 3" descr="C:\WINDOWS\TEMP\~0003946.gif">
          <a:extLst>
            <a:ext uri="{FF2B5EF4-FFF2-40B4-BE49-F238E27FC236}">
              <a16:creationId xmlns="" xmlns:a16="http://schemas.microsoft.com/office/drawing/2014/main" id="{E2EAB0F5-8E94-443B-87E9-392DD4D10C5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249269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5" name="Picture 4" descr="C:\WINDOWS\TEMP\~0003946.gif">
          <a:extLst>
            <a:ext uri="{FF2B5EF4-FFF2-40B4-BE49-F238E27FC236}">
              <a16:creationId xmlns="" xmlns:a16="http://schemas.microsoft.com/office/drawing/2014/main" id="{540DA8FE-2A30-4707-8F79-34EE3DA8DFC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78825" y="10277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1238250</xdr:colOff>
      <xdr:row>296</xdr:row>
      <xdr:rowOff>190500</xdr:rowOff>
    </xdr:from>
    <xdr:to>
      <xdr:col>18</xdr:col>
      <xdr:colOff>870390</xdr:colOff>
      <xdr:row>298</xdr:row>
      <xdr:rowOff>81016</xdr:rowOff>
    </xdr:to>
    <xdr:pic>
      <xdr:nvPicPr>
        <xdr:cNvPr id="6" name="Picture 5">
          <a:extLst>
            <a:ext uri="{FF2B5EF4-FFF2-40B4-BE49-F238E27FC236}">
              <a16:creationId xmlns="" xmlns:a16="http://schemas.microsoft.com/office/drawing/2014/main" id="{35D9F5B6-53E3-4DCA-A069-884DAE31F436}"/>
            </a:ext>
          </a:extLst>
        </xdr:cNvPr>
        <xdr:cNvPicPr>
          <a:picLocks noChangeAspect="1"/>
        </xdr:cNvPicPr>
      </xdr:nvPicPr>
      <xdr:blipFill>
        <a:blip xmlns:r="http://schemas.openxmlformats.org/officeDocument/2006/relationships" r:embed="rId3"/>
        <a:stretch>
          <a:fillRect/>
        </a:stretch>
      </xdr:blipFill>
      <xdr:spPr>
        <a:xfrm>
          <a:off x="20050125" y="59769375"/>
          <a:ext cx="889440" cy="290565"/>
        </a:xfrm>
        <a:prstGeom prst="rect">
          <a:avLst/>
        </a:prstGeom>
      </xdr:spPr>
    </xdr:pic>
    <xdr:clientData/>
  </xdr:twoCellAnchor>
  <xdr:twoCellAnchor editAs="oneCell">
    <xdr:from>
      <xdr:col>18</xdr:col>
      <xdr:colOff>0</xdr:colOff>
      <xdr:row>196</xdr:row>
      <xdr:rowOff>0</xdr:rowOff>
    </xdr:from>
    <xdr:to>
      <xdr:col>18</xdr:col>
      <xdr:colOff>883997</xdr:colOff>
      <xdr:row>197</xdr:row>
      <xdr:rowOff>94623</xdr:rowOff>
    </xdr:to>
    <xdr:pic>
      <xdr:nvPicPr>
        <xdr:cNvPr id="7" name="Picture 6">
          <a:extLst>
            <a:ext uri="{FF2B5EF4-FFF2-40B4-BE49-F238E27FC236}">
              <a16:creationId xmlns="" xmlns:a16="http://schemas.microsoft.com/office/drawing/2014/main" id="{D2334755-6EC7-4669-B801-82464EC8BF8C}"/>
            </a:ext>
          </a:extLst>
        </xdr:cNvPr>
        <xdr:cNvPicPr>
          <a:picLocks noChangeAspect="1"/>
        </xdr:cNvPicPr>
      </xdr:nvPicPr>
      <xdr:blipFill>
        <a:blip xmlns:r="http://schemas.openxmlformats.org/officeDocument/2006/relationships" r:embed="rId3"/>
        <a:stretch>
          <a:fillRect/>
        </a:stretch>
      </xdr:blipFill>
      <xdr:spPr>
        <a:xfrm>
          <a:off x="20069175" y="39452550"/>
          <a:ext cx="883997" cy="294648"/>
        </a:xfrm>
        <a:prstGeom prst="rect">
          <a:avLst/>
        </a:prstGeom>
      </xdr:spPr>
    </xdr:pic>
    <xdr:clientData/>
  </xdr:twoCellAnchor>
  <xdr:twoCellAnchor editAs="oneCell">
    <xdr:from>
      <xdr:col>18</xdr:col>
      <xdr:colOff>0</xdr:colOff>
      <xdr:row>122</xdr:row>
      <xdr:rowOff>0</xdr:rowOff>
    </xdr:from>
    <xdr:to>
      <xdr:col>18</xdr:col>
      <xdr:colOff>883997</xdr:colOff>
      <xdr:row>123</xdr:row>
      <xdr:rowOff>94623</xdr:rowOff>
    </xdr:to>
    <xdr:pic>
      <xdr:nvPicPr>
        <xdr:cNvPr id="8" name="Picture 7">
          <a:extLst>
            <a:ext uri="{FF2B5EF4-FFF2-40B4-BE49-F238E27FC236}">
              <a16:creationId xmlns="" xmlns:a16="http://schemas.microsoft.com/office/drawing/2014/main" id="{AEC28A66-4550-4D61-92E7-E69A32E0BD22}"/>
            </a:ext>
          </a:extLst>
        </xdr:cNvPr>
        <xdr:cNvPicPr>
          <a:picLocks noChangeAspect="1"/>
        </xdr:cNvPicPr>
      </xdr:nvPicPr>
      <xdr:blipFill>
        <a:blip xmlns:r="http://schemas.openxmlformats.org/officeDocument/2006/relationships" r:embed="rId3"/>
        <a:stretch>
          <a:fillRect/>
        </a:stretch>
      </xdr:blipFill>
      <xdr:spPr>
        <a:xfrm>
          <a:off x="20069175" y="24765000"/>
          <a:ext cx="883997" cy="294648"/>
        </a:xfrm>
        <a:prstGeom prst="rect">
          <a:avLst/>
        </a:prstGeom>
      </xdr:spPr>
    </xdr:pic>
    <xdr:clientData/>
  </xdr:twoCellAnchor>
  <xdr:twoCellAnchor editAs="oneCell">
    <xdr:from>
      <xdr:col>18</xdr:col>
      <xdr:colOff>13607</xdr:colOff>
      <xdr:row>50</xdr:row>
      <xdr:rowOff>40821</xdr:rowOff>
    </xdr:from>
    <xdr:to>
      <xdr:col>18</xdr:col>
      <xdr:colOff>897604</xdr:colOff>
      <xdr:row>51</xdr:row>
      <xdr:rowOff>135444</xdr:rowOff>
    </xdr:to>
    <xdr:pic>
      <xdr:nvPicPr>
        <xdr:cNvPr id="9" name="Picture 8">
          <a:extLst>
            <a:ext uri="{FF2B5EF4-FFF2-40B4-BE49-F238E27FC236}">
              <a16:creationId xmlns="" xmlns:a16="http://schemas.microsoft.com/office/drawing/2014/main" id="{AB78223B-44B8-4163-BCBC-6AD40EF88AAC}"/>
            </a:ext>
          </a:extLst>
        </xdr:cNvPr>
        <xdr:cNvPicPr>
          <a:picLocks noChangeAspect="1"/>
        </xdr:cNvPicPr>
      </xdr:nvPicPr>
      <xdr:blipFill>
        <a:blip xmlns:r="http://schemas.openxmlformats.org/officeDocument/2006/relationships" r:embed="rId3"/>
        <a:stretch>
          <a:fillRect/>
        </a:stretch>
      </xdr:blipFill>
      <xdr:spPr>
        <a:xfrm>
          <a:off x="20082782" y="10156371"/>
          <a:ext cx="883997" cy="294648"/>
        </a:xfrm>
        <a:prstGeom prst="rect">
          <a:avLst/>
        </a:prstGeom>
      </xdr:spPr>
    </xdr:pic>
    <xdr:clientData/>
  </xdr:twoCellAnchor>
  <xdr:twoCellAnchor editAs="oneCell">
    <xdr:from>
      <xdr:col>0</xdr:col>
      <xdr:colOff>190500</xdr:colOff>
      <xdr:row>297</xdr:row>
      <xdr:rowOff>149678</xdr:rowOff>
    </xdr:from>
    <xdr:to>
      <xdr:col>1</xdr:col>
      <xdr:colOff>21024</xdr:colOff>
      <xdr:row>298</xdr:row>
      <xdr:rowOff>171144</xdr:rowOff>
    </xdr:to>
    <xdr:pic>
      <xdr:nvPicPr>
        <xdr:cNvPr id="10" name="Picture 9">
          <a:extLst>
            <a:ext uri="{FF2B5EF4-FFF2-40B4-BE49-F238E27FC236}">
              <a16:creationId xmlns="" xmlns:a16="http://schemas.microsoft.com/office/drawing/2014/main" id="{05ECBB24-C21B-4126-A47F-C49153121787}"/>
            </a:ext>
          </a:extLst>
        </xdr:cNvPr>
        <xdr:cNvPicPr>
          <a:picLocks noChangeAspect="1"/>
        </xdr:cNvPicPr>
      </xdr:nvPicPr>
      <xdr:blipFill>
        <a:blip xmlns:r="http://schemas.openxmlformats.org/officeDocument/2006/relationships" r:embed="rId4"/>
        <a:stretch>
          <a:fillRect/>
        </a:stretch>
      </xdr:blipFill>
      <xdr:spPr>
        <a:xfrm>
          <a:off x="190500" y="59928578"/>
          <a:ext cx="173424" cy="221490"/>
        </a:xfrm>
        <a:prstGeom prst="rect">
          <a:avLst/>
        </a:prstGeom>
      </xdr:spPr>
    </xdr:pic>
    <xdr:clientData/>
  </xdr:twoCellAnchor>
  <xdr:twoCellAnchor editAs="oneCell">
    <xdr:from>
      <xdr:col>0</xdr:col>
      <xdr:colOff>176893</xdr:colOff>
      <xdr:row>196</xdr:row>
      <xdr:rowOff>136071</xdr:rowOff>
    </xdr:from>
    <xdr:to>
      <xdr:col>1</xdr:col>
      <xdr:colOff>7417</xdr:colOff>
      <xdr:row>197</xdr:row>
      <xdr:rowOff>157536</xdr:rowOff>
    </xdr:to>
    <xdr:pic>
      <xdr:nvPicPr>
        <xdr:cNvPr id="11" name="Picture 10">
          <a:extLst>
            <a:ext uri="{FF2B5EF4-FFF2-40B4-BE49-F238E27FC236}">
              <a16:creationId xmlns="" xmlns:a16="http://schemas.microsoft.com/office/drawing/2014/main" id="{5501DEA1-5611-497B-A68C-E410FBBB84E6}"/>
            </a:ext>
          </a:extLst>
        </xdr:cNvPr>
        <xdr:cNvPicPr>
          <a:picLocks noChangeAspect="1"/>
        </xdr:cNvPicPr>
      </xdr:nvPicPr>
      <xdr:blipFill>
        <a:blip xmlns:r="http://schemas.openxmlformats.org/officeDocument/2006/relationships" r:embed="rId4"/>
        <a:stretch>
          <a:fillRect/>
        </a:stretch>
      </xdr:blipFill>
      <xdr:spPr>
        <a:xfrm>
          <a:off x="176893" y="39588621"/>
          <a:ext cx="173424" cy="221490"/>
        </a:xfrm>
        <a:prstGeom prst="rect">
          <a:avLst/>
        </a:prstGeom>
      </xdr:spPr>
    </xdr:pic>
    <xdr:clientData/>
  </xdr:twoCellAnchor>
  <xdr:twoCellAnchor editAs="oneCell">
    <xdr:from>
      <xdr:col>0</xdr:col>
      <xdr:colOff>176893</xdr:colOff>
      <xdr:row>122</xdr:row>
      <xdr:rowOff>122464</xdr:rowOff>
    </xdr:from>
    <xdr:to>
      <xdr:col>1</xdr:col>
      <xdr:colOff>7417</xdr:colOff>
      <xdr:row>123</xdr:row>
      <xdr:rowOff>143929</xdr:rowOff>
    </xdr:to>
    <xdr:pic>
      <xdr:nvPicPr>
        <xdr:cNvPr id="12" name="Picture 11">
          <a:extLst>
            <a:ext uri="{FF2B5EF4-FFF2-40B4-BE49-F238E27FC236}">
              <a16:creationId xmlns="" xmlns:a16="http://schemas.microsoft.com/office/drawing/2014/main" id="{C686119A-B461-4708-B151-41BB75EE4204}"/>
            </a:ext>
          </a:extLst>
        </xdr:cNvPr>
        <xdr:cNvPicPr>
          <a:picLocks noChangeAspect="1"/>
        </xdr:cNvPicPr>
      </xdr:nvPicPr>
      <xdr:blipFill>
        <a:blip xmlns:r="http://schemas.openxmlformats.org/officeDocument/2006/relationships" r:embed="rId4"/>
        <a:stretch>
          <a:fillRect/>
        </a:stretch>
      </xdr:blipFill>
      <xdr:spPr>
        <a:xfrm>
          <a:off x="176893" y="24887464"/>
          <a:ext cx="173424" cy="221490"/>
        </a:xfrm>
        <a:prstGeom prst="rect">
          <a:avLst/>
        </a:prstGeom>
      </xdr:spPr>
    </xdr:pic>
    <xdr:clientData/>
  </xdr:twoCellAnchor>
  <xdr:twoCellAnchor editAs="oneCell">
    <xdr:from>
      <xdr:col>0</xdr:col>
      <xdr:colOff>204107</xdr:colOff>
      <xdr:row>50</xdr:row>
      <xdr:rowOff>95250</xdr:rowOff>
    </xdr:from>
    <xdr:to>
      <xdr:col>1</xdr:col>
      <xdr:colOff>34631</xdr:colOff>
      <xdr:row>51</xdr:row>
      <xdr:rowOff>116715</xdr:rowOff>
    </xdr:to>
    <xdr:pic>
      <xdr:nvPicPr>
        <xdr:cNvPr id="13" name="Picture 12">
          <a:extLst>
            <a:ext uri="{FF2B5EF4-FFF2-40B4-BE49-F238E27FC236}">
              <a16:creationId xmlns="" xmlns:a16="http://schemas.microsoft.com/office/drawing/2014/main" id="{F9B3289D-176E-490B-BDAC-0E68CED5E49B}"/>
            </a:ext>
          </a:extLst>
        </xdr:cNvPr>
        <xdr:cNvPicPr>
          <a:picLocks noChangeAspect="1"/>
        </xdr:cNvPicPr>
      </xdr:nvPicPr>
      <xdr:blipFill>
        <a:blip xmlns:r="http://schemas.openxmlformats.org/officeDocument/2006/relationships" r:embed="rId4"/>
        <a:stretch>
          <a:fillRect/>
        </a:stretch>
      </xdr:blipFill>
      <xdr:spPr>
        <a:xfrm>
          <a:off x="204107" y="10210800"/>
          <a:ext cx="173424" cy="221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317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8145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295</xdr:row>
      <xdr:rowOff>161925</xdr:rowOff>
    </xdr:from>
    <xdr:to>
      <xdr:col>1</xdr:col>
      <xdr:colOff>19050</xdr:colOff>
      <xdr:row>296</xdr:row>
      <xdr:rowOff>200025</xdr:rowOff>
    </xdr:to>
    <xdr:pic>
      <xdr:nvPicPr>
        <xdr:cNvPr id="5" name="Picture 4" descr="C:\WINDOWS\TEMP\Symbol.gif">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3313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2932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795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317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2793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747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295</xdr:row>
      <xdr:rowOff>104775</xdr:rowOff>
    </xdr:from>
    <xdr:to>
      <xdr:col>18</xdr:col>
      <xdr:colOff>895350</xdr:colOff>
      <xdr:row>296</xdr:row>
      <xdr:rowOff>133350</xdr:rowOff>
    </xdr:to>
    <xdr:pic>
      <xdr:nvPicPr>
        <xdr:cNvPr id="13" name="Picture 12" descr="C:\WINDOWS\TEMP\~0003946.gif">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2742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317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8145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295</xdr:row>
      <xdr:rowOff>161925</xdr:rowOff>
    </xdr:from>
    <xdr:to>
      <xdr:col>1</xdr:col>
      <xdr:colOff>19050</xdr:colOff>
      <xdr:row>296</xdr:row>
      <xdr:rowOff>200025</xdr:rowOff>
    </xdr:to>
    <xdr:pic>
      <xdr:nvPicPr>
        <xdr:cNvPr id="5" name="Picture 4" descr="C:\WINDOWS\TEMP\Symbol.gif">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3313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2932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795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5317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52793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747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295</xdr:row>
      <xdr:rowOff>104775</xdr:rowOff>
    </xdr:from>
    <xdr:to>
      <xdr:col>18</xdr:col>
      <xdr:colOff>895350</xdr:colOff>
      <xdr:row>296</xdr:row>
      <xdr:rowOff>133350</xdr:rowOff>
    </xdr:to>
    <xdr:pic>
      <xdr:nvPicPr>
        <xdr:cNvPr id="13" name="Picture 12" descr="C:\WINDOWS\TEMP\~0003946.gif">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2742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5317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8145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295</xdr:row>
      <xdr:rowOff>161925</xdr:rowOff>
    </xdr:from>
    <xdr:to>
      <xdr:col>1</xdr:col>
      <xdr:colOff>19050</xdr:colOff>
      <xdr:row>296</xdr:row>
      <xdr:rowOff>200025</xdr:rowOff>
    </xdr:to>
    <xdr:pic>
      <xdr:nvPicPr>
        <xdr:cNvPr id="5" name="Picture 4" descr="C:\WINDOWS\TEMP\Symbol.gif">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3313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602932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39795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25317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54900"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252793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a:extLst>
            <a:ext uri="{FF2B5EF4-FFF2-40B4-BE49-F238E27FC236}">
              <a16:creationId xmlns=""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78700" y="39747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295</xdr:row>
      <xdr:rowOff>104775</xdr:rowOff>
    </xdr:from>
    <xdr:to>
      <xdr:col>18</xdr:col>
      <xdr:colOff>895350</xdr:colOff>
      <xdr:row>296</xdr:row>
      <xdr:rowOff>133350</xdr:rowOff>
    </xdr:to>
    <xdr:pic>
      <xdr:nvPicPr>
        <xdr:cNvPr id="13" name="Picture 12" descr="C:\WINDOWS\TEMP\~0003946.gif">
          <a:extLst>
            <a:ext uri="{FF2B5EF4-FFF2-40B4-BE49-F238E27FC236}">
              <a16:creationId xmlns=""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602742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295</xdr:row>
      <xdr:rowOff>161925</xdr:rowOff>
    </xdr:from>
    <xdr:to>
      <xdr:col>1</xdr:col>
      <xdr:colOff>19050</xdr:colOff>
      <xdr:row>296</xdr:row>
      <xdr:rowOff>200025</xdr:rowOff>
    </xdr:to>
    <xdr:pic>
      <xdr:nvPicPr>
        <xdr:cNvPr id="5" name="Picture 4" descr="C:\WINDOWS\TEMP\Symbol.gif">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9313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598932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54900"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78700"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295</xdr:row>
      <xdr:rowOff>104775</xdr:rowOff>
    </xdr:from>
    <xdr:to>
      <xdr:col>18</xdr:col>
      <xdr:colOff>895350</xdr:colOff>
      <xdr:row>296</xdr:row>
      <xdr:rowOff>133350</xdr:rowOff>
    </xdr:to>
    <xdr:pic>
      <xdr:nvPicPr>
        <xdr:cNvPr id="13" name="Picture 12" descr="C:\WINDOWS\TEMP\~0003946.gif">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598741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295</xdr:row>
      <xdr:rowOff>161925</xdr:rowOff>
    </xdr:from>
    <xdr:to>
      <xdr:col>1</xdr:col>
      <xdr:colOff>19050</xdr:colOff>
      <xdr:row>296</xdr:row>
      <xdr:rowOff>200025</xdr:rowOff>
    </xdr:to>
    <xdr:pic>
      <xdr:nvPicPr>
        <xdr:cNvPr id="5" name="Picture 4" descr="C:\WINDOWS\TEMP\Symbol.gif">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9313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598932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a:extLst>
            <a:ext uri="{FF2B5EF4-FFF2-40B4-BE49-F238E27FC236}">
              <a16:creationId xmlns=""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54900"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a:extLst>
            <a:ext uri="{FF2B5EF4-FFF2-40B4-BE49-F238E27FC236}">
              <a16:creationId xmlns=""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78700"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295</xdr:row>
      <xdr:rowOff>104775</xdr:rowOff>
    </xdr:from>
    <xdr:to>
      <xdr:col>18</xdr:col>
      <xdr:colOff>895350</xdr:colOff>
      <xdr:row>296</xdr:row>
      <xdr:rowOff>133350</xdr:rowOff>
    </xdr:to>
    <xdr:pic>
      <xdr:nvPicPr>
        <xdr:cNvPr id="13" name="Picture 12" descr="C:\WINDOWS\TEMP\~0003946.gif">
          <a:extLst>
            <a:ext uri="{FF2B5EF4-FFF2-40B4-BE49-F238E27FC236}">
              <a16:creationId xmlns=""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598741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a:extLst>
            <a:ext uri="{FF2B5EF4-FFF2-40B4-BE49-F238E27FC236}">
              <a16:creationId xmlns=""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99313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598932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a:extLst>
            <a:ext uri="{FF2B5EF4-FFF2-40B4-BE49-F238E27FC236}">
              <a16:creationId xmlns=""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54900"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a:extLst>
            <a:ext uri="{FF2B5EF4-FFF2-40B4-BE49-F238E27FC236}">
              <a16:creationId xmlns=""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78700"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a:extLst>
            <a:ext uri="{FF2B5EF4-FFF2-40B4-BE49-F238E27FC236}">
              <a16:creationId xmlns=""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598741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a:extLst>
            <a:ext uri="{FF2B5EF4-FFF2-40B4-BE49-F238E27FC236}">
              <a16:creationId xmlns=""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a:extLst>
            <a:ext uri="{FF2B5EF4-FFF2-40B4-BE49-F238E27FC236}">
              <a16:creationId xmlns=""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a:extLst>
            <a:ext uri="{FF2B5EF4-FFF2-40B4-BE49-F238E27FC236}">
              <a16:creationId xmlns=""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54900"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a:extLst>
            <a:ext uri="{FF2B5EF4-FFF2-40B4-BE49-F238E27FC236}">
              <a16:creationId xmlns=""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78700"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a:extLst>
            <a:ext uri="{FF2B5EF4-FFF2-40B4-BE49-F238E27FC236}">
              <a16:creationId xmlns=""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a:extLst>
            <a:ext uri="{FF2B5EF4-FFF2-40B4-BE49-F238E27FC236}">
              <a16:creationId xmlns=""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295</xdr:row>
      <xdr:rowOff>161925</xdr:rowOff>
    </xdr:from>
    <xdr:to>
      <xdr:col>1</xdr:col>
      <xdr:colOff>19050</xdr:colOff>
      <xdr:row>296</xdr:row>
      <xdr:rowOff>200025</xdr:rowOff>
    </xdr:to>
    <xdr:pic>
      <xdr:nvPicPr>
        <xdr:cNvPr id="5" name="Picture 4" descr="C:\WINDOWS\TEMP\Symbol.gif">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295</xdr:row>
      <xdr:rowOff>123825</xdr:rowOff>
    </xdr:from>
    <xdr:to>
      <xdr:col>18</xdr:col>
      <xdr:colOff>1895475</xdr:colOff>
      <xdr:row>296</xdr:row>
      <xdr:rowOff>152400</xdr:rowOff>
    </xdr:to>
    <xdr:pic>
      <xdr:nvPicPr>
        <xdr:cNvPr id="6" name="Picture 5" descr="C:\WINDOWS\TEMP\~0003946.gif">
          <a:extLst>
            <a:ext uri="{FF2B5EF4-FFF2-40B4-BE49-F238E27FC236}">
              <a16:creationId xmlns=""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a:extLst>
            <a:ext uri="{FF2B5EF4-FFF2-40B4-BE49-F238E27FC236}">
              <a16:creationId xmlns=""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a:extLst>
            <a:ext uri="{FF2B5EF4-FFF2-40B4-BE49-F238E27FC236}">
              <a16:creationId xmlns=""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a:extLst>
            <a:ext uri="{FF2B5EF4-FFF2-40B4-BE49-F238E27FC236}">
              <a16:creationId xmlns=""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78825"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a:extLst>
            <a:ext uri="{FF2B5EF4-FFF2-40B4-BE49-F238E27FC236}">
              <a16:creationId xmlns=""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54900"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a:extLst>
            <a:ext uri="{FF2B5EF4-FFF2-40B4-BE49-F238E27FC236}">
              <a16:creationId xmlns=""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a:extLst>
            <a:ext uri="{FF2B5EF4-FFF2-40B4-BE49-F238E27FC236}">
              <a16:creationId xmlns=""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78700"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295</xdr:row>
      <xdr:rowOff>104775</xdr:rowOff>
    </xdr:from>
    <xdr:to>
      <xdr:col>18</xdr:col>
      <xdr:colOff>895350</xdr:colOff>
      <xdr:row>296</xdr:row>
      <xdr:rowOff>133350</xdr:rowOff>
    </xdr:to>
    <xdr:pic>
      <xdr:nvPicPr>
        <xdr:cNvPr id="13" name="Picture 12" descr="C:\WINDOWS\TEMP\~0003946.gif">
          <a:extLst>
            <a:ext uri="{FF2B5EF4-FFF2-40B4-BE49-F238E27FC236}">
              <a16:creationId xmlns=""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64425"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New Branding">
      <a:dk1>
        <a:sysClr val="windowText" lastClr="000000"/>
      </a:dk1>
      <a:lt1>
        <a:sysClr val="window" lastClr="FFFFFF"/>
      </a:lt1>
      <a:dk2>
        <a:srgbClr val="44546A"/>
      </a:dk2>
      <a:lt2>
        <a:srgbClr val="E7E6E6"/>
      </a:lt2>
      <a:accent1>
        <a:srgbClr val="89CB31"/>
      </a:accent1>
      <a:accent2>
        <a:srgbClr val="D0EBAB"/>
      </a:accent2>
      <a:accent3>
        <a:srgbClr val="2D2926"/>
      </a:accent3>
      <a:accent4>
        <a:srgbClr val="F0F0F0"/>
      </a:accent4>
      <a:accent5>
        <a:srgbClr val="5B8721"/>
      </a:accent5>
      <a:accent6>
        <a:srgbClr val="009999"/>
      </a:accent6>
      <a:hlink>
        <a:srgbClr val="BDFFEE"/>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42086</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188</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v>0</v>
      </c>
      <c r="E29" s="130"/>
      <c r="F29" s="202">
        <v>0</v>
      </c>
      <c r="G29" s="202"/>
      <c r="H29" s="202">
        <v>0</v>
      </c>
      <c r="I29" s="126"/>
      <c r="J29" s="202">
        <v>0</v>
      </c>
      <c r="K29" s="126"/>
      <c r="L29" s="130"/>
      <c r="M29" s="126"/>
      <c r="N29" s="130"/>
      <c r="O29" s="126"/>
      <c r="P29" s="126"/>
      <c r="Q29" s="127"/>
      <c r="R29" s="126">
        <f>SUM(D29:J29)</f>
        <v>0</v>
      </c>
      <c r="S29" s="128"/>
      <c r="T29" s="2"/>
    </row>
    <row r="30" spans="1:23" ht="15.6" x14ac:dyDescent="0.3">
      <c r="A30" s="122"/>
      <c r="B30" s="121" t="s">
        <v>107</v>
      </c>
      <c r="C30" s="125"/>
      <c r="D30" s="203">
        <f>D28*D31</f>
        <v>216010.807</v>
      </c>
      <c r="E30" s="203"/>
      <c r="F30" s="203">
        <f t="shared" ref="F30:J30" si="0">F28*F31</f>
        <v>17700</v>
      </c>
      <c r="G30" s="203"/>
      <c r="H30" s="203">
        <f t="shared" si="0"/>
        <v>8100</v>
      </c>
      <c r="I30" s="203"/>
      <c r="J30" s="203">
        <f t="shared" si="0"/>
        <v>6300</v>
      </c>
      <c r="K30" s="131"/>
      <c r="L30" s="133"/>
      <c r="M30" s="131"/>
      <c r="N30" s="133"/>
      <c r="O30" s="126"/>
      <c r="P30" s="126"/>
      <c r="Q30" s="127"/>
      <c r="R30" s="204">
        <f>SUM(D30:J30)</f>
        <v>248110.807</v>
      </c>
      <c r="S30" s="128"/>
      <c r="T30" s="2"/>
    </row>
    <row r="31" spans="1:23" ht="15.6" x14ac:dyDescent="0.3">
      <c r="A31" s="112"/>
      <c r="B31" s="134" t="s">
        <v>103</v>
      </c>
      <c r="C31" s="135"/>
      <c r="D31" s="136">
        <v>0.99133000000000004</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1</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1.4010399999999999E-2</v>
      </c>
      <c r="E34" s="143"/>
      <c r="F34" s="143">
        <v>2.0010400000000001E-2</v>
      </c>
      <c r="G34" s="143"/>
      <c r="H34" s="143">
        <v>2.3510400000000001E-2</v>
      </c>
      <c r="I34" s="143"/>
      <c r="J34" s="143">
        <v>2.70104E-2</v>
      </c>
      <c r="K34" s="143"/>
      <c r="L34" s="143"/>
      <c r="M34" s="142"/>
      <c r="N34" s="143"/>
      <c r="O34" s="123"/>
      <c r="P34" s="123"/>
      <c r="Q34" s="115"/>
      <c r="R34" s="142">
        <f>SUMPRODUCT(D34:J34,D28:J28)/R28</f>
        <v>1.50706E-2</v>
      </c>
      <c r="S34" s="116"/>
      <c r="T34" s="2"/>
    </row>
    <row r="35" spans="1:21" ht="15.6" x14ac:dyDescent="0.3">
      <c r="A35" s="112"/>
      <c r="B35" s="113" t="s">
        <v>10</v>
      </c>
      <c r="C35" s="144"/>
      <c r="D35" s="143">
        <v>0</v>
      </c>
      <c r="E35" s="143"/>
      <c r="F35" s="143">
        <v>0</v>
      </c>
      <c r="G35" s="143"/>
      <c r="H35" s="143">
        <v>0</v>
      </c>
      <c r="I35" s="143"/>
      <c r="J35" s="143">
        <v>0</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0.14860367611144568</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42079</v>
      </c>
      <c r="S45" s="116"/>
      <c r="T45" s="2"/>
    </row>
    <row r="46" spans="1:21" ht="15.6" x14ac:dyDescent="0.3">
      <c r="A46" s="112"/>
      <c r="B46" s="113" t="s">
        <v>99</v>
      </c>
      <c r="C46" s="113"/>
      <c r="D46" s="150"/>
      <c r="E46" s="150"/>
      <c r="F46" s="150"/>
      <c r="G46" s="150"/>
      <c r="H46" s="150"/>
      <c r="I46" s="150"/>
      <c r="J46" s="150"/>
      <c r="K46" s="150"/>
      <c r="L46" s="150"/>
      <c r="M46" s="150"/>
      <c r="N46" s="113"/>
      <c r="O46" s="150"/>
      <c r="P46" s="151"/>
      <c r="Q46" s="152"/>
      <c r="R46" s="151"/>
      <c r="S46" s="116"/>
      <c r="T46" s="2"/>
    </row>
    <row r="47" spans="1:21" ht="15.6" x14ac:dyDescent="0.3">
      <c r="A47" s="112"/>
      <c r="B47" s="113" t="s">
        <v>100</v>
      </c>
      <c r="C47" s="113"/>
      <c r="D47" s="113"/>
      <c r="E47" s="113"/>
      <c r="F47" s="113"/>
      <c r="G47" s="113"/>
      <c r="H47" s="113"/>
      <c r="I47" s="113"/>
      <c r="J47" s="113"/>
      <c r="K47" s="113"/>
      <c r="L47" s="113"/>
      <c r="M47" s="113"/>
      <c r="N47" s="113">
        <f>+R47-P47+1</f>
        <v>123</v>
      </c>
      <c r="O47" s="113"/>
      <c r="P47" s="151">
        <v>41956</v>
      </c>
      <c r="Q47" s="152"/>
      <c r="R47" s="151">
        <v>42078</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42065</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229</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224374</v>
      </c>
      <c r="I56" s="155"/>
      <c r="J56" s="156">
        <v>174</v>
      </c>
      <c r="K56" s="155"/>
      <c r="L56" s="155">
        <f>1714+476-174</f>
        <v>2016</v>
      </c>
      <c r="M56" s="155"/>
      <c r="N56" s="155">
        <f>302+23450</f>
        <v>23752</v>
      </c>
      <c r="O56" s="155"/>
      <c r="P56" s="155">
        <v>0</v>
      </c>
      <c r="Q56" s="155"/>
      <c r="R56" s="156">
        <f>F56-J56-L56+N56-P56</f>
        <v>245936</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224374</v>
      </c>
      <c r="I59" s="155"/>
      <c r="J59" s="155">
        <f>J56+J57</f>
        <v>174</v>
      </c>
      <c r="K59" s="155"/>
      <c r="L59" s="155">
        <f>SUM(L56:L58)</f>
        <v>2016</v>
      </c>
      <c r="M59" s="155"/>
      <c r="N59" s="155">
        <f>SUM(N56:N58)</f>
        <v>23752</v>
      </c>
      <c r="O59" s="155"/>
      <c r="P59" s="155">
        <f>SUM(P56:P58)</f>
        <v>0</v>
      </c>
      <c r="Q59" s="155"/>
      <c r="R59" s="155">
        <f>SUM(R56:R58)</f>
        <v>245936</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23451</v>
      </c>
      <c r="I69" s="155"/>
      <c r="J69" s="155">
        <v>-23450</v>
      </c>
      <c r="K69" s="155"/>
      <c r="L69" s="155">
        <v>1</v>
      </c>
      <c r="M69" s="155"/>
      <c r="N69" s="155"/>
      <c r="O69" s="155"/>
      <c r="P69" s="155"/>
      <c r="Q69" s="155"/>
      <c r="R69" s="155">
        <v>0</v>
      </c>
      <c r="S69" s="116"/>
      <c r="T69" s="2"/>
    </row>
    <row r="70" spans="1:20" ht="15.6" x14ac:dyDescent="0.3">
      <c r="A70" s="112"/>
      <c r="B70" s="113" t="s">
        <v>235</v>
      </c>
      <c r="C70" s="155"/>
      <c r="D70" s="155"/>
      <c r="E70" s="155"/>
      <c r="F70" s="155">
        <v>2175</v>
      </c>
      <c r="G70" s="155"/>
      <c r="H70" s="155">
        <v>2175</v>
      </c>
      <c r="I70" s="155"/>
      <c r="J70" s="155"/>
      <c r="K70" s="155"/>
      <c r="L70" s="155"/>
      <c r="M70" s="155"/>
      <c r="N70" s="155"/>
      <c r="O70" s="155"/>
      <c r="P70" s="155"/>
      <c r="Q70" s="155"/>
      <c r="R70" s="155">
        <f>+H70-N70</f>
        <v>2175</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250000</v>
      </c>
      <c r="I72" s="155"/>
      <c r="J72" s="155"/>
      <c r="K72" s="155"/>
      <c r="L72" s="155"/>
      <c r="M72" s="155"/>
      <c r="N72" s="155"/>
      <c r="O72" s="155"/>
      <c r="P72" s="155"/>
      <c r="Q72" s="155"/>
      <c r="R72" s="155">
        <f>SUM(R59:R71)</f>
        <v>248111</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+P197</f>
        <v>42062</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174</v>
      </c>
      <c r="C77" s="135"/>
      <c r="D77" s="157"/>
      <c r="E77" s="157"/>
      <c r="F77" s="157"/>
      <c r="G77" s="158"/>
      <c r="H77" s="157"/>
      <c r="I77" s="135"/>
      <c r="J77" s="159"/>
      <c r="K77" s="135"/>
      <c r="L77" s="135"/>
      <c r="M77" s="135"/>
      <c r="N77" s="135"/>
      <c r="O77" s="135"/>
      <c r="P77" s="155">
        <f>+L69</f>
        <v>1</v>
      </c>
      <c r="Q77" s="113"/>
      <c r="R77" s="156"/>
      <c r="S77" s="139"/>
      <c r="T77" s="2"/>
    </row>
    <row r="78" spans="1:20" ht="15.6" x14ac:dyDescent="0.3">
      <c r="A78" s="122"/>
      <c r="B78" s="113" t="s">
        <v>248</v>
      </c>
      <c r="C78" s="135"/>
      <c r="D78" s="157"/>
      <c r="E78" s="157"/>
      <c r="F78" s="157"/>
      <c r="G78" s="158"/>
      <c r="H78" s="157"/>
      <c r="I78" s="135"/>
      <c r="J78" s="159"/>
      <c r="K78" s="135"/>
      <c r="L78" s="135"/>
      <c r="M78" s="135"/>
      <c r="N78" s="135"/>
      <c r="O78" s="135"/>
      <c r="P78" s="155">
        <f>-N70</f>
        <v>0</v>
      </c>
      <c r="Q78" s="113"/>
      <c r="R78" s="156"/>
      <c r="S78" s="139"/>
      <c r="T78" s="2"/>
    </row>
    <row r="79" spans="1:20" ht="15.6" x14ac:dyDescent="0.3">
      <c r="A79" s="122"/>
      <c r="B79" s="113" t="s">
        <v>249</v>
      </c>
      <c r="C79" s="135"/>
      <c r="D79" s="157"/>
      <c r="E79" s="157"/>
      <c r="F79" s="157"/>
      <c r="G79" s="158"/>
      <c r="H79" s="157"/>
      <c r="I79" s="135"/>
      <c r="J79" s="159"/>
      <c r="K79" s="135"/>
      <c r="L79" s="135"/>
      <c r="M79" s="135"/>
      <c r="N79" s="135"/>
      <c r="O79" s="135"/>
      <c r="P79" s="155">
        <f>-P78</f>
        <v>0</v>
      </c>
      <c r="Q79" s="113"/>
      <c r="R79" s="156"/>
      <c r="S79" s="139"/>
      <c r="T79" s="2"/>
    </row>
    <row r="80" spans="1:20" ht="15.6" x14ac:dyDescent="0.3">
      <c r="A80" s="122"/>
      <c r="B80" s="113" t="s">
        <v>24</v>
      </c>
      <c r="C80" s="135"/>
      <c r="D80" s="157"/>
      <c r="E80" s="157"/>
      <c r="F80" s="157"/>
      <c r="G80" s="158"/>
      <c r="H80" s="157"/>
      <c r="I80" s="135"/>
      <c r="J80" s="159"/>
      <c r="K80" s="135"/>
      <c r="L80" s="135"/>
      <c r="M80" s="135"/>
      <c r="N80" s="135"/>
      <c r="O80" s="135"/>
      <c r="P80" s="155">
        <f>+J56+L56</f>
        <v>2190</v>
      </c>
      <c r="Q80" s="113"/>
      <c r="R80" s="156"/>
      <c r="S80" s="139"/>
      <c r="T80" s="2"/>
    </row>
    <row r="81" spans="1:20" ht="15.6" x14ac:dyDescent="0.3">
      <c r="A81" s="122"/>
      <c r="B81" s="113" t="s">
        <v>135</v>
      </c>
      <c r="C81" s="135"/>
      <c r="D81" s="157"/>
      <c r="E81" s="157"/>
      <c r="F81" s="157"/>
      <c r="G81" s="158"/>
      <c r="H81" s="157"/>
      <c r="I81" s="135"/>
      <c r="J81" s="159"/>
      <c r="K81" s="135"/>
      <c r="L81" s="135"/>
      <c r="M81" s="135"/>
      <c r="N81" s="135"/>
      <c r="O81" s="135"/>
      <c r="P81" s="155"/>
      <c r="Q81" s="113"/>
      <c r="R81" s="156">
        <f>3812-476</f>
        <v>3336</v>
      </c>
      <c r="S81" s="139"/>
      <c r="T81" s="2"/>
    </row>
    <row r="82" spans="1:20" ht="15.6" x14ac:dyDescent="0.3">
      <c r="A82" s="122"/>
      <c r="B82" s="113" t="s">
        <v>133</v>
      </c>
      <c r="C82" s="135"/>
      <c r="D82" s="157"/>
      <c r="E82" s="157"/>
      <c r="F82" s="157"/>
      <c r="G82" s="158"/>
      <c r="H82" s="157"/>
      <c r="I82" s="135"/>
      <c r="J82" s="159"/>
      <c r="K82" s="135"/>
      <c r="L82" s="135"/>
      <c r="M82" s="135"/>
      <c r="N82" s="135"/>
      <c r="O82" s="135"/>
      <c r="P82" s="155"/>
      <c r="Q82" s="113"/>
      <c r="R82" s="156">
        <v>23</v>
      </c>
      <c r="S82" s="139"/>
      <c r="T82" s="2"/>
    </row>
    <row r="83" spans="1:20" ht="15.6" x14ac:dyDescent="0.3">
      <c r="A83" s="122"/>
      <c r="B83" s="113" t="s">
        <v>134</v>
      </c>
      <c r="C83" s="135"/>
      <c r="D83" s="157"/>
      <c r="E83" s="157"/>
      <c r="F83" s="157"/>
      <c r="G83" s="158"/>
      <c r="H83" s="157"/>
      <c r="I83" s="135"/>
      <c r="J83" s="159"/>
      <c r="K83" s="135"/>
      <c r="L83" s="135"/>
      <c r="M83" s="135"/>
      <c r="N83" s="135"/>
      <c r="O83" s="135"/>
      <c r="P83" s="155"/>
      <c r="Q83" s="113"/>
      <c r="R83" s="156">
        <v>11</v>
      </c>
      <c r="S83" s="139"/>
      <c r="T83" s="2"/>
    </row>
    <row r="84" spans="1:20" ht="15.6" x14ac:dyDescent="0.3">
      <c r="A84" s="122"/>
      <c r="B84" s="113" t="s">
        <v>143</v>
      </c>
      <c r="C84" s="135"/>
      <c r="D84" s="157"/>
      <c r="E84" s="157"/>
      <c r="F84" s="157"/>
      <c r="G84" s="158"/>
      <c r="H84" s="157"/>
      <c r="I84" s="135"/>
      <c r="J84" s="159"/>
      <c r="K84" s="135"/>
      <c r="L84" s="135"/>
      <c r="M84" s="135"/>
      <c r="N84" s="135"/>
      <c r="O84" s="135"/>
      <c r="P84" s="155"/>
      <c r="Q84" s="113"/>
      <c r="R84" s="156">
        <v>0</v>
      </c>
      <c r="S84" s="139"/>
      <c r="T84" s="2"/>
    </row>
    <row r="85" spans="1:20" ht="15.6" x14ac:dyDescent="0.3">
      <c r="A85" s="122"/>
      <c r="B85" s="113" t="s">
        <v>145</v>
      </c>
      <c r="C85" s="135"/>
      <c r="D85" s="157"/>
      <c r="E85" s="157"/>
      <c r="F85" s="157"/>
      <c r="G85" s="158"/>
      <c r="H85" s="157"/>
      <c r="I85" s="135"/>
      <c r="J85" s="159"/>
      <c r="K85" s="135"/>
      <c r="L85" s="135"/>
      <c r="M85" s="135"/>
      <c r="N85" s="135"/>
      <c r="O85" s="135"/>
      <c r="P85" s="155"/>
      <c r="Q85" s="113"/>
      <c r="R85" s="156">
        <v>402</v>
      </c>
      <c r="S85" s="139"/>
      <c r="T85" s="2"/>
    </row>
    <row r="86" spans="1:20" ht="15.6" x14ac:dyDescent="0.3">
      <c r="A86" s="122"/>
      <c r="B86" s="113" t="s">
        <v>167</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168</v>
      </c>
      <c r="C87" s="135"/>
      <c r="D87" s="157"/>
      <c r="E87" s="157"/>
      <c r="F87" s="157"/>
      <c r="G87" s="158"/>
      <c r="H87" s="157"/>
      <c r="I87" s="135"/>
      <c r="J87" s="159"/>
      <c r="K87" s="135"/>
      <c r="L87" s="135"/>
      <c r="M87" s="135"/>
      <c r="N87" s="135"/>
      <c r="O87" s="135"/>
      <c r="P87" s="155"/>
      <c r="Q87" s="113"/>
      <c r="R87" s="156">
        <v>0</v>
      </c>
      <c r="S87" s="139"/>
      <c r="T87" s="2"/>
    </row>
    <row r="88" spans="1:20" ht="15.6" x14ac:dyDescent="0.3">
      <c r="A88" s="122"/>
      <c r="B88" s="113" t="s">
        <v>169</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227</v>
      </c>
      <c r="C89" s="135"/>
      <c r="D89" s="135"/>
      <c r="E89" s="135"/>
      <c r="F89" s="135"/>
      <c r="G89" s="135"/>
      <c r="H89" s="135"/>
      <c r="I89" s="135"/>
      <c r="J89" s="135"/>
      <c r="K89" s="135"/>
      <c r="L89" s="135"/>
      <c r="M89" s="135"/>
      <c r="N89" s="135"/>
      <c r="O89" s="135"/>
      <c r="P89" s="155"/>
      <c r="Q89" s="113"/>
      <c r="R89" s="156">
        <v>283</v>
      </c>
      <c r="S89" s="139"/>
      <c r="T89" s="2"/>
    </row>
    <row r="90" spans="1:20" ht="15.6" x14ac:dyDescent="0.3">
      <c r="A90" s="122"/>
      <c r="B90" s="113" t="s">
        <v>25</v>
      </c>
      <c r="C90" s="135"/>
      <c r="D90" s="135"/>
      <c r="E90" s="135"/>
      <c r="F90" s="135"/>
      <c r="G90" s="135"/>
      <c r="H90" s="135"/>
      <c r="I90" s="135"/>
      <c r="J90" s="135"/>
      <c r="K90" s="135"/>
      <c r="L90" s="135"/>
      <c r="M90" s="135"/>
      <c r="N90" s="135"/>
      <c r="O90" s="135"/>
      <c r="P90" s="155">
        <f>SUM(P76:P89)</f>
        <v>2191</v>
      </c>
      <c r="Q90" s="113"/>
      <c r="R90" s="155">
        <f>SUM(R76:R89)</f>
        <v>4055</v>
      </c>
      <c r="S90" s="139"/>
      <c r="T90" s="2"/>
    </row>
    <row r="91" spans="1:20" ht="15.6" x14ac:dyDescent="0.3">
      <c r="A91" s="122"/>
      <c r="B91" s="113" t="s">
        <v>26</v>
      </c>
      <c r="C91" s="135"/>
      <c r="D91" s="135"/>
      <c r="E91" s="135"/>
      <c r="F91" s="135"/>
      <c r="G91" s="135"/>
      <c r="H91" s="135"/>
      <c r="I91" s="135"/>
      <c r="J91" s="135"/>
      <c r="K91" s="135"/>
      <c r="L91" s="135"/>
      <c r="M91" s="135"/>
      <c r="N91" s="135"/>
      <c r="O91" s="135"/>
      <c r="P91" s="155">
        <f>-R91</f>
        <v>0</v>
      </c>
      <c r="Q91" s="113"/>
      <c r="R91" s="156">
        <v>0</v>
      </c>
      <c r="S91" s="139"/>
      <c r="T91" s="2"/>
    </row>
    <row r="92" spans="1:20" ht="15.6" x14ac:dyDescent="0.3">
      <c r="A92" s="122"/>
      <c r="B92" s="113" t="s">
        <v>150</v>
      </c>
      <c r="C92" s="135"/>
      <c r="D92" s="135"/>
      <c r="E92" s="135"/>
      <c r="F92" s="135"/>
      <c r="G92" s="135"/>
      <c r="H92" s="135"/>
      <c r="I92" s="135"/>
      <c r="J92" s="135"/>
      <c r="K92" s="135"/>
      <c r="L92" s="135"/>
      <c r="M92" s="135"/>
      <c r="N92" s="135"/>
      <c r="O92" s="135"/>
      <c r="P92" s="155"/>
      <c r="Q92" s="113"/>
      <c r="R92" s="156">
        <v>0</v>
      </c>
      <c r="S92" s="139"/>
      <c r="T92" s="2"/>
    </row>
    <row r="93" spans="1:20" ht="15.6" x14ac:dyDescent="0.3">
      <c r="A93" s="122"/>
      <c r="B93" s="113" t="s">
        <v>27</v>
      </c>
      <c r="C93" s="135"/>
      <c r="D93" s="135"/>
      <c r="E93" s="135"/>
      <c r="F93" s="135"/>
      <c r="G93" s="135"/>
      <c r="H93" s="135"/>
      <c r="I93" s="135"/>
      <c r="J93" s="135"/>
      <c r="K93" s="135"/>
      <c r="L93" s="135"/>
      <c r="M93" s="135"/>
      <c r="N93" s="135"/>
      <c r="O93" s="135"/>
      <c r="P93" s="155">
        <f>P90+P91</f>
        <v>2191</v>
      </c>
      <c r="Q93" s="113"/>
      <c r="R93" s="155">
        <f>R90+R91+R92</f>
        <v>4055</v>
      </c>
      <c r="S93" s="139"/>
      <c r="T93" s="2"/>
    </row>
    <row r="94" spans="1:20" ht="15.6" x14ac:dyDescent="0.3">
      <c r="A94" s="112"/>
      <c r="B94" s="160" t="s">
        <v>28</v>
      </c>
      <c r="C94" s="135"/>
      <c r="D94" s="135"/>
      <c r="E94" s="135"/>
      <c r="F94" s="135"/>
      <c r="G94" s="135"/>
      <c r="H94" s="135"/>
      <c r="I94" s="135"/>
      <c r="J94" s="135"/>
      <c r="K94" s="135"/>
      <c r="L94" s="135"/>
      <c r="M94" s="135"/>
      <c r="N94" s="135"/>
      <c r="O94" s="135"/>
      <c r="P94" s="155"/>
      <c r="Q94" s="113"/>
      <c r="R94" s="156"/>
      <c r="S94" s="139"/>
      <c r="T94" s="2"/>
    </row>
    <row r="95" spans="1:20" ht="15.6" x14ac:dyDescent="0.3">
      <c r="A95" s="122">
        <v>1</v>
      </c>
      <c r="B95" s="113" t="s">
        <v>180</v>
      </c>
      <c r="C95" s="135"/>
      <c r="D95" s="135"/>
      <c r="E95" s="135"/>
      <c r="F95" s="135"/>
      <c r="G95" s="135"/>
      <c r="H95" s="135"/>
      <c r="I95" s="135"/>
      <c r="J95" s="135"/>
      <c r="K95" s="135"/>
      <c r="L95" s="135"/>
      <c r="M95" s="135"/>
      <c r="N95" s="135"/>
      <c r="O95" s="135"/>
      <c r="P95" s="155"/>
      <c r="Q95" s="113"/>
      <c r="R95" s="156">
        <v>-363</v>
      </c>
      <c r="S95" s="139"/>
      <c r="T95" s="2"/>
    </row>
    <row r="96" spans="1:20" ht="15.6" x14ac:dyDescent="0.3">
      <c r="A96" s="122">
        <v>2</v>
      </c>
      <c r="B96" s="113" t="s">
        <v>214</v>
      </c>
      <c r="C96" s="113"/>
      <c r="D96" s="135"/>
      <c r="E96" s="135"/>
      <c r="F96" s="135"/>
      <c r="G96" s="135"/>
      <c r="H96" s="135"/>
      <c r="I96" s="135"/>
      <c r="J96" s="135"/>
      <c r="K96" s="135"/>
      <c r="L96" s="135"/>
      <c r="M96" s="135"/>
      <c r="N96" s="135"/>
      <c r="O96" s="135"/>
      <c r="P96" s="113"/>
      <c r="Q96" s="113"/>
      <c r="R96" s="156">
        <v>-3</v>
      </c>
      <c r="S96" s="139"/>
      <c r="T96" s="2"/>
    </row>
    <row r="97" spans="1:21" ht="15.6" x14ac:dyDescent="0.3">
      <c r="A97" s="122">
        <v>3</v>
      </c>
      <c r="B97" s="113" t="s">
        <v>236</v>
      </c>
      <c r="C97" s="113"/>
      <c r="D97" s="135"/>
      <c r="E97" s="135"/>
      <c r="F97" s="135"/>
      <c r="G97" s="135"/>
      <c r="H97" s="135"/>
      <c r="I97" s="135"/>
      <c r="J97" s="135"/>
      <c r="K97" s="135"/>
      <c r="L97" s="135"/>
      <c r="M97" s="135"/>
      <c r="N97" s="135"/>
      <c r="O97" s="135"/>
      <c r="P97" s="113"/>
      <c r="Q97" s="113"/>
      <c r="R97" s="156">
        <f>-100-1-4</f>
        <v>-105</v>
      </c>
      <c r="S97" s="139"/>
      <c r="T97" s="2"/>
    </row>
    <row r="98" spans="1:21" ht="15.6" x14ac:dyDescent="0.3">
      <c r="A98" s="122">
        <v>4</v>
      </c>
      <c r="B98" s="113" t="s">
        <v>96</v>
      </c>
      <c r="C98" s="113"/>
      <c r="D98" s="135"/>
      <c r="E98" s="135"/>
      <c r="F98" s="135"/>
      <c r="G98" s="135"/>
      <c r="H98" s="135"/>
      <c r="I98" s="135"/>
      <c r="J98" s="135"/>
      <c r="K98" s="135"/>
      <c r="L98" s="135"/>
      <c r="M98" s="135"/>
      <c r="N98" s="135"/>
      <c r="O98" s="135"/>
      <c r="P98" s="113"/>
      <c r="Q98" s="113"/>
      <c r="R98" s="156">
        <f>-395+54</f>
        <v>-341</v>
      </c>
      <c r="S98" s="139"/>
      <c r="T98" s="2"/>
    </row>
    <row r="99" spans="1:21" ht="15.6" x14ac:dyDescent="0.3">
      <c r="A99" s="122">
        <v>5</v>
      </c>
      <c r="B99" s="113" t="s">
        <v>157</v>
      </c>
      <c r="C99" s="113"/>
      <c r="D99" s="135"/>
      <c r="E99" s="135"/>
      <c r="F99" s="135"/>
      <c r="G99" s="135"/>
      <c r="H99" s="135"/>
      <c r="I99" s="135"/>
      <c r="J99" s="135"/>
      <c r="K99" s="135"/>
      <c r="L99" s="135"/>
      <c r="M99" s="135"/>
      <c r="N99" s="135"/>
      <c r="O99" s="135"/>
      <c r="P99" s="113"/>
      <c r="Q99" s="113"/>
      <c r="R99" s="156">
        <v>-1029</v>
      </c>
      <c r="S99" s="139"/>
      <c r="T99" s="2"/>
      <c r="U99" s="4"/>
    </row>
    <row r="100" spans="1:21" ht="15.6" x14ac:dyDescent="0.3">
      <c r="A100" s="122">
        <v>6</v>
      </c>
      <c r="B100" s="113" t="s">
        <v>207</v>
      </c>
      <c r="C100" s="113"/>
      <c r="D100" s="135"/>
      <c r="E100" s="135"/>
      <c r="F100" s="135"/>
      <c r="G100" s="135"/>
      <c r="H100" s="135"/>
      <c r="I100" s="135"/>
      <c r="J100" s="135"/>
      <c r="K100" s="135"/>
      <c r="L100" s="135"/>
      <c r="M100" s="135"/>
      <c r="N100" s="135"/>
      <c r="O100" s="135"/>
      <c r="P100" s="113"/>
      <c r="Q100" s="113"/>
      <c r="R100" s="156">
        <v>-119</v>
      </c>
      <c r="S100" s="139"/>
      <c r="T100" s="2"/>
      <c r="U100" s="4"/>
    </row>
    <row r="101" spans="1:21" ht="15.6" x14ac:dyDescent="0.3">
      <c r="A101" s="122">
        <v>7</v>
      </c>
      <c r="B101" s="113" t="s">
        <v>208</v>
      </c>
      <c r="C101" s="113"/>
      <c r="D101" s="135"/>
      <c r="E101" s="135"/>
      <c r="F101" s="135"/>
      <c r="G101" s="135"/>
      <c r="H101" s="135"/>
      <c r="I101" s="135"/>
      <c r="J101" s="135"/>
      <c r="K101" s="135"/>
      <c r="L101" s="135"/>
      <c r="M101" s="135"/>
      <c r="N101" s="135"/>
      <c r="O101" s="135"/>
      <c r="P101" s="113"/>
      <c r="Q101" s="113"/>
      <c r="R101" s="156">
        <v>-64</v>
      </c>
      <c r="S101" s="139"/>
      <c r="T101" s="2"/>
      <c r="U101" s="4"/>
    </row>
    <row r="102" spans="1:21" ht="15.6" x14ac:dyDescent="0.3">
      <c r="A102" s="122">
        <v>8</v>
      </c>
      <c r="B102" s="113" t="s">
        <v>158</v>
      </c>
      <c r="C102" s="113"/>
      <c r="D102" s="135"/>
      <c r="E102" s="135"/>
      <c r="F102" s="135"/>
      <c r="G102" s="135"/>
      <c r="H102" s="135"/>
      <c r="I102" s="135"/>
      <c r="J102" s="135"/>
      <c r="K102" s="135"/>
      <c r="L102" s="135"/>
      <c r="M102" s="135"/>
      <c r="N102" s="135"/>
      <c r="O102" s="135"/>
      <c r="P102" s="113"/>
      <c r="Q102" s="113"/>
      <c r="R102" s="156">
        <v>-1</v>
      </c>
      <c r="S102" s="139"/>
      <c r="T102" s="2"/>
      <c r="U102" s="4"/>
    </row>
    <row r="103" spans="1:21" ht="15.6" x14ac:dyDescent="0.3">
      <c r="A103" s="122">
        <v>9</v>
      </c>
      <c r="B103" s="113" t="s">
        <v>37</v>
      </c>
      <c r="C103" s="113"/>
      <c r="D103" s="135"/>
      <c r="E103" s="135"/>
      <c r="F103" s="135"/>
      <c r="G103" s="135"/>
      <c r="H103" s="135"/>
      <c r="I103" s="135"/>
      <c r="J103" s="135"/>
      <c r="K103" s="135"/>
      <c r="L103" s="135"/>
      <c r="M103" s="135"/>
      <c r="N103" s="135"/>
      <c r="O103" s="135"/>
      <c r="P103" s="155">
        <f>-R103</f>
        <v>0</v>
      </c>
      <c r="Q103" s="113"/>
      <c r="R103" s="156">
        <v>0</v>
      </c>
      <c r="S103" s="139"/>
      <c r="T103" s="2"/>
    </row>
    <row r="104" spans="1:21" ht="15.6" x14ac:dyDescent="0.3">
      <c r="A104" s="122">
        <v>10</v>
      </c>
      <c r="B104" s="113" t="s">
        <v>101</v>
      </c>
      <c r="C104" s="113"/>
      <c r="D104" s="135"/>
      <c r="E104" s="135"/>
      <c r="F104" s="135"/>
      <c r="G104" s="135"/>
      <c r="H104" s="135"/>
      <c r="I104" s="135"/>
      <c r="J104" s="135"/>
      <c r="K104" s="135"/>
      <c r="L104" s="135"/>
      <c r="M104" s="135"/>
      <c r="N104" s="135"/>
      <c r="O104" s="135"/>
      <c r="P104" s="113"/>
      <c r="Q104" s="113"/>
      <c r="R104" s="156">
        <v>0</v>
      </c>
      <c r="S104" s="139"/>
      <c r="T104" s="2"/>
    </row>
    <row r="105" spans="1:21" ht="15.6" x14ac:dyDescent="0.3">
      <c r="A105" s="122">
        <v>11</v>
      </c>
      <c r="B105" s="113" t="s">
        <v>29</v>
      </c>
      <c r="C105" s="113"/>
      <c r="D105" s="135"/>
      <c r="E105" s="135"/>
      <c r="F105" s="135"/>
      <c r="G105" s="135"/>
      <c r="H105" s="135"/>
      <c r="I105" s="135"/>
      <c r="J105" s="135"/>
      <c r="K105" s="135"/>
      <c r="L105" s="135"/>
      <c r="M105" s="135"/>
      <c r="N105" s="135"/>
      <c r="O105" s="135"/>
      <c r="P105" s="113"/>
      <c r="Q105" s="113"/>
      <c r="R105" s="156">
        <v>-25</v>
      </c>
      <c r="S105" s="139"/>
      <c r="T105" s="2"/>
    </row>
    <row r="106" spans="1:21" ht="15.6" x14ac:dyDescent="0.3">
      <c r="A106" s="122">
        <v>12</v>
      </c>
      <c r="B106" s="113" t="s">
        <v>138</v>
      </c>
      <c r="C106" s="113"/>
      <c r="D106" s="135"/>
      <c r="E106" s="135"/>
      <c r="F106" s="135"/>
      <c r="G106" s="135"/>
      <c r="H106" s="135"/>
      <c r="I106" s="135"/>
      <c r="J106" s="135"/>
      <c r="K106" s="135"/>
      <c r="L106" s="135"/>
      <c r="M106" s="135"/>
      <c r="N106" s="135"/>
      <c r="O106" s="135"/>
      <c r="P106" s="113"/>
      <c r="Q106" s="113"/>
      <c r="R106" s="156">
        <v>0</v>
      </c>
      <c r="S106" s="139"/>
      <c r="T106" s="2"/>
    </row>
    <row r="107" spans="1:21" ht="15.6" x14ac:dyDescent="0.3">
      <c r="A107" s="122">
        <v>13</v>
      </c>
      <c r="B107" s="113" t="s">
        <v>209</v>
      </c>
      <c r="C107" s="113"/>
      <c r="D107" s="135"/>
      <c r="E107" s="135"/>
      <c r="F107" s="135"/>
      <c r="G107" s="135"/>
      <c r="H107" s="135"/>
      <c r="I107" s="135"/>
      <c r="J107" s="135"/>
      <c r="K107" s="135"/>
      <c r="L107" s="135"/>
      <c r="M107" s="135"/>
      <c r="N107" s="135"/>
      <c r="O107" s="135"/>
      <c r="P107" s="113"/>
      <c r="Q107" s="113"/>
      <c r="R107" s="156">
        <v>-57</v>
      </c>
      <c r="S107" s="139"/>
      <c r="T107" s="2"/>
    </row>
    <row r="108" spans="1:21" ht="15.6" x14ac:dyDescent="0.3">
      <c r="A108" s="122">
        <v>14</v>
      </c>
      <c r="B108" s="113" t="s">
        <v>159</v>
      </c>
      <c r="C108" s="113"/>
      <c r="D108" s="135"/>
      <c r="E108" s="135"/>
      <c r="F108" s="135"/>
      <c r="G108" s="135"/>
      <c r="H108" s="135"/>
      <c r="I108" s="135"/>
      <c r="J108" s="135"/>
      <c r="K108" s="135"/>
      <c r="L108" s="135"/>
      <c r="M108" s="135"/>
      <c r="N108" s="135"/>
      <c r="O108" s="135"/>
      <c r="P108" s="113"/>
      <c r="Q108" s="113"/>
      <c r="R108" s="156">
        <v>0</v>
      </c>
      <c r="S108" s="139"/>
      <c r="T108" s="2"/>
    </row>
    <row r="109" spans="1:21" ht="15.6" x14ac:dyDescent="0.3">
      <c r="A109" s="122">
        <v>15</v>
      </c>
      <c r="B109" s="113" t="s">
        <v>237</v>
      </c>
      <c r="C109" s="113"/>
      <c r="D109" s="135"/>
      <c r="E109" s="135"/>
      <c r="F109" s="135"/>
      <c r="G109" s="135"/>
      <c r="H109" s="135"/>
      <c r="I109" s="135"/>
      <c r="J109" s="135"/>
      <c r="K109" s="135"/>
      <c r="L109" s="135"/>
      <c r="M109" s="135"/>
      <c r="N109" s="135"/>
      <c r="O109" s="135"/>
      <c r="P109" s="113"/>
      <c r="Q109" s="113"/>
      <c r="R109" s="156">
        <v>-99</v>
      </c>
      <c r="S109" s="139"/>
      <c r="T109" s="2"/>
    </row>
    <row r="110" spans="1:21" ht="15.6" x14ac:dyDescent="0.3">
      <c r="A110" s="122">
        <v>16</v>
      </c>
      <c r="B110" s="113" t="s">
        <v>170</v>
      </c>
      <c r="C110" s="113"/>
      <c r="D110" s="135"/>
      <c r="E110" s="135"/>
      <c r="F110" s="135"/>
      <c r="G110" s="135"/>
      <c r="H110" s="135"/>
      <c r="I110" s="135"/>
      <c r="J110" s="135"/>
      <c r="K110" s="135"/>
      <c r="L110" s="135"/>
      <c r="M110" s="135"/>
      <c r="N110" s="135"/>
      <c r="O110" s="135"/>
      <c r="P110" s="113"/>
      <c r="Q110" s="113"/>
      <c r="R110" s="156">
        <f>-43-224</f>
        <v>-267</v>
      </c>
      <c r="S110" s="139"/>
      <c r="T110" s="2"/>
    </row>
    <row r="111" spans="1:21" ht="15.6" x14ac:dyDescent="0.3">
      <c r="A111" s="122">
        <v>17</v>
      </c>
      <c r="B111" s="113" t="s">
        <v>175</v>
      </c>
      <c r="C111" s="113"/>
      <c r="D111" s="135"/>
      <c r="E111" s="135"/>
      <c r="F111" s="135"/>
      <c r="G111" s="135"/>
      <c r="H111" s="135"/>
      <c r="I111" s="135"/>
      <c r="J111" s="135"/>
      <c r="K111" s="135"/>
      <c r="L111" s="135"/>
      <c r="M111" s="135"/>
      <c r="N111" s="135"/>
      <c r="O111" s="135"/>
      <c r="P111" s="113"/>
      <c r="Q111" s="113"/>
      <c r="R111" s="156">
        <f>-R93-SUM(R95:R110)</f>
        <v>-1582</v>
      </c>
      <c r="S111" s="139"/>
      <c r="T111" s="2"/>
    </row>
    <row r="112" spans="1:21" ht="15.6" x14ac:dyDescent="0.3">
      <c r="A112" s="122">
        <v>18</v>
      </c>
      <c r="B112" s="113" t="s">
        <v>176</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12"/>
      <c r="B113" s="160" t="s">
        <v>30</v>
      </c>
      <c r="C113" s="135"/>
      <c r="D113" s="135"/>
      <c r="E113" s="135"/>
      <c r="F113" s="135"/>
      <c r="G113" s="135"/>
      <c r="H113" s="135"/>
      <c r="I113" s="135"/>
      <c r="J113" s="135"/>
      <c r="K113" s="135"/>
      <c r="L113" s="135"/>
      <c r="M113" s="135"/>
      <c r="N113" s="135"/>
      <c r="O113" s="135"/>
      <c r="P113" s="113"/>
      <c r="Q113" s="113"/>
      <c r="R113" s="161"/>
      <c r="S113" s="139"/>
      <c r="T113" s="2"/>
    </row>
    <row r="114" spans="1:20" ht="15.6" x14ac:dyDescent="0.3">
      <c r="A114" s="112"/>
      <c r="B114" s="113" t="s">
        <v>238</v>
      </c>
      <c r="C114" s="135"/>
      <c r="D114" s="135"/>
      <c r="E114" s="135"/>
      <c r="F114" s="135"/>
      <c r="G114" s="135"/>
      <c r="H114" s="135"/>
      <c r="I114" s="135"/>
      <c r="J114" s="135"/>
      <c r="K114" s="135"/>
      <c r="L114" s="135"/>
      <c r="M114" s="135"/>
      <c r="N114" s="135"/>
      <c r="O114" s="135"/>
      <c r="P114" s="155">
        <f>-P179</f>
        <v>-302</v>
      </c>
      <c r="Q114" s="155"/>
      <c r="R114" s="156"/>
      <c r="S114" s="139"/>
      <c r="T114" s="2"/>
    </row>
    <row r="115" spans="1:20" ht="15.6" x14ac:dyDescent="0.3">
      <c r="A115" s="112"/>
      <c r="B115" s="113" t="s">
        <v>239</v>
      </c>
      <c r="C115" s="135"/>
      <c r="D115" s="135"/>
      <c r="E115" s="135"/>
      <c r="F115" s="135"/>
      <c r="G115" s="135"/>
      <c r="H115" s="135"/>
      <c r="I115" s="135"/>
      <c r="J115" s="135"/>
      <c r="K115" s="135"/>
      <c r="L115" s="135"/>
      <c r="M115" s="135"/>
      <c r="N115" s="135"/>
      <c r="O115" s="135"/>
      <c r="P115" s="155">
        <f>-O179</f>
        <v>0</v>
      </c>
      <c r="Q115" s="155"/>
      <c r="R115" s="156"/>
      <c r="S115" s="139"/>
      <c r="T115" s="2"/>
    </row>
    <row r="116" spans="1:20" ht="15.6" x14ac:dyDescent="0.3">
      <c r="A116" s="112"/>
      <c r="B116" s="113" t="s">
        <v>160</v>
      </c>
      <c r="C116" s="135"/>
      <c r="D116" s="135"/>
      <c r="E116" s="135"/>
      <c r="F116" s="135"/>
      <c r="G116" s="135"/>
      <c r="H116" s="135"/>
      <c r="I116" s="135"/>
      <c r="J116" s="135"/>
      <c r="K116" s="135"/>
      <c r="L116" s="135"/>
      <c r="M116" s="135"/>
      <c r="N116" s="135"/>
      <c r="O116" s="135"/>
      <c r="P116" s="155">
        <v>-1889</v>
      </c>
      <c r="Q116" s="155"/>
      <c r="R116" s="156"/>
      <c r="S116" s="139"/>
      <c r="T116" s="2"/>
    </row>
    <row r="117" spans="1:20" ht="15.6" x14ac:dyDescent="0.3">
      <c r="A117" s="112"/>
      <c r="B117" s="113" t="s">
        <v>189</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190</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191</v>
      </c>
      <c r="C119" s="135"/>
      <c r="D119" s="135"/>
      <c r="E119" s="135"/>
      <c r="F119" s="135"/>
      <c r="G119" s="135"/>
      <c r="H119" s="135"/>
      <c r="I119" s="135"/>
      <c r="J119" s="135"/>
      <c r="K119" s="135"/>
      <c r="L119" s="135"/>
      <c r="M119" s="135"/>
      <c r="N119" s="135"/>
      <c r="O119" s="135"/>
      <c r="P119" s="155">
        <v>0</v>
      </c>
      <c r="Q119" s="155"/>
      <c r="R119" s="156"/>
      <c r="S119" s="139"/>
      <c r="T119" s="2"/>
    </row>
    <row r="120" spans="1:20" ht="15.6" x14ac:dyDescent="0.3">
      <c r="A120" s="112"/>
      <c r="B120" s="113" t="s">
        <v>31</v>
      </c>
      <c r="C120" s="135"/>
      <c r="D120" s="135"/>
      <c r="E120" s="135"/>
      <c r="F120" s="135"/>
      <c r="G120" s="135"/>
      <c r="H120" s="135"/>
      <c r="I120" s="135"/>
      <c r="J120" s="135"/>
      <c r="K120" s="135"/>
      <c r="L120" s="135"/>
      <c r="M120" s="135"/>
      <c r="N120" s="135"/>
      <c r="O120" s="135"/>
      <c r="P120" s="155">
        <f>SUM(P114:P119)</f>
        <v>-2191</v>
      </c>
      <c r="Q120" s="155"/>
      <c r="R120" s="155">
        <f>SUM(R94:R119)</f>
        <v>-4055</v>
      </c>
      <c r="S120" s="139"/>
      <c r="T120" s="2"/>
    </row>
    <row r="121" spans="1:20" ht="15.6" x14ac:dyDescent="0.3">
      <c r="A121" s="112"/>
      <c r="B121" s="113" t="s">
        <v>32</v>
      </c>
      <c r="C121" s="135"/>
      <c r="D121" s="135"/>
      <c r="E121" s="135"/>
      <c r="F121" s="135"/>
      <c r="G121" s="135"/>
      <c r="H121" s="135"/>
      <c r="I121" s="135"/>
      <c r="J121" s="135"/>
      <c r="K121" s="135"/>
      <c r="L121" s="135"/>
      <c r="M121" s="135"/>
      <c r="N121" s="135"/>
      <c r="O121" s="135"/>
      <c r="P121" s="155">
        <f>P93+P120+P103+P112</f>
        <v>0</v>
      </c>
      <c r="Q121" s="155"/>
      <c r="R121" s="155">
        <f>R93+R120</f>
        <v>0</v>
      </c>
      <c r="S121" s="139"/>
      <c r="T121" s="2"/>
    </row>
    <row r="122" spans="1:20" ht="15.6" x14ac:dyDescent="0.3">
      <c r="A122" s="12"/>
      <c r="B122" s="43"/>
      <c r="C122" s="43"/>
      <c r="D122" s="43"/>
      <c r="E122" s="43"/>
      <c r="F122" s="43"/>
      <c r="G122" s="43"/>
      <c r="H122" s="43"/>
      <c r="I122" s="43"/>
      <c r="J122" s="43"/>
      <c r="K122" s="43"/>
      <c r="L122" s="43"/>
      <c r="M122" s="43"/>
      <c r="N122" s="43"/>
      <c r="O122" s="43"/>
      <c r="P122" s="153"/>
      <c r="Q122" s="153"/>
      <c r="R122" s="153"/>
      <c r="S122" s="218"/>
      <c r="T122" s="2"/>
    </row>
    <row r="123" spans="1:20" ht="15.6" x14ac:dyDescent="0.3">
      <c r="A123" s="12"/>
      <c r="B123" s="14"/>
      <c r="C123" s="14"/>
      <c r="D123" s="14"/>
      <c r="E123" s="14"/>
      <c r="F123" s="14"/>
      <c r="G123" s="14"/>
      <c r="H123" s="14"/>
      <c r="I123" s="14"/>
      <c r="J123" s="14"/>
      <c r="K123" s="14"/>
      <c r="L123" s="14"/>
      <c r="M123" s="14"/>
      <c r="N123" s="14"/>
      <c r="O123" s="14"/>
      <c r="P123" s="14"/>
      <c r="Q123" s="14"/>
      <c r="R123" s="33"/>
      <c r="S123" s="218"/>
      <c r="T123" s="2"/>
    </row>
    <row r="124" spans="1:20" ht="18" thickBot="1" x14ac:dyDescent="0.35">
      <c r="A124" s="28"/>
      <c r="B124" s="97" t="str">
        <f>B52</f>
        <v>PM21 INVESTOR REPORT QUARTER ENDING FEBRUARY 2015</v>
      </c>
      <c r="C124" s="29"/>
      <c r="D124" s="29"/>
      <c r="E124" s="29"/>
      <c r="F124" s="29"/>
      <c r="G124" s="29"/>
      <c r="H124" s="29"/>
      <c r="I124" s="29"/>
      <c r="J124" s="29"/>
      <c r="K124" s="29"/>
      <c r="L124" s="29"/>
      <c r="M124" s="29"/>
      <c r="N124" s="29"/>
      <c r="O124" s="29"/>
      <c r="P124" s="29"/>
      <c r="Q124" s="29"/>
      <c r="R124" s="40"/>
      <c r="S124" s="31"/>
      <c r="T124" s="2"/>
    </row>
    <row r="125" spans="1:20" ht="15.6" x14ac:dyDescent="0.3">
      <c r="A125" s="65"/>
      <c r="B125" s="66" t="s">
        <v>33</v>
      </c>
      <c r="C125" s="67"/>
      <c r="D125" s="67"/>
      <c r="E125" s="67"/>
      <c r="F125" s="67"/>
      <c r="G125" s="67"/>
      <c r="H125" s="67"/>
      <c r="I125" s="67"/>
      <c r="J125" s="67"/>
      <c r="K125" s="67"/>
      <c r="L125" s="67"/>
      <c r="M125" s="67"/>
      <c r="N125" s="67"/>
      <c r="O125" s="67"/>
      <c r="P125" s="67"/>
      <c r="Q125" s="67"/>
      <c r="R125" s="68"/>
      <c r="S125" s="224"/>
      <c r="T125" s="2"/>
    </row>
    <row r="126" spans="1:20" ht="15.6" x14ac:dyDescent="0.3">
      <c r="A126" s="12"/>
      <c r="B126" s="22"/>
      <c r="C126" s="14"/>
      <c r="D126" s="14"/>
      <c r="E126" s="14"/>
      <c r="F126" s="14"/>
      <c r="G126" s="14"/>
      <c r="H126" s="14"/>
      <c r="I126" s="14"/>
      <c r="J126" s="14"/>
      <c r="K126" s="14"/>
      <c r="L126" s="14"/>
      <c r="M126" s="14"/>
      <c r="N126" s="14"/>
      <c r="O126" s="14"/>
      <c r="P126" s="14"/>
      <c r="Q126" s="14"/>
      <c r="R126" s="33"/>
      <c r="S126" s="218"/>
      <c r="T126" s="2"/>
    </row>
    <row r="127" spans="1:20" ht="15.6" x14ac:dyDescent="0.3">
      <c r="A127" s="12"/>
      <c r="B127" s="41" t="s">
        <v>34</v>
      </c>
      <c r="C127" s="14"/>
      <c r="D127" s="14"/>
      <c r="E127" s="14"/>
      <c r="F127" s="14"/>
      <c r="G127" s="14"/>
      <c r="H127" s="14"/>
      <c r="I127" s="14"/>
      <c r="J127" s="14"/>
      <c r="K127" s="14"/>
      <c r="L127" s="14"/>
      <c r="M127" s="14"/>
      <c r="N127" s="14"/>
      <c r="O127" s="14"/>
      <c r="P127" s="14"/>
      <c r="Q127" s="14"/>
      <c r="R127" s="33"/>
      <c r="S127" s="218"/>
      <c r="T127" s="2"/>
    </row>
    <row r="128" spans="1:20" ht="15.6" x14ac:dyDescent="0.3">
      <c r="A128" s="112"/>
      <c r="B128" s="113" t="s">
        <v>35</v>
      </c>
      <c r="C128" s="113"/>
      <c r="D128" s="113"/>
      <c r="E128" s="113"/>
      <c r="F128" s="113"/>
      <c r="G128" s="113"/>
      <c r="H128" s="113"/>
      <c r="I128" s="113"/>
      <c r="J128" s="113"/>
      <c r="K128" s="113"/>
      <c r="L128" s="113"/>
      <c r="M128" s="113"/>
      <c r="N128" s="113"/>
      <c r="O128" s="113"/>
      <c r="P128" s="113"/>
      <c r="Q128" s="113"/>
      <c r="R128" s="156">
        <f>+R28*0.025</f>
        <v>6250</v>
      </c>
      <c r="S128" s="116"/>
      <c r="T128" s="2"/>
    </row>
    <row r="129" spans="1:21" ht="15.6" x14ac:dyDescent="0.3">
      <c r="A129" s="112"/>
      <c r="B129" s="113" t="s">
        <v>36</v>
      </c>
      <c r="C129" s="113"/>
      <c r="D129" s="113"/>
      <c r="E129" s="113"/>
      <c r="F129" s="113"/>
      <c r="G129" s="113"/>
      <c r="H129" s="113"/>
      <c r="I129" s="113"/>
      <c r="J129" s="113"/>
      <c r="K129" s="113"/>
      <c r="L129" s="113"/>
      <c r="M129" s="113"/>
      <c r="N129" s="113"/>
      <c r="O129" s="113"/>
      <c r="P129" s="113"/>
      <c r="Q129" s="113"/>
      <c r="R129" s="156">
        <v>0</v>
      </c>
      <c r="S129" s="116"/>
      <c r="T129" s="2"/>
    </row>
    <row r="130" spans="1:21" ht="15.6" x14ac:dyDescent="0.3">
      <c r="A130" s="112"/>
      <c r="B130" s="113" t="s">
        <v>172</v>
      </c>
      <c r="C130" s="113"/>
      <c r="D130" s="113"/>
      <c r="E130" s="113"/>
      <c r="F130" s="113"/>
      <c r="G130" s="113"/>
      <c r="H130" s="113"/>
      <c r="I130" s="113"/>
      <c r="J130" s="113"/>
      <c r="K130" s="113"/>
      <c r="L130" s="113"/>
      <c r="M130" s="113"/>
      <c r="N130" s="113"/>
      <c r="O130" s="113"/>
      <c r="P130" s="113"/>
      <c r="Q130" s="113"/>
      <c r="R130" s="156">
        <f>R128-R131</f>
        <v>204.72982499999944</v>
      </c>
      <c r="S130" s="116"/>
      <c r="T130" s="2"/>
    </row>
    <row r="131" spans="1:21" ht="15.6" x14ac:dyDescent="0.3">
      <c r="A131" s="112"/>
      <c r="B131" s="113" t="s">
        <v>240</v>
      </c>
      <c r="C131" s="113"/>
      <c r="D131" s="113"/>
      <c r="E131" s="113"/>
      <c r="F131" s="113"/>
      <c r="G131" s="113"/>
      <c r="H131" s="113"/>
      <c r="I131" s="113"/>
      <c r="J131" s="113"/>
      <c r="K131" s="113"/>
      <c r="L131" s="113"/>
      <c r="M131" s="113"/>
      <c r="N131" s="113"/>
      <c r="O131" s="113"/>
      <c r="P131" s="113"/>
      <c r="Q131" s="113"/>
      <c r="R131" s="156">
        <f>SUM(D30:H30)*0.025</f>
        <v>6045.2701750000006</v>
      </c>
      <c r="S131" s="116"/>
      <c r="T131" s="2"/>
    </row>
    <row r="132" spans="1:21" ht="15.6" x14ac:dyDescent="0.3">
      <c r="A132" s="112"/>
      <c r="B132" s="113" t="s">
        <v>108</v>
      </c>
      <c r="C132" s="113"/>
      <c r="D132" s="113"/>
      <c r="E132" s="113"/>
      <c r="F132" s="113"/>
      <c r="G132" s="113"/>
      <c r="H132" s="113"/>
      <c r="I132" s="113"/>
      <c r="J132" s="113"/>
      <c r="K132" s="113"/>
      <c r="L132" s="113"/>
      <c r="M132" s="113"/>
      <c r="N132" s="113"/>
      <c r="O132" s="113"/>
      <c r="P132" s="113"/>
      <c r="Q132" s="113"/>
      <c r="R132" s="156"/>
      <c r="S132" s="116"/>
      <c r="T132" s="2"/>
    </row>
    <row r="133" spans="1:21" ht="15.6" x14ac:dyDescent="0.3">
      <c r="A133" s="112"/>
      <c r="B133" s="113" t="s">
        <v>157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207</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208</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37</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102</v>
      </c>
      <c r="C137" s="113"/>
      <c r="D137" s="113"/>
      <c r="E137" s="113"/>
      <c r="F137" s="113"/>
      <c r="G137" s="113"/>
      <c r="H137" s="113"/>
      <c r="I137" s="113"/>
      <c r="J137" s="113"/>
      <c r="K137" s="113"/>
      <c r="L137" s="113"/>
      <c r="M137" s="113"/>
      <c r="N137" s="113"/>
      <c r="O137" s="113"/>
      <c r="P137" s="113"/>
      <c r="Q137" s="113"/>
      <c r="R137" s="156">
        <v>0</v>
      </c>
      <c r="S137" s="116"/>
      <c r="T137" s="2"/>
    </row>
    <row r="138" spans="1:21" ht="15.6" x14ac:dyDescent="0.3">
      <c r="A138" s="112"/>
      <c r="B138" s="113" t="s">
        <v>228</v>
      </c>
      <c r="C138" s="113"/>
      <c r="D138" s="113"/>
      <c r="E138" s="113"/>
      <c r="F138" s="113"/>
      <c r="G138" s="113"/>
      <c r="H138" s="113"/>
      <c r="I138" s="113"/>
      <c r="J138" s="113"/>
      <c r="K138" s="113"/>
      <c r="L138" s="113"/>
      <c r="M138" s="113"/>
      <c r="N138" s="113"/>
      <c r="O138" s="113"/>
      <c r="P138" s="113"/>
      <c r="Q138" s="113"/>
      <c r="R138" s="156">
        <v>0</v>
      </c>
      <c r="S138" s="116"/>
      <c r="T138" s="2"/>
      <c r="U138" s="4"/>
    </row>
    <row r="139" spans="1:21" ht="15.6" x14ac:dyDescent="0.3">
      <c r="A139" s="112"/>
      <c r="B139" s="113" t="s">
        <v>38</v>
      </c>
      <c r="C139" s="113"/>
      <c r="D139" s="113"/>
      <c r="E139" s="113"/>
      <c r="F139" s="113"/>
      <c r="G139" s="113"/>
      <c r="H139" s="113"/>
      <c r="I139" s="113"/>
      <c r="J139" s="113"/>
      <c r="K139" s="113"/>
      <c r="L139" s="113"/>
      <c r="M139" s="113"/>
      <c r="N139" s="113"/>
      <c r="O139" s="113"/>
      <c r="P139" s="113"/>
      <c r="Q139" s="113"/>
      <c r="R139" s="156">
        <f>SUM(R129:R138)</f>
        <v>6250</v>
      </c>
      <c r="S139" s="116"/>
      <c r="T139" s="2"/>
    </row>
    <row r="140" spans="1:21" ht="15.6" x14ac:dyDescent="0.3">
      <c r="A140" s="12"/>
      <c r="B140" s="43"/>
      <c r="C140" s="43"/>
      <c r="D140" s="43"/>
      <c r="E140" s="43"/>
      <c r="F140" s="43"/>
      <c r="G140" s="43"/>
      <c r="H140" s="43"/>
      <c r="I140" s="43"/>
      <c r="J140" s="43"/>
      <c r="K140" s="43"/>
      <c r="L140" s="43"/>
      <c r="M140" s="43"/>
      <c r="N140" s="43"/>
      <c r="O140" s="43"/>
      <c r="P140" s="43"/>
      <c r="Q140" s="43"/>
      <c r="R140" s="162"/>
      <c r="S140" s="218"/>
      <c r="T140" s="2"/>
    </row>
    <row r="141" spans="1:21" ht="15.6" x14ac:dyDescent="0.3">
      <c r="A141" s="12"/>
      <c r="B141" s="41" t="s">
        <v>222</v>
      </c>
      <c r="C141" s="14"/>
      <c r="D141" s="14"/>
      <c r="E141" s="14"/>
      <c r="F141" s="14"/>
      <c r="G141" s="14"/>
      <c r="H141" s="14"/>
      <c r="I141" s="14"/>
      <c r="J141" s="14"/>
      <c r="K141" s="14"/>
      <c r="L141" s="14"/>
      <c r="M141" s="14"/>
      <c r="N141" s="14"/>
      <c r="O141" s="14"/>
      <c r="P141" s="14"/>
      <c r="Q141" s="14"/>
      <c r="R141" s="33"/>
      <c r="S141" s="218"/>
      <c r="T141" s="2"/>
    </row>
    <row r="142" spans="1:21" ht="15.6" x14ac:dyDescent="0.3">
      <c r="A142" s="112"/>
      <c r="B142" s="113" t="s">
        <v>171</v>
      </c>
      <c r="C142" s="113"/>
      <c r="D142" s="113"/>
      <c r="E142" s="113"/>
      <c r="F142" s="113"/>
      <c r="G142" s="113"/>
      <c r="H142" s="113"/>
      <c r="I142" s="113"/>
      <c r="J142" s="113"/>
      <c r="K142" s="113"/>
      <c r="L142" s="113"/>
      <c r="M142" s="113"/>
      <c r="N142" s="113"/>
      <c r="O142" s="113"/>
      <c r="P142" s="113"/>
      <c r="Q142" s="113"/>
      <c r="R142" s="156">
        <f>+F69</f>
        <v>23451</v>
      </c>
      <c r="S142" s="139"/>
      <c r="T142" s="2"/>
    </row>
    <row r="143" spans="1:21" ht="15.6" x14ac:dyDescent="0.3">
      <c r="A143" s="112"/>
      <c r="B143" s="113" t="s">
        <v>210</v>
      </c>
      <c r="C143" s="115"/>
      <c r="D143" s="115"/>
      <c r="E143" s="115"/>
      <c r="F143" s="115"/>
      <c r="G143" s="115"/>
      <c r="H143" s="115"/>
      <c r="I143" s="115"/>
      <c r="J143" s="115"/>
      <c r="K143" s="115"/>
      <c r="L143" s="115"/>
      <c r="M143" s="115"/>
      <c r="N143" s="115"/>
      <c r="O143" s="115"/>
      <c r="P143" s="115"/>
      <c r="Q143" s="115"/>
      <c r="R143" s="156">
        <f>+J69</f>
        <v>-23450</v>
      </c>
      <c r="S143" s="139"/>
      <c r="T143" s="2"/>
    </row>
    <row r="144" spans="1:21" ht="15.6" x14ac:dyDescent="0.3">
      <c r="A144" s="112"/>
      <c r="B144" s="113" t="s">
        <v>224</v>
      </c>
      <c r="C144" s="113"/>
      <c r="D144" s="113"/>
      <c r="E144" s="113"/>
      <c r="F144" s="113"/>
      <c r="G144" s="113"/>
      <c r="H144" s="113"/>
      <c r="I144" s="113"/>
      <c r="J144" s="113"/>
      <c r="K144" s="113"/>
      <c r="L144" s="113"/>
      <c r="M144" s="113"/>
      <c r="N144" s="113"/>
      <c r="O144" s="113"/>
      <c r="P144" s="113"/>
      <c r="Q144" s="113"/>
      <c r="R144" s="156">
        <f>R142+R143</f>
        <v>1</v>
      </c>
      <c r="S144" s="139"/>
      <c r="T144" s="2"/>
    </row>
    <row r="145" spans="1:20" ht="15.6" x14ac:dyDescent="0.3">
      <c r="A145" s="12"/>
      <c r="B145" s="163"/>
      <c r="C145" s="163"/>
      <c r="D145" s="163"/>
      <c r="E145" s="163"/>
      <c r="F145" s="163"/>
      <c r="G145" s="163"/>
      <c r="H145" s="163"/>
      <c r="I145" s="163"/>
      <c r="J145" s="163"/>
      <c r="K145" s="163"/>
      <c r="L145" s="163"/>
      <c r="M145" s="163"/>
      <c r="N145" s="163"/>
      <c r="O145" s="163"/>
      <c r="P145" s="163"/>
      <c r="Q145" s="163"/>
      <c r="R145" s="196"/>
      <c r="S145" s="218"/>
      <c r="T145" s="2"/>
    </row>
    <row r="146" spans="1:20" ht="15.6" x14ac:dyDescent="0.3">
      <c r="A146" s="12"/>
      <c r="B146" s="41" t="s">
        <v>241</v>
      </c>
      <c r="C146" s="163"/>
      <c r="D146" s="163"/>
      <c r="E146" s="163"/>
      <c r="F146" s="163"/>
      <c r="G146" s="163"/>
      <c r="H146" s="163"/>
      <c r="I146" s="163"/>
      <c r="J146" s="163"/>
      <c r="K146" s="163"/>
      <c r="L146" s="163"/>
      <c r="M146" s="163"/>
      <c r="N146" s="163"/>
      <c r="O146" s="163"/>
      <c r="P146" s="163"/>
      <c r="Q146" s="163"/>
      <c r="R146" s="196"/>
      <c r="S146" s="218"/>
      <c r="T146" s="2"/>
    </row>
    <row r="147" spans="1:20" ht="15.6" x14ac:dyDescent="0.3">
      <c r="A147" s="232"/>
      <c r="B147" s="233" t="s">
        <v>242</v>
      </c>
      <c r="C147" s="233"/>
      <c r="D147" s="233"/>
      <c r="E147" s="233"/>
      <c r="F147" s="233"/>
      <c r="G147" s="233"/>
      <c r="H147" s="233"/>
      <c r="I147" s="233"/>
      <c r="J147" s="233"/>
      <c r="K147" s="233"/>
      <c r="L147" s="233"/>
      <c r="M147" s="233"/>
      <c r="N147" s="233"/>
      <c r="O147" s="233"/>
      <c r="P147" s="233"/>
      <c r="Q147" s="233"/>
      <c r="R147" s="234">
        <v>2175</v>
      </c>
      <c r="S147" s="235"/>
      <c r="T147" s="2"/>
    </row>
    <row r="148" spans="1:20" ht="15.6" x14ac:dyDescent="0.3">
      <c r="A148" s="232"/>
      <c r="B148" s="233" t="s">
        <v>243</v>
      </c>
      <c r="C148" s="233"/>
      <c r="D148" s="233"/>
      <c r="E148" s="233"/>
      <c r="F148" s="233"/>
      <c r="G148" s="233"/>
      <c r="H148" s="233"/>
      <c r="I148" s="233"/>
      <c r="J148" s="233"/>
      <c r="K148" s="233"/>
      <c r="L148" s="233"/>
      <c r="M148" s="233"/>
      <c r="N148" s="233"/>
      <c r="O148" s="233"/>
      <c r="P148" s="233"/>
      <c r="Q148" s="233"/>
      <c r="R148" s="234">
        <v>0</v>
      </c>
      <c r="S148" s="235"/>
      <c r="T148" s="2"/>
    </row>
    <row r="149" spans="1:20" ht="15.6" x14ac:dyDescent="0.3">
      <c r="A149" s="232"/>
      <c r="B149" s="233" t="s">
        <v>244</v>
      </c>
      <c r="C149" s="233"/>
      <c r="D149" s="233"/>
      <c r="E149" s="233"/>
      <c r="F149" s="233"/>
      <c r="G149" s="233"/>
      <c r="H149" s="233"/>
      <c r="I149" s="233"/>
      <c r="J149" s="233"/>
      <c r="K149" s="233"/>
      <c r="L149" s="233"/>
      <c r="M149" s="233"/>
      <c r="N149" s="233"/>
      <c r="O149" s="233"/>
      <c r="P149" s="233"/>
      <c r="Q149" s="233"/>
      <c r="R149" s="234">
        <v>0</v>
      </c>
      <c r="S149" s="235"/>
      <c r="T149" s="2"/>
    </row>
    <row r="150" spans="1:20" ht="15.6" x14ac:dyDescent="0.3">
      <c r="A150" s="232"/>
      <c r="B150" s="233" t="s">
        <v>245</v>
      </c>
      <c r="C150" s="233"/>
      <c r="D150" s="233"/>
      <c r="E150" s="233"/>
      <c r="F150" s="233"/>
      <c r="G150" s="233"/>
      <c r="H150" s="233"/>
      <c r="I150" s="233"/>
      <c r="J150" s="233"/>
      <c r="K150" s="233"/>
      <c r="L150" s="233"/>
      <c r="M150" s="233"/>
      <c r="N150" s="233"/>
      <c r="O150" s="233"/>
      <c r="P150" s="233"/>
      <c r="Q150" s="233"/>
      <c r="R150" s="234">
        <f>R147+R148+R149</f>
        <v>2175</v>
      </c>
      <c r="S150" s="235"/>
      <c r="T150" s="2"/>
    </row>
    <row r="151" spans="1:20" ht="15.6" x14ac:dyDescent="0.3">
      <c r="A151" s="12"/>
      <c r="B151" s="43"/>
      <c r="C151" s="43"/>
      <c r="D151" s="43"/>
      <c r="E151" s="43"/>
      <c r="F151" s="43"/>
      <c r="G151" s="43"/>
      <c r="H151" s="43"/>
      <c r="I151" s="43"/>
      <c r="J151" s="43"/>
      <c r="K151" s="43"/>
      <c r="L151" s="43"/>
      <c r="M151" s="43"/>
      <c r="N151" s="43"/>
      <c r="O151" s="43"/>
      <c r="P151" s="43"/>
      <c r="Q151" s="43"/>
      <c r="R151" s="162"/>
      <c r="S151" s="218"/>
      <c r="T151" s="2"/>
    </row>
    <row r="152" spans="1:20" ht="15.6" x14ac:dyDescent="0.3">
      <c r="A152" s="12"/>
      <c r="B152" s="41" t="s">
        <v>39</v>
      </c>
      <c r="C152" s="14"/>
      <c r="D152" s="14"/>
      <c r="E152" s="14"/>
      <c r="F152" s="14"/>
      <c r="G152" s="14"/>
      <c r="H152" s="14"/>
      <c r="I152" s="14"/>
      <c r="J152" s="14"/>
      <c r="K152" s="14"/>
      <c r="L152" s="14"/>
      <c r="M152" s="14"/>
      <c r="N152" s="14"/>
      <c r="O152" s="14"/>
      <c r="P152" s="14"/>
      <c r="Q152" s="14"/>
      <c r="R152" s="42"/>
      <c r="S152" s="218"/>
      <c r="T152" s="2"/>
    </row>
    <row r="153" spans="1:20" ht="15.6" x14ac:dyDescent="0.3">
      <c r="A153" s="112"/>
      <c r="B153" s="113" t="s">
        <v>40</v>
      </c>
      <c r="C153" s="113"/>
      <c r="D153" s="113"/>
      <c r="E153" s="113"/>
      <c r="F153" s="113"/>
      <c r="G153" s="113"/>
      <c r="H153" s="113"/>
      <c r="I153" s="113"/>
      <c r="J153" s="113"/>
      <c r="K153" s="113"/>
      <c r="L153" s="113"/>
      <c r="M153" s="113"/>
      <c r="N153" s="113"/>
      <c r="O153" s="113"/>
      <c r="P153" s="113"/>
      <c r="Q153" s="113"/>
      <c r="R153" s="156">
        <v>0</v>
      </c>
      <c r="S153" s="116"/>
      <c r="T153" s="2"/>
    </row>
    <row r="154" spans="1:20" ht="15.6" x14ac:dyDescent="0.3">
      <c r="A154" s="112"/>
      <c r="B154" s="113" t="s">
        <v>41</v>
      </c>
      <c r="C154" s="113"/>
      <c r="D154" s="113"/>
      <c r="E154" s="113"/>
      <c r="F154" s="113"/>
      <c r="G154" s="113"/>
      <c r="H154" s="113"/>
      <c r="I154" s="113"/>
      <c r="J154" s="113"/>
      <c r="K154" s="113"/>
      <c r="L154" s="113"/>
      <c r="M154" s="113"/>
      <c r="N154" s="113"/>
      <c r="O154" s="113"/>
      <c r="P154" s="113"/>
      <c r="Q154" s="113"/>
      <c r="R154" s="156">
        <v>0</v>
      </c>
      <c r="S154" s="116"/>
      <c r="T154" s="2"/>
    </row>
    <row r="155" spans="1:20" ht="15.6" x14ac:dyDescent="0.3">
      <c r="A155" s="112"/>
      <c r="B155" s="113" t="s">
        <v>42</v>
      </c>
      <c r="C155" s="113"/>
      <c r="D155" s="113"/>
      <c r="E155" s="113"/>
      <c r="F155" s="113"/>
      <c r="G155" s="113"/>
      <c r="H155" s="113"/>
      <c r="I155" s="113"/>
      <c r="J155" s="113"/>
      <c r="K155" s="113"/>
      <c r="L155" s="113"/>
      <c r="M155" s="113"/>
      <c r="N155" s="113"/>
      <c r="O155" s="113"/>
      <c r="P155" s="113"/>
      <c r="Q155" s="113"/>
      <c r="R155" s="156">
        <f>R154+R153</f>
        <v>0</v>
      </c>
      <c r="S155" s="116"/>
      <c r="T155" s="2"/>
    </row>
    <row r="156" spans="1:20" ht="15.6" x14ac:dyDescent="0.3">
      <c r="A156" s="112"/>
      <c r="B156" s="113" t="s">
        <v>179</v>
      </c>
      <c r="C156" s="113"/>
      <c r="D156" s="113"/>
      <c r="E156" s="113"/>
      <c r="F156" s="113"/>
      <c r="G156" s="113"/>
      <c r="H156" s="113"/>
      <c r="I156" s="113"/>
      <c r="J156" s="113"/>
      <c r="K156" s="113"/>
      <c r="L156" s="113"/>
      <c r="M156" s="113"/>
      <c r="N156" s="113"/>
      <c r="O156" s="113"/>
      <c r="P156" s="113"/>
      <c r="Q156" s="113"/>
      <c r="R156" s="156">
        <f>R103</f>
        <v>0</v>
      </c>
      <c r="S156" s="116"/>
      <c r="T156" s="2"/>
    </row>
    <row r="157" spans="1:20" ht="15.6" x14ac:dyDescent="0.3">
      <c r="A157" s="112"/>
      <c r="B157" s="113" t="s">
        <v>43</v>
      </c>
      <c r="C157" s="113"/>
      <c r="D157" s="113"/>
      <c r="E157" s="113"/>
      <c r="F157" s="113"/>
      <c r="G157" s="113"/>
      <c r="H157" s="113"/>
      <c r="I157" s="113"/>
      <c r="J157" s="113"/>
      <c r="K157" s="113"/>
      <c r="L157" s="113"/>
      <c r="M157" s="113"/>
      <c r="N157" s="113"/>
      <c r="O157" s="113"/>
      <c r="P157" s="113"/>
      <c r="Q157" s="113"/>
      <c r="R157" s="156">
        <f>R155+R156</f>
        <v>0</v>
      </c>
      <c r="S157" s="116"/>
      <c r="T157" s="2"/>
    </row>
    <row r="158" spans="1:20" ht="15.6" x14ac:dyDescent="0.3">
      <c r="A158" s="112"/>
      <c r="B158" s="113" t="s">
        <v>150</v>
      </c>
      <c r="C158" s="113"/>
      <c r="D158" s="113"/>
      <c r="E158" s="113"/>
      <c r="F158" s="113"/>
      <c r="G158" s="113"/>
      <c r="H158" s="113"/>
      <c r="I158" s="113"/>
      <c r="J158" s="113"/>
      <c r="K158" s="113"/>
      <c r="L158" s="113"/>
      <c r="M158" s="113"/>
      <c r="N158" s="113"/>
      <c r="O158" s="113"/>
      <c r="P158" s="113"/>
      <c r="Q158" s="113"/>
      <c r="R158" s="156">
        <f>-R92</f>
        <v>0</v>
      </c>
      <c r="S158" s="116"/>
      <c r="T158" s="2"/>
    </row>
    <row r="159" spans="1:20" ht="16.2" thickBot="1" x14ac:dyDescent="0.35">
      <c r="A159" s="12"/>
      <c r="B159" s="43"/>
      <c r="C159" s="43"/>
      <c r="D159" s="43"/>
      <c r="E159" s="43"/>
      <c r="F159" s="43"/>
      <c r="G159" s="43"/>
      <c r="H159" s="43"/>
      <c r="I159" s="43"/>
      <c r="J159" s="43"/>
      <c r="K159" s="43"/>
      <c r="L159" s="43"/>
      <c r="M159" s="43"/>
      <c r="N159" s="43"/>
      <c r="O159" s="43"/>
      <c r="P159" s="43"/>
      <c r="Q159" s="43"/>
      <c r="R159" s="162"/>
      <c r="S159" s="218"/>
      <c r="T159" s="2"/>
    </row>
    <row r="160" spans="1:20" ht="15.6" x14ac:dyDescent="0.3">
      <c r="A160" s="10"/>
      <c r="B160" s="11"/>
      <c r="C160" s="11"/>
      <c r="D160" s="11"/>
      <c r="E160" s="11"/>
      <c r="F160" s="11"/>
      <c r="G160" s="11"/>
      <c r="H160" s="11"/>
      <c r="I160" s="11"/>
      <c r="J160" s="11"/>
      <c r="K160" s="11"/>
      <c r="L160" s="11"/>
      <c r="M160" s="11"/>
      <c r="N160" s="11"/>
      <c r="O160" s="11"/>
      <c r="P160" s="11"/>
      <c r="Q160" s="11"/>
      <c r="R160" s="32"/>
      <c r="S160" s="217"/>
      <c r="T160" s="2"/>
    </row>
    <row r="161" spans="1:252" s="6" customFormat="1" ht="15.6" x14ac:dyDescent="0.3">
      <c r="A161" s="12"/>
      <c r="B161" s="41" t="s">
        <v>223</v>
      </c>
      <c r="C161" s="43"/>
      <c r="D161" s="43"/>
      <c r="E161" s="43"/>
      <c r="F161" s="43"/>
      <c r="G161" s="43"/>
      <c r="H161" s="43"/>
      <c r="I161" s="43"/>
      <c r="J161" s="43"/>
      <c r="K161" s="43"/>
      <c r="L161" s="43"/>
      <c r="M161" s="43"/>
      <c r="N161" s="43"/>
      <c r="O161" s="43"/>
      <c r="P161" s="43"/>
      <c r="Q161" s="43"/>
      <c r="R161" s="44"/>
      <c r="S161" s="218"/>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141</v>
      </c>
      <c r="C162" s="113"/>
      <c r="D162" s="113"/>
      <c r="E162" s="113"/>
      <c r="F162" s="113"/>
      <c r="G162" s="113"/>
      <c r="H162" s="113"/>
      <c r="I162" s="113"/>
      <c r="J162" s="113"/>
      <c r="K162" s="113"/>
      <c r="L162" s="113"/>
      <c r="M162" s="113"/>
      <c r="N162" s="113"/>
      <c r="O162" s="113"/>
      <c r="P162" s="113"/>
      <c r="Q162" s="113"/>
      <c r="R162" s="156">
        <v>713</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144</v>
      </c>
      <c r="C163" s="113"/>
      <c r="D163" s="113"/>
      <c r="E163" s="113"/>
      <c r="F163" s="113"/>
      <c r="G163" s="113"/>
      <c r="H163" s="113"/>
      <c r="I163" s="113"/>
      <c r="J163" s="113"/>
      <c r="K163" s="113"/>
      <c r="L163" s="113"/>
      <c r="M163" s="113"/>
      <c r="N163" s="113"/>
      <c r="O163" s="113"/>
      <c r="P163" s="113"/>
      <c r="Q163" s="113"/>
      <c r="R163" s="156">
        <f>+R85</f>
        <v>402</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6" x14ac:dyDescent="0.3">
      <c r="A164" s="112"/>
      <c r="B164" s="113" t="s">
        <v>142</v>
      </c>
      <c r="C164" s="113"/>
      <c r="D164" s="113"/>
      <c r="E164" s="113"/>
      <c r="F164" s="113"/>
      <c r="G164" s="113"/>
      <c r="H164" s="113"/>
      <c r="I164" s="113"/>
      <c r="J164" s="113"/>
      <c r="K164" s="113"/>
      <c r="L164" s="113"/>
      <c r="M164" s="113"/>
      <c r="N164" s="113"/>
      <c r="O164" s="113"/>
      <c r="P164" s="113"/>
      <c r="Q164" s="113"/>
      <c r="R164" s="156">
        <f>+R162-R163</f>
        <v>311</v>
      </c>
      <c r="S164" s="116"/>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2" thickBot="1" x14ac:dyDescent="0.35">
      <c r="A165" s="28"/>
      <c r="B165" s="43"/>
      <c r="C165" s="43"/>
      <c r="D165" s="43"/>
      <c r="E165" s="43"/>
      <c r="F165" s="43"/>
      <c r="G165" s="43"/>
      <c r="H165" s="43"/>
      <c r="I165" s="43"/>
      <c r="J165" s="43"/>
      <c r="K165" s="43"/>
      <c r="L165" s="43"/>
      <c r="M165" s="43"/>
      <c r="N165" s="43"/>
      <c r="O165" s="43"/>
      <c r="P165" s="43"/>
      <c r="Q165" s="43"/>
      <c r="R165" s="162"/>
      <c r="S165" s="218"/>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6" x14ac:dyDescent="0.3">
      <c r="A166" s="10"/>
      <c r="B166" s="11"/>
      <c r="C166" s="11"/>
      <c r="D166" s="11"/>
      <c r="E166" s="11"/>
      <c r="F166" s="11"/>
      <c r="G166" s="11"/>
      <c r="H166" s="11"/>
      <c r="I166" s="11"/>
      <c r="J166" s="11"/>
      <c r="K166" s="11"/>
      <c r="L166" s="11"/>
      <c r="M166" s="11"/>
      <c r="N166" s="11"/>
      <c r="O166" s="11"/>
      <c r="P166" s="11"/>
      <c r="Q166" s="11"/>
      <c r="R166" s="32"/>
      <c r="S166" s="217"/>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6" x14ac:dyDescent="0.3">
      <c r="A167" s="12"/>
      <c r="B167" s="41" t="s">
        <v>44</v>
      </c>
      <c r="C167" s="14"/>
      <c r="D167" s="14"/>
      <c r="E167" s="14"/>
      <c r="F167" s="14"/>
      <c r="G167" s="14"/>
      <c r="H167" s="14"/>
      <c r="I167" s="14"/>
      <c r="J167" s="14"/>
      <c r="K167" s="14"/>
      <c r="L167" s="14"/>
      <c r="M167" s="14"/>
      <c r="N167" s="14"/>
      <c r="O167" s="14"/>
      <c r="P167" s="14"/>
      <c r="Q167" s="14"/>
      <c r="R167" s="33"/>
      <c r="S167" s="218"/>
      <c r="T167" s="2"/>
    </row>
    <row r="168" spans="1:252" ht="15.6" x14ac:dyDescent="0.3">
      <c r="A168" s="12"/>
      <c r="B168" s="22"/>
      <c r="C168" s="14"/>
      <c r="D168" s="14"/>
      <c r="E168" s="14"/>
      <c r="F168" s="14"/>
      <c r="G168" s="14"/>
      <c r="H168" s="14"/>
      <c r="I168" s="14"/>
      <c r="J168" s="14"/>
      <c r="K168" s="14"/>
      <c r="L168" s="14"/>
      <c r="M168" s="14"/>
      <c r="N168" s="14"/>
      <c r="O168" s="14"/>
      <c r="P168" s="14"/>
      <c r="Q168" s="14"/>
      <c r="R168" s="33"/>
      <c r="S168" s="218"/>
      <c r="T168" s="2"/>
    </row>
    <row r="169" spans="1:252" ht="15.6" x14ac:dyDescent="0.3">
      <c r="A169" s="112"/>
      <c r="B169" s="113" t="s">
        <v>177</v>
      </c>
      <c r="C169" s="113"/>
      <c r="D169" s="113"/>
      <c r="E169" s="113"/>
      <c r="F169" s="113"/>
      <c r="G169" s="113"/>
      <c r="H169" s="113"/>
      <c r="I169" s="113"/>
      <c r="J169" s="113"/>
      <c r="K169" s="113"/>
      <c r="L169" s="113"/>
      <c r="M169" s="113"/>
      <c r="N169" s="113"/>
      <c r="O169" s="113"/>
      <c r="P169" s="113"/>
      <c r="Q169" s="113"/>
      <c r="R169" s="156">
        <f>+R59</f>
        <v>245936</v>
      </c>
      <c r="S169" s="116"/>
      <c r="T169" s="2"/>
    </row>
    <row r="170" spans="1:252" ht="15.6" x14ac:dyDescent="0.3">
      <c r="A170" s="112"/>
      <c r="B170" s="113" t="s">
        <v>178</v>
      </c>
      <c r="C170" s="113"/>
      <c r="D170" s="113"/>
      <c r="E170" s="113"/>
      <c r="F170" s="113"/>
      <c r="G170" s="113"/>
      <c r="H170" s="113"/>
      <c r="I170" s="113"/>
      <c r="J170" s="113"/>
      <c r="K170" s="113"/>
      <c r="L170" s="113"/>
      <c r="M170" s="113"/>
      <c r="N170" s="113"/>
      <c r="O170" s="113"/>
      <c r="P170" s="113"/>
      <c r="Q170" s="113"/>
      <c r="R170" s="156">
        <f>+R69</f>
        <v>0</v>
      </c>
      <c r="S170" s="116"/>
      <c r="T170" s="2"/>
    </row>
    <row r="171" spans="1:252" ht="15.6" x14ac:dyDescent="0.3">
      <c r="A171" s="112"/>
      <c r="B171" s="113" t="s">
        <v>246</v>
      </c>
      <c r="C171" s="113"/>
      <c r="D171" s="113"/>
      <c r="E171" s="113"/>
      <c r="F171" s="113"/>
      <c r="G171" s="113"/>
      <c r="H171" s="113"/>
      <c r="I171" s="113"/>
      <c r="J171" s="113"/>
      <c r="K171" s="113"/>
      <c r="L171" s="113"/>
      <c r="M171" s="113"/>
      <c r="N171" s="113"/>
      <c r="O171" s="113"/>
      <c r="P171" s="113"/>
      <c r="Q171" s="113"/>
      <c r="R171" s="156">
        <f>+R70</f>
        <v>2175</v>
      </c>
      <c r="S171" s="116"/>
      <c r="T171" s="2"/>
    </row>
    <row r="172" spans="1:252" ht="15.6" x14ac:dyDescent="0.3">
      <c r="A172" s="112"/>
      <c r="B172" s="113" t="s">
        <v>126</v>
      </c>
      <c r="C172" s="113"/>
      <c r="D172" s="113"/>
      <c r="E172" s="113"/>
      <c r="F172" s="113"/>
      <c r="G172" s="113"/>
      <c r="H172" s="113"/>
      <c r="I172" s="113"/>
      <c r="J172" s="113"/>
      <c r="K172" s="113"/>
      <c r="L172" s="113"/>
      <c r="M172" s="113"/>
      <c r="N172" s="113"/>
      <c r="O172" s="113"/>
      <c r="P172" s="113"/>
      <c r="Q172" s="113"/>
      <c r="R172" s="156">
        <f>+R169+R170+R171</f>
        <v>248111</v>
      </c>
      <c r="S172" s="116"/>
      <c r="T172" s="2"/>
    </row>
    <row r="173" spans="1:252" ht="15.6" x14ac:dyDescent="0.3">
      <c r="A173" s="112"/>
      <c r="B173" s="113" t="s">
        <v>45</v>
      </c>
      <c r="C173" s="113"/>
      <c r="D173" s="113"/>
      <c r="E173" s="113"/>
      <c r="F173" s="113"/>
      <c r="G173" s="113"/>
      <c r="H173" s="113"/>
      <c r="I173" s="113"/>
      <c r="J173" s="113"/>
      <c r="K173" s="113"/>
      <c r="L173" s="113"/>
      <c r="M173" s="113"/>
      <c r="N173" s="113"/>
      <c r="O173" s="113"/>
      <c r="P173" s="113"/>
      <c r="Q173" s="113"/>
      <c r="R173" s="156">
        <f>R72</f>
        <v>248111</v>
      </c>
      <c r="S173" s="116"/>
      <c r="T173" s="2"/>
    </row>
    <row r="174" spans="1:252" ht="16.2" thickBot="1" x14ac:dyDescent="0.35">
      <c r="A174" s="12"/>
      <c r="B174" s="43"/>
      <c r="C174" s="43"/>
      <c r="D174" s="43"/>
      <c r="E174" s="43"/>
      <c r="F174" s="43"/>
      <c r="G174" s="43"/>
      <c r="H174" s="43"/>
      <c r="I174" s="43"/>
      <c r="J174" s="43"/>
      <c r="K174" s="43"/>
      <c r="L174" s="43"/>
      <c r="M174" s="43"/>
      <c r="N174" s="43"/>
      <c r="O174" s="43"/>
      <c r="P174" s="43"/>
      <c r="Q174" s="43"/>
      <c r="R174" s="162"/>
      <c r="S174" s="218"/>
      <c r="T174" s="2"/>
    </row>
    <row r="175" spans="1:252" ht="15.6" x14ac:dyDescent="0.3">
      <c r="A175" s="10"/>
      <c r="B175" s="11"/>
      <c r="C175" s="11"/>
      <c r="D175" s="11"/>
      <c r="E175" s="11"/>
      <c r="F175" s="11"/>
      <c r="G175" s="11"/>
      <c r="H175" s="11"/>
      <c r="I175" s="11"/>
      <c r="J175" s="11"/>
      <c r="K175" s="11"/>
      <c r="L175" s="11"/>
      <c r="M175" s="11"/>
      <c r="N175" s="11"/>
      <c r="O175" s="11"/>
      <c r="P175" s="11"/>
      <c r="Q175" s="11"/>
      <c r="R175" s="32"/>
      <c r="S175" s="217"/>
      <c r="T175" s="2"/>
    </row>
    <row r="176" spans="1:252" ht="15.6" x14ac:dyDescent="0.3">
      <c r="A176" s="12"/>
      <c r="B176" s="41" t="s">
        <v>46</v>
      </c>
      <c r="C176" s="37"/>
      <c r="D176" s="45"/>
      <c r="E176" s="45"/>
      <c r="F176" s="45"/>
      <c r="G176" s="45"/>
      <c r="H176" s="45"/>
      <c r="I176" s="45"/>
      <c r="J176" s="45"/>
      <c r="K176" s="45"/>
      <c r="L176" s="45"/>
      <c r="M176" s="45"/>
      <c r="N176" s="45"/>
      <c r="O176" s="45" t="s">
        <v>82</v>
      </c>
      <c r="P176" s="45" t="s">
        <v>173</v>
      </c>
      <c r="Q176" s="16"/>
      <c r="R176" s="46" t="s">
        <v>94</v>
      </c>
      <c r="S176" s="225"/>
      <c r="T176" s="2"/>
    </row>
    <row r="177" spans="1:20" ht="15.6" x14ac:dyDescent="0.3">
      <c r="A177" s="112"/>
      <c r="B177" s="113" t="s">
        <v>47</v>
      </c>
      <c r="C177" s="113"/>
      <c r="D177" s="113"/>
      <c r="E177" s="113"/>
      <c r="F177" s="113"/>
      <c r="G177" s="113"/>
      <c r="H177" s="113"/>
      <c r="I177" s="113"/>
      <c r="J177" s="113"/>
      <c r="K177" s="113"/>
      <c r="L177" s="113"/>
      <c r="M177" s="113"/>
      <c r="N177" s="113"/>
      <c r="O177" s="156">
        <f>+R28*0.05</f>
        <v>12500</v>
      </c>
      <c r="P177" s="145"/>
      <c r="Q177" s="113"/>
      <c r="R177" s="156"/>
      <c r="S177" s="116"/>
      <c r="T177" s="2"/>
    </row>
    <row r="178" spans="1:20" ht="15.6" x14ac:dyDescent="0.3">
      <c r="A178" s="112"/>
      <c r="B178" s="113" t="s">
        <v>48</v>
      </c>
      <c r="C178" s="113"/>
      <c r="D178" s="113"/>
      <c r="E178" s="113"/>
      <c r="F178" s="113"/>
      <c r="G178" s="113"/>
      <c r="H178" s="113"/>
      <c r="I178" s="113"/>
      <c r="J178" s="113"/>
      <c r="K178" s="113"/>
      <c r="L178" s="113"/>
      <c r="M178" s="113"/>
      <c r="N178" s="113"/>
      <c r="O178" s="156">
        <v>0</v>
      </c>
      <c r="P178" s="156">
        <v>0</v>
      </c>
      <c r="Q178" s="113"/>
      <c r="R178" s="156">
        <f>O178+P178</f>
        <v>0</v>
      </c>
      <c r="S178" s="116"/>
      <c r="T178" s="2"/>
    </row>
    <row r="179" spans="1:20" ht="15.6" x14ac:dyDescent="0.3">
      <c r="A179" s="112"/>
      <c r="B179" s="113" t="s">
        <v>49</v>
      </c>
      <c r="C179" s="113"/>
      <c r="D179" s="113"/>
      <c r="E179" s="113"/>
      <c r="F179" s="113"/>
      <c r="G179" s="113"/>
      <c r="H179" s="113"/>
      <c r="I179" s="113"/>
      <c r="J179" s="113"/>
      <c r="K179" s="113"/>
      <c r="L179" s="113"/>
      <c r="M179" s="113"/>
      <c r="N179" s="113"/>
      <c r="O179" s="155">
        <v>0</v>
      </c>
      <c r="P179" s="155">
        <v>302</v>
      </c>
      <c r="Q179" s="113"/>
      <c r="R179" s="156">
        <f>O179+P179</f>
        <v>302</v>
      </c>
      <c r="S179" s="116"/>
      <c r="T179" s="2"/>
    </row>
    <row r="180" spans="1:20" ht="15.6" x14ac:dyDescent="0.3">
      <c r="A180" s="112"/>
      <c r="B180" s="113" t="s">
        <v>50</v>
      </c>
      <c r="C180" s="113"/>
      <c r="D180" s="113"/>
      <c r="E180" s="113"/>
      <c r="F180" s="113"/>
      <c r="G180" s="113"/>
      <c r="H180" s="113"/>
      <c r="I180" s="113"/>
      <c r="J180" s="113"/>
      <c r="K180" s="113"/>
      <c r="L180" s="113"/>
      <c r="M180" s="113"/>
      <c r="N180" s="113"/>
      <c r="O180" s="156">
        <f>O178+O179</f>
        <v>0</v>
      </c>
      <c r="P180" s="156">
        <f>P179+P178</f>
        <v>302</v>
      </c>
      <c r="Q180" s="113"/>
      <c r="R180" s="156">
        <f>O180+P180</f>
        <v>302</v>
      </c>
      <c r="S180" s="116"/>
      <c r="T180" s="2"/>
    </row>
    <row r="181" spans="1:20" ht="15.6" x14ac:dyDescent="0.3">
      <c r="A181" s="112"/>
      <c r="B181" s="113" t="s">
        <v>51</v>
      </c>
      <c r="C181" s="113"/>
      <c r="D181" s="113"/>
      <c r="E181" s="113"/>
      <c r="F181" s="113"/>
      <c r="G181" s="113"/>
      <c r="H181" s="113"/>
      <c r="I181" s="113"/>
      <c r="J181" s="113"/>
      <c r="K181" s="113"/>
      <c r="L181" s="113"/>
      <c r="M181" s="113"/>
      <c r="N181" s="113"/>
      <c r="O181" s="156">
        <f>O177-O180-P180</f>
        <v>12198</v>
      </c>
      <c r="P181" s="145"/>
      <c r="Q181" s="113"/>
      <c r="R181" s="156"/>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8"/>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7"/>
      <c r="T183" s="2"/>
    </row>
    <row r="184" spans="1:20" ht="15.6" x14ac:dyDescent="0.3">
      <c r="A184" s="12"/>
      <c r="B184" s="41" t="s">
        <v>52</v>
      </c>
      <c r="C184" s="14"/>
      <c r="D184" s="14"/>
      <c r="E184" s="14"/>
      <c r="F184" s="14"/>
      <c r="G184" s="14"/>
      <c r="H184" s="14"/>
      <c r="I184" s="14"/>
      <c r="J184" s="14"/>
      <c r="K184" s="14"/>
      <c r="L184" s="14"/>
      <c r="M184" s="14"/>
      <c r="N184" s="14"/>
      <c r="O184" s="14"/>
      <c r="P184" s="14"/>
      <c r="Q184" s="14"/>
      <c r="R184" s="47"/>
      <c r="S184" s="218"/>
      <c r="T184" s="2"/>
    </row>
    <row r="185" spans="1:20" ht="15.6" x14ac:dyDescent="0.3">
      <c r="A185" s="112"/>
      <c r="B185" s="113" t="s">
        <v>53</v>
      </c>
      <c r="C185" s="113"/>
      <c r="D185" s="113"/>
      <c r="E185" s="113"/>
      <c r="F185" s="113"/>
      <c r="G185" s="113"/>
      <c r="H185" s="113"/>
      <c r="I185" s="113"/>
      <c r="J185" s="113"/>
      <c r="K185" s="113"/>
      <c r="L185" s="113"/>
      <c r="M185" s="113"/>
      <c r="N185" s="113"/>
      <c r="O185" s="113"/>
      <c r="P185" s="113"/>
      <c r="Q185" s="113"/>
      <c r="R185" s="161">
        <f>(R93+R95+R96+R97+R98)/-(R99)</f>
        <v>3.1516034985422738</v>
      </c>
      <c r="S185" s="116" t="s">
        <v>95</v>
      </c>
      <c r="T185" s="2"/>
    </row>
    <row r="186" spans="1:20" ht="15.6" x14ac:dyDescent="0.3">
      <c r="A186" s="112"/>
      <c r="B186" s="113" t="s">
        <v>54</v>
      </c>
      <c r="C186" s="113"/>
      <c r="D186" s="113"/>
      <c r="E186" s="113"/>
      <c r="F186" s="113"/>
      <c r="G186" s="113"/>
      <c r="H186" s="113"/>
      <c r="I186" s="113"/>
      <c r="J186" s="113"/>
      <c r="K186" s="113"/>
      <c r="L186" s="113"/>
      <c r="M186" s="113"/>
      <c r="N186" s="113"/>
      <c r="O186" s="113"/>
      <c r="P186" s="113"/>
      <c r="Q186" s="113"/>
      <c r="R186" s="164">
        <v>3.15</v>
      </c>
      <c r="S186" s="116" t="s">
        <v>95</v>
      </c>
      <c r="T186" s="2"/>
    </row>
    <row r="187" spans="1:20" ht="15.6" x14ac:dyDescent="0.3">
      <c r="A187" s="112"/>
      <c r="B187" s="113" t="s">
        <v>192</v>
      </c>
      <c r="C187" s="113"/>
      <c r="D187" s="113"/>
      <c r="E187" s="113"/>
      <c r="F187" s="113"/>
      <c r="G187" s="113"/>
      <c r="H187" s="113"/>
      <c r="I187" s="113"/>
      <c r="J187" s="113"/>
      <c r="K187" s="113"/>
      <c r="L187" s="113"/>
      <c r="M187" s="113"/>
      <c r="N187" s="113"/>
      <c r="O187" s="113"/>
      <c r="P187" s="113"/>
      <c r="Q187" s="113"/>
      <c r="R187" s="161">
        <f>(R93+R95+R96+R97+R98+R99)/-(R100)</f>
        <v>18.605042016806724</v>
      </c>
      <c r="S187" s="116" t="s">
        <v>95</v>
      </c>
      <c r="T187" s="2"/>
    </row>
    <row r="188" spans="1:20" ht="15.6" x14ac:dyDescent="0.3">
      <c r="A188" s="112"/>
      <c r="B188" s="113" t="s">
        <v>193</v>
      </c>
      <c r="C188" s="113"/>
      <c r="D188" s="113"/>
      <c r="E188" s="113"/>
      <c r="F188" s="113"/>
      <c r="G188" s="113"/>
      <c r="H188" s="113"/>
      <c r="I188" s="113"/>
      <c r="J188" s="113"/>
      <c r="K188" s="113"/>
      <c r="L188" s="113"/>
      <c r="M188" s="113"/>
      <c r="N188" s="113"/>
      <c r="O188" s="113"/>
      <c r="P188" s="113"/>
      <c r="Q188" s="113"/>
      <c r="R188" s="164">
        <v>18.61</v>
      </c>
      <c r="S188" s="116" t="s">
        <v>95</v>
      </c>
      <c r="T188" s="2"/>
    </row>
    <row r="189" spans="1:20" ht="15.6" x14ac:dyDescent="0.3">
      <c r="A189" s="112"/>
      <c r="B189" s="113" t="s">
        <v>194</v>
      </c>
      <c r="C189" s="113"/>
      <c r="D189" s="113"/>
      <c r="E189" s="113"/>
      <c r="F189" s="113"/>
      <c r="G189" s="113"/>
      <c r="H189" s="113"/>
      <c r="I189" s="113"/>
      <c r="J189" s="113"/>
      <c r="K189" s="113"/>
      <c r="L189" s="113"/>
      <c r="M189" s="113"/>
      <c r="N189" s="113"/>
      <c r="O189" s="113"/>
      <c r="P189" s="113"/>
      <c r="Q189" s="113"/>
      <c r="R189" s="161">
        <f>(R93+R95+R96+R97+R98+R99+R100)/-(R101)</f>
        <v>32.734375</v>
      </c>
      <c r="S189" s="116" t="s">
        <v>95</v>
      </c>
      <c r="T189" s="2"/>
    </row>
    <row r="190" spans="1:20" ht="15.6" x14ac:dyDescent="0.3">
      <c r="A190" s="112"/>
      <c r="B190" s="113" t="s">
        <v>195</v>
      </c>
      <c r="C190" s="113"/>
      <c r="D190" s="113"/>
      <c r="E190" s="113"/>
      <c r="F190" s="113"/>
      <c r="G190" s="113"/>
      <c r="H190" s="113"/>
      <c r="I190" s="113"/>
      <c r="J190" s="113"/>
      <c r="K190" s="113"/>
      <c r="L190" s="113"/>
      <c r="M190" s="113"/>
      <c r="N190" s="113"/>
      <c r="O190" s="113"/>
      <c r="P190" s="113"/>
      <c r="Q190" s="113"/>
      <c r="R190" s="164">
        <v>32.729999999999997</v>
      </c>
      <c r="S190" s="116" t="s">
        <v>95</v>
      </c>
      <c r="T190" s="2"/>
    </row>
    <row r="191" spans="1:20" ht="15.6" x14ac:dyDescent="0.3">
      <c r="A191" s="112"/>
      <c r="B191" s="113" t="s">
        <v>196</v>
      </c>
      <c r="C191" s="113"/>
      <c r="D191" s="113"/>
      <c r="E191" s="113"/>
      <c r="F191" s="113"/>
      <c r="G191" s="113"/>
      <c r="H191" s="113"/>
      <c r="I191" s="113"/>
      <c r="J191" s="113"/>
      <c r="K191" s="113"/>
      <c r="L191" s="113"/>
      <c r="M191" s="113"/>
      <c r="N191" s="113"/>
      <c r="O191" s="113"/>
      <c r="P191" s="113"/>
      <c r="Q191" s="113"/>
      <c r="R191" s="161">
        <f>(R93+R95+R96+R97+R98+R99+R100+R101+R102+R103+R104+R105+R106)/-(R107)</f>
        <v>35.175438596491226</v>
      </c>
      <c r="S191" s="116" t="s">
        <v>95</v>
      </c>
      <c r="T191" s="2"/>
    </row>
    <row r="192" spans="1:20" ht="15.6" x14ac:dyDescent="0.3">
      <c r="A192" s="112"/>
      <c r="B192" s="113" t="s">
        <v>197</v>
      </c>
      <c r="C192" s="113"/>
      <c r="D192" s="113"/>
      <c r="E192" s="113"/>
      <c r="F192" s="113"/>
      <c r="G192" s="113"/>
      <c r="H192" s="113"/>
      <c r="I192" s="113"/>
      <c r="J192" s="113"/>
      <c r="K192" s="113"/>
      <c r="L192" s="113"/>
      <c r="M192" s="113"/>
      <c r="N192" s="113"/>
      <c r="O192" s="113"/>
      <c r="P192" s="113"/>
      <c r="Q192" s="113"/>
      <c r="R192" s="164">
        <v>35.18</v>
      </c>
      <c r="S192" s="116" t="s">
        <v>95</v>
      </c>
      <c r="T192" s="2"/>
    </row>
    <row r="193" spans="1:20" ht="15.6" x14ac:dyDescent="0.3">
      <c r="A193" s="112"/>
      <c r="B193" s="113"/>
      <c r="C193" s="113"/>
      <c r="D193" s="113"/>
      <c r="E193" s="113"/>
      <c r="F193" s="113"/>
      <c r="G193" s="113"/>
      <c r="H193" s="113"/>
      <c r="I193" s="113"/>
      <c r="J193" s="113"/>
      <c r="K193" s="113"/>
      <c r="L193" s="113"/>
      <c r="M193" s="113"/>
      <c r="N193" s="113"/>
      <c r="O193" s="113"/>
      <c r="P193" s="113"/>
      <c r="Q193" s="113"/>
      <c r="R193" s="113"/>
      <c r="S193" s="116"/>
      <c r="T193" s="2"/>
    </row>
    <row r="194" spans="1:20" ht="15.6" x14ac:dyDescent="0.3">
      <c r="A194" s="12"/>
      <c r="B194" s="163"/>
      <c r="C194" s="163"/>
      <c r="D194" s="163"/>
      <c r="E194" s="163"/>
      <c r="F194" s="163"/>
      <c r="G194" s="163"/>
      <c r="H194" s="163"/>
      <c r="I194" s="163"/>
      <c r="J194" s="163"/>
      <c r="K194" s="163"/>
      <c r="L194" s="163"/>
      <c r="M194" s="163"/>
      <c r="N194" s="163"/>
      <c r="O194" s="163"/>
      <c r="P194" s="163"/>
      <c r="Q194" s="163"/>
      <c r="R194" s="163"/>
      <c r="S194" s="219"/>
      <c r="T194" s="2"/>
    </row>
    <row r="195" spans="1:20" ht="15.6" x14ac:dyDescent="0.3">
      <c r="A195" s="12"/>
      <c r="B195" s="84"/>
      <c r="C195" s="84"/>
      <c r="D195" s="84"/>
      <c r="E195" s="84"/>
      <c r="F195" s="84"/>
      <c r="G195" s="84"/>
      <c r="H195" s="84"/>
      <c r="I195" s="84"/>
      <c r="J195" s="84"/>
      <c r="K195" s="84"/>
      <c r="L195" s="84"/>
      <c r="M195" s="84"/>
      <c r="N195" s="84"/>
      <c r="O195" s="84"/>
      <c r="P195" s="84"/>
      <c r="Q195" s="84"/>
      <c r="R195" s="84"/>
      <c r="S195" s="219"/>
      <c r="T195" s="2"/>
    </row>
    <row r="196" spans="1:20" ht="18" thickBot="1" x14ac:dyDescent="0.35">
      <c r="A196" s="28"/>
      <c r="B196" s="97" t="str">
        <f>B124</f>
        <v>PM21 INVESTOR REPORT QUARTER ENDING FEBRUARY 2015</v>
      </c>
      <c r="C196" s="98"/>
      <c r="D196" s="98"/>
      <c r="E196" s="98"/>
      <c r="F196" s="98"/>
      <c r="G196" s="98"/>
      <c r="H196" s="98"/>
      <c r="I196" s="98"/>
      <c r="J196" s="98"/>
      <c r="K196" s="98"/>
      <c r="L196" s="98"/>
      <c r="M196" s="98"/>
      <c r="N196" s="98"/>
      <c r="O196" s="98"/>
      <c r="P196" s="98"/>
      <c r="Q196" s="98"/>
      <c r="R196" s="98"/>
      <c r="S196" s="99"/>
      <c r="T196" s="2"/>
    </row>
    <row r="197" spans="1:20" ht="15.6" x14ac:dyDescent="0.3">
      <c r="A197" s="65"/>
      <c r="B197" s="66" t="s">
        <v>55</v>
      </c>
      <c r="C197" s="69"/>
      <c r="D197" s="70"/>
      <c r="E197" s="70"/>
      <c r="F197" s="70"/>
      <c r="G197" s="70"/>
      <c r="H197" s="70"/>
      <c r="I197" s="70"/>
      <c r="J197" s="70"/>
      <c r="K197" s="70"/>
      <c r="L197" s="70"/>
      <c r="M197" s="70"/>
      <c r="N197" s="70"/>
      <c r="O197" s="70"/>
      <c r="P197" s="70">
        <v>42062</v>
      </c>
      <c r="Q197" s="67"/>
      <c r="R197" s="67"/>
      <c r="S197" s="224"/>
      <c r="T197" s="2"/>
    </row>
    <row r="198" spans="1:20" ht="15.6" x14ac:dyDescent="0.3">
      <c r="A198" s="48"/>
      <c r="B198" s="49"/>
      <c r="C198" s="50"/>
      <c r="D198" s="51"/>
      <c r="E198" s="51"/>
      <c r="F198" s="51"/>
      <c r="G198" s="51"/>
      <c r="H198" s="51"/>
      <c r="I198" s="51"/>
      <c r="J198" s="51"/>
      <c r="K198" s="51"/>
      <c r="L198" s="51"/>
      <c r="M198" s="51"/>
      <c r="N198" s="51"/>
      <c r="O198" s="51"/>
      <c r="P198" s="51"/>
      <c r="Q198" s="14"/>
      <c r="R198" s="14"/>
      <c r="S198" s="218"/>
      <c r="T198" s="2"/>
    </row>
    <row r="199" spans="1:20" ht="15.6" x14ac:dyDescent="0.3">
      <c r="A199" s="167"/>
      <c r="B199" s="113" t="s">
        <v>56</v>
      </c>
      <c r="C199" s="168"/>
      <c r="D199" s="148"/>
      <c r="E199" s="148"/>
      <c r="F199" s="148"/>
      <c r="G199" s="148"/>
      <c r="H199" s="148"/>
      <c r="I199" s="148"/>
      <c r="J199" s="148"/>
      <c r="K199" s="148"/>
      <c r="L199" s="148"/>
      <c r="M199" s="148"/>
      <c r="N199" s="148"/>
      <c r="O199" s="148"/>
      <c r="P199" s="142">
        <v>4.1349999999999998E-2</v>
      </c>
      <c r="Q199" s="113"/>
      <c r="R199" s="113"/>
      <c r="S199" s="116"/>
      <c r="T199" s="2"/>
    </row>
    <row r="200" spans="1:20" ht="15.6" x14ac:dyDescent="0.3">
      <c r="A200" s="167"/>
      <c r="B200" s="113" t="s">
        <v>161</v>
      </c>
      <c r="C200" s="168"/>
      <c r="D200" s="148"/>
      <c r="E200" s="148"/>
      <c r="F200" s="148"/>
      <c r="G200" s="148"/>
      <c r="H200" s="148"/>
      <c r="I200" s="148"/>
      <c r="J200" s="148"/>
      <c r="K200" s="148"/>
      <c r="L200" s="148"/>
      <c r="M200" s="148"/>
      <c r="N200" s="148"/>
      <c r="O200" s="148"/>
      <c r="P200" s="142">
        <f>+R34</f>
        <v>1.50706E-2</v>
      </c>
      <c r="Q200" s="113"/>
      <c r="R200" s="113"/>
      <c r="S200" s="116"/>
      <c r="T200" s="2"/>
    </row>
    <row r="201" spans="1:20" ht="15.6" x14ac:dyDescent="0.3">
      <c r="A201" s="167"/>
      <c r="B201" s="113" t="s">
        <v>57</v>
      </c>
      <c r="C201" s="168"/>
      <c r="D201" s="148"/>
      <c r="E201" s="148"/>
      <c r="F201" s="148"/>
      <c r="G201" s="148"/>
      <c r="H201" s="148"/>
      <c r="I201" s="148"/>
      <c r="J201" s="148"/>
      <c r="K201" s="148"/>
      <c r="L201" s="148"/>
      <c r="M201" s="148"/>
      <c r="N201" s="148"/>
      <c r="O201" s="148"/>
      <c r="P201" s="211">
        <f>P199-P200</f>
        <v>2.6279399999999998E-2</v>
      </c>
      <c r="Q201" s="113"/>
      <c r="R201" s="113"/>
      <c r="S201" s="116"/>
      <c r="T201" s="2"/>
    </row>
    <row r="202" spans="1:20" ht="15.6" x14ac:dyDescent="0.3">
      <c r="A202" s="167"/>
      <c r="B202" s="113" t="s">
        <v>164</v>
      </c>
      <c r="C202" s="168"/>
      <c r="D202" s="148"/>
      <c r="E202" s="148"/>
      <c r="F202" s="148"/>
      <c r="G202" s="148"/>
      <c r="H202" s="148"/>
      <c r="I202" s="148"/>
      <c r="J202" s="148"/>
      <c r="K202" s="148"/>
      <c r="L202" s="148"/>
      <c r="M202" s="148"/>
      <c r="N202" s="148"/>
      <c r="O202" s="148"/>
      <c r="P202" s="211">
        <v>4.60104E-2</v>
      </c>
      <c r="Q202" s="113"/>
      <c r="R202" s="113"/>
      <c r="S202" s="116"/>
      <c r="T202" s="2"/>
    </row>
    <row r="203" spans="1:20" ht="15.6" x14ac:dyDescent="0.3">
      <c r="A203" s="167"/>
      <c r="B203" s="113" t="s">
        <v>58</v>
      </c>
      <c r="C203" s="168"/>
      <c r="D203" s="148"/>
      <c r="E203" s="148"/>
      <c r="F203" s="148"/>
      <c r="G203" s="148"/>
      <c r="H203" s="148"/>
      <c r="I203" s="148"/>
      <c r="J203" s="148"/>
      <c r="K203" s="148"/>
      <c r="L203" s="148"/>
      <c r="M203" s="148"/>
      <c r="N203" s="148"/>
      <c r="O203" s="148"/>
      <c r="P203" s="209">
        <v>4.1390000000000003E-2</v>
      </c>
      <c r="Q203" s="113"/>
      <c r="R203" s="113"/>
      <c r="S203" s="116"/>
      <c r="T203" s="2"/>
    </row>
    <row r="204" spans="1:20" ht="15.6" x14ac:dyDescent="0.3">
      <c r="A204" s="167"/>
      <c r="B204" s="113" t="s">
        <v>162</v>
      </c>
      <c r="C204" s="168"/>
      <c r="D204" s="148"/>
      <c r="E204" s="148"/>
      <c r="F204" s="148"/>
      <c r="G204" s="148"/>
      <c r="H204" s="148"/>
      <c r="I204" s="148"/>
      <c r="J204" s="148"/>
      <c r="K204" s="148"/>
      <c r="L204" s="148"/>
      <c r="M204" s="148"/>
      <c r="N204" s="148"/>
      <c r="O204" s="148"/>
      <c r="P204" s="142">
        <f>R34</f>
        <v>1.50706E-2</v>
      </c>
      <c r="Q204" s="113"/>
      <c r="R204" s="113"/>
      <c r="S204" s="116"/>
      <c r="T204" s="2"/>
    </row>
    <row r="205" spans="1:20" ht="15.6" x14ac:dyDescent="0.3">
      <c r="A205" s="167"/>
      <c r="B205" s="113" t="s">
        <v>59</v>
      </c>
      <c r="C205" s="168"/>
      <c r="D205" s="148"/>
      <c r="E205" s="148"/>
      <c r="F205" s="148"/>
      <c r="G205" s="148"/>
      <c r="H205" s="148"/>
      <c r="I205" s="148"/>
      <c r="J205" s="148"/>
      <c r="K205" s="148"/>
      <c r="L205" s="148"/>
      <c r="M205" s="148"/>
      <c r="N205" s="148"/>
      <c r="O205" s="148"/>
      <c r="P205" s="142">
        <f>P203-P204</f>
        <v>2.6319400000000003E-2</v>
      </c>
      <c r="Q205" s="113"/>
      <c r="R205" s="113"/>
      <c r="S205" s="116"/>
      <c r="T205" s="2"/>
    </row>
    <row r="206" spans="1:20" ht="15.6" x14ac:dyDescent="0.3">
      <c r="A206" s="167"/>
      <c r="B206" s="113" t="s">
        <v>139</v>
      </c>
      <c r="C206" s="168"/>
      <c r="D206" s="148"/>
      <c r="E206" s="148"/>
      <c r="F206" s="148"/>
      <c r="G206" s="148"/>
      <c r="H206" s="148"/>
      <c r="I206" s="148"/>
      <c r="J206" s="148"/>
      <c r="K206" s="148"/>
      <c r="L206" s="148"/>
      <c r="M206" s="148"/>
      <c r="N206" s="148"/>
      <c r="O206" s="148"/>
      <c r="P206" s="142">
        <f>(+R93+R95)/H72</f>
        <v>1.4768E-2</v>
      </c>
      <c r="Q206" s="113"/>
      <c r="R206" s="113"/>
      <c r="S206" s="116"/>
      <c r="T206" s="2"/>
    </row>
    <row r="207" spans="1:20" ht="15.6" x14ac:dyDescent="0.3">
      <c r="A207" s="167"/>
      <c r="B207" s="113" t="s">
        <v>132</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198</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199</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200</v>
      </c>
      <c r="C210" s="168"/>
      <c r="D210" s="148"/>
      <c r="E210" s="148"/>
      <c r="F210" s="148"/>
      <c r="G210" s="148"/>
      <c r="H210" s="148"/>
      <c r="I210" s="148"/>
      <c r="J210" s="148"/>
      <c r="K210" s="148"/>
      <c r="L210" s="148"/>
      <c r="M210" s="148"/>
      <c r="N210" s="148"/>
      <c r="O210" s="148"/>
      <c r="P210" s="169">
        <v>15507</v>
      </c>
      <c r="Q210" s="113"/>
      <c r="R210" s="113"/>
      <c r="S210" s="116"/>
      <c r="T210" s="2"/>
    </row>
    <row r="211" spans="1:20" ht="15.6" x14ac:dyDescent="0.3">
      <c r="A211" s="167"/>
      <c r="B211" s="113" t="s">
        <v>60</v>
      </c>
      <c r="C211" s="168"/>
      <c r="D211" s="148"/>
      <c r="E211" s="148"/>
      <c r="F211" s="148"/>
      <c r="G211" s="148"/>
      <c r="H211" s="148"/>
      <c r="I211" s="148"/>
      <c r="J211" s="148"/>
      <c r="K211" s="148"/>
      <c r="L211" s="148"/>
      <c r="M211" s="148"/>
      <c r="N211" s="148"/>
      <c r="O211" s="148"/>
      <c r="P211" s="146">
        <v>20.170000000000002</v>
      </c>
      <c r="Q211" s="113" t="s">
        <v>90</v>
      </c>
      <c r="R211" s="113"/>
      <c r="S211" s="116"/>
      <c r="T211" s="2"/>
    </row>
    <row r="212" spans="1:20" ht="15.6" x14ac:dyDescent="0.3">
      <c r="A212" s="167"/>
      <c r="B212" s="113" t="s">
        <v>61</v>
      </c>
      <c r="C212" s="168"/>
      <c r="D212" s="148"/>
      <c r="E212" s="148"/>
      <c r="F212" s="148"/>
      <c r="G212" s="148"/>
      <c r="H212" s="148"/>
      <c r="I212" s="148"/>
      <c r="J212" s="148"/>
      <c r="K212" s="148"/>
      <c r="L212" s="148"/>
      <c r="M212" s="148"/>
      <c r="N212" s="148"/>
      <c r="O212" s="148"/>
      <c r="P212" s="210">
        <v>19.95</v>
      </c>
      <c r="Q212" s="113" t="s">
        <v>90</v>
      </c>
      <c r="R212" s="113"/>
      <c r="S212" s="116"/>
      <c r="T212" s="2"/>
    </row>
    <row r="213" spans="1:20" ht="15.6" x14ac:dyDescent="0.3">
      <c r="A213" s="167"/>
      <c r="B213" s="113" t="s">
        <v>62</v>
      </c>
      <c r="C213" s="168"/>
      <c r="D213" s="148"/>
      <c r="E213" s="148"/>
      <c r="F213" s="148"/>
      <c r="G213" s="148"/>
      <c r="H213" s="148"/>
      <c r="I213" s="148"/>
      <c r="J213" s="148"/>
      <c r="K213" s="148"/>
      <c r="L213" s="148"/>
      <c r="M213" s="148"/>
      <c r="N213" s="148"/>
      <c r="O213" s="148"/>
      <c r="P213" s="142">
        <f>(+J56+L56)/H56</f>
        <v>9.7604891832386992E-3</v>
      </c>
      <c r="Q213" s="113"/>
      <c r="R213" s="113"/>
      <c r="S213" s="116"/>
      <c r="T213" s="2"/>
    </row>
    <row r="214" spans="1:20" ht="15.6" x14ac:dyDescent="0.3">
      <c r="A214" s="167"/>
      <c r="B214" s="113" t="s">
        <v>63</v>
      </c>
      <c r="C214" s="168"/>
      <c r="D214" s="148"/>
      <c r="E214" s="148"/>
      <c r="F214" s="148"/>
      <c r="G214" s="148"/>
      <c r="H214" s="148"/>
      <c r="I214" s="148"/>
      <c r="J214" s="148"/>
      <c r="K214" s="148"/>
      <c r="L214" s="148"/>
      <c r="M214" s="148"/>
      <c r="N214" s="148"/>
      <c r="O214" s="148"/>
      <c r="P214" s="211">
        <v>2.58E-2</v>
      </c>
      <c r="Q214" s="113"/>
      <c r="R214" s="113"/>
      <c r="S214" s="116"/>
      <c r="T214" s="2"/>
    </row>
    <row r="215" spans="1:20" ht="15.6" x14ac:dyDescent="0.3">
      <c r="A215" s="48"/>
      <c r="B215" s="165"/>
      <c r="C215" s="165"/>
      <c r="D215" s="43"/>
      <c r="E215" s="43"/>
      <c r="F215" s="43"/>
      <c r="G215" s="43"/>
      <c r="H215" s="43"/>
      <c r="I215" s="43"/>
      <c r="J215" s="43"/>
      <c r="K215" s="43"/>
      <c r="L215" s="43"/>
      <c r="M215" s="43"/>
      <c r="N215" s="43"/>
      <c r="O215" s="43"/>
      <c r="P215" s="162"/>
      <c r="Q215" s="43"/>
      <c r="R215" s="166"/>
      <c r="S215" s="218"/>
      <c r="T215" s="2"/>
    </row>
    <row r="216" spans="1:20" ht="15.6" x14ac:dyDescent="0.3">
      <c r="A216" s="71"/>
      <c r="B216" s="61" t="s">
        <v>64</v>
      </c>
      <c r="C216" s="62"/>
      <c r="D216" s="62"/>
      <c r="E216" s="62"/>
      <c r="F216" s="62"/>
      <c r="G216" s="62"/>
      <c r="H216" s="62"/>
      <c r="I216" s="62"/>
      <c r="J216" s="62"/>
      <c r="K216" s="62"/>
      <c r="L216" s="62"/>
      <c r="M216" s="62"/>
      <c r="N216" s="62"/>
      <c r="O216" s="62" t="s">
        <v>83</v>
      </c>
      <c r="P216" s="72" t="s">
        <v>88</v>
      </c>
      <c r="Q216" s="54"/>
      <c r="R216" s="54"/>
      <c r="S216" s="220"/>
      <c r="T216" s="2"/>
    </row>
    <row r="217" spans="1:20" ht="15.6" x14ac:dyDescent="0.3">
      <c r="A217" s="52"/>
      <c r="B217" s="79" t="s">
        <v>65</v>
      </c>
      <c r="C217" s="78"/>
      <c r="D217" s="95"/>
      <c r="E217" s="95"/>
      <c r="F217" s="95"/>
      <c r="G217" s="95"/>
      <c r="H217" s="95"/>
      <c r="I217" s="95"/>
      <c r="J217" s="95"/>
      <c r="K217" s="95"/>
      <c r="L217" s="95"/>
      <c r="M217" s="95"/>
      <c r="N217" s="95"/>
      <c r="O217" s="95">
        <v>0</v>
      </c>
      <c r="P217" s="96">
        <v>0</v>
      </c>
      <c r="Q217" s="79"/>
      <c r="R217" s="94"/>
      <c r="S217" s="226"/>
      <c r="T217" s="2"/>
    </row>
    <row r="218" spans="1:20" ht="15.6" x14ac:dyDescent="0.3">
      <c r="A218" s="173"/>
      <c r="B218" s="113" t="s">
        <v>113</v>
      </c>
      <c r="C218" s="155"/>
      <c r="D218" s="123"/>
      <c r="E218" s="123"/>
      <c r="F218" s="123"/>
      <c r="G218" s="123"/>
      <c r="H218" s="123"/>
      <c r="I218" s="123"/>
      <c r="J218" s="123"/>
      <c r="K218" s="123"/>
      <c r="L218" s="123"/>
      <c r="M218" s="123"/>
      <c r="N218" s="123"/>
      <c r="O218" s="174">
        <f>+N270</f>
        <v>0</v>
      </c>
      <c r="P218" s="175">
        <f>+P270</f>
        <v>0</v>
      </c>
      <c r="Q218" s="113"/>
      <c r="R218" s="176"/>
      <c r="S218" s="177"/>
      <c r="T218" s="2"/>
    </row>
    <row r="219" spans="1:20" ht="15.6" x14ac:dyDescent="0.3">
      <c r="A219" s="173"/>
      <c r="B219" s="113" t="s">
        <v>66</v>
      </c>
      <c r="C219" s="155"/>
      <c r="D219" s="123"/>
      <c r="E219" s="123"/>
      <c r="F219" s="123"/>
      <c r="G219" s="123"/>
      <c r="H219" s="123"/>
      <c r="I219" s="123"/>
      <c r="J219" s="123"/>
      <c r="K219" s="123"/>
      <c r="L219" s="123"/>
      <c r="M219" s="123"/>
      <c r="N219" s="123"/>
      <c r="O219" s="174">
        <f>+N282</f>
        <v>0</v>
      </c>
      <c r="P219" s="175">
        <f>+P282</f>
        <v>0</v>
      </c>
      <c r="Q219" s="113"/>
      <c r="R219" s="176"/>
      <c r="S219" s="177"/>
      <c r="T219" s="2"/>
    </row>
    <row r="220" spans="1:20" ht="15.6" x14ac:dyDescent="0.3">
      <c r="A220" s="173"/>
      <c r="B220" s="134" t="s">
        <v>263</v>
      </c>
      <c r="C220" s="178"/>
      <c r="D220" s="135"/>
      <c r="E220" s="135"/>
      <c r="F220" s="135"/>
      <c r="G220" s="135"/>
      <c r="H220" s="135"/>
      <c r="I220" s="135"/>
      <c r="J220" s="135"/>
      <c r="K220" s="135"/>
      <c r="L220" s="135"/>
      <c r="M220" s="135"/>
      <c r="N220" s="135"/>
      <c r="O220" s="113"/>
      <c r="P220" s="175">
        <v>0</v>
      </c>
      <c r="Q220" s="135"/>
      <c r="R220" s="179"/>
      <c r="S220" s="177"/>
      <c r="T220" s="2"/>
    </row>
    <row r="221" spans="1:20" ht="15.6" x14ac:dyDescent="0.3">
      <c r="A221" s="173"/>
      <c r="B221" s="134" t="s">
        <v>140</v>
      </c>
      <c r="C221" s="178"/>
      <c r="D221" s="135"/>
      <c r="E221" s="135"/>
      <c r="F221" s="135"/>
      <c r="G221" s="135"/>
      <c r="H221" s="135"/>
      <c r="I221" s="135"/>
      <c r="J221" s="135"/>
      <c r="K221" s="135"/>
      <c r="L221" s="135"/>
      <c r="M221" s="135"/>
      <c r="N221" s="135"/>
      <c r="O221" s="113"/>
      <c r="P221" s="175">
        <f>-J69</f>
        <v>23450</v>
      </c>
      <c r="Q221" s="135"/>
      <c r="R221" s="179"/>
      <c r="S221" s="177"/>
      <c r="T221" s="2"/>
    </row>
    <row r="222" spans="1:20" ht="15.6" x14ac:dyDescent="0.3">
      <c r="A222" s="180"/>
      <c r="B222" s="134" t="s">
        <v>67</v>
      </c>
      <c r="C222" s="181"/>
      <c r="D222" s="135"/>
      <c r="E222" s="135"/>
      <c r="F222" s="135"/>
      <c r="G222" s="135"/>
      <c r="H222" s="135"/>
      <c r="I222" s="135"/>
      <c r="J222" s="135"/>
      <c r="K222" s="135"/>
      <c r="L222" s="135"/>
      <c r="M222" s="135"/>
      <c r="N222" s="135"/>
      <c r="O222" s="113"/>
      <c r="P222" s="175"/>
      <c r="Q222" s="135"/>
      <c r="R222" s="179"/>
      <c r="S222" s="182"/>
      <c r="T222" s="2"/>
    </row>
    <row r="223" spans="1:20" ht="15.6" x14ac:dyDescent="0.3">
      <c r="A223" s="180"/>
      <c r="B223" s="118" t="s">
        <v>68</v>
      </c>
      <c r="C223" s="181"/>
      <c r="D223" s="135"/>
      <c r="E223" s="135"/>
      <c r="F223" s="135"/>
      <c r="G223" s="135"/>
      <c r="H223" s="135"/>
      <c r="I223" s="135"/>
      <c r="J223" s="135"/>
      <c r="K223" s="135"/>
      <c r="L223" s="135"/>
      <c r="M223" s="135"/>
      <c r="N223" s="135"/>
      <c r="O223" s="123"/>
      <c r="P223" s="175">
        <f>R154</f>
        <v>0</v>
      </c>
      <c r="Q223" s="135"/>
      <c r="R223" s="179"/>
      <c r="S223" s="182"/>
      <c r="T223" s="2"/>
    </row>
    <row r="224" spans="1:20" ht="15.6" x14ac:dyDescent="0.3">
      <c r="A224" s="173"/>
      <c r="B224" s="113" t="s">
        <v>69</v>
      </c>
      <c r="C224" s="178"/>
      <c r="D224" s="135"/>
      <c r="E224" s="135"/>
      <c r="F224" s="135"/>
      <c r="G224" s="135"/>
      <c r="H224" s="135"/>
      <c r="I224" s="135"/>
      <c r="J224" s="135"/>
      <c r="K224" s="135"/>
      <c r="L224" s="135"/>
      <c r="M224" s="135"/>
      <c r="N224" s="135"/>
      <c r="O224" s="123"/>
      <c r="P224" s="175">
        <f>+P223</f>
        <v>0</v>
      </c>
      <c r="Q224" s="135"/>
      <c r="R224" s="179"/>
      <c r="S224" s="182"/>
      <c r="T224" s="2"/>
    </row>
    <row r="225" spans="1:20" ht="15.6" x14ac:dyDescent="0.3">
      <c r="A225" s="180"/>
      <c r="B225" s="134" t="s">
        <v>151</v>
      </c>
      <c r="C225" s="181"/>
      <c r="D225" s="135"/>
      <c r="E225" s="135"/>
      <c r="F225" s="135"/>
      <c r="G225" s="135"/>
      <c r="H225" s="135"/>
      <c r="I225" s="135"/>
      <c r="J225" s="135"/>
      <c r="K225" s="135"/>
      <c r="L225" s="135"/>
      <c r="M225" s="135"/>
      <c r="N225" s="135"/>
      <c r="O225" s="123"/>
      <c r="P225" s="175"/>
      <c r="Q225" s="135"/>
      <c r="R225" s="179"/>
      <c r="S225" s="182"/>
      <c r="T225" s="2"/>
    </row>
    <row r="226" spans="1:20" ht="15.6" x14ac:dyDescent="0.3">
      <c r="A226" s="180"/>
      <c r="B226" s="113" t="s">
        <v>163</v>
      </c>
      <c r="C226" s="181"/>
      <c r="D226" s="135"/>
      <c r="E226" s="135"/>
      <c r="F226" s="135"/>
      <c r="G226" s="135"/>
      <c r="H226" s="135"/>
      <c r="I226" s="135"/>
      <c r="J226" s="135"/>
      <c r="K226" s="135"/>
      <c r="L226" s="135"/>
      <c r="M226" s="135"/>
      <c r="N226" s="135"/>
      <c r="O226" s="123">
        <v>0</v>
      </c>
      <c r="P226" s="175">
        <v>0</v>
      </c>
      <c r="Q226" s="135"/>
      <c r="R226" s="179"/>
      <c r="S226" s="182"/>
      <c r="T226" s="2"/>
    </row>
    <row r="227" spans="1:20" ht="15.6" x14ac:dyDescent="0.3">
      <c r="A227" s="173"/>
      <c r="B227" s="113" t="s">
        <v>70</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13" t="s">
        <v>71</v>
      </c>
      <c r="C228" s="183"/>
      <c r="D228" s="135"/>
      <c r="E228" s="135"/>
      <c r="F228" s="135"/>
      <c r="G228" s="135"/>
      <c r="H228" s="135"/>
      <c r="I228" s="135"/>
      <c r="J228" s="135"/>
      <c r="K228" s="135"/>
      <c r="L228" s="135"/>
      <c r="M228" s="135"/>
      <c r="N228" s="135"/>
      <c r="O228" s="113"/>
      <c r="P228" s="184">
        <v>0</v>
      </c>
      <c r="Q228" s="135"/>
      <c r="R228" s="179"/>
      <c r="S228" s="182"/>
      <c r="T228" s="2"/>
    </row>
    <row r="229" spans="1:20" ht="15.6" x14ac:dyDescent="0.3">
      <c r="A229" s="173"/>
      <c r="B229" s="134" t="s">
        <v>136</v>
      </c>
      <c r="C229" s="183"/>
      <c r="D229" s="135"/>
      <c r="E229" s="135"/>
      <c r="F229" s="135"/>
      <c r="G229" s="135"/>
      <c r="H229" s="135"/>
      <c r="I229" s="135"/>
      <c r="J229" s="135"/>
      <c r="K229" s="135"/>
      <c r="L229" s="135"/>
      <c r="M229" s="135"/>
      <c r="N229" s="135"/>
      <c r="O229" s="113"/>
      <c r="P229" s="185"/>
      <c r="Q229" s="135"/>
      <c r="R229" s="179"/>
      <c r="S229" s="182"/>
      <c r="T229" s="2"/>
    </row>
    <row r="230" spans="1:20" ht="15.6" x14ac:dyDescent="0.3">
      <c r="A230" s="173"/>
      <c r="B230" s="113" t="s">
        <v>163</v>
      </c>
      <c r="C230" s="183"/>
      <c r="D230" s="135"/>
      <c r="E230" s="135"/>
      <c r="F230" s="135"/>
      <c r="G230" s="135"/>
      <c r="H230" s="135"/>
      <c r="I230" s="135"/>
      <c r="J230" s="135"/>
      <c r="K230" s="135"/>
      <c r="L230" s="135"/>
      <c r="M230" s="135"/>
      <c r="N230" s="135"/>
      <c r="O230" s="123">
        <v>0</v>
      </c>
      <c r="P230" s="175">
        <v>0</v>
      </c>
      <c r="Q230" s="135"/>
      <c r="R230" s="179"/>
      <c r="S230" s="182"/>
      <c r="T230" s="2"/>
    </row>
    <row r="231" spans="1:20" ht="15.6" x14ac:dyDescent="0.3">
      <c r="A231" s="173"/>
      <c r="B231" s="113" t="s">
        <v>137</v>
      </c>
      <c r="C231" s="183"/>
      <c r="D231" s="135"/>
      <c r="E231" s="135"/>
      <c r="F231" s="135"/>
      <c r="G231" s="135"/>
      <c r="H231" s="135"/>
      <c r="I231" s="135"/>
      <c r="J231" s="135"/>
      <c r="K231" s="135"/>
      <c r="L231" s="135"/>
      <c r="M231" s="135"/>
      <c r="N231" s="135"/>
      <c r="O231" s="113"/>
      <c r="P231" s="184">
        <v>0</v>
      </c>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13"/>
      <c r="P232" s="185"/>
      <c r="Q232" s="135"/>
      <c r="R232" s="179"/>
      <c r="S232" s="182"/>
      <c r="T232" s="2"/>
    </row>
    <row r="233" spans="1:20" ht="15.6" x14ac:dyDescent="0.3">
      <c r="A233" s="173"/>
      <c r="B233" s="181"/>
      <c r="C233" s="183"/>
      <c r="D233" s="135"/>
      <c r="E233" s="135"/>
      <c r="F233" s="135"/>
      <c r="G233" s="135"/>
      <c r="H233" s="135"/>
      <c r="I233" s="135"/>
      <c r="J233" s="135"/>
      <c r="K233" s="135"/>
      <c r="L233" s="135"/>
      <c r="M233" s="135"/>
      <c r="N233" s="135"/>
      <c r="O233" s="135"/>
      <c r="P233" s="186"/>
      <c r="Q233" s="135"/>
      <c r="R233" s="179"/>
      <c r="S233" s="182"/>
      <c r="T233" s="2"/>
    </row>
    <row r="234" spans="1:20" ht="17.399999999999999" x14ac:dyDescent="0.3">
      <c r="A234" s="173"/>
      <c r="B234" s="187" t="s">
        <v>129</v>
      </c>
      <c r="C234" s="183"/>
      <c r="D234" s="135"/>
      <c r="E234" s="135"/>
      <c r="F234" s="135"/>
      <c r="G234" s="135"/>
      <c r="H234" s="135"/>
      <c r="I234" s="135"/>
      <c r="J234" s="135"/>
      <c r="K234" s="135"/>
      <c r="L234" s="188"/>
      <c r="M234" s="135"/>
      <c r="N234" s="188" t="s">
        <v>128</v>
      </c>
      <c r="O234" s="188"/>
      <c r="P234" s="186"/>
      <c r="Q234" s="135"/>
      <c r="R234" s="179"/>
      <c r="S234" s="182"/>
      <c r="T234" s="2"/>
    </row>
    <row r="235" spans="1:20" ht="17.399999999999999" x14ac:dyDescent="0.3">
      <c r="A235" s="170"/>
      <c r="B235" s="200"/>
      <c r="C235" s="171"/>
      <c r="D235" s="43"/>
      <c r="E235" s="43"/>
      <c r="F235" s="43"/>
      <c r="G235" s="43"/>
      <c r="H235" s="43"/>
      <c r="I235" s="43"/>
      <c r="J235" s="43"/>
      <c r="K235" s="43"/>
      <c r="L235" s="201"/>
      <c r="M235" s="43"/>
      <c r="N235" s="43"/>
      <c r="O235" s="43"/>
      <c r="P235" s="172"/>
      <c r="Q235" s="43"/>
      <c r="R235" s="166"/>
      <c r="S235" s="227"/>
      <c r="T235" s="2"/>
    </row>
    <row r="236" spans="1:20" ht="15.6" x14ac:dyDescent="0.3">
      <c r="A236" s="53"/>
      <c r="B236" s="61" t="s">
        <v>153</v>
      </c>
      <c r="C236" s="62"/>
      <c r="D236" s="62"/>
      <c r="E236" s="62"/>
      <c r="F236" s="62"/>
      <c r="G236" s="62"/>
      <c r="H236" s="62"/>
      <c r="I236" s="62"/>
      <c r="J236" s="62"/>
      <c r="K236" s="62"/>
      <c r="L236" s="62"/>
      <c r="M236" s="62"/>
      <c r="N236" s="72" t="s">
        <v>83</v>
      </c>
      <c r="O236" s="62" t="s">
        <v>84</v>
      </c>
      <c r="P236" s="72" t="s">
        <v>89</v>
      </c>
      <c r="Q236" s="62" t="s">
        <v>84</v>
      </c>
      <c r="R236" s="54"/>
      <c r="S236" s="228"/>
      <c r="T236" s="2"/>
    </row>
    <row r="237" spans="1:20" ht="15.6" x14ac:dyDescent="0.3">
      <c r="A237" s="24"/>
      <c r="B237" s="78" t="s">
        <v>72</v>
      </c>
      <c r="C237" s="93"/>
      <c r="D237" s="93"/>
      <c r="E237" s="93"/>
      <c r="F237" s="93"/>
      <c r="G237" s="93"/>
      <c r="H237" s="93"/>
      <c r="I237" s="93"/>
      <c r="J237" s="93"/>
      <c r="K237" s="93"/>
      <c r="L237" s="93"/>
      <c r="M237" s="93"/>
      <c r="N237" s="78">
        <f t="shared" ref="N237:N244" si="1">+N249+N261+N273</f>
        <v>1569</v>
      </c>
      <c r="O237" s="81">
        <f>N237/$N$246</f>
        <v>1</v>
      </c>
      <c r="P237" s="82">
        <f t="shared" ref="P237:P244" si="2">+P249+P261+P273</f>
        <v>245936</v>
      </c>
      <c r="Q237" s="81">
        <f t="shared" ref="Q237:Q244" si="3">P237/$P$246</f>
        <v>1</v>
      </c>
      <c r="R237" s="94"/>
      <c r="S237" s="229"/>
      <c r="T237" s="2"/>
    </row>
    <row r="238" spans="1:20" ht="15.6" x14ac:dyDescent="0.3">
      <c r="A238" s="112"/>
      <c r="B238" s="155" t="s">
        <v>73</v>
      </c>
      <c r="C238" s="192"/>
      <c r="D238" s="192"/>
      <c r="E238" s="192"/>
      <c r="F238" s="192"/>
      <c r="G238" s="192"/>
      <c r="H238" s="192"/>
      <c r="I238" s="192"/>
      <c r="J238" s="192"/>
      <c r="K238" s="192"/>
      <c r="L238" s="192"/>
      <c r="M238" s="192"/>
      <c r="N238" s="155">
        <f t="shared" si="1"/>
        <v>0</v>
      </c>
      <c r="O238" s="193">
        <f t="shared" ref="O238:O244" si="4">N238/$N$246</f>
        <v>0</v>
      </c>
      <c r="P238" s="156">
        <f t="shared" si="2"/>
        <v>0</v>
      </c>
      <c r="Q238" s="193">
        <f t="shared" si="3"/>
        <v>0</v>
      </c>
      <c r="R238" s="176"/>
      <c r="S238" s="194"/>
      <c r="T238" s="2"/>
    </row>
    <row r="239" spans="1:20" ht="15.6" x14ac:dyDescent="0.3">
      <c r="A239" s="112"/>
      <c r="B239" s="155" t="s">
        <v>74</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119</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120</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121</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122</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t="s">
        <v>123</v>
      </c>
      <c r="C244" s="192"/>
      <c r="D244" s="192"/>
      <c r="E244" s="192"/>
      <c r="F244" s="192"/>
      <c r="G244" s="192"/>
      <c r="H244" s="192"/>
      <c r="I244" s="192"/>
      <c r="J244" s="192"/>
      <c r="K244" s="192"/>
      <c r="L244" s="192"/>
      <c r="M244" s="192"/>
      <c r="N244" s="155">
        <f t="shared" si="1"/>
        <v>0</v>
      </c>
      <c r="O244" s="193">
        <f t="shared" si="4"/>
        <v>0</v>
      </c>
      <c r="P244" s="156">
        <f t="shared" si="2"/>
        <v>0</v>
      </c>
      <c r="Q244" s="193">
        <f t="shared" si="3"/>
        <v>0</v>
      </c>
      <c r="R244" s="176"/>
      <c r="S244" s="194"/>
      <c r="T244" s="2"/>
    </row>
    <row r="245" spans="1:21" ht="15.6" x14ac:dyDescent="0.3">
      <c r="A245" s="112"/>
      <c r="B245" s="155"/>
      <c r="C245" s="192"/>
      <c r="D245" s="192"/>
      <c r="E245" s="192"/>
      <c r="F245" s="192"/>
      <c r="G245" s="192"/>
      <c r="H245" s="192"/>
      <c r="I245" s="192"/>
      <c r="J245" s="192"/>
      <c r="K245" s="192"/>
      <c r="L245" s="192"/>
      <c r="M245" s="192"/>
      <c r="N245" s="155"/>
      <c r="O245" s="193"/>
      <c r="P245" s="156"/>
      <c r="Q245" s="193"/>
      <c r="R245" s="176"/>
      <c r="S245" s="194"/>
      <c r="T245" s="2"/>
    </row>
    <row r="246" spans="1:21" ht="15.6" x14ac:dyDescent="0.3">
      <c r="A246" s="112"/>
      <c r="B246" s="113" t="s">
        <v>94</v>
      </c>
      <c r="C246" s="113"/>
      <c r="D246" s="195"/>
      <c r="E246" s="195"/>
      <c r="F246" s="195"/>
      <c r="G246" s="195"/>
      <c r="H246" s="195"/>
      <c r="I246" s="195"/>
      <c r="J246" s="195"/>
      <c r="K246" s="195"/>
      <c r="L246" s="195"/>
      <c r="M246" s="195"/>
      <c r="N246" s="155">
        <f>SUM(N237:N245)</f>
        <v>1569</v>
      </c>
      <c r="O246" s="193">
        <f>SUM(O237:O245)</f>
        <v>1</v>
      </c>
      <c r="P246" s="156">
        <f>SUM(P237:P245)</f>
        <v>245936</v>
      </c>
      <c r="Q246" s="193">
        <f>SUM(Q237:Q245)</f>
        <v>1</v>
      </c>
      <c r="R246" s="113"/>
      <c r="S246" s="116"/>
      <c r="T246" s="2"/>
    </row>
    <row r="247" spans="1:21" ht="15.6" x14ac:dyDescent="0.3">
      <c r="A247" s="12"/>
      <c r="B247" s="165"/>
      <c r="C247" s="171"/>
      <c r="D247" s="43"/>
      <c r="E247" s="43"/>
      <c r="F247" s="43"/>
      <c r="G247" s="43"/>
      <c r="H247" s="43"/>
      <c r="I247" s="43"/>
      <c r="J247" s="43"/>
      <c r="K247" s="43"/>
      <c r="L247" s="43"/>
      <c r="M247" s="43"/>
      <c r="N247" s="43"/>
      <c r="O247" s="43"/>
      <c r="P247" s="172"/>
      <c r="Q247" s="43"/>
      <c r="R247" s="43"/>
      <c r="S247" s="218"/>
      <c r="T247" s="2"/>
    </row>
    <row r="248" spans="1:21" ht="15.6" x14ac:dyDescent="0.3">
      <c r="A248" s="53"/>
      <c r="B248" s="61" t="s">
        <v>124</v>
      </c>
      <c r="C248" s="62"/>
      <c r="D248" s="62"/>
      <c r="E248" s="62"/>
      <c r="F248" s="62"/>
      <c r="G248" s="62"/>
      <c r="H248" s="62"/>
      <c r="I248" s="62"/>
      <c r="J248" s="62"/>
      <c r="K248" s="62"/>
      <c r="L248" s="62"/>
      <c r="M248" s="62"/>
      <c r="N248" s="72" t="s">
        <v>83</v>
      </c>
      <c r="O248" s="62" t="s">
        <v>84</v>
      </c>
      <c r="P248" s="72" t="s">
        <v>89</v>
      </c>
      <c r="Q248" s="62" t="s">
        <v>84</v>
      </c>
      <c r="R248" s="54"/>
      <c r="S248" s="228"/>
      <c r="T248" s="2"/>
    </row>
    <row r="249" spans="1:21" ht="15.6" x14ac:dyDescent="0.3">
      <c r="A249" s="24"/>
      <c r="B249" s="78" t="s">
        <v>72</v>
      </c>
      <c r="C249" s="93"/>
      <c r="D249" s="93"/>
      <c r="E249" s="93"/>
      <c r="F249" s="93"/>
      <c r="G249" s="93"/>
      <c r="H249" s="93"/>
      <c r="I249" s="93"/>
      <c r="J249" s="93"/>
      <c r="K249" s="93"/>
      <c r="L249" s="93"/>
      <c r="M249" s="93"/>
      <c r="N249" s="78">
        <v>1569</v>
      </c>
      <c r="O249" s="81">
        <f>N249/$N$258</f>
        <v>1</v>
      </c>
      <c r="P249" s="82">
        <v>245936</v>
      </c>
      <c r="Q249" s="81">
        <f t="shared" ref="Q249:Q256" si="5">P249/$P$258</f>
        <v>1</v>
      </c>
      <c r="R249" s="94"/>
      <c r="S249" s="229"/>
      <c r="T249" s="2"/>
    </row>
    <row r="250" spans="1:21" ht="15.6" x14ac:dyDescent="0.3">
      <c r="A250" s="112"/>
      <c r="B250" s="155" t="s">
        <v>73</v>
      </c>
      <c r="C250" s="192"/>
      <c r="D250" s="192"/>
      <c r="E250" s="192"/>
      <c r="F250" s="192"/>
      <c r="G250" s="192"/>
      <c r="H250" s="192"/>
      <c r="I250" s="192"/>
      <c r="J250" s="192"/>
      <c r="K250" s="192"/>
      <c r="L250" s="192"/>
      <c r="M250" s="192"/>
      <c r="N250" s="155">
        <v>0</v>
      </c>
      <c r="O250" s="193">
        <f t="shared" ref="O250:O256" si="6">N250/$N$258</f>
        <v>0</v>
      </c>
      <c r="P250" s="156">
        <v>0</v>
      </c>
      <c r="Q250" s="193">
        <f t="shared" si="5"/>
        <v>0</v>
      </c>
      <c r="R250" s="176"/>
      <c r="S250" s="194"/>
      <c r="T250" s="2"/>
      <c r="U250" s="4"/>
    </row>
    <row r="251" spans="1:21" ht="15.6" x14ac:dyDescent="0.3">
      <c r="A251" s="112"/>
      <c r="B251" s="155" t="s">
        <v>74</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row>
    <row r="252" spans="1:21" ht="15.6" x14ac:dyDescent="0.3">
      <c r="A252" s="112"/>
      <c r="B252" s="155" t="s">
        <v>119</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c r="U252" s="4"/>
    </row>
    <row r="253" spans="1:21" ht="15.6" x14ac:dyDescent="0.3">
      <c r="A253" s="112"/>
      <c r="B253" s="155" t="s">
        <v>120</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row>
    <row r="254" spans="1:21" ht="15.6" x14ac:dyDescent="0.3">
      <c r="A254" s="112"/>
      <c r="B254" s="155" t="s">
        <v>121</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c r="U254" s="4"/>
    </row>
    <row r="255" spans="1:21" ht="15.6" x14ac:dyDescent="0.3">
      <c r="A255" s="112"/>
      <c r="B255" s="155" t="s">
        <v>122</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row>
    <row r="256" spans="1:21" ht="15.6" x14ac:dyDescent="0.3">
      <c r="A256" s="112"/>
      <c r="B256" s="155" t="s">
        <v>123</v>
      </c>
      <c r="C256" s="192"/>
      <c r="D256" s="192"/>
      <c r="E256" s="192"/>
      <c r="F256" s="192"/>
      <c r="G256" s="192"/>
      <c r="H256" s="192"/>
      <c r="I256" s="192"/>
      <c r="J256" s="192"/>
      <c r="K256" s="192"/>
      <c r="L256" s="192"/>
      <c r="M256" s="192"/>
      <c r="N256" s="155">
        <v>0</v>
      </c>
      <c r="O256" s="193">
        <f t="shared" si="6"/>
        <v>0</v>
      </c>
      <c r="P256" s="156">
        <v>0</v>
      </c>
      <c r="Q256" s="193">
        <f t="shared" si="5"/>
        <v>0</v>
      </c>
      <c r="R256" s="176"/>
      <c r="S256" s="194"/>
      <c r="T256" s="2"/>
      <c r="U256" s="4"/>
    </row>
    <row r="257" spans="1:20" ht="15.6" x14ac:dyDescent="0.3">
      <c r="A257" s="112"/>
      <c r="B257" s="155"/>
      <c r="C257" s="192"/>
      <c r="D257" s="192"/>
      <c r="E257" s="192"/>
      <c r="F257" s="192"/>
      <c r="G257" s="192"/>
      <c r="H257" s="192"/>
      <c r="I257" s="192"/>
      <c r="J257" s="192"/>
      <c r="K257" s="192"/>
      <c r="L257" s="192"/>
      <c r="M257" s="192"/>
      <c r="N257" s="155"/>
      <c r="O257" s="193"/>
      <c r="P257" s="156"/>
      <c r="Q257" s="193"/>
      <c r="R257" s="176"/>
      <c r="S257" s="194"/>
      <c r="T257" s="2"/>
    </row>
    <row r="258" spans="1:20" ht="15.6" x14ac:dyDescent="0.3">
      <c r="A258" s="112"/>
      <c r="B258" s="113" t="s">
        <v>94</v>
      </c>
      <c r="C258" s="113"/>
      <c r="D258" s="195"/>
      <c r="E258" s="195"/>
      <c r="F258" s="195"/>
      <c r="G258" s="195"/>
      <c r="H258" s="195"/>
      <c r="I258" s="195"/>
      <c r="J258" s="195"/>
      <c r="K258" s="195"/>
      <c r="L258" s="195"/>
      <c r="M258" s="195"/>
      <c r="N258" s="155">
        <f>SUM(N249:N257)</f>
        <v>1569</v>
      </c>
      <c r="O258" s="193">
        <f>SUM(O249:O257)</f>
        <v>1</v>
      </c>
      <c r="P258" s="156">
        <f>SUM(P249:P257)</f>
        <v>245936</v>
      </c>
      <c r="Q258" s="193">
        <f>SUM(Q249:Q257)</f>
        <v>1</v>
      </c>
      <c r="R258" s="113"/>
      <c r="S258" s="116"/>
      <c r="T258" s="2"/>
    </row>
    <row r="259" spans="1:20" ht="15.6" x14ac:dyDescent="0.3">
      <c r="A259" s="12"/>
      <c r="B259" s="43"/>
      <c r="C259" s="43"/>
      <c r="D259" s="189"/>
      <c r="E259" s="189"/>
      <c r="F259" s="189"/>
      <c r="G259" s="189"/>
      <c r="H259" s="189"/>
      <c r="I259" s="189"/>
      <c r="J259" s="189"/>
      <c r="K259" s="189"/>
      <c r="L259" s="189"/>
      <c r="M259" s="189"/>
      <c r="N259" s="153"/>
      <c r="O259" s="190"/>
      <c r="P259" s="191"/>
      <c r="Q259" s="190"/>
      <c r="R259" s="43"/>
      <c r="S259" s="218"/>
      <c r="T259" s="2"/>
    </row>
    <row r="260" spans="1:20" ht="15.6" x14ac:dyDescent="0.3">
      <c r="A260" s="73"/>
      <c r="B260" s="61" t="s">
        <v>146</v>
      </c>
      <c r="C260" s="62"/>
      <c r="D260" s="62"/>
      <c r="E260" s="62"/>
      <c r="F260" s="62"/>
      <c r="G260" s="62"/>
      <c r="H260" s="62"/>
      <c r="I260" s="62"/>
      <c r="J260" s="62"/>
      <c r="K260" s="62"/>
      <c r="L260" s="62"/>
      <c r="M260" s="62"/>
      <c r="N260" s="72" t="s">
        <v>83</v>
      </c>
      <c r="O260" s="62" t="s">
        <v>84</v>
      </c>
      <c r="P260" s="72" t="s">
        <v>89</v>
      </c>
      <c r="Q260" s="62" t="s">
        <v>84</v>
      </c>
      <c r="R260" s="74"/>
      <c r="S260" s="75"/>
      <c r="T260" s="2"/>
    </row>
    <row r="261" spans="1:20" ht="15.6" x14ac:dyDescent="0.3">
      <c r="A261" s="24"/>
      <c r="B261" s="78" t="s">
        <v>72</v>
      </c>
      <c r="C261" s="93"/>
      <c r="D261" s="93"/>
      <c r="E261" s="93"/>
      <c r="F261" s="93"/>
      <c r="G261" s="93"/>
      <c r="H261" s="93"/>
      <c r="I261" s="93"/>
      <c r="J261" s="93"/>
      <c r="K261" s="93"/>
      <c r="L261" s="93"/>
      <c r="M261" s="93"/>
      <c r="N261" s="78">
        <v>0</v>
      </c>
      <c r="O261" s="81">
        <v>0</v>
      </c>
      <c r="P261" s="82">
        <v>0</v>
      </c>
      <c r="Q261" s="81">
        <v>0</v>
      </c>
      <c r="R261" s="79"/>
      <c r="S261" s="221"/>
      <c r="T261" s="2"/>
    </row>
    <row r="262" spans="1:20" ht="15.6" x14ac:dyDescent="0.3">
      <c r="A262" s="112"/>
      <c r="B262" s="155" t="s">
        <v>73</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74</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119</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120</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121</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122</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t="s">
        <v>123</v>
      </c>
      <c r="C268" s="192"/>
      <c r="D268" s="192"/>
      <c r="E268" s="192"/>
      <c r="F268" s="192"/>
      <c r="G268" s="192"/>
      <c r="H268" s="192"/>
      <c r="I268" s="192"/>
      <c r="J268" s="192"/>
      <c r="K268" s="192"/>
      <c r="L268" s="192"/>
      <c r="M268" s="192"/>
      <c r="N268" s="155">
        <v>0</v>
      </c>
      <c r="O268" s="193">
        <v>0</v>
      </c>
      <c r="P268" s="156">
        <v>0</v>
      </c>
      <c r="Q268" s="193">
        <v>0</v>
      </c>
      <c r="R268" s="113"/>
      <c r="S268" s="116"/>
      <c r="T268" s="2"/>
    </row>
    <row r="269" spans="1:20" ht="15.6" x14ac:dyDescent="0.3">
      <c r="A269" s="112"/>
      <c r="B269" s="155"/>
      <c r="C269" s="192"/>
      <c r="D269" s="192"/>
      <c r="E269" s="192"/>
      <c r="F269" s="192"/>
      <c r="G269" s="192"/>
      <c r="H269" s="192"/>
      <c r="I269" s="192"/>
      <c r="J269" s="192"/>
      <c r="K269" s="192"/>
      <c r="L269" s="192"/>
      <c r="M269" s="192"/>
      <c r="N269" s="155"/>
      <c r="O269" s="193"/>
      <c r="P269" s="156"/>
      <c r="Q269" s="193"/>
      <c r="R269" s="113"/>
      <c r="S269" s="116"/>
      <c r="T269" s="2"/>
    </row>
    <row r="270" spans="1:20" ht="15.6" x14ac:dyDescent="0.3">
      <c r="A270" s="112"/>
      <c r="B270" s="113" t="s">
        <v>94</v>
      </c>
      <c r="C270" s="113"/>
      <c r="D270" s="195"/>
      <c r="E270" s="195"/>
      <c r="F270" s="195"/>
      <c r="G270" s="195"/>
      <c r="H270" s="195"/>
      <c r="I270" s="195"/>
      <c r="J270" s="195"/>
      <c r="K270" s="195"/>
      <c r="L270" s="195"/>
      <c r="M270" s="195"/>
      <c r="N270" s="155">
        <f>SUM(N261:N269)</f>
        <v>0</v>
      </c>
      <c r="O270" s="193">
        <f>SUM(O261:O269)</f>
        <v>0</v>
      </c>
      <c r="P270" s="156">
        <f>SUM(P261:P269)</f>
        <v>0</v>
      </c>
      <c r="Q270" s="193">
        <f>SUM(Q261:Q269)</f>
        <v>0</v>
      </c>
      <c r="R270" s="113"/>
      <c r="S270" s="116"/>
      <c r="T270" s="2"/>
    </row>
    <row r="271" spans="1:20" ht="15.6" x14ac:dyDescent="0.3">
      <c r="A271" s="12"/>
      <c r="B271" s="43"/>
      <c r="C271" s="43"/>
      <c r="D271" s="189"/>
      <c r="E271" s="189"/>
      <c r="F271" s="189"/>
      <c r="G271" s="189"/>
      <c r="H271" s="189"/>
      <c r="I271" s="189"/>
      <c r="J271" s="189"/>
      <c r="K271" s="189"/>
      <c r="L271" s="189"/>
      <c r="M271" s="189"/>
      <c r="N271" s="153"/>
      <c r="O271" s="190"/>
      <c r="P271" s="191"/>
      <c r="Q271" s="190"/>
      <c r="R271" s="43"/>
      <c r="S271" s="218"/>
      <c r="T271" s="2"/>
    </row>
    <row r="272" spans="1:20" ht="15.6" x14ac:dyDescent="0.3">
      <c r="A272" s="73"/>
      <c r="B272" s="61" t="s">
        <v>125</v>
      </c>
      <c r="C272" s="74"/>
      <c r="D272" s="76"/>
      <c r="E272" s="76"/>
      <c r="F272" s="76"/>
      <c r="G272" s="76"/>
      <c r="H272" s="76"/>
      <c r="I272" s="76"/>
      <c r="J272" s="76"/>
      <c r="K272" s="76"/>
      <c r="L272" s="76"/>
      <c r="M272" s="76"/>
      <c r="N272" s="72" t="s">
        <v>83</v>
      </c>
      <c r="O272" s="62" t="s">
        <v>84</v>
      </c>
      <c r="P272" s="72" t="s">
        <v>89</v>
      </c>
      <c r="Q272" s="62" t="s">
        <v>84</v>
      </c>
      <c r="R272" s="74"/>
      <c r="S272" s="75"/>
      <c r="T272" s="2"/>
    </row>
    <row r="273" spans="1:20" ht="15.6" x14ac:dyDescent="0.3">
      <c r="A273" s="77"/>
      <c r="B273" s="78" t="s">
        <v>72</v>
      </c>
      <c r="C273" s="79"/>
      <c r="D273" s="80"/>
      <c r="E273" s="80"/>
      <c r="F273" s="80"/>
      <c r="G273" s="80"/>
      <c r="H273" s="80"/>
      <c r="I273" s="80"/>
      <c r="J273" s="80"/>
      <c r="K273" s="80"/>
      <c r="L273" s="80"/>
      <c r="M273" s="80"/>
      <c r="N273" s="78">
        <v>0</v>
      </c>
      <c r="O273" s="81">
        <v>0</v>
      </c>
      <c r="P273" s="82">
        <v>0</v>
      </c>
      <c r="Q273" s="81">
        <v>0</v>
      </c>
      <c r="R273" s="79"/>
      <c r="S273" s="221"/>
      <c r="T273" s="2"/>
    </row>
    <row r="274" spans="1:20" ht="15.6" x14ac:dyDescent="0.3">
      <c r="A274" s="122"/>
      <c r="B274" s="155" t="s">
        <v>73</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74</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119</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120</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121</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122</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t="s">
        <v>123</v>
      </c>
      <c r="C280" s="113"/>
      <c r="D280" s="195"/>
      <c r="E280" s="195"/>
      <c r="F280" s="195"/>
      <c r="G280" s="195"/>
      <c r="H280" s="195"/>
      <c r="I280" s="195"/>
      <c r="J280" s="195"/>
      <c r="K280" s="195"/>
      <c r="L280" s="195"/>
      <c r="M280" s="195"/>
      <c r="N280" s="155">
        <v>0</v>
      </c>
      <c r="O280" s="193">
        <v>0</v>
      </c>
      <c r="P280" s="156">
        <v>0</v>
      </c>
      <c r="Q280" s="193">
        <v>0</v>
      </c>
      <c r="R280" s="113"/>
      <c r="S280" s="116"/>
      <c r="T280" s="2"/>
    </row>
    <row r="281" spans="1:20" ht="15.6" x14ac:dyDescent="0.3">
      <c r="A281" s="122"/>
      <c r="B281" s="155"/>
      <c r="C281" s="113"/>
      <c r="D281" s="195"/>
      <c r="E281" s="195"/>
      <c r="F281" s="195"/>
      <c r="G281" s="195"/>
      <c r="H281" s="195"/>
      <c r="I281" s="195"/>
      <c r="J281" s="195"/>
      <c r="K281" s="195"/>
      <c r="L281" s="195"/>
      <c r="M281" s="195"/>
      <c r="N281" s="155"/>
      <c r="O281" s="193"/>
      <c r="P281" s="156"/>
      <c r="Q281" s="193"/>
      <c r="R281" s="113"/>
      <c r="S281" s="116"/>
      <c r="T281" s="2"/>
    </row>
    <row r="282" spans="1:20" ht="15.6" x14ac:dyDescent="0.3">
      <c r="A282" s="122"/>
      <c r="B282" s="113" t="s">
        <v>94</v>
      </c>
      <c r="C282" s="113"/>
      <c r="D282" s="195"/>
      <c r="E282" s="195"/>
      <c r="F282" s="195"/>
      <c r="G282" s="195"/>
      <c r="H282" s="195"/>
      <c r="I282" s="195"/>
      <c r="J282" s="195"/>
      <c r="K282" s="195"/>
      <c r="L282" s="195"/>
      <c r="M282" s="195"/>
      <c r="N282" s="155">
        <f>SUM(N273:N280)</f>
        <v>0</v>
      </c>
      <c r="O282" s="193">
        <f>SUM(O273:O280)</f>
        <v>0</v>
      </c>
      <c r="P282" s="156">
        <f>SUM(P273:P280)</f>
        <v>0</v>
      </c>
      <c r="Q282" s="193">
        <f>SUM(Q273:Q280)</f>
        <v>0</v>
      </c>
      <c r="R282" s="113"/>
      <c r="S282" s="116"/>
      <c r="T282" s="2"/>
    </row>
    <row r="283" spans="1:20" ht="15.6" x14ac:dyDescent="0.3">
      <c r="A283" s="122"/>
      <c r="B283" s="113"/>
      <c r="C283" s="113"/>
      <c r="D283" s="195"/>
      <c r="E283" s="195"/>
      <c r="F283" s="195"/>
      <c r="G283" s="195"/>
      <c r="H283" s="195"/>
      <c r="I283" s="195"/>
      <c r="J283" s="195"/>
      <c r="K283" s="195"/>
      <c r="L283" s="195"/>
      <c r="M283" s="195"/>
      <c r="N283" s="155"/>
      <c r="O283" s="193"/>
      <c r="P283" s="156"/>
      <c r="Q283" s="193"/>
      <c r="R283" s="113"/>
      <c r="S283" s="116"/>
      <c r="T283" s="2"/>
    </row>
    <row r="284" spans="1:20" ht="15.6" x14ac:dyDescent="0.3">
      <c r="A284" s="122"/>
      <c r="B284" s="124" t="s">
        <v>182</v>
      </c>
      <c r="C284" s="113"/>
      <c r="D284" s="195"/>
      <c r="E284" s="195"/>
      <c r="F284" s="195"/>
      <c r="G284" s="195"/>
      <c r="H284" s="195"/>
      <c r="I284" s="195"/>
      <c r="J284" s="195"/>
      <c r="K284" s="195"/>
      <c r="L284" s="195"/>
      <c r="M284" s="195"/>
      <c r="N284" s="197">
        <f>N282+N270+N258</f>
        <v>1569</v>
      </c>
      <c r="O284" s="193"/>
      <c r="P284" s="198">
        <f>+P282+P270+P258</f>
        <v>245936</v>
      </c>
      <c r="Q284" s="193"/>
      <c r="R284" s="113"/>
      <c r="S284" s="116"/>
      <c r="T284" s="2"/>
    </row>
    <row r="285" spans="1:20" ht="15.6" x14ac:dyDescent="0.3">
      <c r="A285" s="122"/>
      <c r="B285" s="124" t="s">
        <v>247</v>
      </c>
      <c r="C285" s="124"/>
      <c r="D285" s="206"/>
      <c r="E285" s="206"/>
      <c r="F285" s="206"/>
      <c r="G285" s="206"/>
      <c r="H285" s="206"/>
      <c r="I285" s="206"/>
      <c r="J285" s="206"/>
      <c r="K285" s="206"/>
      <c r="L285" s="206"/>
      <c r="M285" s="206"/>
      <c r="N285" s="197"/>
      <c r="O285" s="207"/>
      <c r="P285" s="208">
        <f>+R171</f>
        <v>2175</v>
      </c>
      <c r="Q285" s="193"/>
      <c r="R285" s="113"/>
      <c r="S285" s="116"/>
      <c r="T285" s="2"/>
    </row>
    <row r="286" spans="1:20" ht="15.6" x14ac:dyDescent="0.3">
      <c r="A286" s="122"/>
      <c r="B286" s="124" t="s">
        <v>126</v>
      </c>
      <c r="C286" s="124"/>
      <c r="D286" s="206"/>
      <c r="E286" s="206"/>
      <c r="F286" s="206"/>
      <c r="G286" s="206"/>
      <c r="H286" s="206"/>
      <c r="I286" s="206"/>
      <c r="J286" s="206"/>
      <c r="K286" s="206"/>
      <c r="L286" s="206"/>
      <c r="M286" s="206"/>
      <c r="N286" s="197"/>
      <c r="O286" s="207"/>
      <c r="P286" s="208">
        <f>+P284+P285</f>
        <v>248111</v>
      </c>
      <c r="Q286" s="193"/>
      <c r="R286" s="113"/>
      <c r="S286" s="116"/>
      <c r="T286" s="2"/>
    </row>
    <row r="287" spans="1:20" ht="15.6" x14ac:dyDescent="0.3">
      <c r="A287" s="122"/>
      <c r="B287" s="124" t="s">
        <v>181</v>
      </c>
      <c r="C287" s="113"/>
      <c r="D287" s="195"/>
      <c r="E287" s="195"/>
      <c r="F287" s="195"/>
      <c r="G287" s="195"/>
      <c r="H287" s="195"/>
      <c r="I287" s="195"/>
      <c r="J287" s="195"/>
      <c r="K287" s="195"/>
      <c r="L287" s="195"/>
      <c r="M287" s="195"/>
      <c r="N287" s="197"/>
      <c r="O287" s="193"/>
      <c r="P287" s="198">
        <f>+R72</f>
        <v>248111</v>
      </c>
      <c r="Q287" s="193"/>
      <c r="R287" s="113"/>
      <c r="S287" s="116"/>
      <c r="T287" s="2"/>
    </row>
    <row r="288" spans="1:20" ht="15.6" x14ac:dyDescent="0.3">
      <c r="A288" s="122"/>
      <c r="B288" s="124"/>
      <c r="C288" s="113"/>
      <c r="D288" s="195"/>
      <c r="E288" s="195"/>
      <c r="F288" s="195"/>
      <c r="G288" s="195"/>
      <c r="H288" s="195"/>
      <c r="I288" s="195"/>
      <c r="J288" s="195"/>
      <c r="K288" s="195"/>
      <c r="L288" s="195"/>
      <c r="M288" s="195"/>
      <c r="N288" s="197"/>
      <c r="O288" s="193"/>
      <c r="P288" s="198"/>
      <c r="Q288" s="193"/>
      <c r="R288" s="113"/>
      <c r="S288" s="116"/>
      <c r="T288" s="2"/>
    </row>
    <row r="289" spans="1:20" ht="15.6" x14ac:dyDescent="0.3">
      <c r="A289" s="122"/>
      <c r="B289" s="124" t="s">
        <v>221</v>
      </c>
      <c r="C289" s="113"/>
      <c r="D289" s="195"/>
      <c r="E289" s="195"/>
      <c r="F289" s="195"/>
      <c r="G289" s="195"/>
      <c r="H289" s="195"/>
      <c r="I289" s="195"/>
      <c r="J289" s="195"/>
      <c r="K289" s="195"/>
      <c r="L289" s="195"/>
      <c r="M289" s="195"/>
      <c r="N289" s="197"/>
      <c r="O289" s="193"/>
      <c r="P289" s="215">
        <f>(J30+R139)/R30</f>
        <v>5.0582238443164632E-2</v>
      </c>
      <c r="Q289" s="193"/>
      <c r="R289" s="113"/>
      <c r="S289" s="116"/>
      <c r="T289" s="2"/>
    </row>
    <row r="290" spans="1:20" ht="15.6" x14ac:dyDescent="0.3">
      <c r="A290" s="83"/>
      <c r="B290" s="84"/>
      <c r="C290" s="84"/>
      <c r="D290" s="85"/>
      <c r="E290" s="85"/>
      <c r="F290" s="85"/>
      <c r="G290" s="85"/>
      <c r="H290" s="85"/>
      <c r="I290" s="85"/>
      <c r="J290" s="85"/>
      <c r="K290" s="85"/>
      <c r="L290" s="85"/>
      <c r="M290" s="85"/>
      <c r="N290" s="85"/>
      <c r="O290" s="85"/>
      <c r="P290" s="86"/>
      <c r="Q290" s="85"/>
      <c r="R290" s="84"/>
      <c r="S290" s="219"/>
      <c r="T290" s="2"/>
    </row>
    <row r="291" spans="1:20" ht="15.6" x14ac:dyDescent="0.3">
      <c r="A291" s="87"/>
      <c r="B291" s="88" t="s">
        <v>75</v>
      </c>
      <c r="C291" s="84"/>
      <c r="D291" s="89" t="s">
        <v>79</v>
      </c>
      <c r="E291" s="88"/>
      <c r="F291" s="88" t="s">
        <v>80</v>
      </c>
      <c r="G291" s="84"/>
      <c r="H291" s="88"/>
      <c r="I291" s="90"/>
      <c r="J291" s="90"/>
      <c r="K291" s="90"/>
      <c r="L291" s="90"/>
      <c r="M291" s="90"/>
      <c r="N291" s="90"/>
      <c r="O291" s="90"/>
      <c r="P291" s="90"/>
      <c r="Q291" s="90"/>
      <c r="R291" s="90"/>
      <c r="S291" s="230"/>
      <c r="T291" s="2"/>
    </row>
    <row r="292" spans="1:20" ht="15.6" x14ac:dyDescent="0.3">
      <c r="A292" s="87"/>
      <c r="B292" s="90"/>
      <c r="C292" s="84"/>
      <c r="D292" s="84"/>
      <c r="E292" s="84"/>
      <c r="F292" s="84"/>
      <c r="G292" s="84"/>
      <c r="H292" s="84"/>
      <c r="I292" s="90"/>
      <c r="J292" s="90"/>
      <c r="K292" s="90"/>
      <c r="L292" s="90"/>
      <c r="M292" s="90"/>
      <c r="N292" s="90"/>
      <c r="O292" s="90"/>
      <c r="P292" s="90"/>
      <c r="Q292" s="90"/>
      <c r="R292" s="90"/>
      <c r="S292" s="230"/>
      <c r="T292" s="2"/>
    </row>
    <row r="293" spans="1:20" ht="15.6" x14ac:dyDescent="0.3">
      <c r="A293" s="87"/>
      <c r="B293" s="214" t="s">
        <v>211</v>
      </c>
      <c r="C293" s="88"/>
      <c r="D293" s="91" t="s">
        <v>115</v>
      </c>
      <c r="E293" s="88"/>
      <c r="F293" s="88" t="s">
        <v>116</v>
      </c>
      <c r="G293" s="88"/>
      <c r="H293" s="88"/>
      <c r="I293" s="90"/>
      <c r="J293" s="90"/>
      <c r="K293" s="90"/>
      <c r="L293" s="90"/>
      <c r="M293" s="90"/>
      <c r="N293" s="90"/>
      <c r="O293" s="90"/>
      <c r="P293" s="90"/>
      <c r="Q293" s="90"/>
      <c r="R293" s="90"/>
      <c r="S293" s="230"/>
      <c r="T293" s="2"/>
    </row>
    <row r="294" spans="1:20" ht="15.6" x14ac:dyDescent="0.3">
      <c r="A294" s="87"/>
      <c r="B294" s="214" t="s">
        <v>212</v>
      </c>
      <c r="C294" s="88"/>
      <c r="D294" s="91" t="s">
        <v>147</v>
      </c>
      <c r="E294" s="88"/>
      <c r="F294" s="88" t="s">
        <v>148</v>
      </c>
      <c r="G294" s="88"/>
      <c r="H294" s="88"/>
      <c r="I294" s="90"/>
      <c r="J294" s="90"/>
      <c r="K294" s="90"/>
      <c r="L294" s="90"/>
      <c r="M294" s="90"/>
      <c r="N294" s="90"/>
      <c r="O294" s="90"/>
      <c r="P294" s="90"/>
      <c r="Q294" s="90"/>
      <c r="R294" s="90"/>
      <c r="S294" s="230"/>
      <c r="T294" s="2"/>
    </row>
    <row r="295" spans="1:20" ht="15.6" x14ac:dyDescent="0.3">
      <c r="A295" s="87"/>
      <c r="B295" s="214" t="s">
        <v>213</v>
      </c>
      <c r="C295" s="88"/>
      <c r="D295" s="91" t="s">
        <v>114</v>
      </c>
      <c r="E295" s="88"/>
      <c r="F295" s="88" t="s">
        <v>117</v>
      </c>
      <c r="G295" s="88"/>
      <c r="H295" s="88"/>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5.6" x14ac:dyDescent="0.3">
      <c r="A297" s="87"/>
      <c r="B297" s="88"/>
      <c r="C297" s="88"/>
      <c r="D297" s="90"/>
      <c r="E297" s="90"/>
      <c r="F297" s="90"/>
      <c r="G297" s="90"/>
      <c r="H297" s="90"/>
      <c r="I297" s="90"/>
      <c r="J297" s="90"/>
      <c r="K297" s="90"/>
      <c r="L297" s="90"/>
      <c r="M297" s="90"/>
      <c r="N297" s="90"/>
      <c r="O297" s="90"/>
      <c r="P297" s="90"/>
      <c r="Q297" s="90"/>
      <c r="R297" s="90"/>
      <c r="S297" s="230"/>
      <c r="T297" s="2"/>
    </row>
    <row r="298" spans="1:20" ht="18" thickBot="1" x14ac:dyDescent="0.35">
      <c r="A298" s="87"/>
      <c r="B298" s="92" t="str">
        <f>B196</f>
        <v>PM21 INVESTOR REPORT QUARTER ENDING FEBRUARY 2015</v>
      </c>
      <c r="C298" s="88"/>
      <c r="D298" s="90"/>
      <c r="E298" s="90"/>
      <c r="F298" s="90"/>
      <c r="G298" s="90"/>
      <c r="H298" s="90"/>
      <c r="I298" s="90"/>
      <c r="J298" s="90"/>
      <c r="K298" s="90"/>
      <c r="L298" s="90"/>
      <c r="M298" s="90"/>
      <c r="N298" s="90"/>
      <c r="O298" s="90"/>
      <c r="P298" s="90"/>
      <c r="Q298" s="90"/>
      <c r="R298" s="90"/>
      <c r="S298" s="99"/>
      <c r="T298" s="2"/>
    </row>
    <row r="299" spans="1:20" x14ac:dyDescent="0.25">
      <c r="A299" s="3"/>
      <c r="B299" s="3"/>
      <c r="C299" s="3"/>
      <c r="D299" s="3"/>
      <c r="E299" s="3"/>
      <c r="F299" s="3"/>
      <c r="G299" s="3"/>
      <c r="H299" s="3"/>
      <c r="I299" s="3"/>
      <c r="J299" s="3"/>
      <c r="K299" s="3"/>
      <c r="L299" s="3"/>
      <c r="M299" s="3"/>
      <c r="N299" s="3"/>
      <c r="O299" s="3"/>
      <c r="P299" s="3"/>
      <c r="Q299" s="3"/>
      <c r="R299" s="3"/>
      <c r="S299" s="3"/>
    </row>
  </sheetData>
  <phoneticPr fontId="0" type="noConversion"/>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4" max="18" man="1"/>
    <brk id="196" max="18" man="1"/>
  </rowBreaks>
  <colBreaks count="1" manualBreakCount="1">
    <brk id="19" max="299"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29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42902</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265</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218</v>
      </c>
      <c r="G26" s="119"/>
      <c r="H26" s="119" t="s">
        <v>219</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92451.636129999999</v>
      </c>
      <c r="E29" s="130"/>
      <c r="F29" s="202">
        <f>F28*F32</f>
        <v>17700</v>
      </c>
      <c r="G29" s="202"/>
      <c r="H29" s="202">
        <f>H28*H32</f>
        <v>8100</v>
      </c>
      <c r="I29" s="126"/>
      <c r="J29" s="202">
        <f>J28*J32</f>
        <v>6300</v>
      </c>
      <c r="K29" s="126"/>
      <c r="L29" s="130"/>
      <c r="M29" s="126"/>
      <c r="N29" s="130"/>
      <c r="O29" s="126"/>
      <c r="P29" s="126"/>
      <c r="Q29" s="127"/>
      <c r="R29" s="126">
        <f>SUM(D29:J29)</f>
        <v>124551.63613</v>
      </c>
      <c r="S29" s="128"/>
      <c r="T29" s="2"/>
    </row>
    <row r="30" spans="1:23" ht="15.6" x14ac:dyDescent="0.3">
      <c r="A30" s="122"/>
      <c r="B30" s="121" t="s">
        <v>107</v>
      </c>
      <c r="C30" s="125"/>
      <c r="D30" s="203">
        <f>D28*D31</f>
        <v>76294.242180000001</v>
      </c>
      <c r="E30" s="203"/>
      <c r="F30" s="203">
        <f t="shared" ref="F30:J30" si="0">F28*F31</f>
        <v>17700</v>
      </c>
      <c r="G30" s="203"/>
      <c r="H30" s="203">
        <f>H28*H31</f>
        <v>8100</v>
      </c>
      <c r="I30" s="203"/>
      <c r="J30" s="203">
        <f t="shared" si="0"/>
        <v>6300</v>
      </c>
      <c r="K30" s="131"/>
      <c r="L30" s="133"/>
      <c r="M30" s="131"/>
      <c r="N30" s="133"/>
      <c r="O30" s="126"/>
      <c r="P30" s="126"/>
      <c r="Q30" s="127"/>
      <c r="R30" s="204">
        <f>SUM(D30:J30)</f>
        <v>108394.24218</v>
      </c>
      <c r="S30" s="128"/>
      <c r="T30" s="2"/>
    </row>
    <row r="31" spans="1:23" ht="15.6" x14ac:dyDescent="0.3">
      <c r="A31" s="112"/>
      <c r="B31" s="134" t="s">
        <v>103</v>
      </c>
      <c r="C31" s="135"/>
      <c r="D31" s="136">
        <v>0.35013420000000001</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0.42428470000000001</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1.1438800000000001E-2</v>
      </c>
      <c r="E34" s="143"/>
      <c r="F34" s="143">
        <v>1.7438800000000001E-2</v>
      </c>
      <c r="G34" s="143"/>
      <c r="H34" s="143">
        <v>2.09388E-2</v>
      </c>
      <c r="I34" s="143"/>
      <c r="J34" s="143">
        <v>2.44388E-2</v>
      </c>
      <c r="K34" s="143"/>
      <c r="L34" s="143"/>
      <c r="M34" s="142"/>
      <c r="N34" s="143"/>
      <c r="O34" s="123"/>
      <c r="P34" s="123"/>
      <c r="Q34" s="115"/>
      <c r="R34" s="142">
        <f>SUMPRODUCT(D34:J34,D29:J29)/R29</f>
        <v>1.3566833065124538E-2</v>
      </c>
      <c r="S34" s="116"/>
      <c r="T34" s="2"/>
    </row>
    <row r="35" spans="1:21" ht="15.6" x14ac:dyDescent="0.3">
      <c r="A35" s="112"/>
      <c r="B35" s="113" t="s">
        <v>10</v>
      </c>
      <c r="C35" s="144"/>
      <c r="D35" s="143">
        <v>1.17313E-2</v>
      </c>
      <c r="E35" s="143"/>
      <c r="F35" s="143">
        <v>1.7731299999999998E-2</v>
      </c>
      <c r="G35" s="143"/>
      <c r="H35" s="143">
        <v>2.1231300000000002E-2</v>
      </c>
      <c r="I35" s="143"/>
      <c r="J35" s="143">
        <v>2.4731300000000001E-2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0.42073948285988466</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42901</v>
      </c>
      <c r="S45" s="116"/>
      <c r="T45" s="2"/>
    </row>
    <row r="46" spans="1:21" ht="15.6" x14ac:dyDescent="0.3">
      <c r="A46" s="112"/>
      <c r="B46" s="113" t="s">
        <v>99</v>
      </c>
      <c r="C46" s="113"/>
      <c r="D46" s="150"/>
      <c r="E46" s="150"/>
      <c r="F46" s="150"/>
      <c r="G46" s="150"/>
      <c r="H46" s="150"/>
      <c r="I46" s="150"/>
      <c r="J46" s="150"/>
      <c r="K46" s="150"/>
      <c r="L46" s="150"/>
      <c r="M46" s="150"/>
      <c r="N46" s="113">
        <v>91</v>
      </c>
      <c r="O46" s="113"/>
      <c r="P46" s="151">
        <v>42719</v>
      </c>
      <c r="Q46" s="152"/>
      <c r="R46" s="151">
        <v>42808</v>
      </c>
      <c r="S46" s="116"/>
      <c r="T46" s="2"/>
    </row>
    <row r="47" spans="1:21" ht="15.6" x14ac:dyDescent="0.3">
      <c r="A47" s="112"/>
      <c r="B47" s="113" t="s">
        <v>100</v>
      </c>
      <c r="C47" s="113"/>
      <c r="D47" s="113"/>
      <c r="E47" s="113"/>
      <c r="F47" s="113"/>
      <c r="G47" s="113"/>
      <c r="H47" s="113"/>
      <c r="I47" s="113"/>
      <c r="J47" s="113"/>
      <c r="K47" s="113"/>
      <c r="L47" s="113"/>
      <c r="M47" s="113"/>
      <c r="N47" s="113">
        <f>+R47-P47+1</f>
        <v>92</v>
      </c>
      <c r="O47" s="113"/>
      <c r="P47" s="151">
        <v>42809</v>
      </c>
      <c r="Q47" s="152"/>
      <c r="R47" s="151">
        <v>42900</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42887</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269</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124552</v>
      </c>
      <c r="I56" s="155"/>
      <c r="J56" s="156">
        <v>67</v>
      </c>
      <c r="K56" s="155"/>
      <c r="L56" s="155">
        <f>15893+503-67</f>
        <v>16329</v>
      </c>
      <c r="M56" s="155"/>
      <c r="N56" s="155">
        <v>238</v>
      </c>
      <c r="O56" s="155"/>
      <c r="P56" s="155">
        <v>0</v>
      </c>
      <c r="Q56" s="155"/>
      <c r="R56" s="156">
        <f>H56-J56-L56+N56-P56</f>
        <v>108394</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124552</v>
      </c>
      <c r="I59" s="155"/>
      <c r="J59" s="155">
        <f>J56+J57</f>
        <v>67</v>
      </c>
      <c r="K59" s="155"/>
      <c r="L59" s="155">
        <f>SUM(L56:L58)</f>
        <v>16329</v>
      </c>
      <c r="M59" s="155"/>
      <c r="N59" s="155">
        <f>SUM(N56:N58)</f>
        <v>238</v>
      </c>
      <c r="O59" s="155"/>
      <c r="P59" s="155">
        <f>SUM(P56:P58)</f>
        <v>0</v>
      </c>
      <c r="Q59" s="155"/>
      <c r="R59" s="155">
        <f>SUM(R56:R58)</f>
        <v>108394</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0</v>
      </c>
      <c r="I70" s="155"/>
      <c r="J70" s="155"/>
      <c r="K70" s="155"/>
      <c r="L70" s="155"/>
      <c r="M70" s="155"/>
      <c r="N70" s="155">
        <v>0</v>
      </c>
      <c r="O70" s="155"/>
      <c r="P70" s="155"/>
      <c r="Q70" s="155"/>
      <c r="R70" s="155">
        <f>+H70+N70</f>
        <v>0</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124552</v>
      </c>
      <c r="I72" s="155"/>
      <c r="J72" s="155"/>
      <c r="K72" s="155"/>
      <c r="L72" s="155"/>
      <c r="M72" s="155"/>
      <c r="N72" s="155"/>
      <c r="O72" s="155"/>
      <c r="P72" s="155"/>
      <c r="Q72" s="155"/>
      <c r="R72" s="155">
        <f>SUM(R59:R71)</f>
        <v>108394</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+P197</f>
        <v>42886</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0</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v>0</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16396</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1781-503</f>
        <v>1278</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80</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12</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187</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16396</v>
      </c>
      <c r="Q89" s="113"/>
      <c r="R89" s="155">
        <f>SUM(R76:R88)</f>
        <v>1557</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16396</v>
      </c>
      <c r="Q92" s="113"/>
      <c r="R92" s="155">
        <f>R89+R90+R91</f>
        <v>1557</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267</v>
      </c>
      <c r="C96" s="113"/>
      <c r="D96" s="135"/>
      <c r="E96" s="135"/>
      <c r="F96" s="135"/>
      <c r="G96" s="135"/>
      <c r="H96" s="135"/>
      <c r="I96" s="135"/>
      <c r="J96" s="135"/>
      <c r="K96" s="135"/>
      <c r="L96" s="135"/>
      <c r="M96" s="135"/>
      <c r="N96" s="135"/>
      <c r="O96" s="135"/>
      <c r="P96" s="113"/>
      <c r="Q96" s="113"/>
      <c r="R96" s="156">
        <f>-47-13-3</f>
        <v>-63</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-56</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-267</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-78</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-43</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0</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-39</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-47</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-13-157</f>
        <v>-170</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-771</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-P179</f>
        <v>0</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f>-O179</f>
        <v>-238</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-16158</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-16396</v>
      </c>
      <c r="Q119" s="155"/>
      <c r="R119" s="155">
        <f>SUM(R93:R118)</f>
        <v>-1557</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MAY 2017</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3697.6439455</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2552.3560545</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v>0</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0</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0</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0</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+'Feb 17'!R164</f>
        <v>851</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268</v>
      </c>
      <c r="C162" s="113"/>
      <c r="D162" s="113"/>
      <c r="E162" s="113"/>
      <c r="F162" s="113"/>
      <c r="G162" s="113"/>
      <c r="H162" s="113"/>
      <c r="I162" s="113"/>
      <c r="J162" s="113"/>
      <c r="K162" s="113"/>
      <c r="L162" s="113"/>
      <c r="M162" s="113"/>
      <c r="N162" s="113"/>
      <c r="O162" s="113"/>
      <c r="P162" s="113"/>
      <c r="Q162" s="113"/>
      <c r="R162" s="156">
        <v>198</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144</v>
      </c>
      <c r="C163" s="113"/>
      <c r="D163" s="113"/>
      <c r="E163" s="113"/>
      <c r="F163" s="113"/>
      <c r="G163" s="113"/>
      <c r="H163" s="113"/>
      <c r="I163" s="113"/>
      <c r="J163" s="113"/>
      <c r="K163" s="113"/>
      <c r="L163" s="113"/>
      <c r="M163" s="113"/>
      <c r="N163" s="113"/>
      <c r="O163" s="113"/>
      <c r="P163" s="113"/>
      <c r="Q163" s="113"/>
      <c r="R163" s="156">
        <f>R84</f>
        <v>187</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6" x14ac:dyDescent="0.3">
      <c r="A164" s="112"/>
      <c r="B164" s="113" t="s">
        <v>142</v>
      </c>
      <c r="C164" s="113"/>
      <c r="D164" s="113"/>
      <c r="E164" s="113"/>
      <c r="F164" s="113"/>
      <c r="G164" s="113"/>
      <c r="H164" s="113"/>
      <c r="I164" s="113"/>
      <c r="J164" s="113"/>
      <c r="K164" s="113"/>
      <c r="L164" s="113"/>
      <c r="M164" s="113"/>
      <c r="N164" s="113"/>
      <c r="O164" s="113"/>
      <c r="P164" s="113"/>
      <c r="Q164" s="113"/>
      <c r="R164" s="156">
        <f>+R161+R162-R163</f>
        <v>862</v>
      </c>
      <c r="S164" s="116"/>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2" thickBot="1" x14ac:dyDescent="0.35">
      <c r="A165" s="28"/>
      <c r="B165" s="43"/>
      <c r="C165" s="43"/>
      <c r="D165" s="43"/>
      <c r="E165" s="43"/>
      <c r="F165" s="43"/>
      <c r="G165" s="43"/>
      <c r="H165" s="43"/>
      <c r="I165" s="43"/>
      <c r="J165" s="43"/>
      <c r="K165" s="43"/>
      <c r="L165" s="43"/>
      <c r="M165" s="43"/>
      <c r="N165" s="43"/>
      <c r="O165" s="43"/>
      <c r="P165" s="43"/>
      <c r="Q165" s="43"/>
      <c r="R165" s="162"/>
      <c r="S165" s="218"/>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6" x14ac:dyDescent="0.3">
      <c r="A166" s="10"/>
      <c r="B166" s="11"/>
      <c r="C166" s="11"/>
      <c r="D166" s="11"/>
      <c r="E166" s="11"/>
      <c r="F166" s="11"/>
      <c r="G166" s="11"/>
      <c r="H166" s="11"/>
      <c r="I166" s="11"/>
      <c r="J166" s="11"/>
      <c r="K166" s="11"/>
      <c r="L166" s="11"/>
      <c r="M166" s="11"/>
      <c r="N166" s="11"/>
      <c r="O166" s="11"/>
      <c r="P166" s="11"/>
      <c r="Q166" s="11"/>
      <c r="R166" s="32"/>
      <c r="S166" s="217"/>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6" x14ac:dyDescent="0.3">
      <c r="A167" s="12"/>
      <c r="B167" s="41" t="s">
        <v>44</v>
      </c>
      <c r="C167" s="14"/>
      <c r="D167" s="14"/>
      <c r="E167" s="14"/>
      <c r="F167" s="14"/>
      <c r="G167" s="14"/>
      <c r="H167" s="14"/>
      <c r="I167" s="14"/>
      <c r="J167" s="14"/>
      <c r="K167" s="14"/>
      <c r="L167" s="14"/>
      <c r="M167" s="14"/>
      <c r="N167" s="14"/>
      <c r="O167" s="14"/>
      <c r="P167" s="14"/>
      <c r="Q167" s="14"/>
      <c r="R167" s="33"/>
      <c r="S167" s="218"/>
      <c r="T167" s="2"/>
    </row>
    <row r="168" spans="1:252" ht="15.6" x14ac:dyDescent="0.3">
      <c r="A168" s="12"/>
      <c r="B168" s="22"/>
      <c r="C168" s="14"/>
      <c r="D168" s="14"/>
      <c r="E168" s="14"/>
      <c r="F168" s="14"/>
      <c r="G168" s="14"/>
      <c r="H168" s="14"/>
      <c r="I168" s="14"/>
      <c r="J168" s="14"/>
      <c r="K168" s="14"/>
      <c r="L168" s="14"/>
      <c r="M168" s="14"/>
      <c r="N168" s="14"/>
      <c r="O168" s="14"/>
      <c r="P168" s="14"/>
      <c r="Q168" s="14"/>
      <c r="R168" s="33"/>
      <c r="S168" s="218"/>
      <c r="T168" s="2"/>
    </row>
    <row r="169" spans="1:252" ht="15.6" x14ac:dyDescent="0.3">
      <c r="A169" s="112"/>
      <c r="B169" s="113" t="s">
        <v>177</v>
      </c>
      <c r="C169" s="113"/>
      <c r="D169" s="113"/>
      <c r="E169" s="113"/>
      <c r="F169" s="113"/>
      <c r="G169" s="113"/>
      <c r="H169" s="113"/>
      <c r="I169" s="113"/>
      <c r="J169" s="113"/>
      <c r="K169" s="113"/>
      <c r="L169" s="113"/>
      <c r="M169" s="113"/>
      <c r="N169" s="113"/>
      <c r="O169" s="113"/>
      <c r="P169" s="113"/>
      <c r="Q169" s="113"/>
      <c r="R169" s="156">
        <f>+R59</f>
        <v>108394</v>
      </c>
      <c r="S169" s="116"/>
      <c r="T169" s="2"/>
    </row>
    <row r="170" spans="1:252" ht="15.6" x14ac:dyDescent="0.3">
      <c r="A170" s="112"/>
      <c r="B170" s="113" t="s">
        <v>178</v>
      </c>
      <c r="C170" s="113"/>
      <c r="D170" s="113"/>
      <c r="E170" s="113"/>
      <c r="F170" s="113"/>
      <c r="G170" s="113"/>
      <c r="H170" s="113"/>
      <c r="I170" s="113"/>
      <c r="J170" s="113"/>
      <c r="K170" s="113"/>
      <c r="L170" s="113"/>
      <c r="M170" s="113"/>
      <c r="N170" s="113"/>
      <c r="O170" s="113"/>
      <c r="P170" s="113"/>
      <c r="Q170" s="113"/>
      <c r="R170" s="156">
        <f>+R69</f>
        <v>0</v>
      </c>
      <c r="S170" s="116"/>
      <c r="T170" s="2"/>
    </row>
    <row r="171" spans="1:252" ht="15.6" x14ac:dyDescent="0.3">
      <c r="A171" s="112"/>
      <c r="B171" s="113" t="s">
        <v>246</v>
      </c>
      <c r="C171" s="113"/>
      <c r="D171" s="113"/>
      <c r="E171" s="113"/>
      <c r="F171" s="113"/>
      <c r="G171" s="113"/>
      <c r="H171" s="113"/>
      <c r="I171" s="113"/>
      <c r="J171" s="113"/>
      <c r="K171" s="113"/>
      <c r="L171" s="113"/>
      <c r="M171" s="113"/>
      <c r="N171" s="113"/>
      <c r="O171" s="113"/>
      <c r="P171" s="113"/>
      <c r="Q171" s="113"/>
      <c r="R171" s="156">
        <f>+R70</f>
        <v>0</v>
      </c>
      <c r="S171" s="116"/>
      <c r="T171" s="2"/>
    </row>
    <row r="172" spans="1:252" ht="15.6" x14ac:dyDescent="0.3">
      <c r="A172" s="112"/>
      <c r="B172" s="113" t="s">
        <v>126</v>
      </c>
      <c r="C172" s="113"/>
      <c r="D172" s="113"/>
      <c r="E172" s="113"/>
      <c r="F172" s="113"/>
      <c r="G172" s="113"/>
      <c r="H172" s="113"/>
      <c r="I172" s="113"/>
      <c r="J172" s="113"/>
      <c r="K172" s="113"/>
      <c r="L172" s="113"/>
      <c r="M172" s="113"/>
      <c r="N172" s="113"/>
      <c r="O172" s="113"/>
      <c r="P172" s="113"/>
      <c r="Q172" s="113"/>
      <c r="R172" s="156">
        <f>+R169+R170+R171</f>
        <v>108394</v>
      </c>
      <c r="S172" s="116"/>
      <c r="T172" s="2"/>
    </row>
    <row r="173" spans="1:252" ht="15.6" x14ac:dyDescent="0.3">
      <c r="A173" s="112"/>
      <c r="B173" s="113" t="s">
        <v>45</v>
      </c>
      <c r="C173" s="113"/>
      <c r="D173" s="113"/>
      <c r="E173" s="113"/>
      <c r="F173" s="113"/>
      <c r="G173" s="113"/>
      <c r="H173" s="113"/>
      <c r="I173" s="113"/>
      <c r="J173" s="113"/>
      <c r="K173" s="113"/>
      <c r="L173" s="113"/>
      <c r="M173" s="113"/>
      <c r="N173" s="113"/>
      <c r="O173" s="113"/>
      <c r="P173" s="113"/>
      <c r="Q173" s="113"/>
      <c r="R173" s="156">
        <f>R72</f>
        <v>108394</v>
      </c>
      <c r="S173" s="116"/>
      <c r="T173" s="2"/>
    </row>
    <row r="174" spans="1:252" ht="16.2" thickBot="1" x14ac:dyDescent="0.35">
      <c r="A174" s="12"/>
      <c r="B174" s="43"/>
      <c r="C174" s="43"/>
      <c r="D174" s="43"/>
      <c r="E174" s="43"/>
      <c r="F174" s="43"/>
      <c r="G174" s="43"/>
      <c r="H174" s="43"/>
      <c r="I174" s="43"/>
      <c r="J174" s="43"/>
      <c r="K174" s="43"/>
      <c r="L174" s="43"/>
      <c r="M174" s="43"/>
      <c r="N174" s="43"/>
      <c r="O174" s="43"/>
      <c r="P174" s="43"/>
      <c r="Q174" s="43"/>
      <c r="R174" s="162"/>
      <c r="S174" s="218"/>
      <c r="T174" s="2"/>
    </row>
    <row r="175" spans="1:252" ht="15.6" x14ac:dyDescent="0.3">
      <c r="A175" s="10"/>
      <c r="B175" s="11"/>
      <c r="C175" s="11"/>
      <c r="D175" s="11"/>
      <c r="E175" s="11"/>
      <c r="F175" s="11"/>
      <c r="G175" s="11"/>
      <c r="H175" s="11"/>
      <c r="I175" s="11"/>
      <c r="J175" s="11"/>
      <c r="K175" s="11"/>
      <c r="L175" s="11"/>
      <c r="M175" s="11"/>
      <c r="N175" s="11"/>
      <c r="O175" s="11"/>
      <c r="P175" s="11"/>
      <c r="Q175" s="11"/>
      <c r="R175" s="32"/>
      <c r="S175" s="217"/>
      <c r="T175" s="2"/>
    </row>
    <row r="176" spans="1:252" ht="15.6" x14ac:dyDescent="0.3">
      <c r="A176" s="12"/>
      <c r="B176" s="41" t="s">
        <v>46</v>
      </c>
      <c r="C176" s="37"/>
      <c r="D176" s="45"/>
      <c r="E176" s="45"/>
      <c r="F176" s="45"/>
      <c r="G176" s="45"/>
      <c r="H176" s="45"/>
      <c r="I176" s="45"/>
      <c r="J176" s="45"/>
      <c r="K176" s="45"/>
      <c r="L176" s="45"/>
      <c r="M176" s="45"/>
      <c r="N176" s="45"/>
      <c r="O176" s="45" t="s">
        <v>82</v>
      </c>
      <c r="P176" s="45" t="s">
        <v>173</v>
      </c>
      <c r="Q176" s="16"/>
      <c r="R176" s="46" t="s">
        <v>94</v>
      </c>
      <c r="S176" s="225"/>
      <c r="T176" s="2"/>
    </row>
    <row r="177" spans="1:20" ht="15.6" x14ac:dyDescent="0.3">
      <c r="A177" s="112"/>
      <c r="B177" s="113" t="s">
        <v>47</v>
      </c>
      <c r="C177" s="113"/>
      <c r="D177" s="113"/>
      <c r="E177" s="113"/>
      <c r="F177" s="113"/>
      <c r="G177" s="113"/>
      <c r="H177" s="113"/>
      <c r="I177" s="113"/>
      <c r="J177" s="113"/>
      <c r="K177" s="113"/>
      <c r="L177" s="113"/>
      <c r="M177" s="113"/>
      <c r="N177" s="113"/>
      <c r="O177" s="156">
        <f>+R28*0.05</f>
        <v>12500</v>
      </c>
      <c r="P177" s="145"/>
      <c r="Q177" s="113"/>
      <c r="R177" s="156"/>
      <c r="S177" s="116"/>
      <c r="T177" s="2"/>
    </row>
    <row r="178" spans="1:20" ht="15.6" x14ac:dyDescent="0.3">
      <c r="A178" s="112"/>
      <c r="B178" s="113" t="s">
        <v>48</v>
      </c>
      <c r="C178" s="113"/>
      <c r="D178" s="113"/>
      <c r="E178" s="113"/>
      <c r="F178" s="113"/>
      <c r="G178" s="113"/>
      <c r="H178" s="113"/>
      <c r="I178" s="113"/>
      <c r="J178" s="113"/>
      <c r="K178" s="113"/>
      <c r="L178" s="113"/>
      <c r="M178" s="113"/>
      <c r="N178" s="113"/>
      <c r="O178" s="156">
        <f>+'Feb 17'!O180</f>
        <v>831</v>
      </c>
      <c r="P178" s="156">
        <f>+'Feb 17'!P180</f>
        <v>517</v>
      </c>
      <c r="Q178" s="113"/>
      <c r="R178" s="156">
        <f>O178+P178</f>
        <v>1348</v>
      </c>
      <c r="S178" s="116"/>
      <c r="T178" s="2"/>
    </row>
    <row r="179" spans="1:20" ht="15.6" x14ac:dyDescent="0.3">
      <c r="A179" s="112"/>
      <c r="B179" s="113" t="s">
        <v>49</v>
      </c>
      <c r="C179" s="113"/>
      <c r="D179" s="113"/>
      <c r="E179" s="113"/>
      <c r="F179" s="113"/>
      <c r="G179" s="113"/>
      <c r="H179" s="113"/>
      <c r="I179" s="113"/>
      <c r="J179" s="113"/>
      <c r="K179" s="113"/>
      <c r="L179" s="113"/>
      <c r="M179" s="113"/>
      <c r="N179" s="113"/>
      <c r="O179" s="155">
        <v>238</v>
      </c>
      <c r="P179" s="155">
        <v>0</v>
      </c>
      <c r="Q179" s="113"/>
      <c r="R179" s="156">
        <f>O179+P179</f>
        <v>238</v>
      </c>
      <c r="S179" s="116"/>
      <c r="T179" s="2"/>
    </row>
    <row r="180" spans="1:20" ht="15.6" x14ac:dyDescent="0.3">
      <c r="A180" s="112"/>
      <c r="B180" s="113" t="s">
        <v>50</v>
      </c>
      <c r="C180" s="113"/>
      <c r="D180" s="113"/>
      <c r="E180" s="113"/>
      <c r="F180" s="113"/>
      <c r="G180" s="113"/>
      <c r="H180" s="113"/>
      <c r="I180" s="113"/>
      <c r="J180" s="113"/>
      <c r="K180" s="113"/>
      <c r="L180" s="113"/>
      <c r="M180" s="113"/>
      <c r="N180" s="113"/>
      <c r="O180" s="156">
        <f>O178+O179</f>
        <v>1069</v>
      </c>
      <c r="P180" s="156">
        <f>P179+P178</f>
        <v>517</v>
      </c>
      <c r="Q180" s="113"/>
      <c r="R180" s="156">
        <f>O180+P180</f>
        <v>1586</v>
      </c>
      <c r="S180" s="116"/>
      <c r="T180" s="2"/>
    </row>
    <row r="181" spans="1:20" ht="15.6" x14ac:dyDescent="0.3">
      <c r="A181" s="112"/>
      <c r="B181" s="113" t="s">
        <v>51</v>
      </c>
      <c r="C181" s="113"/>
      <c r="D181" s="113"/>
      <c r="E181" s="113"/>
      <c r="F181" s="113"/>
      <c r="G181" s="113"/>
      <c r="H181" s="113"/>
      <c r="I181" s="113"/>
      <c r="J181" s="113"/>
      <c r="K181" s="113"/>
      <c r="L181" s="113"/>
      <c r="M181" s="113"/>
      <c r="N181" s="113"/>
      <c r="O181" s="156">
        <f>O177-O180-P180</f>
        <v>10914</v>
      </c>
      <c r="P181" s="145"/>
      <c r="Q181" s="113"/>
      <c r="R181" s="156"/>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8"/>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7"/>
      <c r="T183" s="2"/>
    </row>
    <row r="184" spans="1:20" ht="15.6" x14ac:dyDescent="0.3">
      <c r="A184" s="12"/>
      <c r="B184" s="41" t="s">
        <v>52</v>
      </c>
      <c r="C184" s="14"/>
      <c r="D184" s="14"/>
      <c r="E184" s="14"/>
      <c r="F184" s="14"/>
      <c r="G184" s="14"/>
      <c r="H184" s="14"/>
      <c r="I184" s="14"/>
      <c r="J184" s="14"/>
      <c r="K184" s="14"/>
      <c r="L184" s="14"/>
      <c r="M184" s="14"/>
      <c r="N184" s="14"/>
      <c r="O184" s="14"/>
      <c r="P184" s="14"/>
      <c r="Q184" s="14"/>
      <c r="R184" s="47"/>
      <c r="S184" s="218"/>
      <c r="T184" s="2"/>
    </row>
    <row r="185" spans="1:20" ht="15.6" x14ac:dyDescent="0.3">
      <c r="A185" s="112"/>
      <c r="B185" s="113" t="s">
        <v>53</v>
      </c>
      <c r="C185" s="113"/>
      <c r="D185" s="113"/>
      <c r="E185" s="113"/>
      <c r="F185" s="113"/>
      <c r="G185" s="113"/>
      <c r="H185" s="113"/>
      <c r="I185" s="113"/>
      <c r="J185" s="113"/>
      <c r="K185" s="113"/>
      <c r="L185" s="113"/>
      <c r="M185" s="113"/>
      <c r="N185" s="113"/>
      <c r="O185" s="113"/>
      <c r="P185" s="113"/>
      <c r="Q185" s="113"/>
      <c r="R185" s="161">
        <f>(R92+R94+R95+R96+R97)/-(R98)</f>
        <v>5.3745318352059925</v>
      </c>
      <c r="S185" s="116" t="s">
        <v>95</v>
      </c>
      <c r="T185" s="2"/>
    </row>
    <row r="186" spans="1:20" ht="15.6" x14ac:dyDescent="0.3">
      <c r="A186" s="112"/>
      <c r="B186" s="113" t="s">
        <v>54</v>
      </c>
      <c r="C186" s="113"/>
      <c r="D186" s="113"/>
      <c r="E186" s="113"/>
      <c r="F186" s="113"/>
      <c r="G186" s="113"/>
      <c r="H186" s="113"/>
      <c r="I186" s="113"/>
      <c r="J186" s="113"/>
      <c r="K186" s="113"/>
      <c r="L186" s="113"/>
      <c r="M186" s="113"/>
      <c r="N186" s="113"/>
      <c r="O186" s="113"/>
      <c r="P186" s="113"/>
      <c r="Q186" s="113"/>
      <c r="R186" s="164">
        <v>3.72</v>
      </c>
      <c r="S186" s="116" t="s">
        <v>95</v>
      </c>
      <c r="T186" s="2"/>
    </row>
    <row r="187" spans="1:20" ht="15.6" x14ac:dyDescent="0.3">
      <c r="A187" s="112"/>
      <c r="B187" s="113" t="s">
        <v>192</v>
      </c>
      <c r="C187" s="113"/>
      <c r="D187" s="113"/>
      <c r="E187" s="113"/>
      <c r="F187" s="113"/>
      <c r="G187" s="113"/>
      <c r="H187" s="113"/>
      <c r="I187" s="113"/>
      <c r="J187" s="113"/>
      <c r="K187" s="113"/>
      <c r="L187" s="113"/>
      <c r="M187" s="113"/>
      <c r="N187" s="113"/>
      <c r="O187" s="113"/>
      <c r="P187" s="113"/>
      <c r="Q187" s="113"/>
      <c r="R187" s="161">
        <f>(R92+R94+R95+R96+R97+R98)/-(R99)</f>
        <v>14.974358974358974</v>
      </c>
      <c r="S187" s="116" t="s">
        <v>95</v>
      </c>
      <c r="T187" s="2"/>
    </row>
    <row r="188" spans="1:20" ht="15.6" x14ac:dyDescent="0.3">
      <c r="A188" s="112"/>
      <c r="B188" s="113" t="s">
        <v>193</v>
      </c>
      <c r="C188" s="113"/>
      <c r="D188" s="113"/>
      <c r="E188" s="113"/>
      <c r="F188" s="113"/>
      <c r="G188" s="113"/>
      <c r="H188" s="113"/>
      <c r="I188" s="113"/>
      <c r="J188" s="113"/>
      <c r="K188" s="113"/>
      <c r="L188" s="113"/>
      <c r="M188" s="113"/>
      <c r="N188" s="113"/>
      <c r="O188" s="113"/>
      <c r="P188" s="113"/>
      <c r="Q188" s="113"/>
      <c r="R188" s="164">
        <v>19.739999999999998</v>
      </c>
      <c r="S188" s="116" t="s">
        <v>95</v>
      </c>
      <c r="T188" s="2"/>
    </row>
    <row r="189" spans="1:20" ht="15.6" x14ac:dyDescent="0.3">
      <c r="A189" s="112"/>
      <c r="B189" s="113" t="s">
        <v>194</v>
      </c>
      <c r="C189" s="113"/>
      <c r="D189" s="113"/>
      <c r="E189" s="113"/>
      <c r="F189" s="113"/>
      <c r="G189" s="113"/>
      <c r="H189" s="113"/>
      <c r="I189" s="113"/>
      <c r="J189" s="113"/>
      <c r="K189" s="113"/>
      <c r="L189" s="113"/>
      <c r="M189" s="113"/>
      <c r="N189" s="113"/>
      <c r="O189" s="113"/>
      <c r="P189" s="113"/>
      <c r="Q189" s="113"/>
      <c r="R189" s="161">
        <f>(R92+R94+R95+R96+R97+R98+R99)/-(R100)</f>
        <v>25.348837209302324</v>
      </c>
      <c r="S189" s="116" t="s">
        <v>95</v>
      </c>
      <c r="T189" s="2"/>
    </row>
    <row r="190" spans="1:20" ht="15.6" x14ac:dyDescent="0.3">
      <c r="A190" s="112"/>
      <c r="B190" s="113" t="s">
        <v>195</v>
      </c>
      <c r="C190" s="113"/>
      <c r="D190" s="113"/>
      <c r="E190" s="113"/>
      <c r="F190" s="113"/>
      <c r="G190" s="113"/>
      <c r="H190" s="113"/>
      <c r="I190" s="113"/>
      <c r="J190" s="113"/>
      <c r="K190" s="113"/>
      <c r="L190" s="113"/>
      <c r="M190" s="113"/>
      <c r="N190" s="113"/>
      <c r="O190" s="113"/>
      <c r="P190" s="113"/>
      <c r="Q190" s="113"/>
      <c r="R190" s="164">
        <v>34.770000000000003</v>
      </c>
      <c r="S190" s="116" t="s">
        <v>95</v>
      </c>
      <c r="T190" s="2"/>
    </row>
    <row r="191" spans="1:20" ht="15.6" x14ac:dyDescent="0.3">
      <c r="A191" s="112"/>
      <c r="B191" s="113" t="s">
        <v>196</v>
      </c>
      <c r="C191" s="113"/>
      <c r="D191" s="113"/>
      <c r="E191" s="113"/>
      <c r="F191" s="113"/>
      <c r="G191" s="113"/>
      <c r="H191" s="113"/>
      <c r="I191" s="113"/>
      <c r="J191" s="113"/>
      <c r="K191" s="113"/>
      <c r="L191" s="113"/>
      <c r="M191" s="113"/>
      <c r="N191" s="113"/>
      <c r="O191" s="113"/>
      <c r="P191" s="113"/>
      <c r="Q191" s="113"/>
      <c r="R191" s="161">
        <f>(R92+R94+R95+R96+R97+R98+R99+R100+R101+R102+R103+R104+R105)/-(R106)</f>
        <v>26.333333333333332</v>
      </c>
      <c r="S191" s="116" t="s">
        <v>95</v>
      </c>
      <c r="T191" s="2"/>
    </row>
    <row r="192" spans="1:20" ht="15.6" x14ac:dyDescent="0.3">
      <c r="A192" s="112"/>
      <c r="B192" s="113" t="s">
        <v>197</v>
      </c>
      <c r="C192" s="113"/>
      <c r="D192" s="113"/>
      <c r="E192" s="113"/>
      <c r="F192" s="113"/>
      <c r="G192" s="113"/>
      <c r="H192" s="113"/>
      <c r="I192" s="113"/>
      <c r="J192" s="113"/>
      <c r="K192" s="113"/>
      <c r="L192" s="113"/>
      <c r="M192" s="113"/>
      <c r="N192" s="113"/>
      <c r="O192" s="113"/>
      <c r="P192" s="113"/>
      <c r="Q192" s="113"/>
      <c r="R192" s="164">
        <v>37.159999999999997</v>
      </c>
      <c r="S192" s="116" t="s">
        <v>95</v>
      </c>
      <c r="T192" s="2"/>
    </row>
    <row r="193" spans="1:20" ht="15.6" x14ac:dyDescent="0.3">
      <c r="A193" s="112"/>
      <c r="B193" s="113"/>
      <c r="C193" s="113"/>
      <c r="D193" s="113"/>
      <c r="E193" s="113"/>
      <c r="F193" s="113"/>
      <c r="G193" s="113"/>
      <c r="H193" s="113"/>
      <c r="I193" s="113"/>
      <c r="J193" s="113"/>
      <c r="K193" s="113"/>
      <c r="L193" s="113"/>
      <c r="M193" s="113"/>
      <c r="N193" s="113"/>
      <c r="O193" s="113"/>
      <c r="P193" s="113"/>
      <c r="Q193" s="113"/>
      <c r="R193" s="113"/>
      <c r="S193" s="116"/>
      <c r="T193" s="2"/>
    </row>
    <row r="194" spans="1:20" ht="15.6" x14ac:dyDescent="0.3">
      <c r="A194" s="12"/>
      <c r="B194" s="163"/>
      <c r="C194" s="163"/>
      <c r="D194" s="163"/>
      <c r="E194" s="163"/>
      <c r="F194" s="163"/>
      <c r="G194" s="163"/>
      <c r="H194" s="163"/>
      <c r="I194" s="163"/>
      <c r="J194" s="163"/>
      <c r="K194" s="163"/>
      <c r="L194" s="163"/>
      <c r="M194" s="163"/>
      <c r="N194" s="163"/>
      <c r="O194" s="163"/>
      <c r="P194" s="163"/>
      <c r="Q194" s="163"/>
      <c r="R194" s="163"/>
      <c r="S194" s="219"/>
      <c r="T194" s="2"/>
    </row>
    <row r="195" spans="1:20" ht="15.6" x14ac:dyDescent="0.3">
      <c r="A195" s="12"/>
      <c r="B195" s="84"/>
      <c r="C195" s="84"/>
      <c r="D195" s="84"/>
      <c r="E195" s="84"/>
      <c r="F195" s="84"/>
      <c r="G195" s="84"/>
      <c r="H195" s="84"/>
      <c r="I195" s="84"/>
      <c r="J195" s="84"/>
      <c r="K195" s="84"/>
      <c r="L195" s="84"/>
      <c r="M195" s="84"/>
      <c r="N195" s="84"/>
      <c r="O195" s="84"/>
      <c r="P195" s="84"/>
      <c r="Q195" s="84"/>
      <c r="R195" s="84"/>
      <c r="S195" s="219"/>
      <c r="T195" s="2"/>
    </row>
    <row r="196" spans="1:20" ht="18" thickBot="1" x14ac:dyDescent="0.35">
      <c r="A196" s="28"/>
      <c r="B196" s="97" t="str">
        <f>B123</f>
        <v>PM21 INVESTOR REPORT QUARTER ENDING MAY 2017</v>
      </c>
      <c r="C196" s="98"/>
      <c r="D196" s="98"/>
      <c r="E196" s="98"/>
      <c r="F196" s="98"/>
      <c r="G196" s="98"/>
      <c r="H196" s="98"/>
      <c r="I196" s="98"/>
      <c r="J196" s="98"/>
      <c r="K196" s="98"/>
      <c r="L196" s="98"/>
      <c r="M196" s="98"/>
      <c r="N196" s="98"/>
      <c r="O196" s="98"/>
      <c r="P196" s="98"/>
      <c r="Q196" s="98"/>
      <c r="R196" s="98"/>
      <c r="S196" s="99"/>
      <c r="T196" s="2"/>
    </row>
    <row r="197" spans="1:20" ht="15.6" x14ac:dyDescent="0.3">
      <c r="A197" s="65"/>
      <c r="B197" s="66" t="s">
        <v>55</v>
      </c>
      <c r="C197" s="69"/>
      <c r="D197" s="70"/>
      <c r="E197" s="70"/>
      <c r="F197" s="70"/>
      <c r="G197" s="70"/>
      <c r="H197" s="70"/>
      <c r="I197" s="70"/>
      <c r="J197" s="70"/>
      <c r="K197" s="70"/>
      <c r="L197" s="70"/>
      <c r="M197" s="70"/>
      <c r="N197" s="70"/>
      <c r="O197" s="70"/>
      <c r="P197" s="70">
        <v>42886</v>
      </c>
      <c r="Q197" s="67"/>
      <c r="R197" s="67"/>
      <c r="S197" s="224"/>
      <c r="T197" s="2"/>
    </row>
    <row r="198" spans="1:20" ht="15.6" x14ac:dyDescent="0.3">
      <c r="A198" s="48"/>
      <c r="B198" s="49"/>
      <c r="C198" s="50"/>
      <c r="D198" s="51"/>
      <c r="E198" s="51"/>
      <c r="F198" s="51"/>
      <c r="G198" s="51"/>
      <c r="H198" s="51"/>
      <c r="I198" s="51"/>
      <c r="J198" s="51"/>
      <c r="K198" s="51"/>
      <c r="L198" s="51"/>
      <c r="M198" s="51"/>
      <c r="N198" s="51"/>
      <c r="O198" s="51"/>
      <c r="P198" s="51"/>
      <c r="Q198" s="14"/>
      <c r="R198" s="14"/>
      <c r="S198" s="218"/>
      <c r="T198" s="2"/>
    </row>
    <row r="199" spans="1:20" ht="15.6" x14ac:dyDescent="0.3">
      <c r="A199" s="167"/>
      <c r="B199" s="113" t="s">
        <v>56</v>
      </c>
      <c r="C199" s="168"/>
      <c r="D199" s="148"/>
      <c r="E199" s="148"/>
      <c r="F199" s="148"/>
      <c r="G199" s="148"/>
      <c r="H199" s="148"/>
      <c r="I199" s="148"/>
      <c r="J199" s="148"/>
      <c r="K199" s="148"/>
      <c r="L199" s="148"/>
      <c r="M199" s="148"/>
      <c r="N199" s="148"/>
      <c r="O199" s="148"/>
      <c r="P199" s="142">
        <v>4.1349999999999998E-2</v>
      </c>
      <c r="Q199" s="113"/>
      <c r="R199" s="113"/>
      <c r="S199" s="116"/>
      <c r="T199" s="2"/>
    </row>
    <row r="200" spans="1:20" ht="15.6" x14ac:dyDescent="0.3">
      <c r="A200" s="167"/>
      <c r="B200" s="113" t="s">
        <v>161</v>
      </c>
      <c r="C200" s="168"/>
      <c r="D200" s="148"/>
      <c r="E200" s="148"/>
      <c r="F200" s="148"/>
      <c r="G200" s="148"/>
      <c r="H200" s="148"/>
      <c r="I200" s="148"/>
      <c r="J200" s="148"/>
      <c r="K200" s="148"/>
      <c r="L200" s="148"/>
      <c r="M200" s="148"/>
      <c r="N200" s="148"/>
      <c r="O200" s="148"/>
      <c r="P200" s="142">
        <v>1.50706E-2</v>
      </c>
      <c r="Q200" s="113"/>
      <c r="R200" s="113"/>
      <c r="S200" s="116"/>
      <c r="T200" s="2"/>
    </row>
    <row r="201" spans="1:20" ht="15.6" x14ac:dyDescent="0.3">
      <c r="A201" s="167"/>
      <c r="B201" s="113" t="s">
        <v>57</v>
      </c>
      <c r="C201" s="168"/>
      <c r="D201" s="148"/>
      <c r="E201" s="148"/>
      <c r="F201" s="148"/>
      <c r="G201" s="148"/>
      <c r="H201" s="148"/>
      <c r="I201" s="148"/>
      <c r="J201" s="148"/>
      <c r="K201" s="148"/>
      <c r="L201" s="148"/>
      <c r="M201" s="148"/>
      <c r="N201" s="148"/>
      <c r="O201" s="148"/>
      <c r="P201" s="211">
        <f>P199-P200</f>
        <v>2.6279399999999998E-2</v>
      </c>
      <c r="Q201" s="113"/>
      <c r="R201" s="113"/>
      <c r="S201" s="116"/>
      <c r="T201" s="2"/>
    </row>
    <row r="202" spans="1:20" ht="15.6" x14ac:dyDescent="0.3">
      <c r="A202" s="167"/>
      <c r="B202" s="113" t="s">
        <v>164</v>
      </c>
      <c r="C202" s="168"/>
      <c r="D202" s="148"/>
      <c r="E202" s="148"/>
      <c r="F202" s="148"/>
      <c r="G202" s="148"/>
      <c r="H202" s="148"/>
      <c r="I202" s="148"/>
      <c r="J202" s="148"/>
      <c r="K202" s="148"/>
      <c r="L202" s="148"/>
      <c r="M202" s="148"/>
      <c r="N202" s="148"/>
      <c r="O202" s="148"/>
      <c r="P202" s="211">
        <v>4.34388E-2</v>
      </c>
      <c r="Q202" s="113"/>
      <c r="R202" s="113"/>
      <c r="S202" s="116"/>
      <c r="T202" s="2"/>
    </row>
    <row r="203" spans="1:20" ht="15.6" x14ac:dyDescent="0.3">
      <c r="A203" s="167"/>
      <c r="B203" s="113" t="s">
        <v>58</v>
      </c>
      <c r="C203" s="168"/>
      <c r="D203" s="148"/>
      <c r="E203" s="148"/>
      <c r="F203" s="148"/>
      <c r="G203" s="148"/>
      <c r="H203" s="148"/>
      <c r="I203" s="148"/>
      <c r="J203" s="148"/>
      <c r="K203" s="148"/>
      <c r="L203" s="148"/>
      <c r="M203" s="148"/>
      <c r="N203" s="148"/>
      <c r="O203" s="148"/>
      <c r="P203" s="209">
        <v>4.7910000000000001E-2</v>
      </c>
      <c r="Q203" s="113"/>
      <c r="R203" s="113"/>
      <c r="S203" s="116"/>
      <c r="T203" s="2"/>
    </row>
    <row r="204" spans="1:20" ht="15.6" x14ac:dyDescent="0.3">
      <c r="A204" s="167"/>
      <c r="B204" s="113" t="s">
        <v>162</v>
      </c>
      <c r="C204" s="168"/>
      <c r="D204" s="148"/>
      <c r="E204" s="148"/>
      <c r="F204" s="148"/>
      <c r="G204" s="148"/>
      <c r="H204" s="148"/>
      <c r="I204" s="148"/>
      <c r="J204" s="148"/>
      <c r="K204" s="148"/>
      <c r="L204" s="148"/>
      <c r="M204" s="148"/>
      <c r="N204" s="148"/>
      <c r="O204" s="148"/>
      <c r="P204" s="142">
        <f>R34</f>
        <v>1.3566833065124538E-2</v>
      </c>
      <c r="Q204" s="113"/>
      <c r="R204" s="113"/>
      <c r="S204" s="116"/>
      <c r="T204" s="2"/>
    </row>
    <row r="205" spans="1:20" ht="15.6" x14ac:dyDescent="0.3">
      <c r="A205" s="167"/>
      <c r="B205" s="113" t="s">
        <v>59</v>
      </c>
      <c r="C205" s="168"/>
      <c r="D205" s="148"/>
      <c r="E205" s="148"/>
      <c r="F205" s="148"/>
      <c r="G205" s="148"/>
      <c r="H205" s="148"/>
      <c r="I205" s="148"/>
      <c r="J205" s="148"/>
      <c r="K205" s="148"/>
      <c r="L205" s="148"/>
      <c r="M205" s="148"/>
      <c r="N205" s="148"/>
      <c r="O205" s="148"/>
      <c r="P205" s="142">
        <f>P203-P204</f>
        <v>3.4343166934875463E-2</v>
      </c>
      <c r="Q205" s="113"/>
      <c r="R205" s="113"/>
      <c r="S205" s="116"/>
      <c r="T205" s="2"/>
    </row>
    <row r="206" spans="1:20" ht="15.6" x14ac:dyDescent="0.3">
      <c r="A206" s="167"/>
      <c r="B206" s="113" t="s">
        <v>139</v>
      </c>
      <c r="C206" s="168"/>
      <c r="D206" s="148"/>
      <c r="E206" s="148"/>
      <c r="F206" s="148"/>
      <c r="G206" s="148"/>
      <c r="H206" s="148"/>
      <c r="I206" s="148"/>
      <c r="J206" s="148"/>
      <c r="K206" s="148"/>
      <c r="L206" s="148"/>
      <c r="M206" s="148"/>
      <c r="N206" s="148"/>
      <c r="O206" s="148"/>
      <c r="P206" s="142">
        <f>(+R92+R94)/H72</f>
        <v>1.2500802877513007E-2</v>
      </c>
      <c r="Q206" s="113"/>
      <c r="R206" s="113"/>
      <c r="S206" s="116"/>
      <c r="T206" s="2"/>
    </row>
    <row r="207" spans="1:20" ht="15.6" x14ac:dyDescent="0.3">
      <c r="A207" s="167"/>
      <c r="B207" s="113" t="s">
        <v>132</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198</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199</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200</v>
      </c>
      <c r="C210" s="168"/>
      <c r="D210" s="148"/>
      <c r="E210" s="148"/>
      <c r="F210" s="148"/>
      <c r="G210" s="148"/>
      <c r="H210" s="148"/>
      <c r="I210" s="148"/>
      <c r="J210" s="148"/>
      <c r="K210" s="148"/>
      <c r="L210" s="148"/>
      <c r="M210" s="148"/>
      <c r="N210" s="148"/>
      <c r="O210" s="148"/>
      <c r="P210" s="169">
        <v>15507</v>
      </c>
      <c r="Q210" s="113"/>
      <c r="R210" s="113"/>
      <c r="S210" s="116"/>
      <c r="T210" s="2"/>
    </row>
    <row r="211" spans="1:20" ht="15.6" x14ac:dyDescent="0.3">
      <c r="A211" s="167"/>
      <c r="B211" s="113" t="s">
        <v>60</v>
      </c>
      <c r="C211" s="168"/>
      <c r="D211" s="148"/>
      <c r="E211" s="148"/>
      <c r="F211" s="148"/>
      <c r="G211" s="148"/>
      <c r="H211" s="148"/>
      <c r="I211" s="148"/>
      <c r="J211" s="148"/>
      <c r="K211" s="148"/>
      <c r="L211" s="148"/>
      <c r="M211" s="148"/>
      <c r="N211" s="148"/>
      <c r="O211" s="148"/>
      <c r="P211" s="146">
        <v>20.170000000000002</v>
      </c>
      <c r="Q211" s="113" t="s">
        <v>90</v>
      </c>
      <c r="R211" s="113"/>
      <c r="S211" s="116"/>
      <c r="T211" s="2"/>
    </row>
    <row r="212" spans="1:20" ht="15.6" x14ac:dyDescent="0.3">
      <c r="A212" s="167"/>
      <c r="B212" s="113" t="s">
        <v>61</v>
      </c>
      <c r="C212" s="168"/>
      <c r="D212" s="148"/>
      <c r="E212" s="148"/>
      <c r="F212" s="148"/>
      <c r="G212" s="148"/>
      <c r="H212" s="148"/>
      <c r="I212" s="148"/>
      <c r="J212" s="148"/>
      <c r="K212" s="148"/>
      <c r="L212" s="148"/>
      <c r="M212" s="148"/>
      <c r="N212" s="148"/>
      <c r="O212" s="148"/>
      <c r="P212" s="210">
        <v>17.440000000000001</v>
      </c>
      <c r="Q212" s="113" t="s">
        <v>90</v>
      </c>
      <c r="R212" s="113"/>
      <c r="S212" s="116"/>
      <c r="T212" s="2"/>
    </row>
    <row r="213" spans="1:20" ht="15.6" x14ac:dyDescent="0.3">
      <c r="A213" s="167"/>
      <c r="B213" s="113" t="s">
        <v>62</v>
      </c>
      <c r="C213" s="168"/>
      <c r="D213" s="148"/>
      <c r="E213" s="148"/>
      <c r="F213" s="148"/>
      <c r="G213" s="148"/>
      <c r="H213" s="148"/>
      <c r="I213" s="148"/>
      <c r="J213" s="148"/>
      <c r="K213" s="148"/>
      <c r="L213" s="148"/>
      <c r="M213" s="148"/>
      <c r="N213" s="148"/>
      <c r="O213" s="148"/>
      <c r="P213" s="142">
        <f>(+J56+L56)/H56</f>
        <v>0.1316397970325647</v>
      </c>
      <c r="Q213" s="113"/>
      <c r="R213" s="113"/>
      <c r="S213" s="116"/>
      <c r="T213" s="2"/>
    </row>
    <row r="214" spans="1:20" ht="15.6" x14ac:dyDescent="0.3">
      <c r="A214" s="167"/>
      <c r="B214" s="113" t="s">
        <v>63</v>
      </c>
      <c r="C214" s="168"/>
      <c r="D214" s="148"/>
      <c r="E214" s="148"/>
      <c r="F214" s="148"/>
      <c r="G214" s="148"/>
      <c r="H214" s="148"/>
      <c r="I214" s="148"/>
      <c r="J214" s="148"/>
      <c r="K214" s="148"/>
      <c r="L214" s="148"/>
      <c r="M214" s="148"/>
      <c r="N214" s="148"/>
      <c r="O214" s="148"/>
      <c r="P214" s="211">
        <v>0.27579999999999999</v>
      </c>
      <c r="Q214" s="113"/>
      <c r="R214" s="113"/>
      <c r="S214" s="116"/>
      <c r="T214" s="2"/>
    </row>
    <row r="215" spans="1:20" ht="15.6" x14ac:dyDescent="0.3">
      <c r="A215" s="48"/>
      <c r="B215" s="165"/>
      <c r="C215" s="165"/>
      <c r="D215" s="43"/>
      <c r="E215" s="43"/>
      <c r="F215" s="43"/>
      <c r="G215" s="43"/>
      <c r="H215" s="43"/>
      <c r="I215" s="43"/>
      <c r="J215" s="43"/>
      <c r="K215" s="43"/>
      <c r="L215" s="43"/>
      <c r="M215" s="43"/>
      <c r="N215" s="43"/>
      <c r="O215" s="43"/>
      <c r="P215" s="162"/>
      <c r="Q215" s="43"/>
      <c r="R215" s="166"/>
      <c r="S215" s="218"/>
      <c r="T215" s="2"/>
    </row>
    <row r="216" spans="1:20" ht="15.6" x14ac:dyDescent="0.3">
      <c r="A216" s="71"/>
      <c r="B216" s="61" t="s">
        <v>64</v>
      </c>
      <c r="C216" s="62"/>
      <c r="D216" s="62"/>
      <c r="E216" s="62"/>
      <c r="F216" s="62"/>
      <c r="G216" s="62"/>
      <c r="H216" s="62"/>
      <c r="I216" s="62"/>
      <c r="J216" s="62"/>
      <c r="K216" s="62"/>
      <c r="L216" s="62"/>
      <c r="M216" s="62"/>
      <c r="N216" s="62"/>
      <c r="O216" s="62" t="s">
        <v>83</v>
      </c>
      <c r="P216" s="72" t="s">
        <v>88</v>
      </c>
      <c r="Q216" s="54"/>
      <c r="R216" s="54"/>
      <c r="S216" s="220"/>
      <c r="T216" s="2"/>
    </row>
    <row r="217" spans="1:20" ht="15.6" x14ac:dyDescent="0.3">
      <c r="A217" s="52"/>
      <c r="B217" s="79" t="s">
        <v>65</v>
      </c>
      <c r="C217" s="78"/>
      <c r="D217" s="95"/>
      <c r="E217" s="95"/>
      <c r="F217" s="95"/>
      <c r="G217" s="95"/>
      <c r="H217" s="95"/>
      <c r="I217" s="95"/>
      <c r="J217" s="95"/>
      <c r="K217" s="95"/>
      <c r="L217" s="95"/>
      <c r="M217" s="95"/>
      <c r="N217" s="95"/>
      <c r="O217" s="95">
        <v>0</v>
      </c>
      <c r="P217" s="96">
        <v>0</v>
      </c>
      <c r="Q217" s="79"/>
      <c r="R217" s="94"/>
      <c r="S217" s="226"/>
      <c r="T217" s="2"/>
    </row>
    <row r="218" spans="1:20" ht="15.6" x14ac:dyDescent="0.3">
      <c r="A218" s="173"/>
      <c r="B218" s="113" t="s">
        <v>113</v>
      </c>
      <c r="C218" s="155"/>
      <c r="D218" s="123"/>
      <c r="E218" s="123"/>
      <c r="F218" s="123"/>
      <c r="G218" s="123"/>
      <c r="H218" s="123"/>
      <c r="I218" s="123"/>
      <c r="J218" s="123"/>
      <c r="K218" s="123"/>
      <c r="L218" s="123"/>
      <c r="M218" s="123"/>
      <c r="N218" s="123"/>
      <c r="O218" s="174">
        <f>+N270</f>
        <v>0</v>
      </c>
      <c r="P218" s="175">
        <f>+P270</f>
        <v>0</v>
      </c>
      <c r="Q218" s="113"/>
      <c r="R218" s="176"/>
      <c r="S218" s="177"/>
      <c r="T218" s="2"/>
    </row>
    <row r="219" spans="1:20" ht="15.6" x14ac:dyDescent="0.3">
      <c r="A219" s="173"/>
      <c r="B219" s="113" t="s">
        <v>66</v>
      </c>
      <c r="C219" s="155"/>
      <c r="D219" s="123"/>
      <c r="E219" s="123"/>
      <c r="F219" s="123"/>
      <c r="G219" s="123"/>
      <c r="H219" s="123"/>
      <c r="I219" s="123"/>
      <c r="J219" s="123"/>
      <c r="K219" s="123"/>
      <c r="L219" s="123"/>
      <c r="M219" s="123"/>
      <c r="N219" s="123"/>
      <c r="O219" s="174">
        <f>+N282</f>
        <v>0</v>
      </c>
      <c r="P219" s="175">
        <f>+P282</f>
        <v>0</v>
      </c>
      <c r="Q219" s="113"/>
      <c r="R219" s="176"/>
      <c r="S219" s="177"/>
      <c r="T219" s="2"/>
    </row>
    <row r="220" spans="1:20" ht="15.6" x14ac:dyDescent="0.3">
      <c r="A220" s="173"/>
      <c r="B220" s="134" t="s">
        <v>263</v>
      </c>
      <c r="C220" s="178"/>
      <c r="D220" s="135"/>
      <c r="E220" s="135"/>
      <c r="F220" s="135"/>
      <c r="G220" s="135"/>
      <c r="H220" s="135"/>
      <c r="I220" s="135"/>
      <c r="J220" s="135"/>
      <c r="K220" s="135"/>
      <c r="L220" s="135"/>
      <c r="M220" s="135"/>
      <c r="N220" s="135"/>
      <c r="O220" s="113"/>
      <c r="P220" s="175">
        <v>0</v>
      </c>
      <c r="Q220" s="135"/>
      <c r="R220" s="179"/>
      <c r="S220" s="177"/>
      <c r="T220" s="2"/>
    </row>
    <row r="221" spans="1:20" ht="15.6" x14ac:dyDescent="0.3">
      <c r="A221" s="173"/>
      <c r="B221" s="134" t="s">
        <v>140</v>
      </c>
      <c r="C221" s="178"/>
      <c r="D221" s="135"/>
      <c r="E221" s="135"/>
      <c r="F221" s="135"/>
      <c r="G221" s="135"/>
      <c r="H221" s="135"/>
      <c r="I221" s="135"/>
      <c r="J221" s="135"/>
      <c r="K221" s="135"/>
      <c r="L221" s="135"/>
      <c r="M221" s="135"/>
      <c r="N221" s="135"/>
      <c r="O221" s="113"/>
      <c r="P221" s="175">
        <f>-J69</f>
        <v>0</v>
      </c>
      <c r="Q221" s="135"/>
      <c r="R221" s="179"/>
      <c r="S221" s="177"/>
      <c r="T221" s="2"/>
    </row>
    <row r="222" spans="1:20" ht="15.6" x14ac:dyDescent="0.3">
      <c r="A222" s="180"/>
      <c r="B222" s="134" t="s">
        <v>67</v>
      </c>
      <c r="C222" s="181"/>
      <c r="D222" s="135"/>
      <c r="E222" s="135"/>
      <c r="F222" s="135"/>
      <c r="G222" s="135"/>
      <c r="H222" s="135"/>
      <c r="I222" s="135"/>
      <c r="J222" s="135"/>
      <c r="K222" s="135"/>
      <c r="L222" s="135"/>
      <c r="M222" s="135"/>
      <c r="N222" s="135"/>
      <c r="O222" s="113"/>
      <c r="P222" s="175"/>
      <c r="Q222" s="135"/>
      <c r="R222" s="179"/>
      <c r="S222" s="182"/>
      <c r="T222" s="2"/>
    </row>
    <row r="223" spans="1:20" ht="15.6" x14ac:dyDescent="0.3">
      <c r="A223" s="180"/>
      <c r="B223" s="118" t="s">
        <v>68</v>
      </c>
      <c r="C223" s="181"/>
      <c r="D223" s="135"/>
      <c r="E223" s="135"/>
      <c r="F223" s="135"/>
      <c r="G223" s="135"/>
      <c r="H223" s="135"/>
      <c r="I223" s="135"/>
      <c r="J223" s="135"/>
      <c r="K223" s="135"/>
      <c r="L223" s="135"/>
      <c r="M223" s="135"/>
      <c r="N223" s="135"/>
      <c r="O223" s="123"/>
      <c r="P223" s="175">
        <f>R153</f>
        <v>0</v>
      </c>
      <c r="Q223" s="135"/>
      <c r="R223" s="179"/>
      <c r="S223" s="182"/>
      <c r="T223" s="2"/>
    </row>
    <row r="224" spans="1:20" ht="15.6" x14ac:dyDescent="0.3">
      <c r="A224" s="173"/>
      <c r="B224" s="113" t="s">
        <v>69</v>
      </c>
      <c r="C224" s="178"/>
      <c r="D224" s="135"/>
      <c r="E224" s="135"/>
      <c r="F224" s="135"/>
      <c r="G224" s="135"/>
      <c r="H224" s="135"/>
      <c r="I224" s="135"/>
      <c r="J224" s="135"/>
      <c r="K224" s="135"/>
      <c r="L224" s="135"/>
      <c r="M224" s="135"/>
      <c r="N224" s="135"/>
      <c r="O224" s="123"/>
      <c r="P224" s="175">
        <f>'Feb 17'!P224+P223</f>
        <v>0</v>
      </c>
      <c r="Q224" s="135"/>
      <c r="R224" s="179"/>
      <c r="S224" s="182"/>
      <c r="T224" s="2"/>
    </row>
    <row r="225" spans="1:20" ht="15.6" x14ac:dyDescent="0.3">
      <c r="A225" s="180"/>
      <c r="B225" s="134" t="s">
        <v>151</v>
      </c>
      <c r="C225" s="181"/>
      <c r="D225" s="135"/>
      <c r="E225" s="135"/>
      <c r="F225" s="135"/>
      <c r="G225" s="135"/>
      <c r="H225" s="135"/>
      <c r="I225" s="135"/>
      <c r="J225" s="135"/>
      <c r="K225" s="135"/>
      <c r="L225" s="135"/>
      <c r="M225" s="135"/>
      <c r="N225" s="135"/>
      <c r="O225" s="123"/>
      <c r="P225" s="175"/>
      <c r="Q225" s="135"/>
      <c r="R225" s="179"/>
      <c r="S225" s="182"/>
      <c r="T225" s="2"/>
    </row>
    <row r="226" spans="1:20" ht="15.6" x14ac:dyDescent="0.3">
      <c r="A226" s="180"/>
      <c r="B226" s="113" t="s">
        <v>163</v>
      </c>
      <c r="C226" s="181"/>
      <c r="D226" s="135"/>
      <c r="E226" s="135"/>
      <c r="F226" s="135"/>
      <c r="G226" s="135"/>
      <c r="H226" s="135"/>
      <c r="I226" s="135"/>
      <c r="J226" s="135"/>
      <c r="K226" s="135"/>
      <c r="L226" s="135"/>
      <c r="M226" s="135"/>
      <c r="N226" s="135"/>
      <c r="O226" s="123">
        <v>0</v>
      </c>
      <c r="P226" s="175">
        <v>0</v>
      </c>
      <c r="Q226" s="135"/>
      <c r="R226" s="179"/>
      <c r="S226" s="182"/>
      <c r="T226" s="2"/>
    </row>
    <row r="227" spans="1:20" ht="15.6" x14ac:dyDescent="0.3">
      <c r="A227" s="173"/>
      <c r="B227" s="113" t="s">
        <v>70</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13" t="s">
        <v>71</v>
      </c>
      <c r="C228" s="183"/>
      <c r="D228" s="135"/>
      <c r="E228" s="135"/>
      <c r="F228" s="135"/>
      <c r="G228" s="135"/>
      <c r="H228" s="135"/>
      <c r="I228" s="135"/>
      <c r="J228" s="135"/>
      <c r="K228" s="135"/>
      <c r="L228" s="135"/>
      <c r="M228" s="135"/>
      <c r="N228" s="135"/>
      <c r="O228" s="113"/>
      <c r="P228" s="184">
        <v>0</v>
      </c>
      <c r="Q228" s="135"/>
      <c r="R228" s="179"/>
      <c r="S228" s="182"/>
      <c r="T228" s="2"/>
    </row>
    <row r="229" spans="1:20" ht="15.6" x14ac:dyDescent="0.3">
      <c r="A229" s="173"/>
      <c r="B229" s="134" t="s">
        <v>136</v>
      </c>
      <c r="C229" s="183"/>
      <c r="D229" s="135"/>
      <c r="E229" s="135"/>
      <c r="F229" s="135"/>
      <c r="G229" s="135"/>
      <c r="H229" s="135"/>
      <c r="I229" s="135"/>
      <c r="J229" s="135"/>
      <c r="K229" s="135"/>
      <c r="L229" s="135"/>
      <c r="M229" s="135"/>
      <c r="N229" s="135"/>
      <c r="O229" s="113"/>
      <c r="P229" s="185"/>
      <c r="Q229" s="135"/>
      <c r="R229" s="179"/>
      <c r="S229" s="182"/>
      <c r="T229" s="2"/>
    </row>
    <row r="230" spans="1:20" ht="15.6" x14ac:dyDescent="0.3">
      <c r="A230" s="173"/>
      <c r="B230" s="113" t="s">
        <v>163</v>
      </c>
      <c r="C230" s="183"/>
      <c r="D230" s="135"/>
      <c r="E230" s="135"/>
      <c r="F230" s="135"/>
      <c r="G230" s="135"/>
      <c r="H230" s="135"/>
      <c r="I230" s="135"/>
      <c r="J230" s="135"/>
      <c r="K230" s="135"/>
      <c r="L230" s="135"/>
      <c r="M230" s="135"/>
      <c r="N230" s="135"/>
      <c r="O230" s="123">
        <v>0</v>
      </c>
      <c r="P230" s="175">
        <v>0</v>
      </c>
      <c r="Q230" s="135"/>
      <c r="R230" s="179"/>
      <c r="S230" s="182"/>
      <c r="T230" s="2"/>
    </row>
    <row r="231" spans="1:20" ht="15.6" x14ac:dyDescent="0.3">
      <c r="A231" s="173"/>
      <c r="B231" s="113" t="s">
        <v>137</v>
      </c>
      <c r="C231" s="183"/>
      <c r="D231" s="135"/>
      <c r="E231" s="135"/>
      <c r="F231" s="135"/>
      <c r="G231" s="135"/>
      <c r="H231" s="135"/>
      <c r="I231" s="135"/>
      <c r="J231" s="135"/>
      <c r="K231" s="135"/>
      <c r="L231" s="135"/>
      <c r="M231" s="135"/>
      <c r="N231" s="135"/>
      <c r="O231" s="113"/>
      <c r="P231" s="184">
        <v>0</v>
      </c>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13"/>
      <c r="P232" s="185"/>
      <c r="Q232" s="135"/>
      <c r="R232" s="179"/>
      <c r="S232" s="182"/>
      <c r="T232" s="2"/>
    </row>
    <row r="233" spans="1:20" ht="15.6" x14ac:dyDescent="0.3">
      <c r="A233" s="173"/>
      <c r="B233" s="181"/>
      <c r="C233" s="183"/>
      <c r="D233" s="135"/>
      <c r="E233" s="135"/>
      <c r="F233" s="135"/>
      <c r="G233" s="135"/>
      <c r="H233" s="135"/>
      <c r="I233" s="135"/>
      <c r="J233" s="135"/>
      <c r="K233" s="135"/>
      <c r="L233" s="135"/>
      <c r="M233" s="135"/>
      <c r="N233" s="135"/>
      <c r="O233" s="135"/>
      <c r="P233" s="186"/>
      <c r="Q233" s="135"/>
      <c r="R233" s="179"/>
      <c r="S233" s="182"/>
      <c r="T233" s="2"/>
    </row>
    <row r="234" spans="1:20" ht="17.399999999999999" x14ac:dyDescent="0.3">
      <c r="A234" s="173"/>
      <c r="B234" s="187" t="s">
        <v>129</v>
      </c>
      <c r="C234" s="183"/>
      <c r="D234" s="135"/>
      <c r="E234" s="135"/>
      <c r="F234" s="135"/>
      <c r="G234" s="135"/>
      <c r="H234" s="135"/>
      <c r="I234" s="135"/>
      <c r="J234" s="135"/>
      <c r="K234" s="135"/>
      <c r="L234" s="188"/>
      <c r="M234" s="135"/>
      <c r="N234" s="188" t="s">
        <v>128</v>
      </c>
      <c r="O234" s="188"/>
      <c r="P234" s="186"/>
      <c r="Q234" s="135"/>
      <c r="R234" s="179"/>
      <c r="S234" s="182"/>
      <c r="T234" s="2"/>
    </row>
    <row r="235" spans="1:20" ht="17.399999999999999" x14ac:dyDescent="0.3">
      <c r="A235" s="170"/>
      <c r="B235" s="200"/>
      <c r="C235" s="171"/>
      <c r="D235" s="43"/>
      <c r="E235" s="43"/>
      <c r="F235" s="43"/>
      <c r="G235" s="43"/>
      <c r="H235" s="43"/>
      <c r="I235" s="43"/>
      <c r="J235" s="43"/>
      <c r="K235" s="43"/>
      <c r="L235" s="201"/>
      <c r="M235" s="43"/>
      <c r="N235" s="43"/>
      <c r="O235" s="43"/>
      <c r="P235" s="172"/>
      <c r="Q235" s="43"/>
      <c r="R235" s="166"/>
      <c r="S235" s="227"/>
      <c r="T235" s="2"/>
    </row>
    <row r="236" spans="1:20" ht="15.6" x14ac:dyDescent="0.3">
      <c r="A236" s="53"/>
      <c r="B236" s="61" t="s">
        <v>153</v>
      </c>
      <c r="C236" s="62"/>
      <c r="D236" s="62"/>
      <c r="E236" s="62"/>
      <c r="F236" s="62"/>
      <c r="G236" s="62"/>
      <c r="H236" s="62"/>
      <c r="I236" s="62"/>
      <c r="J236" s="62"/>
      <c r="K236" s="62"/>
      <c r="L236" s="62"/>
      <c r="M236" s="62"/>
      <c r="N236" s="72" t="s">
        <v>83</v>
      </c>
      <c r="O236" s="62" t="s">
        <v>84</v>
      </c>
      <c r="P236" s="72" t="s">
        <v>89</v>
      </c>
      <c r="Q236" s="62" t="s">
        <v>84</v>
      </c>
      <c r="R236" s="54"/>
      <c r="S236" s="228"/>
      <c r="T236" s="2"/>
    </row>
    <row r="237" spans="1:20" ht="15.6" x14ac:dyDescent="0.3">
      <c r="A237" s="24"/>
      <c r="B237" s="78" t="s">
        <v>72</v>
      </c>
      <c r="C237" s="93"/>
      <c r="D237" s="93"/>
      <c r="E237" s="93"/>
      <c r="F237" s="93"/>
      <c r="G237" s="93"/>
      <c r="H237" s="93"/>
      <c r="I237" s="93"/>
      <c r="J237" s="93"/>
      <c r="K237" s="93"/>
      <c r="L237" s="93"/>
      <c r="M237" s="93"/>
      <c r="N237" s="78">
        <f t="shared" ref="N237:N244" si="1">+N249+N261+N273</f>
        <v>720</v>
      </c>
      <c r="O237" s="81">
        <f>N237/$N$246</f>
        <v>1</v>
      </c>
      <c r="P237" s="82">
        <f t="shared" ref="P237:P244" si="2">+P249+P261+P273</f>
        <v>108394</v>
      </c>
      <c r="Q237" s="81">
        <f t="shared" ref="Q237:Q244" si="3">P237/$P$246</f>
        <v>1</v>
      </c>
      <c r="R237" s="94"/>
      <c r="S237" s="229"/>
      <c r="T237" s="2"/>
    </row>
    <row r="238" spans="1:20" ht="15.6" x14ac:dyDescent="0.3">
      <c r="A238" s="112"/>
      <c r="B238" s="155" t="s">
        <v>73</v>
      </c>
      <c r="C238" s="192"/>
      <c r="D238" s="192"/>
      <c r="E238" s="192"/>
      <c r="F238" s="192"/>
      <c r="G238" s="192"/>
      <c r="H238" s="192"/>
      <c r="I238" s="192"/>
      <c r="J238" s="192"/>
      <c r="K238" s="192"/>
      <c r="L238" s="192"/>
      <c r="M238" s="192"/>
      <c r="N238" s="155">
        <f t="shared" si="1"/>
        <v>0</v>
      </c>
      <c r="O238" s="193">
        <f t="shared" ref="O238:O244" si="4">N238/$N$246</f>
        <v>0</v>
      </c>
      <c r="P238" s="156">
        <f t="shared" si="2"/>
        <v>0</v>
      </c>
      <c r="Q238" s="193">
        <f t="shared" si="3"/>
        <v>0</v>
      </c>
      <c r="R238" s="176"/>
      <c r="S238" s="194"/>
      <c r="T238" s="2"/>
    </row>
    <row r="239" spans="1:20" ht="15.6" x14ac:dyDescent="0.3">
      <c r="A239" s="112"/>
      <c r="B239" s="155" t="s">
        <v>74</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119</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120</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121</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122</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t="s">
        <v>123</v>
      </c>
      <c r="C244" s="192"/>
      <c r="D244" s="192"/>
      <c r="E244" s="192"/>
      <c r="F244" s="192"/>
      <c r="G244" s="192"/>
      <c r="H244" s="192"/>
      <c r="I244" s="192"/>
      <c r="J244" s="192"/>
      <c r="K244" s="192"/>
      <c r="L244" s="192"/>
      <c r="M244" s="192"/>
      <c r="N244" s="155">
        <f t="shared" si="1"/>
        <v>0</v>
      </c>
      <c r="O244" s="193">
        <f t="shared" si="4"/>
        <v>0</v>
      </c>
      <c r="P244" s="156">
        <f t="shared" si="2"/>
        <v>0</v>
      </c>
      <c r="Q244" s="193">
        <f t="shared" si="3"/>
        <v>0</v>
      </c>
      <c r="R244" s="176"/>
      <c r="S244" s="194"/>
      <c r="T244" s="2"/>
    </row>
    <row r="245" spans="1:21" ht="15.6" x14ac:dyDescent="0.3">
      <c r="A245" s="112"/>
      <c r="B245" s="155"/>
      <c r="C245" s="192"/>
      <c r="D245" s="192"/>
      <c r="E245" s="192"/>
      <c r="F245" s="192"/>
      <c r="G245" s="192"/>
      <c r="H245" s="192"/>
      <c r="I245" s="192"/>
      <c r="J245" s="192"/>
      <c r="K245" s="192"/>
      <c r="L245" s="192"/>
      <c r="M245" s="192"/>
      <c r="N245" s="155"/>
      <c r="O245" s="193"/>
      <c r="P245" s="156"/>
      <c r="Q245" s="193"/>
      <c r="R245" s="176"/>
      <c r="S245" s="194"/>
      <c r="T245" s="2"/>
    </row>
    <row r="246" spans="1:21" ht="15.6" x14ac:dyDescent="0.3">
      <c r="A246" s="112"/>
      <c r="B246" s="113" t="s">
        <v>94</v>
      </c>
      <c r="C246" s="113"/>
      <c r="D246" s="195"/>
      <c r="E246" s="195"/>
      <c r="F246" s="195"/>
      <c r="G246" s="195"/>
      <c r="H246" s="195"/>
      <c r="I246" s="195"/>
      <c r="J246" s="195"/>
      <c r="K246" s="195"/>
      <c r="L246" s="195"/>
      <c r="M246" s="195"/>
      <c r="N246" s="155">
        <f>SUM(N237:N245)</f>
        <v>720</v>
      </c>
      <c r="O246" s="193">
        <f>SUM(O237:O245)</f>
        <v>1</v>
      </c>
      <c r="P246" s="156">
        <f>SUM(P237:P245)</f>
        <v>108394</v>
      </c>
      <c r="Q246" s="193">
        <f>SUM(Q237:Q245)</f>
        <v>1</v>
      </c>
      <c r="R246" s="113"/>
      <c r="S246" s="116"/>
      <c r="T246" s="2"/>
    </row>
    <row r="247" spans="1:21" ht="15.6" x14ac:dyDescent="0.3">
      <c r="A247" s="12"/>
      <c r="B247" s="165"/>
      <c r="C247" s="171"/>
      <c r="D247" s="43"/>
      <c r="E247" s="43"/>
      <c r="F247" s="43"/>
      <c r="G247" s="43"/>
      <c r="H247" s="43"/>
      <c r="I247" s="43"/>
      <c r="J247" s="43"/>
      <c r="K247" s="43"/>
      <c r="L247" s="43"/>
      <c r="M247" s="43"/>
      <c r="N247" s="43"/>
      <c r="O247" s="43"/>
      <c r="P247" s="172"/>
      <c r="Q247" s="43"/>
      <c r="R247" s="43"/>
      <c r="S247" s="218"/>
      <c r="T247" s="2"/>
    </row>
    <row r="248" spans="1:21" ht="15.6" x14ac:dyDescent="0.3">
      <c r="A248" s="53"/>
      <c r="B248" s="61" t="s">
        <v>124</v>
      </c>
      <c r="C248" s="62"/>
      <c r="D248" s="62"/>
      <c r="E248" s="62"/>
      <c r="F248" s="62"/>
      <c r="G248" s="62"/>
      <c r="H248" s="62"/>
      <c r="I248" s="62"/>
      <c r="J248" s="62"/>
      <c r="K248" s="62"/>
      <c r="L248" s="62"/>
      <c r="M248" s="62"/>
      <c r="N248" s="72" t="s">
        <v>83</v>
      </c>
      <c r="O248" s="62" t="s">
        <v>84</v>
      </c>
      <c r="P248" s="72" t="s">
        <v>89</v>
      </c>
      <c r="Q248" s="62" t="s">
        <v>84</v>
      </c>
      <c r="R248" s="54"/>
      <c r="S248" s="228"/>
      <c r="T248" s="2"/>
    </row>
    <row r="249" spans="1:21" ht="15.6" x14ac:dyDescent="0.3">
      <c r="A249" s="24"/>
      <c r="B249" s="78" t="s">
        <v>72</v>
      </c>
      <c r="C249" s="93"/>
      <c r="D249" s="93"/>
      <c r="E249" s="93"/>
      <c r="F249" s="93"/>
      <c r="G249" s="93"/>
      <c r="H249" s="93"/>
      <c r="I249" s="93"/>
      <c r="J249" s="93"/>
      <c r="K249" s="93"/>
      <c r="L249" s="93"/>
      <c r="M249" s="93"/>
      <c r="N249" s="78">
        <v>720</v>
      </c>
      <c r="O249" s="81">
        <f>N249/$N$258</f>
        <v>1</v>
      </c>
      <c r="P249" s="82">
        <v>108394</v>
      </c>
      <c r="Q249" s="81">
        <f t="shared" ref="Q249:Q256" si="5">P249/$P$258</f>
        <v>1</v>
      </c>
      <c r="R249" s="94"/>
      <c r="S249" s="229"/>
      <c r="T249" s="2"/>
    </row>
    <row r="250" spans="1:21" ht="15.6" x14ac:dyDescent="0.3">
      <c r="A250" s="112"/>
      <c r="B250" s="155" t="s">
        <v>73</v>
      </c>
      <c r="C250" s="192"/>
      <c r="D250" s="192"/>
      <c r="E250" s="192"/>
      <c r="F250" s="192"/>
      <c r="G250" s="192"/>
      <c r="H250" s="192"/>
      <c r="I250" s="192"/>
      <c r="J250" s="192"/>
      <c r="K250" s="192"/>
      <c r="L250" s="192"/>
      <c r="M250" s="192"/>
      <c r="N250" s="155">
        <v>0</v>
      </c>
      <c r="O250" s="193">
        <f t="shared" ref="O250:O256" si="6">N250/$N$258</f>
        <v>0</v>
      </c>
      <c r="P250" s="156">
        <v>0</v>
      </c>
      <c r="Q250" s="193">
        <f t="shared" si="5"/>
        <v>0</v>
      </c>
      <c r="R250" s="176"/>
      <c r="S250" s="194"/>
      <c r="T250" s="2"/>
      <c r="U250" s="4"/>
    </row>
    <row r="251" spans="1:21" ht="15.6" x14ac:dyDescent="0.3">
      <c r="A251" s="112"/>
      <c r="B251" s="155" t="s">
        <v>74</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row>
    <row r="252" spans="1:21" ht="15.6" x14ac:dyDescent="0.3">
      <c r="A252" s="112"/>
      <c r="B252" s="155" t="s">
        <v>119</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c r="U252" s="4"/>
    </row>
    <row r="253" spans="1:21" ht="15.6" x14ac:dyDescent="0.3">
      <c r="A253" s="112"/>
      <c r="B253" s="155" t="s">
        <v>120</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row>
    <row r="254" spans="1:21" ht="15.6" x14ac:dyDescent="0.3">
      <c r="A254" s="112"/>
      <c r="B254" s="155" t="s">
        <v>121</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c r="U254" s="4"/>
    </row>
    <row r="255" spans="1:21" ht="15.6" x14ac:dyDescent="0.3">
      <c r="A255" s="112"/>
      <c r="B255" s="155" t="s">
        <v>122</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row>
    <row r="256" spans="1:21" ht="15.6" x14ac:dyDescent="0.3">
      <c r="A256" s="112"/>
      <c r="B256" s="155" t="s">
        <v>123</v>
      </c>
      <c r="C256" s="192"/>
      <c r="D256" s="192"/>
      <c r="E256" s="192"/>
      <c r="F256" s="192"/>
      <c r="G256" s="192"/>
      <c r="H256" s="192"/>
      <c r="I256" s="192"/>
      <c r="J256" s="192"/>
      <c r="K256" s="192"/>
      <c r="L256" s="192"/>
      <c r="M256" s="192"/>
      <c r="N256" s="155">
        <v>0</v>
      </c>
      <c r="O256" s="193">
        <f t="shared" si="6"/>
        <v>0</v>
      </c>
      <c r="P256" s="156">
        <v>0</v>
      </c>
      <c r="Q256" s="193">
        <f t="shared" si="5"/>
        <v>0</v>
      </c>
      <c r="R256" s="176"/>
      <c r="S256" s="194"/>
      <c r="T256" s="2"/>
      <c r="U256" s="4"/>
    </row>
    <row r="257" spans="1:20" ht="15.6" x14ac:dyDescent="0.3">
      <c r="A257" s="112"/>
      <c r="B257" s="155"/>
      <c r="C257" s="192"/>
      <c r="D257" s="192"/>
      <c r="E257" s="192"/>
      <c r="F257" s="192"/>
      <c r="G257" s="192"/>
      <c r="H257" s="192"/>
      <c r="I257" s="192"/>
      <c r="J257" s="192"/>
      <c r="K257" s="192"/>
      <c r="L257" s="192"/>
      <c r="M257" s="192"/>
      <c r="N257" s="155"/>
      <c r="O257" s="193"/>
      <c r="P257" s="156"/>
      <c r="Q257" s="193"/>
      <c r="R257" s="176"/>
      <c r="S257" s="194"/>
      <c r="T257" s="2"/>
    </row>
    <row r="258" spans="1:20" ht="15.6" x14ac:dyDescent="0.3">
      <c r="A258" s="112"/>
      <c r="B258" s="113" t="s">
        <v>94</v>
      </c>
      <c r="C258" s="113"/>
      <c r="D258" s="195"/>
      <c r="E258" s="195"/>
      <c r="F258" s="195"/>
      <c r="G258" s="195"/>
      <c r="H258" s="195"/>
      <c r="I258" s="195"/>
      <c r="J258" s="195"/>
      <c r="K258" s="195"/>
      <c r="L258" s="195"/>
      <c r="M258" s="195"/>
      <c r="N258" s="155">
        <f>SUM(N249:N257)</f>
        <v>720</v>
      </c>
      <c r="O258" s="193">
        <f>SUM(O249:O257)</f>
        <v>1</v>
      </c>
      <c r="P258" s="156">
        <f>SUM(P249:P257)</f>
        <v>108394</v>
      </c>
      <c r="Q258" s="193">
        <f>SUM(Q249:Q257)</f>
        <v>1</v>
      </c>
      <c r="R258" s="113"/>
      <c r="S258" s="116"/>
      <c r="T258" s="2"/>
    </row>
    <row r="259" spans="1:20" ht="15.6" x14ac:dyDescent="0.3">
      <c r="A259" s="12"/>
      <c r="B259" s="43"/>
      <c r="C259" s="43"/>
      <c r="D259" s="189"/>
      <c r="E259" s="189"/>
      <c r="F259" s="189"/>
      <c r="G259" s="189"/>
      <c r="H259" s="189"/>
      <c r="I259" s="189"/>
      <c r="J259" s="189"/>
      <c r="K259" s="189"/>
      <c r="L259" s="189"/>
      <c r="M259" s="189"/>
      <c r="N259" s="153"/>
      <c r="O259" s="190"/>
      <c r="P259" s="191"/>
      <c r="Q259" s="190"/>
      <c r="R259" s="43"/>
      <c r="S259" s="218"/>
      <c r="T259" s="2"/>
    </row>
    <row r="260" spans="1:20" ht="15.6" x14ac:dyDescent="0.3">
      <c r="A260" s="73"/>
      <c r="B260" s="61" t="s">
        <v>146</v>
      </c>
      <c r="C260" s="62"/>
      <c r="D260" s="62"/>
      <c r="E260" s="62"/>
      <c r="F260" s="62"/>
      <c r="G260" s="62"/>
      <c r="H260" s="62"/>
      <c r="I260" s="62"/>
      <c r="J260" s="62"/>
      <c r="K260" s="62"/>
      <c r="L260" s="62"/>
      <c r="M260" s="62"/>
      <c r="N260" s="72" t="s">
        <v>83</v>
      </c>
      <c r="O260" s="62" t="s">
        <v>84</v>
      </c>
      <c r="P260" s="72" t="s">
        <v>89</v>
      </c>
      <c r="Q260" s="62" t="s">
        <v>84</v>
      </c>
      <c r="R260" s="74"/>
      <c r="S260" s="75"/>
      <c r="T260" s="2"/>
    </row>
    <row r="261" spans="1:20" ht="15.6" x14ac:dyDescent="0.3">
      <c r="A261" s="24"/>
      <c r="B261" s="78" t="s">
        <v>72</v>
      </c>
      <c r="C261" s="93"/>
      <c r="D261" s="93"/>
      <c r="E261" s="93"/>
      <c r="F261" s="93"/>
      <c r="G261" s="93"/>
      <c r="H261" s="93"/>
      <c r="I261" s="93"/>
      <c r="J261" s="93"/>
      <c r="K261" s="93"/>
      <c r="L261" s="93"/>
      <c r="M261" s="93"/>
      <c r="N261" s="78">
        <v>0</v>
      </c>
      <c r="O261" s="81">
        <v>0</v>
      </c>
      <c r="P261" s="82">
        <v>0</v>
      </c>
      <c r="Q261" s="81">
        <v>0</v>
      </c>
      <c r="R261" s="79"/>
      <c r="S261" s="221"/>
      <c r="T261" s="2"/>
    </row>
    <row r="262" spans="1:20" ht="15.6" x14ac:dyDescent="0.3">
      <c r="A262" s="112"/>
      <c r="B262" s="155" t="s">
        <v>73</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74</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119</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120</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121</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122</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t="s">
        <v>123</v>
      </c>
      <c r="C268" s="192"/>
      <c r="D268" s="192"/>
      <c r="E268" s="192"/>
      <c r="F268" s="192"/>
      <c r="G268" s="192"/>
      <c r="H268" s="192"/>
      <c r="I268" s="192"/>
      <c r="J268" s="192"/>
      <c r="K268" s="192"/>
      <c r="L268" s="192"/>
      <c r="M268" s="192"/>
      <c r="N268" s="155">
        <v>0</v>
      </c>
      <c r="O268" s="193">
        <v>0</v>
      </c>
      <c r="P268" s="156">
        <v>0</v>
      </c>
      <c r="Q268" s="193">
        <v>0</v>
      </c>
      <c r="R268" s="113"/>
      <c r="S268" s="116"/>
      <c r="T268" s="2"/>
    </row>
    <row r="269" spans="1:20" ht="15.6" x14ac:dyDescent="0.3">
      <c r="A269" s="112"/>
      <c r="B269" s="155"/>
      <c r="C269" s="192"/>
      <c r="D269" s="192"/>
      <c r="E269" s="192"/>
      <c r="F269" s="192"/>
      <c r="G269" s="192"/>
      <c r="H269" s="192"/>
      <c r="I269" s="192"/>
      <c r="J269" s="192"/>
      <c r="K269" s="192"/>
      <c r="L269" s="192"/>
      <c r="M269" s="192"/>
      <c r="N269" s="155"/>
      <c r="O269" s="193"/>
      <c r="P269" s="156"/>
      <c r="Q269" s="193"/>
      <c r="R269" s="113"/>
      <c r="S269" s="116"/>
      <c r="T269" s="2"/>
    </row>
    <row r="270" spans="1:20" ht="15.6" x14ac:dyDescent="0.3">
      <c r="A270" s="112"/>
      <c r="B270" s="113" t="s">
        <v>94</v>
      </c>
      <c r="C270" s="113"/>
      <c r="D270" s="195"/>
      <c r="E270" s="195"/>
      <c r="F270" s="195"/>
      <c r="G270" s="195"/>
      <c r="H270" s="195"/>
      <c r="I270" s="195"/>
      <c r="J270" s="195"/>
      <c r="K270" s="195"/>
      <c r="L270" s="195"/>
      <c r="M270" s="195"/>
      <c r="N270" s="155">
        <f>SUM(N261:N269)</f>
        <v>0</v>
      </c>
      <c r="O270" s="193">
        <f>SUM(O261:O269)</f>
        <v>0</v>
      </c>
      <c r="P270" s="156">
        <f>SUM(P261:P269)</f>
        <v>0</v>
      </c>
      <c r="Q270" s="193">
        <f>SUM(Q261:Q269)</f>
        <v>0</v>
      </c>
      <c r="R270" s="113"/>
      <c r="S270" s="116"/>
      <c r="T270" s="2"/>
    </row>
    <row r="271" spans="1:20" ht="15.6" x14ac:dyDescent="0.3">
      <c r="A271" s="12"/>
      <c r="B271" s="43"/>
      <c r="C271" s="43"/>
      <c r="D271" s="189"/>
      <c r="E271" s="189"/>
      <c r="F271" s="189"/>
      <c r="G271" s="189"/>
      <c r="H271" s="189"/>
      <c r="I271" s="189"/>
      <c r="J271" s="189"/>
      <c r="K271" s="189"/>
      <c r="L271" s="189"/>
      <c r="M271" s="189"/>
      <c r="N271" s="153"/>
      <c r="O271" s="190"/>
      <c r="P271" s="191"/>
      <c r="Q271" s="190"/>
      <c r="R271" s="43"/>
      <c r="S271" s="218"/>
      <c r="T271" s="2"/>
    </row>
    <row r="272" spans="1:20" ht="15.6" x14ac:dyDescent="0.3">
      <c r="A272" s="73"/>
      <c r="B272" s="61" t="s">
        <v>125</v>
      </c>
      <c r="C272" s="74"/>
      <c r="D272" s="76"/>
      <c r="E272" s="76"/>
      <c r="F272" s="76"/>
      <c r="G272" s="76"/>
      <c r="H272" s="76"/>
      <c r="I272" s="76"/>
      <c r="J272" s="76"/>
      <c r="K272" s="76"/>
      <c r="L272" s="76"/>
      <c r="M272" s="76"/>
      <c r="N272" s="72" t="s">
        <v>83</v>
      </c>
      <c r="O272" s="62" t="s">
        <v>84</v>
      </c>
      <c r="P272" s="72" t="s">
        <v>89</v>
      </c>
      <c r="Q272" s="62" t="s">
        <v>84</v>
      </c>
      <c r="R272" s="74"/>
      <c r="S272" s="75"/>
      <c r="T272" s="2"/>
    </row>
    <row r="273" spans="1:20" ht="15.6" x14ac:dyDescent="0.3">
      <c r="A273" s="77"/>
      <c r="B273" s="78" t="s">
        <v>72</v>
      </c>
      <c r="C273" s="79"/>
      <c r="D273" s="80"/>
      <c r="E273" s="80"/>
      <c r="F273" s="80"/>
      <c r="G273" s="80"/>
      <c r="H273" s="80"/>
      <c r="I273" s="80"/>
      <c r="J273" s="80"/>
      <c r="K273" s="80"/>
      <c r="L273" s="80"/>
      <c r="M273" s="80"/>
      <c r="N273" s="78">
        <v>0</v>
      </c>
      <c r="O273" s="81">
        <v>0</v>
      </c>
      <c r="P273" s="82">
        <v>0</v>
      </c>
      <c r="Q273" s="81">
        <v>0</v>
      </c>
      <c r="R273" s="79"/>
      <c r="S273" s="221"/>
      <c r="T273" s="2"/>
    </row>
    <row r="274" spans="1:20" ht="15.6" x14ac:dyDescent="0.3">
      <c r="A274" s="122"/>
      <c r="B274" s="155" t="s">
        <v>73</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74</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119</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120</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121</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122</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t="s">
        <v>123</v>
      </c>
      <c r="C280" s="113"/>
      <c r="D280" s="195"/>
      <c r="E280" s="195"/>
      <c r="F280" s="195"/>
      <c r="G280" s="195"/>
      <c r="H280" s="195"/>
      <c r="I280" s="195"/>
      <c r="J280" s="195"/>
      <c r="K280" s="195"/>
      <c r="L280" s="195"/>
      <c r="M280" s="195"/>
      <c r="N280" s="155">
        <v>0</v>
      </c>
      <c r="O280" s="193">
        <v>0</v>
      </c>
      <c r="P280" s="156">
        <v>0</v>
      </c>
      <c r="Q280" s="193">
        <v>0</v>
      </c>
      <c r="R280" s="113"/>
      <c r="S280" s="116"/>
      <c r="T280" s="2"/>
    </row>
    <row r="281" spans="1:20" ht="15.6" x14ac:dyDescent="0.3">
      <c r="A281" s="122"/>
      <c r="B281" s="155"/>
      <c r="C281" s="113"/>
      <c r="D281" s="195"/>
      <c r="E281" s="195"/>
      <c r="F281" s="195"/>
      <c r="G281" s="195"/>
      <c r="H281" s="195"/>
      <c r="I281" s="195"/>
      <c r="J281" s="195"/>
      <c r="K281" s="195"/>
      <c r="L281" s="195"/>
      <c r="M281" s="195"/>
      <c r="N281" s="155"/>
      <c r="O281" s="193"/>
      <c r="P281" s="156"/>
      <c r="Q281" s="193"/>
      <c r="R281" s="113"/>
      <c r="S281" s="116"/>
      <c r="T281" s="2"/>
    </row>
    <row r="282" spans="1:20" ht="15.6" x14ac:dyDescent="0.3">
      <c r="A282" s="122"/>
      <c r="B282" s="113" t="s">
        <v>94</v>
      </c>
      <c r="C282" s="113"/>
      <c r="D282" s="195"/>
      <c r="E282" s="195"/>
      <c r="F282" s="195"/>
      <c r="G282" s="195"/>
      <c r="H282" s="195"/>
      <c r="I282" s="195"/>
      <c r="J282" s="195"/>
      <c r="K282" s="195"/>
      <c r="L282" s="195"/>
      <c r="M282" s="195"/>
      <c r="N282" s="155">
        <f>SUM(N273:N280)</f>
        <v>0</v>
      </c>
      <c r="O282" s="193">
        <f>SUM(O273:O280)</f>
        <v>0</v>
      </c>
      <c r="P282" s="156">
        <f>SUM(P273:P280)</f>
        <v>0</v>
      </c>
      <c r="Q282" s="193">
        <f>SUM(Q273:Q280)</f>
        <v>0</v>
      </c>
      <c r="R282" s="113"/>
      <c r="S282" s="116"/>
      <c r="T282" s="2"/>
    </row>
    <row r="283" spans="1:20" ht="15.6" x14ac:dyDescent="0.3">
      <c r="A283" s="122"/>
      <c r="B283" s="113"/>
      <c r="C283" s="113"/>
      <c r="D283" s="195"/>
      <c r="E283" s="195"/>
      <c r="F283" s="195"/>
      <c r="G283" s="195"/>
      <c r="H283" s="195"/>
      <c r="I283" s="195"/>
      <c r="J283" s="195"/>
      <c r="K283" s="195"/>
      <c r="L283" s="195"/>
      <c r="M283" s="195"/>
      <c r="N283" s="155"/>
      <c r="O283" s="193"/>
      <c r="P283" s="156"/>
      <c r="Q283" s="193"/>
      <c r="R283" s="113"/>
      <c r="S283" s="116"/>
      <c r="T283" s="2"/>
    </row>
    <row r="284" spans="1:20" ht="15.6" x14ac:dyDescent="0.3">
      <c r="A284" s="122"/>
      <c r="B284" s="124" t="s">
        <v>182</v>
      </c>
      <c r="C284" s="113"/>
      <c r="D284" s="195"/>
      <c r="E284" s="195"/>
      <c r="F284" s="195"/>
      <c r="G284" s="195"/>
      <c r="H284" s="195"/>
      <c r="I284" s="195"/>
      <c r="J284" s="195"/>
      <c r="K284" s="195"/>
      <c r="L284" s="195"/>
      <c r="M284" s="195"/>
      <c r="N284" s="197">
        <f>N282+N270+N258</f>
        <v>720</v>
      </c>
      <c r="O284" s="193"/>
      <c r="P284" s="198">
        <f>+P282+P270+P258</f>
        <v>108394</v>
      </c>
      <c r="Q284" s="193"/>
      <c r="R284" s="113"/>
      <c r="S284" s="116"/>
      <c r="T284" s="2"/>
    </row>
    <row r="285" spans="1:20" ht="15.6" x14ac:dyDescent="0.3">
      <c r="A285" s="122"/>
      <c r="B285" s="124" t="s">
        <v>247</v>
      </c>
      <c r="C285" s="124"/>
      <c r="D285" s="206"/>
      <c r="E285" s="206"/>
      <c r="F285" s="206"/>
      <c r="G285" s="206"/>
      <c r="H285" s="206"/>
      <c r="I285" s="206"/>
      <c r="J285" s="206"/>
      <c r="K285" s="206"/>
      <c r="L285" s="206"/>
      <c r="M285" s="206"/>
      <c r="N285" s="197"/>
      <c r="O285" s="207"/>
      <c r="P285" s="208">
        <f>+R171</f>
        <v>0</v>
      </c>
      <c r="Q285" s="193"/>
      <c r="R285" s="113"/>
      <c r="S285" s="116"/>
      <c r="T285" s="2"/>
    </row>
    <row r="286" spans="1:20" ht="15.6" x14ac:dyDescent="0.3">
      <c r="A286" s="122"/>
      <c r="B286" s="124" t="s">
        <v>126</v>
      </c>
      <c r="C286" s="124"/>
      <c r="D286" s="206"/>
      <c r="E286" s="206"/>
      <c r="F286" s="206"/>
      <c r="G286" s="206"/>
      <c r="H286" s="206"/>
      <c r="I286" s="206"/>
      <c r="J286" s="206"/>
      <c r="K286" s="206"/>
      <c r="L286" s="206"/>
      <c r="M286" s="206"/>
      <c r="N286" s="197"/>
      <c r="O286" s="207"/>
      <c r="P286" s="208">
        <f>+P284+P285</f>
        <v>108394</v>
      </c>
      <c r="Q286" s="193"/>
      <c r="R286" s="113"/>
      <c r="S286" s="116"/>
      <c r="T286" s="2"/>
    </row>
    <row r="287" spans="1:20" ht="15.6" x14ac:dyDescent="0.3">
      <c r="A287" s="122"/>
      <c r="B287" s="124" t="s">
        <v>181</v>
      </c>
      <c r="C287" s="113"/>
      <c r="D287" s="195"/>
      <c r="E287" s="195"/>
      <c r="F287" s="195"/>
      <c r="G287" s="195"/>
      <c r="H287" s="195"/>
      <c r="I287" s="195"/>
      <c r="J287" s="195"/>
      <c r="K287" s="195"/>
      <c r="L287" s="195"/>
      <c r="M287" s="195"/>
      <c r="N287" s="197"/>
      <c r="O287" s="193"/>
      <c r="P287" s="198">
        <f>+R72</f>
        <v>108394</v>
      </c>
      <c r="Q287" s="193"/>
      <c r="R287" s="113"/>
      <c r="S287" s="116"/>
      <c r="T287" s="2"/>
    </row>
    <row r="288" spans="1:20" ht="15.6" x14ac:dyDescent="0.3">
      <c r="A288" s="122"/>
      <c r="B288" s="124"/>
      <c r="C288" s="113"/>
      <c r="D288" s="195"/>
      <c r="E288" s="195"/>
      <c r="F288" s="195"/>
      <c r="G288" s="195"/>
      <c r="H288" s="195"/>
      <c r="I288" s="195"/>
      <c r="J288" s="195"/>
      <c r="K288" s="195"/>
      <c r="L288" s="195"/>
      <c r="M288" s="195"/>
      <c r="N288" s="197"/>
      <c r="O288" s="193"/>
      <c r="P288" s="198"/>
      <c r="Q288" s="193"/>
      <c r="R288" s="113"/>
      <c r="S288" s="116"/>
      <c r="T288" s="2"/>
    </row>
    <row r="289" spans="1:20" ht="15.6" x14ac:dyDescent="0.3">
      <c r="A289" s="122"/>
      <c r="B289" s="124" t="s">
        <v>221</v>
      </c>
      <c r="C289" s="113"/>
      <c r="D289" s="195"/>
      <c r="E289" s="195"/>
      <c r="F289" s="195"/>
      <c r="G289" s="195"/>
      <c r="H289" s="195"/>
      <c r="I289" s="195"/>
      <c r="J289" s="195"/>
      <c r="K289" s="195"/>
      <c r="L289" s="195"/>
      <c r="M289" s="195"/>
      <c r="N289" s="197"/>
      <c r="O289" s="193"/>
      <c r="P289" s="215">
        <f>(J30+R138)/R30</f>
        <v>0.11578105762443922</v>
      </c>
      <c r="Q289" s="193"/>
      <c r="R289" s="113"/>
      <c r="S289" s="116"/>
      <c r="T289" s="2"/>
    </row>
    <row r="290" spans="1:20" ht="15.6" x14ac:dyDescent="0.3">
      <c r="A290" s="83"/>
      <c r="B290" s="84"/>
      <c r="C290" s="84"/>
      <c r="D290" s="85"/>
      <c r="E290" s="85"/>
      <c r="F290" s="85"/>
      <c r="G290" s="85"/>
      <c r="H290" s="85"/>
      <c r="I290" s="85"/>
      <c r="J290" s="85"/>
      <c r="K290" s="85"/>
      <c r="L290" s="85"/>
      <c r="M290" s="85"/>
      <c r="N290" s="85"/>
      <c r="O290" s="85"/>
      <c r="P290" s="86"/>
      <c r="Q290" s="85"/>
      <c r="R290" s="84"/>
      <c r="S290" s="219"/>
      <c r="T290" s="2"/>
    </row>
    <row r="291" spans="1:20" ht="15.6" x14ac:dyDescent="0.3">
      <c r="A291" s="87"/>
      <c r="B291" s="88" t="s">
        <v>75</v>
      </c>
      <c r="C291" s="84"/>
      <c r="D291" s="89" t="s">
        <v>79</v>
      </c>
      <c r="E291" s="88"/>
      <c r="F291" s="88" t="s">
        <v>80</v>
      </c>
      <c r="G291" s="84"/>
      <c r="H291" s="88"/>
      <c r="I291" s="90"/>
      <c r="J291" s="90"/>
      <c r="K291" s="90"/>
      <c r="L291" s="90"/>
      <c r="M291" s="90"/>
      <c r="N291" s="90"/>
      <c r="O291" s="90"/>
      <c r="P291" s="90"/>
      <c r="Q291" s="90"/>
      <c r="R291" s="90"/>
      <c r="S291" s="230"/>
      <c r="T291" s="2"/>
    </row>
    <row r="292" spans="1:20" ht="15.6" x14ac:dyDescent="0.3">
      <c r="A292" s="87"/>
      <c r="B292" s="90"/>
      <c r="C292" s="84"/>
      <c r="D292" s="84"/>
      <c r="E292" s="84"/>
      <c r="F292" s="84"/>
      <c r="G292" s="84"/>
      <c r="H292" s="84"/>
      <c r="I292" s="90"/>
      <c r="J292" s="90"/>
      <c r="K292" s="90"/>
      <c r="L292" s="90"/>
      <c r="M292" s="90"/>
      <c r="N292" s="90"/>
      <c r="O292" s="90"/>
      <c r="P292" s="90"/>
      <c r="Q292" s="90"/>
      <c r="R292" s="90"/>
      <c r="S292" s="230"/>
      <c r="T292" s="2"/>
    </row>
    <row r="293" spans="1:20" ht="15.6" x14ac:dyDescent="0.3">
      <c r="A293" s="87"/>
      <c r="B293" s="214" t="s">
        <v>212</v>
      </c>
      <c r="C293" s="88"/>
      <c r="D293" s="91" t="s">
        <v>147</v>
      </c>
      <c r="E293" s="88"/>
      <c r="F293" s="88" t="s">
        <v>148</v>
      </c>
      <c r="G293" s="88"/>
      <c r="H293" s="88"/>
      <c r="I293" s="90"/>
      <c r="J293" s="90"/>
      <c r="K293" s="90"/>
      <c r="L293" s="90"/>
      <c r="M293" s="90"/>
      <c r="N293" s="90"/>
      <c r="O293" s="90"/>
      <c r="P293" s="90"/>
      <c r="Q293" s="90"/>
      <c r="R293" s="90"/>
      <c r="S293" s="230"/>
      <c r="T293" s="2"/>
    </row>
    <row r="294" spans="1:20" ht="15.6" x14ac:dyDescent="0.3">
      <c r="A294" s="87"/>
      <c r="B294" s="214" t="s">
        <v>213</v>
      </c>
      <c r="C294" s="88"/>
      <c r="D294" s="91" t="s">
        <v>114</v>
      </c>
      <c r="E294" s="88"/>
      <c r="F294" s="88" t="s">
        <v>117</v>
      </c>
      <c r="G294" s="88"/>
      <c r="H294" s="88"/>
      <c r="I294" s="90"/>
      <c r="J294" s="90"/>
      <c r="K294" s="90"/>
      <c r="L294" s="90"/>
      <c r="M294" s="90"/>
      <c r="N294" s="90"/>
      <c r="O294" s="90"/>
      <c r="P294" s="90"/>
      <c r="Q294" s="90"/>
      <c r="R294" s="90"/>
      <c r="S294" s="230"/>
      <c r="T294" s="2"/>
    </row>
    <row r="295" spans="1:20" ht="15.6" x14ac:dyDescent="0.3">
      <c r="A295" s="87"/>
      <c r="B295" s="88"/>
      <c r="C295" s="88"/>
      <c r="D295" s="90"/>
      <c r="E295" s="90"/>
      <c r="F295" s="90"/>
      <c r="G295" s="90"/>
      <c r="H295" s="90"/>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8" thickBot="1" x14ac:dyDescent="0.35">
      <c r="A297" s="87"/>
      <c r="B297" s="92" t="str">
        <f>B196</f>
        <v>PM21 INVESTOR REPORT QUARTER ENDING MAY 2017</v>
      </c>
      <c r="C297" s="88"/>
      <c r="D297" s="90"/>
      <c r="E297" s="90"/>
      <c r="F297" s="90"/>
      <c r="G297" s="90"/>
      <c r="H297" s="90"/>
      <c r="I297" s="90"/>
      <c r="J297" s="90"/>
      <c r="K297" s="90"/>
      <c r="L297" s="90"/>
      <c r="M297" s="90"/>
      <c r="N297" s="90"/>
      <c r="O297" s="90"/>
      <c r="P297" s="90"/>
      <c r="Q297" s="90"/>
      <c r="R297" s="90"/>
      <c r="S297" s="99"/>
      <c r="T297" s="2"/>
    </row>
    <row r="298" spans="1:20" x14ac:dyDescent="0.25">
      <c r="A298" s="3"/>
      <c r="B298" s="3"/>
      <c r="C298" s="3"/>
      <c r="D298" s="3"/>
      <c r="E298" s="3"/>
      <c r="F298" s="3"/>
      <c r="G298" s="3"/>
      <c r="H298" s="3"/>
      <c r="I298" s="3"/>
      <c r="J298" s="3"/>
      <c r="K298" s="3"/>
      <c r="L298" s="3"/>
      <c r="M298" s="3"/>
      <c r="N298" s="3"/>
      <c r="O298" s="3"/>
      <c r="P298" s="3"/>
      <c r="Q298" s="3"/>
      <c r="R298" s="3"/>
      <c r="S298"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29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42996</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265</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218</v>
      </c>
      <c r="G26" s="119"/>
      <c r="H26" s="119" t="s">
        <v>219</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76294.242180000001</v>
      </c>
      <c r="E29" s="130"/>
      <c r="F29" s="202">
        <f>F28*F32</f>
        <v>17700</v>
      </c>
      <c r="G29" s="202"/>
      <c r="H29" s="202">
        <f>H28*H32</f>
        <v>8100</v>
      </c>
      <c r="I29" s="126"/>
      <c r="J29" s="202">
        <f>J28*J32</f>
        <v>6300</v>
      </c>
      <c r="K29" s="126"/>
      <c r="L29" s="130"/>
      <c r="M29" s="126"/>
      <c r="N29" s="130"/>
      <c r="O29" s="126"/>
      <c r="P29" s="126"/>
      <c r="Q29" s="127"/>
      <c r="R29" s="126">
        <f>SUM(D29:J29)</f>
        <v>108394.24218</v>
      </c>
      <c r="S29" s="128"/>
      <c r="T29" s="2"/>
    </row>
    <row r="30" spans="1:23" ht="15.6" x14ac:dyDescent="0.3">
      <c r="A30" s="122"/>
      <c r="B30" s="121" t="s">
        <v>107</v>
      </c>
      <c r="C30" s="125"/>
      <c r="D30" s="203">
        <f>D28*D31</f>
        <v>61136.943859999992</v>
      </c>
      <c r="E30" s="203"/>
      <c r="F30" s="203">
        <f t="shared" ref="F30:J30" si="0">F28*F31</f>
        <v>17700</v>
      </c>
      <c r="G30" s="203"/>
      <c r="H30" s="203">
        <f>H28*H31</f>
        <v>8100</v>
      </c>
      <c r="I30" s="203"/>
      <c r="J30" s="203">
        <f t="shared" si="0"/>
        <v>6300</v>
      </c>
      <c r="K30" s="131"/>
      <c r="L30" s="133"/>
      <c r="M30" s="131"/>
      <c r="N30" s="133"/>
      <c r="O30" s="126"/>
      <c r="P30" s="126"/>
      <c r="Q30" s="127"/>
      <c r="R30" s="204">
        <f>SUM(D30:J30)</f>
        <v>93236.943859999999</v>
      </c>
      <c r="S30" s="128"/>
      <c r="T30" s="2"/>
    </row>
    <row r="31" spans="1:23" ht="15.6" x14ac:dyDescent="0.3">
      <c r="A31" s="112"/>
      <c r="B31" s="134" t="s">
        <v>103</v>
      </c>
      <c r="C31" s="135"/>
      <c r="D31" s="136">
        <v>0.28057339999999997</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0.35013420000000001</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1.08869E-2</v>
      </c>
      <c r="E34" s="143"/>
      <c r="F34" s="143">
        <v>1.68869E-2</v>
      </c>
      <c r="G34" s="143"/>
      <c r="H34" s="143">
        <v>2.0386899999999999E-2</v>
      </c>
      <c r="I34" s="143"/>
      <c r="J34" s="143">
        <v>2.3886899999999999E-2</v>
      </c>
      <c r="K34" s="143"/>
      <c r="L34" s="143"/>
      <c r="M34" s="142"/>
      <c r="N34" s="143"/>
      <c r="O34" s="123"/>
      <c r="P34" s="123"/>
      <c r="Q34" s="115"/>
      <c r="R34" s="142">
        <f>SUMPRODUCT(D34:J34,D29:J29)/R29</f>
        <v>1.3332140583534472E-2</v>
      </c>
      <c r="S34" s="116"/>
      <c r="T34" s="2"/>
    </row>
    <row r="35" spans="1:21" ht="15.6" x14ac:dyDescent="0.3">
      <c r="A35" s="112"/>
      <c r="B35" s="113" t="s">
        <v>10</v>
      </c>
      <c r="C35" s="144"/>
      <c r="D35" s="143">
        <v>1.1438800000000001E-2</v>
      </c>
      <c r="E35" s="143"/>
      <c r="F35" s="143">
        <v>1.7438800000000001E-2</v>
      </c>
      <c r="G35" s="143"/>
      <c r="H35" s="143">
        <v>2.09388E-2</v>
      </c>
      <c r="I35" s="143"/>
      <c r="J35" s="143">
        <v>2.44388E-2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0.52505077901026775</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42993</v>
      </c>
      <c r="S45" s="116"/>
      <c r="T45" s="2"/>
    </row>
    <row r="46" spans="1:21" ht="15.6" x14ac:dyDescent="0.3">
      <c r="A46" s="112"/>
      <c r="B46" s="113" t="s">
        <v>99</v>
      </c>
      <c r="C46" s="113"/>
      <c r="D46" s="150"/>
      <c r="E46" s="150"/>
      <c r="F46" s="150"/>
      <c r="G46" s="150"/>
      <c r="H46" s="150"/>
      <c r="I46" s="150"/>
      <c r="J46" s="150"/>
      <c r="K46" s="150"/>
      <c r="L46" s="150"/>
      <c r="M46" s="150"/>
      <c r="N46" s="113">
        <v>91</v>
      </c>
      <c r="O46" s="113"/>
      <c r="P46" s="151">
        <v>42809</v>
      </c>
      <c r="Q46" s="152"/>
      <c r="R46" s="151">
        <v>42900</v>
      </c>
      <c r="S46" s="116"/>
      <c r="T46" s="2"/>
    </row>
    <row r="47" spans="1:21" ht="15.6" x14ac:dyDescent="0.3">
      <c r="A47" s="112"/>
      <c r="B47" s="113" t="s">
        <v>100</v>
      </c>
      <c r="C47" s="113"/>
      <c r="D47" s="113"/>
      <c r="E47" s="113"/>
      <c r="F47" s="113"/>
      <c r="G47" s="113"/>
      <c r="H47" s="113"/>
      <c r="I47" s="113"/>
      <c r="J47" s="113"/>
      <c r="K47" s="113"/>
      <c r="L47" s="113"/>
      <c r="M47" s="113"/>
      <c r="N47" s="113">
        <f>+R47-P47+1</f>
        <v>92</v>
      </c>
      <c r="O47" s="113"/>
      <c r="P47" s="151">
        <v>42901</v>
      </c>
      <c r="Q47" s="152"/>
      <c r="R47" s="151">
        <v>42992</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42979</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270</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108394</v>
      </c>
      <c r="I56" s="155"/>
      <c r="J56" s="156">
        <v>66</v>
      </c>
      <c r="K56" s="155"/>
      <c r="L56" s="155">
        <v>11883</v>
      </c>
      <c r="M56" s="155"/>
      <c r="N56" s="155">
        <v>0</v>
      </c>
      <c r="O56" s="155"/>
      <c r="P56" s="155">
        <f>550+1530+1128</f>
        <v>3208</v>
      </c>
      <c r="Q56" s="155"/>
      <c r="R56" s="156">
        <f>H56-J56-L56+N56-P56</f>
        <v>93237</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108394</v>
      </c>
      <c r="I59" s="155"/>
      <c r="J59" s="155">
        <f>J56+J57</f>
        <v>66</v>
      </c>
      <c r="K59" s="155"/>
      <c r="L59" s="155">
        <f>SUM(L56:L58)</f>
        <v>11883</v>
      </c>
      <c r="M59" s="155"/>
      <c r="N59" s="155">
        <f>SUM(N56:N58)</f>
        <v>0</v>
      </c>
      <c r="O59" s="155"/>
      <c r="P59" s="155">
        <f>SUM(P56:P58)</f>
        <v>3208</v>
      </c>
      <c r="Q59" s="155"/>
      <c r="R59" s="155">
        <f>SUM(R56:R58)</f>
        <v>93237</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0</v>
      </c>
      <c r="I70" s="155"/>
      <c r="J70" s="155"/>
      <c r="K70" s="155"/>
      <c r="L70" s="155"/>
      <c r="M70" s="155"/>
      <c r="N70" s="155">
        <v>0</v>
      </c>
      <c r="O70" s="155"/>
      <c r="P70" s="155"/>
      <c r="Q70" s="155"/>
      <c r="R70" s="155">
        <f>+H70+N70</f>
        <v>0</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108394</v>
      </c>
      <c r="I72" s="155"/>
      <c r="J72" s="155"/>
      <c r="K72" s="155"/>
      <c r="L72" s="155"/>
      <c r="M72" s="155"/>
      <c r="N72" s="155"/>
      <c r="O72" s="155"/>
      <c r="P72" s="155"/>
      <c r="Q72" s="155"/>
      <c r="R72" s="155">
        <f>SUM(R59:R71)</f>
        <v>93237</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+P197</f>
        <v>42978</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0</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v>0</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+J56+L56+P56</f>
        <v>15157</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1393-233</f>
        <v>1160</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48</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10</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53</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15157</v>
      </c>
      <c r="Q89" s="113"/>
      <c r="R89" s="155">
        <f>SUM(R76:R88)</f>
        <v>1271</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15157</v>
      </c>
      <c r="Q92" s="113"/>
      <c r="R92" s="155">
        <f>R89+R90+R91</f>
        <v>1271</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267</v>
      </c>
      <c r="C96" s="113"/>
      <c r="D96" s="135"/>
      <c r="E96" s="135"/>
      <c r="F96" s="135"/>
      <c r="G96" s="135"/>
      <c r="H96" s="135"/>
      <c r="I96" s="135"/>
      <c r="J96" s="135"/>
      <c r="K96" s="135"/>
      <c r="L96" s="135"/>
      <c r="M96" s="135"/>
      <c r="N96" s="135"/>
      <c r="O96" s="135"/>
      <c r="P96" s="113"/>
      <c r="Q96" s="113"/>
      <c r="R96" s="156">
        <f>-41-10-3</f>
        <v>-54</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-55</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-209</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-75</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-42</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0</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-38</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-41</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-11-157</f>
        <v>-168</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-566</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-P179</f>
        <v>0</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f>-O179</f>
        <v>0</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-15157</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-15157</v>
      </c>
      <c r="Q119" s="155"/>
      <c r="R119" s="155">
        <f>SUM(R93:R118)</f>
        <v>-1271</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AUGUST 2017</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4076.5764034999997</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2173.4235965000003</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v>0</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0</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0</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0</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+'May 17'!R164</f>
        <v>862</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268</v>
      </c>
      <c r="C162" s="113"/>
      <c r="D162" s="113"/>
      <c r="E162" s="113"/>
      <c r="F162" s="113"/>
      <c r="G162" s="113"/>
      <c r="H162" s="113"/>
      <c r="I162" s="113"/>
      <c r="J162" s="113"/>
      <c r="K162" s="113"/>
      <c r="L162" s="113"/>
      <c r="M162" s="113"/>
      <c r="N162" s="113"/>
      <c r="O162" s="113"/>
      <c r="P162" s="113"/>
      <c r="Q162" s="113"/>
      <c r="R162" s="156">
        <v>3</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144</v>
      </c>
      <c r="C163" s="113"/>
      <c r="D163" s="113"/>
      <c r="E163" s="113"/>
      <c r="F163" s="113"/>
      <c r="G163" s="113"/>
      <c r="H163" s="113"/>
      <c r="I163" s="113"/>
      <c r="J163" s="113"/>
      <c r="K163" s="113"/>
      <c r="L163" s="113"/>
      <c r="M163" s="113"/>
      <c r="N163" s="113"/>
      <c r="O163" s="113"/>
      <c r="P163" s="113"/>
      <c r="Q163" s="113"/>
      <c r="R163" s="156">
        <f>R84</f>
        <v>53</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6" x14ac:dyDescent="0.3">
      <c r="A164" s="112"/>
      <c r="B164" s="113" t="s">
        <v>142</v>
      </c>
      <c r="C164" s="113"/>
      <c r="D164" s="113"/>
      <c r="E164" s="113"/>
      <c r="F164" s="113"/>
      <c r="G164" s="113"/>
      <c r="H164" s="113"/>
      <c r="I164" s="113"/>
      <c r="J164" s="113"/>
      <c r="K164" s="113"/>
      <c r="L164" s="113"/>
      <c r="M164" s="113"/>
      <c r="N164" s="113"/>
      <c r="O164" s="113"/>
      <c r="P164" s="113"/>
      <c r="Q164" s="113"/>
      <c r="R164" s="156">
        <f>+R161+R162-R163</f>
        <v>812</v>
      </c>
      <c r="S164" s="116"/>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2" thickBot="1" x14ac:dyDescent="0.35">
      <c r="A165" s="28"/>
      <c r="B165" s="43"/>
      <c r="C165" s="43"/>
      <c r="D165" s="43"/>
      <c r="E165" s="43"/>
      <c r="F165" s="43"/>
      <c r="G165" s="43"/>
      <c r="H165" s="43"/>
      <c r="I165" s="43"/>
      <c r="J165" s="43"/>
      <c r="K165" s="43"/>
      <c r="L165" s="43"/>
      <c r="M165" s="43"/>
      <c r="N165" s="43"/>
      <c r="O165" s="43"/>
      <c r="P165" s="43"/>
      <c r="Q165" s="43"/>
      <c r="R165" s="162"/>
      <c r="S165" s="218"/>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6" x14ac:dyDescent="0.3">
      <c r="A166" s="10"/>
      <c r="B166" s="11"/>
      <c r="C166" s="11"/>
      <c r="D166" s="11"/>
      <c r="E166" s="11"/>
      <c r="F166" s="11"/>
      <c r="G166" s="11"/>
      <c r="H166" s="11"/>
      <c r="I166" s="11"/>
      <c r="J166" s="11"/>
      <c r="K166" s="11"/>
      <c r="L166" s="11"/>
      <c r="M166" s="11"/>
      <c r="N166" s="11"/>
      <c r="O166" s="11"/>
      <c r="P166" s="11"/>
      <c r="Q166" s="11"/>
      <c r="R166" s="32"/>
      <c r="S166" s="217"/>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6" x14ac:dyDescent="0.3">
      <c r="A167" s="12"/>
      <c r="B167" s="41" t="s">
        <v>44</v>
      </c>
      <c r="C167" s="14"/>
      <c r="D167" s="14"/>
      <c r="E167" s="14"/>
      <c r="F167" s="14"/>
      <c r="G167" s="14"/>
      <c r="H167" s="14"/>
      <c r="I167" s="14"/>
      <c r="J167" s="14"/>
      <c r="K167" s="14"/>
      <c r="L167" s="14"/>
      <c r="M167" s="14"/>
      <c r="N167" s="14"/>
      <c r="O167" s="14"/>
      <c r="P167" s="14"/>
      <c r="Q167" s="14"/>
      <c r="R167" s="33"/>
      <c r="S167" s="218"/>
      <c r="T167" s="2"/>
    </row>
    <row r="168" spans="1:252" ht="15.6" x14ac:dyDescent="0.3">
      <c r="A168" s="12"/>
      <c r="B168" s="22"/>
      <c r="C168" s="14"/>
      <c r="D168" s="14"/>
      <c r="E168" s="14"/>
      <c r="F168" s="14"/>
      <c r="G168" s="14"/>
      <c r="H168" s="14"/>
      <c r="I168" s="14"/>
      <c r="J168" s="14"/>
      <c r="K168" s="14"/>
      <c r="L168" s="14"/>
      <c r="M168" s="14"/>
      <c r="N168" s="14"/>
      <c r="O168" s="14"/>
      <c r="P168" s="14"/>
      <c r="Q168" s="14"/>
      <c r="R168" s="33"/>
      <c r="S168" s="218"/>
      <c r="T168" s="2"/>
    </row>
    <row r="169" spans="1:252" ht="15.6" x14ac:dyDescent="0.3">
      <c r="A169" s="112"/>
      <c r="B169" s="113" t="s">
        <v>177</v>
      </c>
      <c r="C169" s="113"/>
      <c r="D169" s="113"/>
      <c r="E169" s="113"/>
      <c r="F169" s="113"/>
      <c r="G169" s="113"/>
      <c r="H169" s="113"/>
      <c r="I169" s="113"/>
      <c r="J169" s="113"/>
      <c r="K169" s="113"/>
      <c r="L169" s="113"/>
      <c r="M169" s="113"/>
      <c r="N169" s="113"/>
      <c r="O169" s="113"/>
      <c r="P169" s="113"/>
      <c r="Q169" s="113"/>
      <c r="R169" s="156">
        <f>+R59</f>
        <v>93237</v>
      </c>
      <c r="S169" s="116"/>
      <c r="T169" s="2"/>
    </row>
    <row r="170" spans="1:252" ht="15.6" x14ac:dyDescent="0.3">
      <c r="A170" s="112"/>
      <c r="B170" s="113" t="s">
        <v>178</v>
      </c>
      <c r="C170" s="113"/>
      <c r="D170" s="113"/>
      <c r="E170" s="113"/>
      <c r="F170" s="113"/>
      <c r="G170" s="113"/>
      <c r="H170" s="113"/>
      <c r="I170" s="113"/>
      <c r="J170" s="113"/>
      <c r="K170" s="113"/>
      <c r="L170" s="113"/>
      <c r="M170" s="113"/>
      <c r="N170" s="113"/>
      <c r="O170" s="113"/>
      <c r="P170" s="113"/>
      <c r="Q170" s="113"/>
      <c r="R170" s="156">
        <f>+R69</f>
        <v>0</v>
      </c>
      <c r="S170" s="116"/>
      <c r="T170" s="2"/>
    </row>
    <row r="171" spans="1:252" ht="15.6" x14ac:dyDescent="0.3">
      <c r="A171" s="112"/>
      <c r="B171" s="113" t="s">
        <v>246</v>
      </c>
      <c r="C171" s="113"/>
      <c r="D171" s="113"/>
      <c r="E171" s="113"/>
      <c r="F171" s="113"/>
      <c r="G171" s="113"/>
      <c r="H171" s="113"/>
      <c r="I171" s="113"/>
      <c r="J171" s="113"/>
      <c r="K171" s="113"/>
      <c r="L171" s="113"/>
      <c r="M171" s="113"/>
      <c r="N171" s="113"/>
      <c r="O171" s="113"/>
      <c r="P171" s="113"/>
      <c r="Q171" s="113"/>
      <c r="R171" s="156">
        <f>+R70</f>
        <v>0</v>
      </c>
      <c r="S171" s="116"/>
      <c r="T171" s="2"/>
    </row>
    <row r="172" spans="1:252" ht="15.6" x14ac:dyDescent="0.3">
      <c r="A172" s="112"/>
      <c r="B172" s="113" t="s">
        <v>126</v>
      </c>
      <c r="C172" s="113"/>
      <c r="D172" s="113"/>
      <c r="E172" s="113"/>
      <c r="F172" s="113"/>
      <c r="G172" s="113"/>
      <c r="H172" s="113"/>
      <c r="I172" s="113"/>
      <c r="J172" s="113"/>
      <c r="K172" s="113"/>
      <c r="L172" s="113"/>
      <c r="M172" s="113"/>
      <c r="N172" s="113"/>
      <c r="O172" s="113"/>
      <c r="P172" s="113"/>
      <c r="Q172" s="113"/>
      <c r="R172" s="156">
        <f>+R169+R170+R171</f>
        <v>93237</v>
      </c>
      <c r="S172" s="116"/>
      <c r="T172" s="2"/>
    </row>
    <row r="173" spans="1:252" ht="15.6" x14ac:dyDescent="0.3">
      <c r="A173" s="112"/>
      <c r="B173" s="113" t="s">
        <v>45</v>
      </c>
      <c r="C173" s="113"/>
      <c r="D173" s="113"/>
      <c r="E173" s="113"/>
      <c r="F173" s="113"/>
      <c r="G173" s="113"/>
      <c r="H173" s="113"/>
      <c r="I173" s="113"/>
      <c r="J173" s="113"/>
      <c r="K173" s="113"/>
      <c r="L173" s="113"/>
      <c r="M173" s="113"/>
      <c r="N173" s="113"/>
      <c r="O173" s="113"/>
      <c r="P173" s="113"/>
      <c r="Q173" s="113"/>
      <c r="R173" s="156">
        <f>R72</f>
        <v>93237</v>
      </c>
      <c r="S173" s="116"/>
      <c r="T173" s="2"/>
    </row>
    <row r="174" spans="1:252" ht="16.2" thickBot="1" x14ac:dyDescent="0.35">
      <c r="A174" s="12"/>
      <c r="B174" s="43"/>
      <c r="C174" s="43"/>
      <c r="D174" s="43"/>
      <c r="E174" s="43"/>
      <c r="F174" s="43"/>
      <c r="G174" s="43"/>
      <c r="H174" s="43"/>
      <c r="I174" s="43"/>
      <c r="J174" s="43"/>
      <c r="K174" s="43"/>
      <c r="L174" s="43"/>
      <c r="M174" s="43"/>
      <c r="N174" s="43"/>
      <c r="O174" s="43"/>
      <c r="P174" s="43"/>
      <c r="Q174" s="43"/>
      <c r="R174" s="162"/>
      <c r="S174" s="218"/>
      <c r="T174" s="2"/>
    </row>
    <row r="175" spans="1:252" ht="15.6" x14ac:dyDescent="0.3">
      <c r="A175" s="10"/>
      <c r="B175" s="11"/>
      <c r="C175" s="11"/>
      <c r="D175" s="11"/>
      <c r="E175" s="11"/>
      <c r="F175" s="11"/>
      <c r="G175" s="11"/>
      <c r="H175" s="11"/>
      <c r="I175" s="11"/>
      <c r="J175" s="11"/>
      <c r="K175" s="11"/>
      <c r="L175" s="11"/>
      <c r="M175" s="11"/>
      <c r="N175" s="11"/>
      <c r="O175" s="11"/>
      <c r="P175" s="11"/>
      <c r="Q175" s="11"/>
      <c r="R175" s="32"/>
      <c r="S175" s="217"/>
      <c r="T175" s="2"/>
    </row>
    <row r="176" spans="1:252" ht="15.6" x14ac:dyDescent="0.3">
      <c r="A176" s="12"/>
      <c r="B176" s="41" t="s">
        <v>46</v>
      </c>
      <c r="C176" s="37"/>
      <c r="D176" s="45"/>
      <c r="E176" s="45"/>
      <c r="F176" s="45"/>
      <c r="G176" s="45"/>
      <c r="H176" s="45"/>
      <c r="I176" s="45"/>
      <c r="J176" s="45"/>
      <c r="K176" s="45"/>
      <c r="L176" s="45"/>
      <c r="M176" s="45"/>
      <c r="N176" s="45"/>
      <c r="O176" s="45" t="s">
        <v>82</v>
      </c>
      <c r="P176" s="45" t="s">
        <v>173</v>
      </c>
      <c r="Q176" s="16"/>
      <c r="R176" s="46" t="s">
        <v>94</v>
      </c>
      <c r="S176" s="225"/>
      <c r="T176" s="2"/>
    </row>
    <row r="177" spans="1:20" ht="15.6" x14ac:dyDescent="0.3">
      <c r="A177" s="112"/>
      <c r="B177" s="113" t="s">
        <v>47</v>
      </c>
      <c r="C177" s="113"/>
      <c r="D177" s="113"/>
      <c r="E177" s="113"/>
      <c r="F177" s="113"/>
      <c r="G177" s="113"/>
      <c r="H177" s="113"/>
      <c r="I177" s="113"/>
      <c r="J177" s="113"/>
      <c r="K177" s="113"/>
      <c r="L177" s="113"/>
      <c r="M177" s="113"/>
      <c r="N177" s="113"/>
      <c r="O177" s="156">
        <f>+R28*0.05</f>
        <v>12500</v>
      </c>
      <c r="P177" s="145"/>
      <c r="Q177" s="113"/>
      <c r="R177" s="156"/>
      <c r="S177" s="116"/>
      <c r="T177" s="2"/>
    </row>
    <row r="178" spans="1:20" ht="15.6" x14ac:dyDescent="0.3">
      <c r="A178" s="112"/>
      <c r="B178" s="113" t="s">
        <v>48</v>
      </c>
      <c r="C178" s="113"/>
      <c r="D178" s="113"/>
      <c r="E178" s="113"/>
      <c r="F178" s="113"/>
      <c r="G178" s="113"/>
      <c r="H178" s="113"/>
      <c r="I178" s="113"/>
      <c r="J178" s="113"/>
      <c r="K178" s="113"/>
      <c r="L178" s="113"/>
      <c r="M178" s="113"/>
      <c r="N178" s="113"/>
      <c r="O178" s="156">
        <f>+'May 17'!O180</f>
        <v>1069</v>
      </c>
      <c r="P178" s="156">
        <f>+'May 17'!P180</f>
        <v>517</v>
      </c>
      <c r="Q178" s="113"/>
      <c r="R178" s="156">
        <f>O178+P178</f>
        <v>1586</v>
      </c>
      <c r="S178" s="116"/>
      <c r="T178" s="2"/>
    </row>
    <row r="179" spans="1:20" ht="15.6" x14ac:dyDescent="0.3">
      <c r="A179" s="112"/>
      <c r="B179" s="113" t="s">
        <v>49</v>
      </c>
      <c r="C179" s="113"/>
      <c r="D179" s="113"/>
      <c r="E179" s="113"/>
      <c r="F179" s="113"/>
      <c r="G179" s="113"/>
      <c r="H179" s="113"/>
      <c r="I179" s="113"/>
      <c r="J179" s="113"/>
      <c r="K179" s="113"/>
      <c r="L179" s="113"/>
      <c r="M179" s="113"/>
      <c r="N179" s="113"/>
      <c r="O179" s="155">
        <v>0</v>
      </c>
      <c r="P179" s="155">
        <v>0</v>
      </c>
      <c r="Q179" s="113"/>
      <c r="R179" s="156">
        <f>O179+P179</f>
        <v>0</v>
      </c>
      <c r="S179" s="116"/>
      <c r="T179" s="2"/>
    </row>
    <row r="180" spans="1:20" ht="15.6" x14ac:dyDescent="0.3">
      <c r="A180" s="112"/>
      <c r="B180" s="113" t="s">
        <v>50</v>
      </c>
      <c r="C180" s="113"/>
      <c r="D180" s="113"/>
      <c r="E180" s="113"/>
      <c r="F180" s="113"/>
      <c r="G180" s="113"/>
      <c r="H180" s="113"/>
      <c r="I180" s="113"/>
      <c r="J180" s="113"/>
      <c r="K180" s="113"/>
      <c r="L180" s="113"/>
      <c r="M180" s="113"/>
      <c r="N180" s="113"/>
      <c r="O180" s="156">
        <f>O178+O179</f>
        <v>1069</v>
      </c>
      <c r="P180" s="156">
        <f>P179+P178</f>
        <v>517</v>
      </c>
      <c r="Q180" s="113"/>
      <c r="R180" s="156">
        <f>O180+P180</f>
        <v>1586</v>
      </c>
      <c r="S180" s="116"/>
      <c r="T180" s="2"/>
    </row>
    <row r="181" spans="1:20" ht="15.6" x14ac:dyDescent="0.3">
      <c r="A181" s="112"/>
      <c r="B181" s="113" t="s">
        <v>51</v>
      </c>
      <c r="C181" s="113"/>
      <c r="D181" s="113"/>
      <c r="E181" s="113"/>
      <c r="F181" s="113"/>
      <c r="G181" s="113"/>
      <c r="H181" s="113"/>
      <c r="I181" s="113"/>
      <c r="J181" s="113"/>
      <c r="K181" s="113"/>
      <c r="L181" s="113"/>
      <c r="M181" s="113"/>
      <c r="N181" s="113"/>
      <c r="O181" s="156">
        <f>O177-O180-P180</f>
        <v>10914</v>
      </c>
      <c r="P181" s="145"/>
      <c r="Q181" s="113"/>
      <c r="R181" s="156"/>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8"/>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7"/>
      <c r="T183" s="2"/>
    </row>
    <row r="184" spans="1:20" ht="15.6" x14ac:dyDescent="0.3">
      <c r="A184" s="12"/>
      <c r="B184" s="41" t="s">
        <v>52</v>
      </c>
      <c r="C184" s="14"/>
      <c r="D184" s="14"/>
      <c r="E184" s="14"/>
      <c r="F184" s="14"/>
      <c r="G184" s="14"/>
      <c r="H184" s="14"/>
      <c r="I184" s="14"/>
      <c r="J184" s="14"/>
      <c r="K184" s="14"/>
      <c r="L184" s="14"/>
      <c r="M184" s="14"/>
      <c r="N184" s="14"/>
      <c r="O184" s="14"/>
      <c r="P184" s="14"/>
      <c r="Q184" s="14"/>
      <c r="R184" s="47"/>
      <c r="S184" s="218"/>
      <c r="T184" s="2"/>
    </row>
    <row r="185" spans="1:20" ht="15.6" x14ac:dyDescent="0.3">
      <c r="A185" s="112"/>
      <c r="B185" s="113" t="s">
        <v>53</v>
      </c>
      <c r="C185" s="113"/>
      <c r="D185" s="113"/>
      <c r="E185" s="113"/>
      <c r="F185" s="113"/>
      <c r="G185" s="113"/>
      <c r="H185" s="113"/>
      <c r="I185" s="113"/>
      <c r="J185" s="113"/>
      <c r="K185" s="113"/>
      <c r="L185" s="113"/>
      <c r="M185" s="113"/>
      <c r="N185" s="113"/>
      <c r="O185" s="113"/>
      <c r="P185" s="113"/>
      <c r="Q185" s="113"/>
      <c r="R185" s="161">
        <f>(R92+R94+R95+R96+R97)/-(R98)</f>
        <v>5.5454545454545459</v>
      </c>
      <c r="S185" s="116" t="s">
        <v>95</v>
      </c>
      <c r="T185" s="2"/>
    </row>
    <row r="186" spans="1:20" ht="15.6" x14ac:dyDescent="0.3">
      <c r="A186" s="112"/>
      <c r="B186" s="113" t="s">
        <v>54</v>
      </c>
      <c r="C186" s="113"/>
      <c r="D186" s="113"/>
      <c r="E186" s="113"/>
      <c r="F186" s="113"/>
      <c r="G186" s="113"/>
      <c r="H186" s="113"/>
      <c r="I186" s="113"/>
      <c r="J186" s="113"/>
      <c r="K186" s="113"/>
      <c r="L186" s="113"/>
      <c r="M186" s="113"/>
      <c r="N186" s="113"/>
      <c r="O186" s="113"/>
      <c r="P186" s="113"/>
      <c r="Q186" s="113"/>
      <c r="R186" s="164">
        <v>3.78</v>
      </c>
      <c r="S186" s="116" t="s">
        <v>95</v>
      </c>
      <c r="T186" s="2"/>
    </row>
    <row r="187" spans="1:20" ht="15.6" x14ac:dyDescent="0.3">
      <c r="A187" s="112"/>
      <c r="B187" s="113" t="s">
        <v>192</v>
      </c>
      <c r="C187" s="113"/>
      <c r="D187" s="113"/>
      <c r="E187" s="113"/>
      <c r="F187" s="113"/>
      <c r="G187" s="113"/>
      <c r="H187" s="113"/>
      <c r="I187" s="113"/>
      <c r="J187" s="113"/>
      <c r="K187" s="113"/>
      <c r="L187" s="113"/>
      <c r="M187" s="113"/>
      <c r="N187" s="113"/>
      <c r="O187" s="113"/>
      <c r="P187" s="113"/>
      <c r="Q187" s="113"/>
      <c r="R187" s="161">
        <f>(R92+R94+R95+R96+R97+R98)/-(R99)</f>
        <v>12.666666666666666</v>
      </c>
      <c r="S187" s="116" t="s">
        <v>95</v>
      </c>
      <c r="T187" s="2"/>
    </row>
    <row r="188" spans="1:20" ht="15.6" x14ac:dyDescent="0.3">
      <c r="A188" s="112"/>
      <c r="B188" s="113" t="s">
        <v>193</v>
      </c>
      <c r="C188" s="113"/>
      <c r="D188" s="113"/>
      <c r="E188" s="113"/>
      <c r="F188" s="113"/>
      <c r="G188" s="113"/>
      <c r="H188" s="113"/>
      <c r="I188" s="113"/>
      <c r="J188" s="113"/>
      <c r="K188" s="113"/>
      <c r="L188" s="113"/>
      <c r="M188" s="113"/>
      <c r="N188" s="113"/>
      <c r="O188" s="113"/>
      <c r="P188" s="113"/>
      <c r="Q188" s="113"/>
      <c r="R188" s="164">
        <v>19.190000000000001</v>
      </c>
      <c r="S188" s="116" t="s">
        <v>95</v>
      </c>
      <c r="T188" s="2"/>
    </row>
    <row r="189" spans="1:20" ht="15.6" x14ac:dyDescent="0.3">
      <c r="A189" s="112"/>
      <c r="B189" s="113" t="s">
        <v>194</v>
      </c>
      <c r="C189" s="113"/>
      <c r="D189" s="113"/>
      <c r="E189" s="113"/>
      <c r="F189" s="113"/>
      <c r="G189" s="113"/>
      <c r="H189" s="113"/>
      <c r="I189" s="113"/>
      <c r="J189" s="113"/>
      <c r="K189" s="113"/>
      <c r="L189" s="113"/>
      <c r="M189" s="113"/>
      <c r="N189" s="113"/>
      <c r="O189" s="113"/>
      <c r="P189" s="113"/>
      <c r="Q189" s="113"/>
      <c r="R189" s="161">
        <f>(R92+R94+R95+R96+R97+R98+R99)/-(R100)</f>
        <v>20.833333333333332</v>
      </c>
      <c r="S189" s="116" t="s">
        <v>95</v>
      </c>
      <c r="T189" s="2"/>
    </row>
    <row r="190" spans="1:20" ht="15.6" x14ac:dyDescent="0.3">
      <c r="A190" s="112"/>
      <c r="B190" s="113" t="s">
        <v>195</v>
      </c>
      <c r="C190" s="113"/>
      <c r="D190" s="113"/>
      <c r="E190" s="113"/>
      <c r="F190" s="113"/>
      <c r="G190" s="113"/>
      <c r="H190" s="113"/>
      <c r="I190" s="113"/>
      <c r="J190" s="113"/>
      <c r="K190" s="113"/>
      <c r="L190" s="113"/>
      <c r="M190" s="113"/>
      <c r="N190" s="113"/>
      <c r="O190" s="113"/>
      <c r="P190" s="113"/>
      <c r="Q190" s="113"/>
      <c r="R190" s="164">
        <v>33.630000000000003</v>
      </c>
      <c r="S190" s="116" t="s">
        <v>95</v>
      </c>
      <c r="T190" s="2"/>
    </row>
    <row r="191" spans="1:20" ht="15.6" x14ac:dyDescent="0.3">
      <c r="A191" s="112"/>
      <c r="B191" s="113" t="s">
        <v>196</v>
      </c>
      <c r="C191" s="113"/>
      <c r="D191" s="113"/>
      <c r="E191" s="113"/>
      <c r="F191" s="113"/>
      <c r="G191" s="113"/>
      <c r="H191" s="113"/>
      <c r="I191" s="113"/>
      <c r="J191" s="113"/>
      <c r="K191" s="113"/>
      <c r="L191" s="113"/>
      <c r="M191" s="113"/>
      <c r="N191" s="113"/>
      <c r="O191" s="113"/>
      <c r="P191" s="113"/>
      <c r="Q191" s="113"/>
      <c r="R191" s="161">
        <f>(R92+R94+R95+R96+R97+R98+R99+R100+R101+R102+R103+R104+R105)/-(R106)</f>
        <v>21.394736842105264</v>
      </c>
      <c r="S191" s="116" t="s">
        <v>95</v>
      </c>
      <c r="T191" s="2"/>
    </row>
    <row r="192" spans="1:20" ht="15.6" x14ac:dyDescent="0.3">
      <c r="A192" s="112"/>
      <c r="B192" s="113" t="s">
        <v>197</v>
      </c>
      <c r="C192" s="113"/>
      <c r="D192" s="113"/>
      <c r="E192" s="113"/>
      <c r="F192" s="113"/>
      <c r="G192" s="113"/>
      <c r="H192" s="113"/>
      <c r="I192" s="113"/>
      <c r="J192" s="113"/>
      <c r="K192" s="113"/>
      <c r="L192" s="113"/>
      <c r="M192" s="113"/>
      <c r="N192" s="113"/>
      <c r="O192" s="113"/>
      <c r="P192" s="113"/>
      <c r="Q192" s="113"/>
      <c r="R192" s="164">
        <v>35.869999999999997</v>
      </c>
      <c r="S192" s="116" t="s">
        <v>95</v>
      </c>
      <c r="T192" s="2"/>
    </row>
    <row r="193" spans="1:20" ht="15.6" x14ac:dyDescent="0.3">
      <c r="A193" s="112"/>
      <c r="B193" s="113"/>
      <c r="C193" s="113"/>
      <c r="D193" s="113"/>
      <c r="E193" s="113"/>
      <c r="F193" s="113"/>
      <c r="G193" s="113"/>
      <c r="H193" s="113"/>
      <c r="I193" s="113"/>
      <c r="J193" s="113"/>
      <c r="K193" s="113"/>
      <c r="L193" s="113"/>
      <c r="M193" s="113"/>
      <c r="N193" s="113"/>
      <c r="O193" s="113"/>
      <c r="P193" s="113"/>
      <c r="Q193" s="113"/>
      <c r="R193" s="113"/>
      <c r="S193" s="116"/>
      <c r="T193" s="2"/>
    </row>
    <row r="194" spans="1:20" ht="15.6" x14ac:dyDescent="0.3">
      <c r="A194" s="12"/>
      <c r="B194" s="163"/>
      <c r="C194" s="163"/>
      <c r="D194" s="163"/>
      <c r="E194" s="163"/>
      <c r="F194" s="163"/>
      <c r="G194" s="163"/>
      <c r="H194" s="163"/>
      <c r="I194" s="163"/>
      <c r="J194" s="163"/>
      <c r="K194" s="163"/>
      <c r="L194" s="163"/>
      <c r="M194" s="163"/>
      <c r="N194" s="163"/>
      <c r="O194" s="163"/>
      <c r="P194" s="163"/>
      <c r="Q194" s="163"/>
      <c r="R194" s="163"/>
      <c r="S194" s="219"/>
      <c r="T194" s="2"/>
    </row>
    <row r="195" spans="1:20" ht="15.6" x14ac:dyDescent="0.3">
      <c r="A195" s="12"/>
      <c r="B195" s="84"/>
      <c r="C195" s="84"/>
      <c r="D195" s="84"/>
      <c r="E195" s="84"/>
      <c r="F195" s="84"/>
      <c r="G195" s="84"/>
      <c r="H195" s="84"/>
      <c r="I195" s="84"/>
      <c r="J195" s="84"/>
      <c r="K195" s="84"/>
      <c r="L195" s="84"/>
      <c r="M195" s="84"/>
      <c r="N195" s="84"/>
      <c r="O195" s="84"/>
      <c r="P195" s="84"/>
      <c r="Q195" s="84"/>
      <c r="R195" s="84"/>
      <c r="S195" s="219"/>
      <c r="T195" s="2"/>
    </row>
    <row r="196" spans="1:20" ht="18" thickBot="1" x14ac:dyDescent="0.35">
      <c r="A196" s="28"/>
      <c r="B196" s="97" t="str">
        <f>B123</f>
        <v>PM21 INVESTOR REPORT QUARTER ENDING AUGUST 2017</v>
      </c>
      <c r="C196" s="98"/>
      <c r="D196" s="98"/>
      <c r="E196" s="98"/>
      <c r="F196" s="98"/>
      <c r="G196" s="98"/>
      <c r="H196" s="98"/>
      <c r="I196" s="98"/>
      <c r="J196" s="98"/>
      <c r="K196" s="98"/>
      <c r="L196" s="98"/>
      <c r="M196" s="98"/>
      <c r="N196" s="98"/>
      <c r="O196" s="98"/>
      <c r="P196" s="98"/>
      <c r="Q196" s="98"/>
      <c r="R196" s="98"/>
      <c r="S196" s="99"/>
      <c r="T196" s="2"/>
    </row>
    <row r="197" spans="1:20" ht="15.6" x14ac:dyDescent="0.3">
      <c r="A197" s="65"/>
      <c r="B197" s="66" t="s">
        <v>55</v>
      </c>
      <c r="C197" s="69"/>
      <c r="D197" s="70"/>
      <c r="E197" s="70"/>
      <c r="F197" s="70"/>
      <c r="G197" s="70"/>
      <c r="H197" s="70"/>
      <c r="I197" s="70"/>
      <c r="J197" s="70"/>
      <c r="K197" s="70"/>
      <c r="L197" s="70"/>
      <c r="M197" s="70"/>
      <c r="N197" s="70"/>
      <c r="O197" s="70"/>
      <c r="P197" s="70">
        <v>42978</v>
      </c>
      <c r="Q197" s="67"/>
      <c r="R197" s="67"/>
      <c r="S197" s="224"/>
      <c r="T197" s="2"/>
    </row>
    <row r="198" spans="1:20" ht="15.6" x14ac:dyDescent="0.3">
      <c r="A198" s="48"/>
      <c r="B198" s="49"/>
      <c r="C198" s="50"/>
      <c r="D198" s="51"/>
      <c r="E198" s="51"/>
      <c r="F198" s="51"/>
      <c r="G198" s="51"/>
      <c r="H198" s="51"/>
      <c r="I198" s="51"/>
      <c r="J198" s="51"/>
      <c r="K198" s="51"/>
      <c r="L198" s="51"/>
      <c r="M198" s="51"/>
      <c r="N198" s="51"/>
      <c r="O198" s="51"/>
      <c r="P198" s="51"/>
      <c r="Q198" s="14"/>
      <c r="R198" s="14"/>
      <c r="S198" s="218"/>
      <c r="T198" s="2"/>
    </row>
    <row r="199" spans="1:20" ht="15.6" x14ac:dyDescent="0.3">
      <c r="A199" s="167"/>
      <c r="B199" s="113" t="s">
        <v>56</v>
      </c>
      <c r="C199" s="168"/>
      <c r="D199" s="148"/>
      <c r="E199" s="148"/>
      <c r="F199" s="148"/>
      <c r="G199" s="148"/>
      <c r="H199" s="148"/>
      <c r="I199" s="148"/>
      <c r="J199" s="148"/>
      <c r="K199" s="148"/>
      <c r="L199" s="148"/>
      <c r="M199" s="148"/>
      <c r="N199" s="148"/>
      <c r="O199" s="148"/>
      <c r="P199" s="142">
        <v>4.1349999999999998E-2</v>
      </c>
      <c r="Q199" s="113"/>
      <c r="R199" s="113"/>
      <c r="S199" s="116"/>
      <c r="T199" s="2"/>
    </row>
    <row r="200" spans="1:20" ht="15.6" x14ac:dyDescent="0.3">
      <c r="A200" s="167"/>
      <c r="B200" s="113" t="s">
        <v>161</v>
      </c>
      <c r="C200" s="168"/>
      <c r="D200" s="148"/>
      <c r="E200" s="148"/>
      <c r="F200" s="148"/>
      <c r="G200" s="148"/>
      <c r="H200" s="148"/>
      <c r="I200" s="148"/>
      <c r="J200" s="148"/>
      <c r="K200" s="148"/>
      <c r="L200" s="148"/>
      <c r="M200" s="148"/>
      <c r="N200" s="148"/>
      <c r="O200" s="148"/>
      <c r="P200" s="142">
        <v>1.50706E-2</v>
      </c>
      <c r="Q200" s="113"/>
      <c r="R200" s="113"/>
      <c r="S200" s="116"/>
      <c r="T200" s="2"/>
    </row>
    <row r="201" spans="1:20" ht="15.6" x14ac:dyDescent="0.3">
      <c r="A201" s="167"/>
      <c r="B201" s="113" t="s">
        <v>57</v>
      </c>
      <c r="C201" s="168"/>
      <c r="D201" s="148"/>
      <c r="E201" s="148"/>
      <c r="F201" s="148"/>
      <c r="G201" s="148"/>
      <c r="H201" s="148"/>
      <c r="I201" s="148"/>
      <c r="J201" s="148"/>
      <c r="K201" s="148"/>
      <c r="L201" s="148"/>
      <c r="M201" s="148"/>
      <c r="N201" s="148"/>
      <c r="O201" s="148"/>
      <c r="P201" s="211">
        <f>P199-P200</f>
        <v>2.6279399999999998E-2</v>
      </c>
      <c r="Q201" s="113"/>
      <c r="R201" s="113"/>
      <c r="S201" s="116"/>
      <c r="T201" s="2"/>
    </row>
    <row r="202" spans="1:20" ht="15.6" x14ac:dyDescent="0.3">
      <c r="A202" s="167"/>
      <c r="B202" s="113" t="s">
        <v>164</v>
      </c>
      <c r="C202" s="168"/>
      <c r="D202" s="148"/>
      <c r="E202" s="148"/>
      <c r="F202" s="148"/>
      <c r="G202" s="148"/>
      <c r="H202" s="148"/>
      <c r="I202" s="148"/>
      <c r="J202" s="148"/>
      <c r="K202" s="148"/>
      <c r="L202" s="148"/>
      <c r="M202" s="148"/>
      <c r="N202" s="148"/>
      <c r="O202" s="148"/>
      <c r="P202" s="211">
        <v>4.2886899999999999E-2</v>
      </c>
      <c r="Q202" s="113"/>
      <c r="R202" s="113"/>
      <c r="S202" s="116"/>
      <c r="T202" s="2"/>
    </row>
    <row r="203" spans="1:20" ht="15.6" x14ac:dyDescent="0.3">
      <c r="A203" s="167"/>
      <c r="B203" s="113" t="s">
        <v>58</v>
      </c>
      <c r="C203" s="168"/>
      <c r="D203" s="148"/>
      <c r="E203" s="148"/>
      <c r="F203" s="148"/>
      <c r="G203" s="148"/>
      <c r="H203" s="148"/>
      <c r="I203" s="148"/>
      <c r="J203" s="148"/>
      <c r="K203" s="148"/>
      <c r="L203" s="148"/>
      <c r="M203" s="148"/>
      <c r="N203" s="148"/>
      <c r="O203" s="148"/>
      <c r="P203" s="209">
        <v>4.7230000000000001E-2</v>
      </c>
      <c r="Q203" s="113"/>
      <c r="R203" s="113"/>
      <c r="S203" s="116"/>
      <c r="T203" s="2"/>
    </row>
    <row r="204" spans="1:20" ht="15.6" x14ac:dyDescent="0.3">
      <c r="A204" s="167"/>
      <c r="B204" s="113" t="s">
        <v>162</v>
      </c>
      <c r="C204" s="168"/>
      <c r="D204" s="148"/>
      <c r="E204" s="148"/>
      <c r="F204" s="148"/>
      <c r="G204" s="148"/>
      <c r="H204" s="148"/>
      <c r="I204" s="148"/>
      <c r="J204" s="148"/>
      <c r="K204" s="148"/>
      <c r="L204" s="148"/>
      <c r="M204" s="148"/>
      <c r="N204" s="148"/>
      <c r="O204" s="148"/>
      <c r="P204" s="142">
        <f>R34</f>
        <v>1.3332140583534472E-2</v>
      </c>
      <c r="Q204" s="113"/>
      <c r="R204" s="113"/>
      <c r="S204" s="116"/>
      <c r="T204" s="2"/>
    </row>
    <row r="205" spans="1:20" ht="15.6" x14ac:dyDescent="0.3">
      <c r="A205" s="167"/>
      <c r="B205" s="113" t="s">
        <v>59</v>
      </c>
      <c r="C205" s="168"/>
      <c r="D205" s="148"/>
      <c r="E205" s="148"/>
      <c r="F205" s="148"/>
      <c r="G205" s="148"/>
      <c r="H205" s="148"/>
      <c r="I205" s="148"/>
      <c r="J205" s="148"/>
      <c r="K205" s="148"/>
      <c r="L205" s="148"/>
      <c r="M205" s="148"/>
      <c r="N205" s="148"/>
      <c r="O205" s="148"/>
      <c r="P205" s="142">
        <f>P203-P204</f>
        <v>3.3897859416465531E-2</v>
      </c>
      <c r="Q205" s="113"/>
      <c r="R205" s="113"/>
      <c r="S205" s="116"/>
      <c r="T205" s="2"/>
    </row>
    <row r="206" spans="1:20" ht="15.6" x14ac:dyDescent="0.3">
      <c r="A206" s="167"/>
      <c r="B206" s="113" t="s">
        <v>139</v>
      </c>
      <c r="C206" s="168"/>
      <c r="D206" s="148"/>
      <c r="E206" s="148"/>
      <c r="F206" s="148"/>
      <c r="G206" s="148"/>
      <c r="H206" s="148"/>
      <c r="I206" s="148"/>
      <c r="J206" s="148"/>
      <c r="K206" s="148"/>
      <c r="L206" s="148"/>
      <c r="M206" s="148"/>
      <c r="N206" s="148"/>
      <c r="O206" s="148"/>
      <c r="P206" s="142">
        <f>(+R92+R94)/H72</f>
        <v>1.1725741277192465E-2</v>
      </c>
      <c r="Q206" s="113"/>
      <c r="R206" s="113"/>
      <c r="S206" s="116"/>
      <c r="T206" s="2"/>
    </row>
    <row r="207" spans="1:20" ht="15.6" x14ac:dyDescent="0.3">
      <c r="A207" s="167"/>
      <c r="B207" s="113" t="s">
        <v>132</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198</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199</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200</v>
      </c>
      <c r="C210" s="168"/>
      <c r="D210" s="148"/>
      <c r="E210" s="148"/>
      <c r="F210" s="148"/>
      <c r="G210" s="148"/>
      <c r="H210" s="148"/>
      <c r="I210" s="148"/>
      <c r="J210" s="148"/>
      <c r="K210" s="148"/>
      <c r="L210" s="148"/>
      <c r="M210" s="148"/>
      <c r="N210" s="148"/>
      <c r="O210" s="148"/>
      <c r="P210" s="169">
        <v>15507</v>
      </c>
      <c r="Q210" s="113"/>
      <c r="R210" s="113"/>
      <c r="S210" s="116"/>
      <c r="T210" s="2"/>
    </row>
    <row r="211" spans="1:20" ht="15.6" x14ac:dyDescent="0.3">
      <c r="A211" s="167"/>
      <c r="B211" s="113" t="s">
        <v>60</v>
      </c>
      <c r="C211" s="168"/>
      <c r="D211" s="148"/>
      <c r="E211" s="148"/>
      <c r="F211" s="148"/>
      <c r="G211" s="148"/>
      <c r="H211" s="148"/>
      <c r="I211" s="148"/>
      <c r="J211" s="148"/>
      <c r="K211" s="148"/>
      <c r="L211" s="148"/>
      <c r="M211" s="148"/>
      <c r="N211" s="148"/>
      <c r="O211" s="148"/>
      <c r="P211" s="146">
        <v>20.170000000000002</v>
      </c>
      <c r="Q211" s="113" t="s">
        <v>90</v>
      </c>
      <c r="R211" s="113"/>
      <c r="S211" s="116"/>
      <c r="T211" s="2"/>
    </row>
    <row r="212" spans="1:20" ht="15.6" x14ac:dyDescent="0.3">
      <c r="A212" s="167"/>
      <c r="B212" s="113" t="s">
        <v>61</v>
      </c>
      <c r="C212" s="168"/>
      <c r="D212" s="148"/>
      <c r="E212" s="148"/>
      <c r="F212" s="148"/>
      <c r="G212" s="148"/>
      <c r="H212" s="148"/>
      <c r="I212" s="148"/>
      <c r="J212" s="148"/>
      <c r="K212" s="148"/>
      <c r="L212" s="148"/>
      <c r="M212" s="148"/>
      <c r="N212" s="148"/>
      <c r="O212" s="148"/>
      <c r="P212" s="210">
        <v>17.18</v>
      </c>
      <c r="Q212" s="113" t="s">
        <v>90</v>
      </c>
      <c r="R212" s="113"/>
      <c r="S212" s="116"/>
      <c r="T212" s="2"/>
    </row>
    <row r="213" spans="1:20" ht="15.6" x14ac:dyDescent="0.3">
      <c r="A213" s="167"/>
      <c r="B213" s="113" t="s">
        <v>62</v>
      </c>
      <c r="C213" s="168"/>
      <c r="D213" s="148"/>
      <c r="E213" s="148"/>
      <c r="F213" s="148"/>
      <c r="G213" s="148"/>
      <c r="H213" s="148"/>
      <c r="I213" s="148"/>
      <c r="J213" s="148"/>
      <c r="K213" s="148"/>
      <c r="L213" s="148"/>
      <c r="M213" s="148"/>
      <c r="N213" s="148"/>
      <c r="O213" s="148"/>
      <c r="P213" s="142">
        <f>(+J56+L56+P56)/H56</f>
        <v>0.13983246305146041</v>
      </c>
      <c r="Q213" s="113"/>
      <c r="R213" s="113"/>
      <c r="S213" s="116"/>
      <c r="T213" s="2"/>
    </row>
    <row r="214" spans="1:20" ht="15.6" x14ac:dyDescent="0.3">
      <c r="A214" s="167"/>
      <c r="B214" s="113" t="s">
        <v>63</v>
      </c>
      <c r="C214" s="168"/>
      <c r="D214" s="148"/>
      <c r="E214" s="148"/>
      <c r="F214" s="148"/>
      <c r="G214" s="148"/>
      <c r="H214" s="148"/>
      <c r="I214" s="148"/>
      <c r="J214" s="148"/>
      <c r="K214" s="148"/>
      <c r="L214" s="148"/>
      <c r="M214" s="148"/>
      <c r="N214" s="148"/>
      <c r="O214" s="148"/>
      <c r="P214" s="211">
        <v>0.29339999999999999</v>
      </c>
      <c r="Q214" s="113"/>
      <c r="R214" s="113"/>
      <c r="S214" s="116"/>
      <c r="T214" s="2"/>
    </row>
    <row r="215" spans="1:20" ht="15.6" x14ac:dyDescent="0.3">
      <c r="A215" s="48"/>
      <c r="B215" s="165"/>
      <c r="C215" s="165"/>
      <c r="D215" s="43"/>
      <c r="E215" s="43"/>
      <c r="F215" s="43"/>
      <c r="G215" s="43"/>
      <c r="H215" s="43"/>
      <c r="I215" s="43"/>
      <c r="J215" s="43"/>
      <c r="K215" s="43"/>
      <c r="L215" s="43"/>
      <c r="M215" s="43"/>
      <c r="N215" s="43"/>
      <c r="O215" s="43"/>
      <c r="P215" s="162"/>
      <c r="Q215" s="43"/>
      <c r="R215" s="166"/>
      <c r="S215" s="218"/>
      <c r="T215" s="2"/>
    </row>
    <row r="216" spans="1:20" ht="15.6" x14ac:dyDescent="0.3">
      <c r="A216" s="71"/>
      <c r="B216" s="61" t="s">
        <v>64</v>
      </c>
      <c r="C216" s="62"/>
      <c r="D216" s="62"/>
      <c r="E216" s="62"/>
      <c r="F216" s="62"/>
      <c r="G216" s="62"/>
      <c r="H216" s="62"/>
      <c r="I216" s="62"/>
      <c r="J216" s="62"/>
      <c r="K216" s="62"/>
      <c r="L216" s="62"/>
      <c r="M216" s="62"/>
      <c r="N216" s="62"/>
      <c r="O216" s="62" t="s">
        <v>83</v>
      </c>
      <c r="P216" s="72" t="s">
        <v>88</v>
      </c>
      <c r="Q216" s="54"/>
      <c r="R216" s="54"/>
      <c r="S216" s="220"/>
      <c r="T216" s="2"/>
    </row>
    <row r="217" spans="1:20" ht="15.6" x14ac:dyDescent="0.3">
      <c r="A217" s="52"/>
      <c r="B217" s="79" t="s">
        <v>65</v>
      </c>
      <c r="C217" s="78"/>
      <c r="D217" s="95"/>
      <c r="E217" s="95"/>
      <c r="F217" s="95"/>
      <c r="G217" s="95"/>
      <c r="H217" s="95"/>
      <c r="I217" s="95"/>
      <c r="J217" s="95"/>
      <c r="K217" s="95"/>
      <c r="L217" s="95"/>
      <c r="M217" s="95"/>
      <c r="N217" s="95"/>
      <c r="O217" s="95">
        <v>0</v>
      </c>
      <c r="P217" s="96">
        <v>0</v>
      </c>
      <c r="Q217" s="79"/>
      <c r="R217" s="94"/>
      <c r="S217" s="226"/>
      <c r="T217" s="2"/>
    </row>
    <row r="218" spans="1:20" ht="15.6" x14ac:dyDescent="0.3">
      <c r="A218" s="173"/>
      <c r="B218" s="113" t="s">
        <v>113</v>
      </c>
      <c r="C218" s="155"/>
      <c r="D218" s="123"/>
      <c r="E218" s="123"/>
      <c r="F218" s="123"/>
      <c r="G218" s="123"/>
      <c r="H218" s="123"/>
      <c r="I218" s="123"/>
      <c r="J218" s="123"/>
      <c r="K218" s="123"/>
      <c r="L218" s="123"/>
      <c r="M218" s="123"/>
      <c r="N218" s="123"/>
      <c r="O218" s="174">
        <f>+N270</f>
        <v>0</v>
      </c>
      <c r="P218" s="175">
        <f>+P270</f>
        <v>0</v>
      </c>
      <c r="Q218" s="113"/>
      <c r="R218" s="176"/>
      <c r="S218" s="177"/>
      <c r="T218" s="2"/>
    </row>
    <row r="219" spans="1:20" ht="15.6" x14ac:dyDescent="0.3">
      <c r="A219" s="173"/>
      <c r="B219" s="113" t="s">
        <v>66</v>
      </c>
      <c r="C219" s="155"/>
      <c r="D219" s="123"/>
      <c r="E219" s="123"/>
      <c r="F219" s="123"/>
      <c r="G219" s="123"/>
      <c r="H219" s="123"/>
      <c r="I219" s="123"/>
      <c r="J219" s="123"/>
      <c r="K219" s="123"/>
      <c r="L219" s="123"/>
      <c r="M219" s="123"/>
      <c r="N219" s="123"/>
      <c r="O219" s="174">
        <f>+N282</f>
        <v>0</v>
      </c>
      <c r="P219" s="175">
        <f>+P282</f>
        <v>0</v>
      </c>
      <c r="Q219" s="113"/>
      <c r="R219" s="176"/>
      <c r="S219" s="177"/>
      <c r="T219" s="2"/>
    </row>
    <row r="220" spans="1:20" ht="15.6" x14ac:dyDescent="0.3">
      <c r="A220" s="173"/>
      <c r="B220" s="134" t="s">
        <v>263</v>
      </c>
      <c r="C220" s="178"/>
      <c r="D220" s="135"/>
      <c r="E220" s="135"/>
      <c r="F220" s="135"/>
      <c r="G220" s="135"/>
      <c r="H220" s="135"/>
      <c r="I220" s="135"/>
      <c r="J220" s="135"/>
      <c r="K220" s="135"/>
      <c r="L220" s="135"/>
      <c r="M220" s="135"/>
      <c r="N220" s="135"/>
      <c r="O220" s="113"/>
      <c r="P220" s="175">
        <f>+P56</f>
        <v>3208</v>
      </c>
      <c r="Q220" s="135"/>
      <c r="R220" s="179"/>
      <c r="S220" s="177"/>
      <c r="T220" s="2"/>
    </row>
    <row r="221" spans="1:20" ht="15.6" x14ac:dyDescent="0.3">
      <c r="A221" s="173"/>
      <c r="B221" s="134" t="s">
        <v>140</v>
      </c>
      <c r="C221" s="178"/>
      <c r="D221" s="135"/>
      <c r="E221" s="135"/>
      <c r="F221" s="135"/>
      <c r="G221" s="135"/>
      <c r="H221" s="135"/>
      <c r="I221" s="135"/>
      <c r="J221" s="135"/>
      <c r="K221" s="135"/>
      <c r="L221" s="135"/>
      <c r="M221" s="135"/>
      <c r="N221" s="135"/>
      <c r="O221" s="113"/>
      <c r="P221" s="175">
        <f>-J69</f>
        <v>0</v>
      </c>
      <c r="Q221" s="135"/>
      <c r="R221" s="179"/>
      <c r="S221" s="177"/>
      <c r="T221" s="2"/>
    </row>
    <row r="222" spans="1:20" ht="15.6" x14ac:dyDescent="0.3">
      <c r="A222" s="180"/>
      <c r="B222" s="134" t="s">
        <v>67</v>
      </c>
      <c r="C222" s="181"/>
      <c r="D222" s="135"/>
      <c r="E222" s="135"/>
      <c r="F222" s="135"/>
      <c r="G222" s="135"/>
      <c r="H222" s="135"/>
      <c r="I222" s="135"/>
      <c r="J222" s="135"/>
      <c r="K222" s="135"/>
      <c r="L222" s="135"/>
      <c r="M222" s="135"/>
      <c r="N222" s="135"/>
      <c r="O222" s="113"/>
      <c r="P222" s="175"/>
      <c r="Q222" s="135"/>
      <c r="R222" s="179"/>
      <c r="S222" s="182"/>
      <c r="T222" s="2"/>
    </row>
    <row r="223" spans="1:20" ht="15.6" x14ac:dyDescent="0.3">
      <c r="A223" s="180"/>
      <c r="B223" s="118" t="s">
        <v>68</v>
      </c>
      <c r="C223" s="181"/>
      <c r="D223" s="135"/>
      <c r="E223" s="135"/>
      <c r="F223" s="135"/>
      <c r="G223" s="135"/>
      <c r="H223" s="135"/>
      <c r="I223" s="135"/>
      <c r="J223" s="135"/>
      <c r="K223" s="135"/>
      <c r="L223" s="135"/>
      <c r="M223" s="135"/>
      <c r="N223" s="135"/>
      <c r="O223" s="123"/>
      <c r="P223" s="175">
        <f>R153</f>
        <v>0</v>
      </c>
      <c r="Q223" s="135"/>
      <c r="R223" s="179"/>
      <c r="S223" s="182"/>
      <c r="T223" s="2"/>
    </row>
    <row r="224" spans="1:20" ht="15.6" x14ac:dyDescent="0.3">
      <c r="A224" s="173"/>
      <c r="B224" s="113" t="s">
        <v>69</v>
      </c>
      <c r="C224" s="178"/>
      <c r="D224" s="135"/>
      <c r="E224" s="135"/>
      <c r="F224" s="135"/>
      <c r="G224" s="135"/>
      <c r="H224" s="135"/>
      <c r="I224" s="135"/>
      <c r="J224" s="135"/>
      <c r="K224" s="135"/>
      <c r="L224" s="135"/>
      <c r="M224" s="135"/>
      <c r="N224" s="135"/>
      <c r="O224" s="123"/>
      <c r="P224" s="175">
        <f>'May 17'!P224+P223</f>
        <v>0</v>
      </c>
      <c r="Q224" s="135"/>
      <c r="R224" s="179"/>
      <c r="S224" s="182"/>
      <c r="T224" s="2"/>
    </row>
    <row r="225" spans="1:20" ht="15.6" x14ac:dyDescent="0.3">
      <c r="A225" s="180"/>
      <c r="B225" s="134" t="s">
        <v>151</v>
      </c>
      <c r="C225" s="181"/>
      <c r="D225" s="135"/>
      <c r="E225" s="135"/>
      <c r="F225" s="135"/>
      <c r="G225" s="135"/>
      <c r="H225" s="135"/>
      <c r="I225" s="135"/>
      <c r="J225" s="135"/>
      <c r="K225" s="135"/>
      <c r="L225" s="135"/>
      <c r="M225" s="135"/>
      <c r="N225" s="135"/>
      <c r="O225" s="123"/>
      <c r="P225" s="175"/>
      <c r="Q225" s="135"/>
      <c r="R225" s="179"/>
      <c r="S225" s="182"/>
      <c r="T225" s="2"/>
    </row>
    <row r="226" spans="1:20" ht="15.6" x14ac:dyDescent="0.3">
      <c r="A226" s="180"/>
      <c r="B226" s="113" t="s">
        <v>163</v>
      </c>
      <c r="C226" s="181"/>
      <c r="D226" s="135"/>
      <c r="E226" s="135"/>
      <c r="F226" s="135"/>
      <c r="G226" s="135"/>
      <c r="H226" s="135"/>
      <c r="I226" s="135"/>
      <c r="J226" s="135"/>
      <c r="K226" s="135"/>
      <c r="L226" s="135"/>
      <c r="M226" s="135"/>
      <c r="N226" s="135"/>
      <c r="O226" s="123">
        <v>0</v>
      </c>
      <c r="P226" s="175">
        <v>0</v>
      </c>
      <c r="Q226" s="135"/>
      <c r="R226" s="179"/>
      <c r="S226" s="182"/>
      <c r="T226" s="2"/>
    </row>
    <row r="227" spans="1:20" ht="15.6" x14ac:dyDescent="0.3">
      <c r="A227" s="173"/>
      <c r="B227" s="113" t="s">
        <v>70</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13" t="s">
        <v>71</v>
      </c>
      <c r="C228" s="183"/>
      <c r="D228" s="135"/>
      <c r="E228" s="135"/>
      <c r="F228" s="135"/>
      <c r="G228" s="135"/>
      <c r="H228" s="135"/>
      <c r="I228" s="135"/>
      <c r="J228" s="135"/>
      <c r="K228" s="135"/>
      <c r="L228" s="135"/>
      <c r="M228" s="135"/>
      <c r="N228" s="135"/>
      <c r="O228" s="113"/>
      <c r="P228" s="184">
        <v>0</v>
      </c>
      <c r="Q228" s="135"/>
      <c r="R228" s="179"/>
      <c r="S228" s="182"/>
      <c r="T228" s="2"/>
    </row>
    <row r="229" spans="1:20" ht="15.6" x14ac:dyDescent="0.3">
      <c r="A229" s="173"/>
      <c r="B229" s="134" t="s">
        <v>136</v>
      </c>
      <c r="C229" s="183"/>
      <c r="D229" s="135"/>
      <c r="E229" s="135"/>
      <c r="F229" s="135"/>
      <c r="G229" s="135"/>
      <c r="H229" s="135"/>
      <c r="I229" s="135"/>
      <c r="J229" s="135"/>
      <c r="K229" s="135"/>
      <c r="L229" s="135"/>
      <c r="M229" s="135"/>
      <c r="N229" s="135"/>
      <c r="O229" s="113"/>
      <c r="P229" s="185"/>
      <c r="Q229" s="135"/>
      <c r="R229" s="179"/>
      <c r="S229" s="182"/>
      <c r="T229" s="2"/>
    </row>
    <row r="230" spans="1:20" ht="15.6" x14ac:dyDescent="0.3">
      <c r="A230" s="173"/>
      <c r="B230" s="113" t="s">
        <v>163</v>
      </c>
      <c r="C230" s="183"/>
      <c r="D230" s="135"/>
      <c r="E230" s="135"/>
      <c r="F230" s="135"/>
      <c r="G230" s="135"/>
      <c r="H230" s="135"/>
      <c r="I230" s="135"/>
      <c r="J230" s="135"/>
      <c r="K230" s="135"/>
      <c r="L230" s="135"/>
      <c r="M230" s="135"/>
      <c r="N230" s="135"/>
      <c r="O230" s="123">
        <v>0</v>
      </c>
      <c r="P230" s="175">
        <v>0</v>
      </c>
      <c r="Q230" s="135"/>
      <c r="R230" s="179"/>
      <c r="S230" s="182"/>
      <c r="T230" s="2"/>
    </row>
    <row r="231" spans="1:20" ht="15.6" x14ac:dyDescent="0.3">
      <c r="A231" s="173"/>
      <c r="B231" s="113" t="s">
        <v>137</v>
      </c>
      <c r="C231" s="183"/>
      <c r="D231" s="135"/>
      <c r="E231" s="135"/>
      <c r="F231" s="135"/>
      <c r="G231" s="135"/>
      <c r="H231" s="135"/>
      <c r="I231" s="135"/>
      <c r="J231" s="135"/>
      <c r="K231" s="135"/>
      <c r="L231" s="135"/>
      <c r="M231" s="135"/>
      <c r="N231" s="135"/>
      <c r="O231" s="113"/>
      <c r="P231" s="184">
        <v>0</v>
      </c>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13"/>
      <c r="P232" s="185"/>
      <c r="Q232" s="135"/>
      <c r="R232" s="179"/>
      <c r="S232" s="182"/>
      <c r="T232" s="2"/>
    </row>
    <row r="233" spans="1:20" ht="15.6" x14ac:dyDescent="0.3">
      <c r="A233" s="173"/>
      <c r="B233" s="181"/>
      <c r="C233" s="183"/>
      <c r="D233" s="135"/>
      <c r="E233" s="135"/>
      <c r="F233" s="135"/>
      <c r="G233" s="135"/>
      <c r="H233" s="135"/>
      <c r="I233" s="135"/>
      <c r="J233" s="135"/>
      <c r="K233" s="135"/>
      <c r="L233" s="135"/>
      <c r="M233" s="135"/>
      <c r="N233" s="135"/>
      <c r="O233" s="135"/>
      <c r="P233" s="186"/>
      <c r="Q233" s="135"/>
      <c r="R233" s="179"/>
      <c r="S233" s="182"/>
      <c r="T233" s="2"/>
    </row>
    <row r="234" spans="1:20" ht="17.399999999999999" x14ac:dyDescent="0.3">
      <c r="A234" s="173"/>
      <c r="B234" s="187" t="s">
        <v>129</v>
      </c>
      <c r="C234" s="183"/>
      <c r="D234" s="135"/>
      <c r="E234" s="135"/>
      <c r="F234" s="135"/>
      <c r="G234" s="135"/>
      <c r="H234" s="135"/>
      <c r="I234" s="135"/>
      <c r="J234" s="135"/>
      <c r="K234" s="135"/>
      <c r="L234" s="188"/>
      <c r="M234" s="135"/>
      <c r="N234" s="188" t="s">
        <v>128</v>
      </c>
      <c r="O234" s="188"/>
      <c r="P234" s="186"/>
      <c r="Q234" s="135"/>
      <c r="R234" s="179"/>
      <c r="S234" s="182"/>
      <c r="T234" s="2"/>
    </row>
    <row r="235" spans="1:20" ht="17.399999999999999" x14ac:dyDescent="0.3">
      <c r="A235" s="170"/>
      <c r="B235" s="200"/>
      <c r="C235" s="171"/>
      <c r="D235" s="43"/>
      <c r="E235" s="43"/>
      <c r="F235" s="43"/>
      <c r="G235" s="43"/>
      <c r="H235" s="43"/>
      <c r="I235" s="43"/>
      <c r="J235" s="43"/>
      <c r="K235" s="43"/>
      <c r="L235" s="201"/>
      <c r="M235" s="43"/>
      <c r="N235" s="43"/>
      <c r="O235" s="43"/>
      <c r="P235" s="172"/>
      <c r="Q235" s="43"/>
      <c r="R235" s="166"/>
      <c r="S235" s="227"/>
      <c r="T235" s="2"/>
    </row>
    <row r="236" spans="1:20" ht="15.6" x14ac:dyDescent="0.3">
      <c r="A236" s="53"/>
      <c r="B236" s="61" t="s">
        <v>153</v>
      </c>
      <c r="C236" s="62"/>
      <c r="D236" s="62"/>
      <c r="E236" s="62"/>
      <c r="F236" s="62"/>
      <c r="G236" s="62"/>
      <c r="H236" s="62"/>
      <c r="I236" s="62"/>
      <c r="J236" s="62"/>
      <c r="K236" s="62"/>
      <c r="L236" s="62"/>
      <c r="M236" s="62"/>
      <c r="N236" s="72" t="s">
        <v>83</v>
      </c>
      <c r="O236" s="62" t="s">
        <v>84</v>
      </c>
      <c r="P236" s="72" t="s">
        <v>89</v>
      </c>
      <c r="Q236" s="62" t="s">
        <v>84</v>
      </c>
      <c r="R236" s="54"/>
      <c r="S236" s="228"/>
      <c r="T236" s="2"/>
    </row>
    <row r="237" spans="1:20" ht="15.6" x14ac:dyDescent="0.3">
      <c r="A237" s="24"/>
      <c r="B237" s="78" t="s">
        <v>72</v>
      </c>
      <c r="C237" s="93"/>
      <c r="D237" s="93"/>
      <c r="E237" s="93"/>
      <c r="F237" s="93"/>
      <c r="G237" s="93"/>
      <c r="H237" s="93"/>
      <c r="I237" s="93"/>
      <c r="J237" s="93"/>
      <c r="K237" s="93"/>
      <c r="L237" s="93"/>
      <c r="M237" s="93"/>
      <c r="N237" s="78">
        <f t="shared" ref="N237:N244" si="1">+N249+N261+N273</f>
        <v>633</v>
      </c>
      <c r="O237" s="81">
        <f>N237/$N$246</f>
        <v>0.99685039370078743</v>
      </c>
      <c r="P237" s="82">
        <f t="shared" ref="P237:P244" si="2">+P249+P261+P273</f>
        <v>92902</v>
      </c>
      <c r="Q237" s="81">
        <f t="shared" ref="Q237:Q244" si="3">P237/$P$246</f>
        <v>0.99640700580241748</v>
      </c>
      <c r="R237" s="94"/>
      <c r="S237" s="229"/>
      <c r="T237" s="2"/>
    </row>
    <row r="238" spans="1:20" ht="15.6" x14ac:dyDescent="0.3">
      <c r="A238" s="112"/>
      <c r="B238" s="155" t="s">
        <v>73</v>
      </c>
      <c r="C238" s="192"/>
      <c r="D238" s="192"/>
      <c r="E238" s="192"/>
      <c r="F238" s="192"/>
      <c r="G238" s="192"/>
      <c r="H238" s="192"/>
      <c r="I238" s="192"/>
      <c r="J238" s="192"/>
      <c r="K238" s="192"/>
      <c r="L238" s="192"/>
      <c r="M238" s="192"/>
      <c r="N238" s="155">
        <f t="shared" si="1"/>
        <v>1</v>
      </c>
      <c r="O238" s="193">
        <f t="shared" ref="O238:O244" si="4">N238/$N$246</f>
        <v>1.5748031496062992E-3</v>
      </c>
      <c r="P238" s="156">
        <f t="shared" si="2"/>
        <v>139</v>
      </c>
      <c r="Q238" s="193">
        <f t="shared" si="3"/>
        <v>1.4908244581013975E-3</v>
      </c>
      <c r="R238" s="176"/>
      <c r="S238" s="194"/>
      <c r="T238" s="2"/>
    </row>
    <row r="239" spans="1:20" ht="15.6" x14ac:dyDescent="0.3">
      <c r="A239" s="112"/>
      <c r="B239" s="155" t="s">
        <v>74</v>
      </c>
      <c r="C239" s="192"/>
      <c r="D239" s="192"/>
      <c r="E239" s="192"/>
      <c r="F239" s="192"/>
      <c r="G239" s="192"/>
      <c r="H239" s="192"/>
      <c r="I239" s="192"/>
      <c r="J239" s="192"/>
      <c r="K239" s="192"/>
      <c r="L239" s="192"/>
      <c r="M239" s="192"/>
      <c r="N239" s="155">
        <f t="shared" si="1"/>
        <v>1</v>
      </c>
      <c r="O239" s="193">
        <f t="shared" si="4"/>
        <v>1.5748031496062992E-3</v>
      </c>
      <c r="P239" s="156">
        <f t="shared" si="2"/>
        <v>196</v>
      </c>
      <c r="Q239" s="193">
        <f t="shared" si="3"/>
        <v>2.1021697394811071E-3</v>
      </c>
      <c r="R239" s="176"/>
      <c r="S239" s="194"/>
      <c r="T239" s="2"/>
    </row>
    <row r="240" spans="1:20" ht="15.6" x14ac:dyDescent="0.3">
      <c r="A240" s="112"/>
      <c r="B240" s="155" t="s">
        <v>119</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120</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121</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122</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t="s">
        <v>123</v>
      </c>
      <c r="C244" s="192"/>
      <c r="D244" s="192"/>
      <c r="E244" s="192"/>
      <c r="F244" s="192"/>
      <c r="G244" s="192"/>
      <c r="H244" s="192"/>
      <c r="I244" s="192"/>
      <c r="J244" s="192"/>
      <c r="K244" s="192"/>
      <c r="L244" s="192"/>
      <c r="M244" s="192"/>
      <c r="N244" s="155">
        <f t="shared" si="1"/>
        <v>0</v>
      </c>
      <c r="O244" s="193">
        <f t="shared" si="4"/>
        <v>0</v>
      </c>
      <c r="P244" s="156">
        <f t="shared" si="2"/>
        <v>0</v>
      </c>
      <c r="Q244" s="193">
        <f t="shared" si="3"/>
        <v>0</v>
      </c>
      <c r="R244" s="176"/>
      <c r="S244" s="194"/>
      <c r="T244" s="2"/>
    </row>
    <row r="245" spans="1:21" ht="15.6" x14ac:dyDescent="0.3">
      <c r="A245" s="112"/>
      <c r="B245" s="155"/>
      <c r="C245" s="192"/>
      <c r="D245" s="192"/>
      <c r="E245" s="192"/>
      <c r="F245" s="192"/>
      <c r="G245" s="192"/>
      <c r="H245" s="192"/>
      <c r="I245" s="192"/>
      <c r="J245" s="192"/>
      <c r="K245" s="192"/>
      <c r="L245" s="192"/>
      <c r="M245" s="192"/>
      <c r="N245" s="155"/>
      <c r="O245" s="193"/>
      <c r="P245" s="156"/>
      <c r="Q245" s="193"/>
      <c r="R245" s="176"/>
      <c r="S245" s="194"/>
      <c r="T245" s="2"/>
    </row>
    <row r="246" spans="1:21" ht="15.6" x14ac:dyDescent="0.3">
      <c r="A246" s="112"/>
      <c r="B246" s="113" t="s">
        <v>94</v>
      </c>
      <c r="C246" s="113"/>
      <c r="D246" s="195"/>
      <c r="E246" s="195"/>
      <c r="F246" s="195"/>
      <c r="G246" s="195"/>
      <c r="H246" s="195"/>
      <c r="I246" s="195"/>
      <c r="J246" s="195"/>
      <c r="K246" s="195"/>
      <c r="L246" s="195"/>
      <c r="M246" s="195"/>
      <c r="N246" s="155">
        <f>SUM(N237:N245)</f>
        <v>635</v>
      </c>
      <c r="O246" s="193">
        <f>SUM(O237:O245)</f>
        <v>1</v>
      </c>
      <c r="P246" s="156">
        <f>SUM(P237:P245)</f>
        <v>93237</v>
      </c>
      <c r="Q246" s="193">
        <f>SUM(Q237:Q245)</f>
        <v>1</v>
      </c>
      <c r="R246" s="113"/>
      <c r="S246" s="116"/>
      <c r="T246" s="2"/>
    </row>
    <row r="247" spans="1:21" ht="15.6" x14ac:dyDescent="0.3">
      <c r="A247" s="12"/>
      <c r="B247" s="165"/>
      <c r="C247" s="171"/>
      <c r="D247" s="43"/>
      <c r="E247" s="43"/>
      <c r="F247" s="43"/>
      <c r="G247" s="43"/>
      <c r="H247" s="43"/>
      <c r="I247" s="43"/>
      <c r="J247" s="43"/>
      <c r="K247" s="43"/>
      <c r="L247" s="43"/>
      <c r="M247" s="43"/>
      <c r="N247" s="43"/>
      <c r="O247" s="43"/>
      <c r="P247" s="172"/>
      <c r="Q247" s="43"/>
      <c r="R247" s="43"/>
      <c r="S247" s="218"/>
      <c r="T247" s="2"/>
    </row>
    <row r="248" spans="1:21" ht="15.6" x14ac:dyDescent="0.3">
      <c r="A248" s="53"/>
      <c r="B248" s="61" t="s">
        <v>124</v>
      </c>
      <c r="C248" s="62"/>
      <c r="D248" s="62"/>
      <c r="E248" s="62"/>
      <c r="F248" s="62"/>
      <c r="G248" s="62"/>
      <c r="H248" s="62"/>
      <c r="I248" s="62"/>
      <c r="J248" s="62"/>
      <c r="K248" s="62"/>
      <c r="L248" s="62"/>
      <c r="M248" s="62"/>
      <c r="N248" s="72" t="s">
        <v>83</v>
      </c>
      <c r="O248" s="62" t="s">
        <v>84</v>
      </c>
      <c r="P248" s="72" t="s">
        <v>89</v>
      </c>
      <c r="Q248" s="62" t="s">
        <v>84</v>
      </c>
      <c r="R248" s="54"/>
      <c r="S248" s="228"/>
      <c r="T248" s="2"/>
    </row>
    <row r="249" spans="1:21" ht="15.6" x14ac:dyDescent="0.3">
      <c r="A249" s="24"/>
      <c r="B249" s="78" t="s">
        <v>72</v>
      </c>
      <c r="C249" s="93"/>
      <c r="D249" s="93"/>
      <c r="E249" s="93"/>
      <c r="F249" s="93"/>
      <c r="G249" s="93"/>
      <c r="H249" s="93"/>
      <c r="I249" s="93"/>
      <c r="J249" s="93"/>
      <c r="K249" s="93"/>
      <c r="L249" s="93"/>
      <c r="M249" s="93"/>
      <c r="N249" s="78">
        <v>633</v>
      </c>
      <c r="O249" s="81">
        <f>N249/$N$258</f>
        <v>0.99685039370078743</v>
      </c>
      <c r="P249" s="82">
        <v>92902</v>
      </c>
      <c r="Q249" s="81">
        <f t="shared" ref="Q249:Q256" si="5">P249/$P$258</f>
        <v>0.99640700580241748</v>
      </c>
      <c r="R249" s="94"/>
      <c r="S249" s="229"/>
      <c r="T249" s="2"/>
    </row>
    <row r="250" spans="1:21" ht="15.6" x14ac:dyDescent="0.3">
      <c r="A250" s="112"/>
      <c r="B250" s="155" t="s">
        <v>73</v>
      </c>
      <c r="C250" s="192"/>
      <c r="D250" s="192"/>
      <c r="E250" s="192"/>
      <c r="F250" s="192"/>
      <c r="G250" s="192"/>
      <c r="H250" s="192"/>
      <c r="I250" s="192"/>
      <c r="J250" s="192"/>
      <c r="K250" s="192"/>
      <c r="L250" s="192"/>
      <c r="M250" s="192"/>
      <c r="N250" s="155">
        <v>1</v>
      </c>
      <c r="O250" s="193">
        <f t="shared" ref="O250:O256" si="6">N250/$N$258</f>
        <v>1.5748031496062992E-3</v>
      </c>
      <c r="P250" s="156">
        <v>139</v>
      </c>
      <c r="Q250" s="193">
        <f t="shared" si="5"/>
        <v>1.4908244581013975E-3</v>
      </c>
      <c r="R250" s="176"/>
      <c r="S250" s="194"/>
      <c r="T250" s="2"/>
      <c r="U250" s="4"/>
    </row>
    <row r="251" spans="1:21" ht="15.6" x14ac:dyDescent="0.3">
      <c r="A251" s="112"/>
      <c r="B251" s="155" t="s">
        <v>74</v>
      </c>
      <c r="C251" s="192"/>
      <c r="D251" s="192"/>
      <c r="E251" s="192"/>
      <c r="F251" s="192"/>
      <c r="G251" s="192"/>
      <c r="H251" s="192"/>
      <c r="I251" s="192"/>
      <c r="J251" s="192"/>
      <c r="K251" s="192"/>
      <c r="L251" s="192"/>
      <c r="M251" s="192"/>
      <c r="N251" s="155">
        <v>1</v>
      </c>
      <c r="O251" s="193">
        <f t="shared" si="6"/>
        <v>1.5748031496062992E-3</v>
      </c>
      <c r="P251" s="156">
        <v>196</v>
      </c>
      <c r="Q251" s="193">
        <f t="shared" si="5"/>
        <v>2.1021697394811071E-3</v>
      </c>
      <c r="R251" s="176"/>
      <c r="S251" s="194"/>
      <c r="T251" s="2"/>
    </row>
    <row r="252" spans="1:21" ht="15.6" x14ac:dyDescent="0.3">
      <c r="A252" s="112"/>
      <c r="B252" s="155" t="s">
        <v>119</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c r="U252" s="4"/>
    </row>
    <row r="253" spans="1:21" ht="15.6" x14ac:dyDescent="0.3">
      <c r="A253" s="112"/>
      <c r="B253" s="155" t="s">
        <v>120</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row>
    <row r="254" spans="1:21" ht="15.6" x14ac:dyDescent="0.3">
      <c r="A254" s="112"/>
      <c r="B254" s="155" t="s">
        <v>121</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c r="U254" s="4"/>
    </row>
    <row r="255" spans="1:21" ht="15.6" x14ac:dyDescent="0.3">
      <c r="A255" s="112"/>
      <c r="B255" s="155" t="s">
        <v>122</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row>
    <row r="256" spans="1:21" ht="15.6" x14ac:dyDescent="0.3">
      <c r="A256" s="112"/>
      <c r="B256" s="155" t="s">
        <v>123</v>
      </c>
      <c r="C256" s="192"/>
      <c r="D256" s="192"/>
      <c r="E256" s="192"/>
      <c r="F256" s="192"/>
      <c r="G256" s="192"/>
      <c r="H256" s="192"/>
      <c r="I256" s="192"/>
      <c r="J256" s="192"/>
      <c r="K256" s="192"/>
      <c r="L256" s="192"/>
      <c r="M256" s="192"/>
      <c r="N256" s="155">
        <v>0</v>
      </c>
      <c r="O256" s="193">
        <f t="shared" si="6"/>
        <v>0</v>
      </c>
      <c r="P256" s="156">
        <v>0</v>
      </c>
      <c r="Q256" s="193">
        <f t="shared" si="5"/>
        <v>0</v>
      </c>
      <c r="R256" s="176"/>
      <c r="S256" s="194"/>
      <c r="T256" s="2"/>
      <c r="U256" s="4"/>
    </row>
    <row r="257" spans="1:20" ht="15.6" x14ac:dyDescent="0.3">
      <c r="A257" s="112"/>
      <c r="B257" s="155"/>
      <c r="C257" s="192"/>
      <c r="D257" s="192"/>
      <c r="E257" s="192"/>
      <c r="F257" s="192"/>
      <c r="G257" s="192"/>
      <c r="H257" s="192"/>
      <c r="I257" s="192"/>
      <c r="J257" s="192"/>
      <c r="K257" s="192"/>
      <c r="L257" s="192"/>
      <c r="M257" s="192"/>
      <c r="N257" s="155"/>
      <c r="O257" s="193"/>
      <c r="P257" s="156"/>
      <c r="Q257" s="193"/>
      <c r="R257" s="176"/>
      <c r="S257" s="194"/>
      <c r="T257" s="2"/>
    </row>
    <row r="258" spans="1:20" ht="15.6" x14ac:dyDescent="0.3">
      <c r="A258" s="112"/>
      <c r="B258" s="113" t="s">
        <v>94</v>
      </c>
      <c r="C258" s="113"/>
      <c r="D258" s="195"/>
      <c r="E258" s="195"/>
      <c r="F258" s="195"/>
      <c r="G258" s="195"/>
      <c r="H258" s="195"/>
      <c r="I258" s="195"/>
      <c r="J258" s="195"/>
      <c r="K258" s="195"/>
      <c r="L258" s="195"/>
      <c r="M258" s="195"/>
      <c r="N258" s="155">
        <f>SUM(N249:N257)</f>
        <v>635</v>
      </c>
      <c r="O258" s="193">
        <f>SUM(O249:O257)</f>
        <v>1</v>
      </c>
      <c r="P258" s="156">
        <f>SUM(P249:P257)</f>
        <v>93237</v>
      </c>
      <c r="Q258" s="193">
        <f>SUM(Q249:Q257)</f>
        <v>1</v>
      </c>
      <c r="R258" s="113"/>
      <c r="S258" s="116"/>
      <c r="T258" s="2"/>
    </row>
    <row r="259" spans="1:20" ht="15.6" x14ac:dyDescent="0.3">
      <c r="A259" s="12"/>
      <c r="B259" s="43"/>
      <c r="C259" s="43"/>
      <c r="D259" s="189"/>
      <c r="E259" s="189"/>
      <c r="F259" s="189"/>
      <c r="G259" s="189"/>
      <c r="H259" s="189"/>
      <c r="I259" s="189"/>
      <c r="J259" s="189"/>
      <c r="K259" s="189"/>
      <c r="L259" s="189"/>
      <c r="M259" s="189"/>
      <c r="N259" s="153"/>
      <c r="O259" s="190"/>
      <c r="P259" s="191"/>
      <c r="Q259" s="190"/>
      <c r="R259" s="43"/>
      <c r="S259" s="218"/>
      <c r="T259" s="2"/>
    </row>
    <row r="260" spans="1:20" ht="15.6" x14ac:dyDescent="0.3">
      <c r="A260" s="73"/>
      <c r="B260" s="61" t="s">
        <v>146</v>
      </c>
      <c r="C260" s="62"/>
      <c r="D260" s="62"/>
      <c r="E260" s="62"/>
      <c r="F260" s="62"/>
      <c r="G260" s="62"/>
      <c r="H260" s="62"/>
      <c r="I260" s="62"/>
      <c r="J260" s="62"/>
      <c r="K260" s="62"/>
      <c r="L260" s="62"/>
      <c r="M260" s="62"/>
      <c r="N260" s="72" t="s">
        <v>83</v>
      </c>
      <c r="O260" s="62" t="s">
        <v>84</v>
      </c>
      <c r="P260" s="72" t="s">
        <v>89</v>
      </c>
      <c r="Q260" s="62" t="s">
        <v>84</v>
      </c>
      <c r="R260" s="74"/>
      <c r="S260" s="75"/>
      <c r="T260" s="2"/>
    </row>
    <row r="261" spans="1:20" ht="15.6" x14ac:dyDescent="0.3">
      <c r="A261" s="24"/>
      <c r="B261" s="78" t="s">
        <v>72</v>
      </c>
      <c r="C261" s="93"/>
      <c r="D261" s="93"/>
      <c r="E261" s="93"/>
      <c r="F261" s="93"/>
      <c r="G261" s="93"/>
      <c r="H261" s="93"/>
      <c r="I261" s="93"/>
      <c r="J261" s="93"/>
      <c r="K261" s="93"/>
      <c r="L261" s="93"/>
      <c r="M261" s="93"/>
      <c r="N261" s="78">
        <v>0</v>
      </c>
      <c r="O261" s="81">
        <v>0</v>
      </c>
      <c r="P261" s="82">
        <v>0</v>
      </c>
      <c r="Q261" s="81">
        <v>0</v>
      </c>
      <c r="R261" s="79"/>
      <c r="S261" s="221"/>
      <c r="T261" s="2"/>
    </row>
    <row r="262" spans="1:20" ht="15.6" x14ac:dyDescent="0.3">
      <c r="A262" s="112"/>
      <c r="B262" s="155" t="s">
        <v>73</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74</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119</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120</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121</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122</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t="s">
        <v>123</v>
      </c>
      <c r="C268" s="192"/>
      <c r="D268" s="192"/>
      <c r="E268" s="192"/>
      <c r="F268" s="192"/>
      <c r="G268" s="192"/>
      <c r="H268" s="192"/>
      <c r="I268" s="192"/>
      <c r="J268" s="192"/>
      <c r="K268" s="192"/>
      <c r="L268" s="192"/>
      <c r="M268" s="192"/>
      <c r="N268" s="155">
        <v>0</v>
      </c>
      <c r="O268" s="193">
        <v>0</v>
      </c>
      <c r="P268" s="156">
        <v>0</v>
      </c>
      <c r="Q268" s="193">
        <v>0</v>
      </c>
      <c r="R268" s="113"/>
      <c r="S268" s="116"/>
      <c r="T268" s="2"/>
    </row>
    <row r="269" spans="1:20" ht="15.6" x14ac:dyDescent="0.3">
      <c r="A269" s="112"/>
      <c r="B269" s="155"/>
      <c r="C269" s="192"/>
      <c r="D269" s="192"/>
      <c r="E269" s="192"/>
      <c r="F269" s="192"/>
      <c r="G269" s="192"/>
      <c r="H269" s="192"/>
      <c r="I269" s="192"/>
      <c r="J269" s="192"/>
      <c r="K269" s="192"/>
      <c r="L269" s="192"/>
      <c r="M269" s="192"/>
      <c r="N269" s="155"/>
      <c r="O269" s="193"/>
      <c r="P269" s="156"/>
      <c r="Q269" s="193"/>
      <c r="R269" s="113"/>
      <c r="S269" s="116"/>
      <c r="T269" s="2"/>
    </row>
    <row r="270" spans="1:20" ht="15.6" x14ac:dyDescent="0.3">
      <c r="A270" s="112"/>
      <c r="B270" s="113" t="s">
        <v>94</v>
      </c>
      <c r="C270" s="113"/>
      <c r="D270" s="195"/>
      <c r="E270" s="195"/>
      <c r="F270" s="195"/>
      <c r="G270" s="195"/>
      <c r="H270" s="195"/>
      <c r="I270" s="195"/>
      <c r="J270" s="195"/>
      <c r="K270" s="195"/>
      <c r="L270" s="195"/>
      <c r="M270" s="195"/>
      <c r="N270" s="155">
        <f>SUM(N261:N269)</f>
        <v>0</v>
      </c>
      <c r="O270" s="193">
        <f>SUM(O261:O269)</f>
        <v>0</v>
      </c>
      <c r="P270" s="156">
        <f>SUM(P261:P269)</f>
        <v>0</v>
      </c>
      <c r="Q270" s="193">
        <f>SUM(Q261:Q269)</f>
        <v>0</v>
      </c>
      <c r="R270" s="113"/>
      <c r="S270" s="116"/>
      <c r="T270" s="2"/>
    </row>
    <row r="271" spans="1:20" ht="15.6" x14ac:dyDescent="0.3">
      <c r="A271" s="12"/>
      <c r="B271" s="43"/>
      <c r="C271" s="43"/>
      <c r="D271" s="189"/>
      <c r="E271" s="189"/>
      <c r="F271" s="189"/>
      <c r="G271" s="189"/>
      <c r="H271" s="189"/>
      <c r="I271" s="189"/>
      <c r="J271" s="189"/>
      <c r="K271" s="189"/>
      <c r="L271" s="189"/>
      <c r="M271" s="189"/>
      <c r="N271" s="153"/>
      <c r="O271" s="190"/>
      <c r="P271" s="191"/>
      <c r="Q271" s="190"/>
      <c r="R271" s="43"/>
      <c r="S271" s="218"/>
      <c r="T271" s="2"/>
    </row>
    <row r="272" spans="1:20" ht="15.6" x14ac:dyDescent="0.3">
      <c r="A272" s="73"/>
      <c r="B272" s="61" t="s">
        <v>125</v>
      </c>
      <c r="C272" s="74"/>
      <c r="D272" s="76"/>
      <c r="E272" s="76"/>
      <c r="F272" s="76"/>
      <c r="G272" s="76"/>
      <c r="H272" s="76"/>
      <c r="I272" s="76"/>
      <c r="J272" s="76"/>
      <c r="K272" s="76"/>
      <c r="L272" s="76"/>
      <c r="M272" s="76"/>
      <c r="N272" s="72" t="s">
        <v>83</v>
      </c>
      <c r="O272" s="62" t="s">
        <v>84</v>
      </c>
      <c r="P272" s="72" t="s">
        <v>89</v>
      </c>
      <c r="Q272" s="62" t="s">
        <v>84</v>
      </c>
      <c r="R272" s="74"/>
      <c r="S272" s="75"/>
      <c r="T272" s="2"/>
    </row>
    <row r="273" spans="1:20" ht="15.6" x14ac:dyDescent="0.3">
      <c r="A273" s="77"/>
      <c r="B273" s="78" t="s">
        <v>72</v>
      </c>
      <c r="C273" s="79"/>
      <c r="D273" s="80"/>
      <c r="E273" s="80"/>
      <c r="F273" s="80"/>
      <c r="G273" s="80"/>
      <c r="H273" s="80"/>
      <c r="I273" s="80"/>
      <c r="J273" s="80"/>
      <c r="K273" s="80"/>
      <c r="L273" s="80"/>
      <c r="M273" s="80"/>
      <c r="N273" s="78">
        <v>0</v>
      </c>
      <c r="O273" s="81">
        <v>0</v>
      </c>
      <c r="P273" s="82">
        <v>0</v>
      </c>
      <c r="Q273" s="81">
        <v>0</v>
      </c>
      <c r="R273" s="79"/>
      <c r="S273" s="221"/>
      <c r="T273" s="2"/>
    </row>
    <row r="274" spans="1:20" ht="15.6" x14ac:dyDescent="0.3">
      <c r="A274" s="122"/>
      <c r="B274" s="155" t="s">
        <v>73</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74</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119</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120</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121</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122</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t="s">
        <v>123</v>
      </c>
      <c r="C280" s="113"/>
      <c r="D280" s="195"/>
      <c r="E280" s="195"/>
      <c r="F280" s="195"/>
      <c r="G280" s="195"/>
      <c r="H280" s="195"/>
      <c r="I280" s="195"/>
      <c r="J280" s="195"/>
      <c r="K280" s="195"/>
      <c r="L280" s="195"/>
      <c r="M280" s="195"/>
      <c r="N280" s="155">
        <v>0</v>
      </c>
      <c r="O280" s="193">
        <v>0</v>
      </c>
      <c r="P280" s="156">
        <v>0</v>
      </c>
      <c r="Q280" s="193">
        <v>0</v>
      </c>
      <c r="R280" s="113"/>
      <c r="S280" s="116"/>
      <c r="T280" s="2"/>
    </row>
    <row r="281" spans="1:20" ht="15.6" x14ac:dyDescent="0.3">
      <c r="A281" s="122"/>
      <c r="B281" s="155"/>
      <c r="C281" s="113"/>
      <c r="D281" s="195"/>
      <c r="E281" s="195"/>
      <c r="F281" s="195"/>
      <c r="G281" s="195"/>
      <c r="H281" s="195"/>
      <c r="I281" s="195"/>
      <c r="J281" s="195"/>
      <c r="K281" s="195"/>
      <c r="L281" s="195"/>
      <c r="M281" s="195"/>
      <c r="N281" s="155"/>
      <c r="O281" s="193"/>
      <c r="P281" s="156"/>
      <c r="Q281" s="193"/>
      <c r="R281" s="113"/>
      <c r="S281" s="116"/>
      <c r="T281" s="2"/>
    </row>
    <row r="282" spans="1:20" ht="15.6" x14ac:dyDescent="0.3">
      <c r="A282" s="122"/>
      <c r="B282" s="113" t="s">
        <v>94</v>
      </c>
      <c r="C282" s="113"/>
      <c r="D282" s="195"/>
      <c r="E282" s="195"/>
      <c r="F282" s="195"/>
      <c r="G282" s="195"/>
      <c r="H282" s="195"/>
      <c r="I282" s="195"/>
      <c r="J282" s="195"/>
      <c r="K282" s="195"/>
      <c r="L282" s="195"/>
      <c r="M282" s="195"/>
      <c r="N282" s="155">
        <f>SUM(N273:N280)</f>
        <v>0</v>
      </c>
      <c r="O282" s="193">
        <f>SUM(O273:O280)</f>
        <v>0</v>
      </c>
      <c r="P282" s="156">
        <f>SUM(P273:P280)</f>
        <v>0</v>
      </c>
      <c r="Q282" s="193">
        <f>SUM(Q273:Q280)</f>
        <v>0</v>
      </c>
      <c r="R282" s="113"/>
      <c r="S282" s="116"/>
      <c r="T282" s="2"/>
    </row>
    <row r="283" spans="1:20" ht="15.6" x14ac:dyDescent="0.3">
      <c r="A283" s="122"/>
      <c r="B283" s="113"/>
      <c r="C283" s="113"/>
      <c r="D283" s="195"/>
      <c r="E283" s="195"/>
      <c r="F283" s="195"/>
      <c r="G283" s="195"/>
      <c r="H283" s="195"/>
      <c r="I283" s="195"/>
      <c r="J283" s="195"/>
      <c r="K283" s="195"/>
      <c r="L283" s="195"/>
      <c r="M283" s="195"/>
      <c r="N283" s="155"/>
      <c r="O283" s="193"/>
      <c r="P283" s="156"/>
      <c r="Q283" s="193"/>
      <c r="R283" s="113"/>
      <c r="S283" s="116"/>
      <c r="T283" s="2"/>
    </row>
    <row r="284" spans="1:20" ht="15.6" x14ac:dyDescent="0.3">
      <c r="A284" s="122"/>
      <c r="B284" s="124" t="s">
        <v>182</v>
      </c>
      <c r="C284" s="113"/>
      <c r="D284" s="195"/>
      <c r="E284" s="195"/>
      <c r="F284" s="195"/>
      <c r="G284" s="195"/>
      <c r="H284" s="195"/>
      <c r="I284" s="195"/>
      <c r="J284" s="195"/>
      <c r="K284" s="195"/>
      <c r="L284" s="195"/>
      <c r="M284" s="195"/>
      <c r="N284" s="197">
        <f>N282+N270+N258</f>
        <v>635</v>
      </c>
      <c r="O284" s="193"/>
      <c r="P284" s="198">
        <f>+P282+P270+P258</f>
        <v>93237</v>
      </c>
      <c r="Q284" s="193"/>
      <c r="R284" s="113"/>
      <c r="S284" s="116"/>
      <c r="T284" s="2"/>
    </row>
    <row r="285" spans="1:20" ht="15.6" x14ac:dyDescent="0.3">
      <c r="A285" s="122"/>
      <c r="B285" s="124" t="s">
        <v>247</v>
      </c>
      <c r="C285" s="124"/>
      <c r="D285" s="206"/>
      <c r="E285" s="206"/>
      <c r="F285" s="206"/>
      <c r="G285" s="206"/>
      <c r="H285" s="206"/>
      <c r="I285" s="206"/>
      <c r="J285" s="206"/>
      <c r="K285" s="206"/>
      <c r="L285" s="206"/>
      <c r="M285" s="206"/>
      <c r="N285" s="197"/>
      <c r="O285" s="207"/>
      <c r="P285" s="208">
        <f>+R171</f>
        <v>0</v>
      </c>
      <c r="Q285" s="193"/>
      <c r="R285" s="113"/>
      <c r="S285" s="116"/>
      <c r="T285" s="2"/>
    </row>
    <row r="286" spans="1:20" ht="15.6" x14ac:dyDescent="0.3">
      <c r="A286" s="122"/>
      <c r="B286" s="124" t="s">
        <v>126</v>
      </c>
      <c r="C286" s="124"/>
      <c r="D286" s="206"/>
      <c r="E286" s="206"/>
      <c r="F286" s="206"/>
      <c r="G286" s="206"/>
      <c r="H286" s="206"/>
      <c r="I286" s="206"/>
      <c r="J286" s="206"/>
      <c r="K286" s="206"/>
      <c r="L286" s="206"/>
      <c r="M286" s="206"/>
      <c r="N286" s="197"/>
      <c r="O286" s="207"/>
      <c r="P286" s="208">
        <f>+P284+P285</f>
        <v>93237</v>
      </c>
      <c r="Q286" s="193"/>
      <c r="R286" s="113"/>
      <c r="S286" s="116"/>
      <c r="T286" s="2"/>
    </row>
    <row r="287" spans="1:20" ht="15.6" x14ac:dyDescent="0.3">
      <c r="A287" s="122"/>
      <c r="B287" s="124" t="s">
        <v>181</v>
      </c>
      <c r="C287" s="113"/>
      <c r="D287" s="195"/>
      <c r="E287" s="195"/>
      <c r="F287" s="195"/>
      <c r="G287" s="195"/>
      <c r="H287" s="195"/>
      <c r="I287" s="195"/>
      <c r="J287" s="195"/>
      <c r="K287" s="195"/>
      <c r="L287" s="195"/>
      <c r="M287" s="195"/>
      <c r="N287" s="197"/>
      <c r="O287" s="193"/>
      <c r="P287" s="198">
        <f>+R72</f>
        <v>93237</v>
      </c>
      <c r="Q287" s="193"/>
      <c r="R287" s="113"/>
      <c r="S287" s="116"/>
      <c r="T287" s="2"/>
    </row>
    <row r="288" spans="1:20" ht="15.6" x14ac:dyDescent="0.3">
      <c r="A288" s="122"/>
      <c r="B288" s="124"/>
      <c r="C288" s="113"/>
      <c r="D288" s="195"/>
      <c r="E288" s="195"/>
      <c r="F288" s="195"/>
      <c r="G288" s="195"/>
      <c r="H288" s="195"/>
      <c r="I288" s="195"/>
      <c r="J288" s="195"/>
      <c r="K288" s="195"/>
      <c r="L288" s="195"/>
      <c r="M288" s="195"/>
      <c r="N288" s="197"/>
      <c r="O288" s="193"/>
      <c r="P288" s="198"/>
      <c r="Q288" s="193"/>
      <c r="R288" s="113"/>
      <c r="S288" s="116"/>
      <c r="T288" s="2"/>
    </row>
    <row r="289" spans="1:20" ht="15.6" x14ac:dyDescent="0.3">
      <c r="A289" s="122"/>
      <c r="B289" s="124" t="s">
        <v>221</v>
      </c>
      <c r="C289" s="113"/>
      <c r="D289" s="195"/>
      <c r="E289" s="195"/>
      <c r="F289" s="195"/>
      <c r="G289" s="195"/>
      <c r="H289" s="195"/>
      <c r="I289" s="195"/>
      <c r="J289" s="195"/>
      <c r="K289" s="195"/>
      <c r="L289" s="195"/>
      <c r="M289" s="195"/>
      <c r="N289" s="197"/>
      <c r="O289" s="193"/>
      <c r="P289" s="215">
        <f>(J30+R138)/R30</f>
        <v>0.13460329650920844</v>
      </c>
      <c r="Q289" s="193"/>
      <c r="R289" s="113"/>
      <c r="S289" s="116"/>
      <c r="T289" s="2"/>
    </row>
    <row r="290" spans="1:20" ht="15.6" x14ac:dyDescent="0.3">
      <c r="A290" s="83"/>
      <c r="B290" s="84"/>
      <c r="C290" s="84"/>
      <c r="D290" s="85"/>
      <c r="E290" s="85"/>
      <c r="F290" s="85"/>
      <c r="G290" s="85"/>
      <c r="H290" s="85"/>
      <c r="I290" s="85"/>
      <c r="J290" s="85"/>
      <c r="K290" s="85"/>
      <c r="L290" s="85"/>
      <c r="M290" s="85"/>
      <c r="N290" s="85"/>
      <c r="O290" s="85"/>
      <c r="P290" s="86"/>
      <c r="Q290" s="85"/>
      <c r="R290" s="84"/>
      <c r="S290" s="219"/>
      <c r="T290" s="2"/>
    </row>
    <row r="291" spans="1:20" ht="15.6" x14ac:dyDescent="0.3">
      <c r="A291" s="87"/>
      <c r="B291" s="88" t="s">
        <v>75</v>
      </c>
      <c r="C291" s="84"/>
      <c r="D291" s="89" t="s">
        <v>79</v>
      </c>
      <c r="E291" s="88"/>
      <c r="F291" s="88" t="s">
        <v>80</v>
      </c>
      <c r="G291" s="84"/>
      <c r="H291" s="88"/>
      <c r="I291" s="90"/>
      <c r="J291" s="90"/>
      <c r="K291" s="90"/>
      <c r="L291" s="90"/>
      <c r="M291" s="90"/>
      <c r="N291" s="90"/>
      <c r="O291" s="90"/>
      <c r="P291" s="90"/>
      <c r="Q291" s="90"/>
      <c r="R291" s="90"/>
      <c r="S291" s="230"/>
      <c r="T291" s="2"/>
    </row>
    <row r="292" spans="1:20" ht="15.6" x14ac:dyDescent="0.3">
      <c r="A292" s="87"/>
      <c r="B292" s="90"/>
      <c r="C292" s="84"/>
      <c r="D292" s="84"/>
      <c r="E292" s="84"/>
      <c r="F292" s="84"/>
      <c r="G292" s="84"/>
      <c r="H292" s="84"/>
      <c r="I292" s="90"/>
      <c r="J292" s="90"/>
      <c r="K292" s="90"/>
      <c r="L292" s="90"/>
      <c r="M292" s="90"/>
      <c r="N292" s="90"/>
      <c r="O292" s="90"/>
      <c r="P292" s="90"/>
      <c r="Q292" s="90"/>
      <c r="R292" s="90"/>
      <c r="S292" s="230"/>
      <c r="T292" s="2"/>
    </row>
    <row r="293" spans="1:20" ht="15.6" x14ac:dyDescent="0.3">
      <c r="A293" s="87"/>
      <c r="B293" s="214" t="s">
        <v>212</v>
      </c>
      <c r="C293" s="88"/>
      <c r="D293" s="91" t="s">
        <v>147</v>
      </c>
      <c r="E293" s="88"/>
      <c r="F293" s="88" t="s">
        <v>148</v>
      </c>
      <c r="G293" s="88"/>
      <c r="H293" s="88"/>
      <c r="I293" s="90"/>
      <c r="J293" s="90"/>
      <c r="K293" s="90"/>
      <c r="L293" s="90"/>
      <c r="M293" s="90"/>
      <c r="N293" s="90"/>
      <c r="O293" s="90"/>
      <c r="P293" s="90"/>
      <c r="Q293" s="90"/>
      <c r="R293" s="90"/>
      <c r="S293" s="230"/>
      <c r="T293" s="2"/>
    </row>
    <row r="294" spans="1:20" ht="15.6" x14ac:dyDescent="0.3">
      <c r="A294" s="87"/>
      <c r="B294" s="214" t="s">
        <v>213</v>
      </c>
      <c r="C294" s="88"/>
      <c r="D294" s="91" t="s">
        <v>114</v>
      </c>
      <c r="E294" s="88"/>
      <c r="F294" s="88" t="s">
        <v>117</v>
      </c>
      <c r="G294" s="88"/>
      <c r="H294" s="88"/>
      <c r="I294" s="90"/>
      <c r="J294" s="90"/>
      <c r="K294" s="90"/>
      <c r="L294" s="90"/>
      <c r="M294" s="90"/>
      <c r="N294" s="90"/>
      <c r="O294" s="90"/>
      <c r="P294" s="90"/>
      <c r="Q294" s="90"/>
      <c r="R294" s="90"/>
      <c r="S294" s="230"/>
      <c r="T294" s="2"/>
    </row>
    <row r="295" spans="1:20" ht="15.6" x14ac:dyDescent="0.3">
      <c r="A295" s="87"/>
      <c r="B295" s="88"/>
      <c r="C295" s="88"/>
      <c r="D295" s="90"/>
      <c r="E295" s="90"/>
      <c r="F295" s="90"/>
      <c r="G295" s="90"/>
      <c r="H295" s="90"/>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8" thickBot="1" x14ac:dyDescent="0.35">
      <c r="A297" s="87"/>
      <c r="B297" s="92" t="str">
        <f>B196</f>
        <v>PM21 INVESTOR REPORT QUARTER ENDING AUGUST 2017</v>
      </c>
      <c r="C297" s="88"/>
      <c r="D297" s="90"/>
      <c r="E297" s="90"/>
      <c r="F297" s="90"/>
      <c r="G297" s="90"/>
      <c r="H297" s="90"/>
      <c r="I297" s="90"/>
      <c r="J297" s="90"/>
      <c r="K297" s="90"/>
      <c r="L297" s="90"/>
      <c r="M297" s="90"/>
      <c r="N297" s="90"/>
      <c r="O297" s="90"/>
      <c r="P297" s="90"/>
      <c r="Q297" s="90"/>
      <c r="R297" s="90"/>
      <c r="S297" s="99"/>
      <c r="T297" s="2"/>
    </row>
    <row r="298" spans="1:20" x14ac:dyDescent="0.25">
      <c r="A298" s="3"/>
      <c r="B298" s="3"/>
      <c r="C298" s="3"/>
      <c r="D298" s="3"/>
      <c r="E298" s="3"/>
      <c r="F298" s="3"/>
      <c r="G298" s="3"/>
      <c r="H298" s="3"/>
      <c r="I298" s="3"/>
      <c r="J298" s="3"/>
      <c r="K298" s="3"/>
      <c r="L298" s="3"/>
      <c r="M298" s="3"/>
      <c r="N298" s="3"/>
      <c r="O298" s="3"/>
      <c r="P298" s="3"/>
      <c r="Q298" s="3"/>
      <c r="R298" s="3"/>
      <c r="S298"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298"/>
  <sheetViews>
    <sheetView showGridLines="0" showOutlineSymbols="0" zoomScale="70" zoomScaleNormal="70" workbookViewId="0"/>
  </sheetViews>
  <sheetFormatPr defaultColWidth="9.6328125" defaultRowHeight="15.6" x14ac:dyDescent="0.3"/>
  <cols>
    <col min="1" max="1" width="4" style="242" customWidth="1"/>
    <col min="2" max="2" width="71.1796875" style="242" customWidth="1"/>
    <col min="3" max="3" width="2.1796875" style="242" customWidth="1"/>
    <col min="4" max="4" width="16.1796875" style="242" customWidth="1"/>
    <col min="5" max="5" width="2.90625" style="242" customWidth="1"/>
    <col min="6" max="6" width="16.1796875" style="242" customWidth="1"/>
    <col min="7" max="7" width="2.1796875" style="242" customWidth="1"/>
    <col min="8" max="8" width="17.90625" style="242" customWidth="1"/>
    <col min="9" max="9" width="2.36328125" style="242" customWidth="1"/>
    <col min="10" max="10" width="14.90625" style="242" customWidth="1"/>
    <col min="11" max="11" width="2.36328125" style="242" customWidth="1"/>
    <col min="12" max="12" width="15.54296875" style="242" customWidth="1"/>
    <col min="13" max="13" width="2.1796875" style="242" customWidth="1"/>
    <col min="14" max="14" width="15.54296875" style="242" customWidth="1"/>
    <col min="15" max="16" width="12.6328125" style="242" customWidth="1"/>
    <col min="17" max="17" width="8.36328125" style="242" customWidth="1"/>
    <col min="18" max="18" width="14.6328125" style="242" customWidth="1"/>
    <col min="19" max="19" width="11.81640625" style="242" customWidth="1"/>
    <col min="20" max="16384" width="9.6328125" style="242"/>
  </cols>
  <sheetData>
    <row r="1" spans="1:20" ht="21" x14ac:dyDescent="0.4">
      <c r="A1" s="237"/>
      <c r="B1" s="238" t="s">
        <v>225</v>
      </c>
      <c r="C1" s="239"/>
      <c r="D1" s="239"/>
      <c r="E1" s="239"/>
      <c r="F1" s="239"/>
      <c r="G1" s="239"/>
      <c r="H1" s="239"/>
      <c r="I1" s="239"/>
      <c r="J1" s="239"/>
      <c r="K1" s="239"/>
      <c r="L1" s="239"/>
      <c r="M1" s="239"/>
      <c r="N1" s="239"/>
      <c r="O1" s="239"/>
      <c r="P1" s="239"/>
      <c r="Q1" s="239"/>
      <c r="R1" s="239"/>
      <c r="S1" s="240"/>
      <c r="T1" s="241"/>
    </row>
    <row r="2" spans="1:20" x14ac:dyDescent="0.3">
      <c r="A2" s="243"/>
      <c r="B2" s="244"/>
      <c r="C2" s="245"/>
      <c r="D2" s="245"/>
      <c r="E2" s="245"/>
      <c r="F2" s="245"/>
      <c r="G2" s="245"/>
      <c r="H2" s="245"/>
      <c r="I2" s="245"/>
      <c r="J2" s="245"/>
      <c r="K2" s="245"/>
      <c r="L2" s="245"/>
      <c r="M2" s="245"/>
      <c r="N2" s="245"/>
      <c r="O2" s="245"/>
      <c r="P2" s="245"/>
      <c r="Q2" s="245"/>
      <c r="R2" s="245"/>
      <c r="S2" s="246"/>
      <c r="T2" s="241"/>
    </row>
    <row r="3" spans="1:20" x14ac:dyDescent="0.3">
      <c r="A3" s="247"/>
      <c r="B3" s="248" t="s">
        <v>230</v>
      </c>
      <c r="C3" s="245"/>
      <c r="D3" s="245"/>
      <c r="E3" s="245"/>
      <c r="F3" s="245"/>
      <c r="G3" s="245"/>
      <c r="H3" s="245"/>
      <c r="I3" s="245"/>
      <c r="J3" s="245"/>
      <c r="K3" s="245"/>
      <c r="L3" s="245"/>
      <c r="M3" s="245"/>
      <c r="N3" s="245"/>
      <c r="O3" s="245"/>
      <c r="P3" s="245"/>
      <c r="Q3" s="245"/>
      <c r="R3" s="245"/>
      <c r="S3" s="246"/>
      <c r="T3" s="241"/>
    </row>
    <row r="4" spans="1:20" x14ac:dyDescent="0.3">
      <c r="A4" s="243"/>
      <c r="B4" s="244"/>
      <c r="C4" s="245"/>
      <c r="D4" s="245"/>
      <c r="E4" s="245"/>
      <c r="F4" s="245"/>
      <c r="G4" s="245"/>
      <c r="H4" s="245"/>
      <c r="I4" s="245"/>
      <c r="J4" s="245"/>
      <c r="K4" s="245"/>
      <c r="L4" s="245"/>
      <c r="M4" s="245"/>
      <c r="N4" s="245"/>
      <c r="O4" s="245"/>
      <c r="P4" s="245"/>
      <c r="Q4" s="245"/>
      <c r="R4" s="245"/>
      <c r="S4" s="246"/>
      <c r="T4" s="241"/>
    </row>
    <row r="5" spans="1:20" x14ac:dyDescent="0.3">
      <c r="A5" s="243"/>
      <c r="B5" s="249" t="s">
        <v>109</v>
      </c>
      <c r="C5" s="245"/>
      <c r="D5" s="245"/>
      <c r="E5" s="245"/>
      <c r="F5" s="245"/>
      <c r="G5" s="245"/>
      <c r="H5" s="245"/>
      <c r="I5" s="245"/>
      <c r="J5" s="245"/>
      <c r="K5" s="245"/>
      <c r="L5" s="245"/>
      <c r="M5" s="245"/>
      <c r="N5" s="245"/>
      <c r="O5" s="245"/>
      <c r="P5" s="245"/>
      <c r="Q5" s="245"/>
      <c r="R5" s="245"/>
      <c r="S5" s="246"/>
      <c r="T5" s="241"/>
    </row>
    <row r="6" spans="1:20" x14ac:dyDescent="0.3">
      <c r="A6" s="243"/>
      <c r="B6" s="249" t="s">
        <v>111</v>
      </c>
      <c r="C6" s="245"/>
      <c r="D6" s="245"/>
      <c r="E6" s="245"/>
      <c r="F6" s="245"/>
      <c r="G6" s="245"/>
      <c r="H6" s="245"/>
      <c r="I6" s="245"/>
      <c r="J6" s="245"/>
      <c r="K6" s="245"/>
      <c r="L6" s="245"/>
      <c r="M6" s="245"/>
      <c r="N6" s="245"/>
      <c r="O6" s="245"/>
      <c r="P6" s="245"/>
      <c r="Q6" s="245"/>
      <c r="R6" s="245"/>
      <c r="S6" s="246"/>
      <c r="T6" s="241"/>
    </row>
    <row r="7" spans="1:20" x14ac:dyDescent="0.3">
      <c r="A7" s="243"/>
      <c r="B7" s="249" t="s">
        <v>110</v>
      </c>
      <c r="C7" s="245"/>
      <c r="D7" s="245"/>
      <c r="E7" s="245"/>
      <c r="F7" s="245"/>
      <c r="G7" s="245"/>
      <c r="H7" s="245"/>
      <c r="I7" s="245"/>
      <c r="J7" s="245"/>
      <c r="K7" s="245"/>
      <c r="L7" s="245"/>
      <c r="M7" s="245"/>
      <c r="N7" s="245"/>
      <c r="O7" s="245"/>
      <c r="P7" s="245"/>
      <c r="Q7" s="245"/>
      <c r="R7" s="245"/>
      <c r="S7" s="246"/>
      <c r="T7" s="241"/>
    </row>
    <row r="8" spans="1:20" x14ac:dyDescent="0.3">
      <c r="A8" s="243"/>
      <c r="B8" s="250"/>
      <c r="C8" s="245"/>
      <c r="D8" s="245"/>
      <c r="E8" s="245"/>
      <c r="F8" s="245"/>
      <c r="G8" s="245"/>
      <c r="H8" s="245"/>
      <c r="I8" s="245"/>
      <c r="J8" s="245"/>
      <c r="K8" s="245"/>
      <c r="L8" s="245"/>
      <c r="M8" s="245"/>
      <c r="N8" s="245"/>
      <c r="O8" s="245"/>
      <c r="P8" s="245"/>
      <c r="Q8" s="245"/>
      <c r="R8" s="245"/>
      <c r="S8" s="246"/>
      <c r="T8" s="241"/>
    </row>
    <row r="9" spans="1:20" ht="18" x14ac:dyDescent="0.35">
      <c r="A9" s="243"/>
      <c r="B9" s="251" t="s">
        <v>127</v>
      </c>
      <c r="C9" s="245"/>
      <c r="D9" s="245"/>
      <c r="E9" s="252"/>
      <c r="F9" s="245"/>
      <c r="G9" s="245"/>
      <c r="H9" s="252"/>
      <c r="I9" s="245"/>
      <c r="J9" s="252"/>
      <c r="K9" s="236" t="s">
        <v>271</v>
      </c>
      <c r="L9" s="252"/>
      <c r="M9" s="245"/>
      <c r="N9" s="245"/>
      <c r="O9" s="245"/>
      <c r="P9" s="245"/>
      <c r="Q9" s="245"/>
      <c r="R9" s="245"/>
      <c r="S9" s="246"/>
      <c r="T9" s="241"/>
    </row>
    <row r="10" spans="1:20" x14ac:dyDescent="0.3">
      <c r="A10" s="243"/>
      <c r="B10" s="250"/>
      <c r="C10" s="253"/>
      <c r="D10" s="245"/>
      <c r="E10" s="245"/>
      <c r="F10" s="245"/>
      <c r="G10" s="245"/>
      <c r="H10" s="245"/>
      <c r="I10" s="245"/>
      <c r="J10" s="245"/>
      <c r="K10" s="245"/>
      <c r="L10" s="245"/>
      <c r="M10" s="245"/>
      <c r="N10" s="245"/>
      <c r="O10" s="245"/>
      <c r="P10" s="245"/>
      <c r="Q10" s="245"/>
      <c r="R10" s="245"/>
      <c r="S10" s="246"/>
      <c r="T10" s="241"/>
    </row>
    <row r="11" spans="1:20" x14ac:dyDescent="0.3">
      <c r="A11" s="243"/>
      <c r="B11" s="254" t="s">
        <v>0</v>
      </c>
      <c r="C11" s="245"/>
      <c r="D11" s="245"/>
      <c r="E11" s="245"/>
      <c r="F11" s="245"/>
      <c r="G11" s="245"/>
      <c r="H11" s="245"/>
      <c r="I11" s="245"/>
      <c r="J11" s="245"/>
      <c r="K11" s="245"/>
      <c r="L11" s="245"/>
      <c r="M11" s="245"/>
      <c r="N11" s="245"/>
      <c r="O11" s="245"/>
      <c r="P11" s="245"/>
      <c r="Q11" s="245"/>
      <c r="R11" s="245"/>
      <c r="S11" s="246"/>
      <c r="T11" s="241"/>
    </row>
    <row r="12" spans="1:20" ht="16.2" thickBot="1" x14ac:dyDescent="0.35">
      <c r="A12" s="243"/>
      <c r="B12" s="253"/>
      <c r="C12" s="245"/>
      <c r="D12" s="245"/>
      <c r="E12" s="245"/>
      <c r="F12" s="245"/>
      <c r="G12" s="245"/>
      <c r="H12" s="245"/>
      <c r="I12" s="245"/>
      <c r="J12" s="245"/>
      <c r="K12" s="245"/>
      <c r="L12" s="245"/>
      <c r="M12" s="245"/>
      <c r="N12" s="245"/>
      <c r="O12" s="245"/>
      <c r="P12" s="245"/>
      <c r="Q12" s="245"/>
      <c r="R12" s="245"/>
      <c r="S12" s="246"/>
      <c r="T12" s="241"/>
    </row>
    <row r="13" spans="1:20" x14ac:dyDescent="0.3">
      <c r="A13" s="237"/>
      <c r="B13" s="239"/>
      <c r="C13" s="239"/>
      <c r="D13" s="239"/>
      <c r="E13" s="239"/>
      <c r="F13" s="239"/>
      <c r="G13" s="239"/>
      <c r="H13" s="239"/>
      <c r="I13" s="239"/>
      <c r="J13" s="239"/>
      <c r="K13" s="239"/>
      <c r="L13" s="239"/>
      <c r="M13" s="239"/>
      <c r="N13" s="239"/>
      <c r="O13" s="239"/>
      <c r="P13" s="239"/>
      <c r="Q13" s="239"/>
      <c r="R13" s="239"/>
      <c r="S13" s="240"/>
      <c r="T13" s="241"/>
    </row>
    <row r="14" spans="1:20" s="260" customFormat="1" x14ac:dyDescent="0.3">
      <c r="A14" s="255"/>
      <c r="B14" s="254" t="s">
        <v>1</v>
      </c>
      <c r="C14" s="256"/>
      <c r="D14" s="256"/>
      <c r="E14" s="256"/>
      <c r="F14" s="256"/>
      <c r="G14" s="256"/>
      <c r="H14" s="256"/>
      <c r="I14" s="256"/>
      <c r="J14" s="256"/>
      <c r="K14" s="256"/>
      <c r="L14" s="256"/>
      <c r="M14" s="256"/>
      <c r="N14" s="256"/>
      <c r="O14" s="256"/>
      <c r="P14" s="256"/>
      <c r="Q14" s="256"/>
      <c r="R14" s="257" t="s">
        <v>226</v>
      </c>
      <c r="S14" s="258"/>
      <c r="T14" s="259"/>
    </row>
    <row r="15" spans="1:20" s="260" customFormat="1" x14ac:dyDescent="0.3">
      <c r="A15" s="255"/>
      <c r="B15" s="254" t="s">
        <v>2</v>
      </c>
      <c r="C15" s="256"/>
      <c r="D15" s="261"/>
      <c r="E15" s="261"/>
      <c r="F15" s="261"/>
      <c r="G15" s="261"/>
      <c r="H15" s="261"/>
      <c r="I15" s="261"/>
      <c r="J15" s="261"/>
      <c r="K15" s="261"/>
      <c r="L15" s="261"/>
      <c r="M15" s="261"/>
      <c r="N15" s="262"/>
      <c r="O15" s="262"/>
      <c r="P15" s="262" t="s">
        <v>156</v>
      </c>
      <c r="Q15" s="262">
        <v>1</v>
      </c>
      <c r="R15" s="257"/>
      <c r="S15" s="258"/>
      <c r="T15" s="259"/>
    </row>
    <row r="16" spans="1:20" s="260" customFormat="1" x14ac:dyDescent="0.3">
      <c r="A16" s="255"/>
      <c r="B16" s="254" t="s">
        <v>3</v>
      </c>
      <c r="C16" s="256"/>
      <c r="D16" s="261"/>
      <c r="E16" s="261"/>
      <c r="F16" s="261"/>
      <c r="G16" s="261"/>
      <c r="H16" s="261"/>
      <c r="I16" s="261"/>
      <c r="J16" s="261"/>
      <c r="K16" s="261"/>
      <c r="L16" s="261"/>
      <c r="M16" s="261"/>
      <c r="N16" s="262"/>
      <c r="O16" s="262"/>
      <c r="P16" s="262" t="s">
        <v>156</v>
      </c>
      <c r="Q16" s="262">
        <v>1</v>
      </c>
      <c r="R16" s="257"/>
      <c r="S16" s="258"/>
      <c r="T16" s="259"/>
    </row>
    <row r="17" spans="1:23" s="260" customFormat="1" x14ac:dyDescent="0.3">
      <c r="A17" s="255"/>
      <c r="B17" s="254" t="s">
        <v>4</v>
      </c>
      <c r="C17" s="256"/>
      <c r="D17" s="256"/>
      <c r="E17" s="256"/>
      <c r="F17" s="256"/>
      <c r="G17" s="256"/>
      <c r="H17" s="256"/>
      <c r="I17" s="256"/>
      <c r="J17" s="256"/>
      <c r="K17" s="256"/>
      <c r="L17" s="256"/>
      <c r="M17" s="256"/>
      <c r="N17" s="256"/>
      <c r="O17" s="256"/>
      <c r="P17" s="256"/>
      <c r="Q17" s="256"/>
      <c r="R17" s="263">
        <v>41956</v>
      </c>
      <c r="S17" s="258"/>
      <c r="T17" s="259"/>
    </row>
    <row r="18" spans="1:23" s="260" customFormat="1" x14ac:dyDescent="0.3">
      <c r="A18" s="255"/>
      <c r="B18" s="254" t="s">
        <v>5</v>
      </c>
      <c r="C18" s="256"/>
      <c r="D18" s="256"/>
      <c r="E18" s="256"/>
      <c r="F18" s="256"/>
      <c r="G18" s="256"/>
      <c r="H18" s="256"/>
      <c r="I18" s="256"/>
      <c r="J18" s="256"/>
      <c r="K18" s="256"/>
      <c r="L18" s="256"/>
      <c r="M18" s="256"/>
      <c r="N18" s="256"/>
      <c r="O18" s="256"/>
      <c r="P18" s="256"/>
      <c r="Q18" s="256"/>
      <c r="R18" s="263">
        <v>43091</v>
      </c>
      <c r="S18" s="258"/>
      <c r="T18" s="259"/>
    </row>
    <row r="19" spans="1:23" s="260" customFormat="1" x14ac:dyDescent="0.3">
      <c r="A19" s="255"/>
      <c r="B19" s="256"/>
      <c r="C19" s="256"/>
      <c r="D19" s="256"/>
      <c r="E19" s="256"/>
      <c r="F19" s="256"/>
      <c r="G19" s="256"/>
      <c r="H19" s="256"/>
      <c r="I19" s="256"/>
      <c r="J19" s="256"/>
      <c r="K19" s="256"/>
      <c r="L19" s="256"/>
      <c r="M19" s="256"/>
      <c r="N19" s="256"/>
      <c r="O19" s="256"/>
      <c r="P19" s="256"/>
      <c r="Q19" s="256"/>
      <c r="R19" s="264"/>
      <c r="S19" s="258"/>
      <c r="T19" s="259"/>
    </row>
    <row r="20" spans="1:23" s="260" customFormat="1" x14ac:dyDescent="0.3">
      <c r="A20" s="255"/>
      <c r="B20" s="265" t="s">
        <v>6</v>
      </c>
      <c r="C20" s="256"/>
      <c r="D20" s="256"/>
      <c r="E20" s="256"/>
      <c r="F20" s="256"/>
      <c r="G20" s="256"/>
      <c r="H20" s="256"/>
      <c r="I20" s="256"/>
      <c r="J20" s="256"/>
      <c r="K20" s="256"/>
      <c r="L20" s="256"/>
      <c r="M20" s="256"/>
      <c r="N20" s="256"/>
      <c r="O20" s="256"/>
      <c r="P20" s="264" t="s">
        <v>85</v>
      </c>
      <c r="Q20" s="256"/>
      <c r="R20" s="256"/>
      <c r="S20" s="258"/>
      <c r="T20" s="259"/>
    </row>
    <row r="21" spans="1:23" x14ac:dyDescent="0.3">
      <c r="A21" s="243"/>
      <c r="B21" s="245"/>
      <c r="C21" s="245"/>
      <c r="D21" s="245"/>
      <c r="E21" s="245"/>
      <c r="F21" s="245"/>
      <c r="G21" s="245"/>
      <c r="H21" s="245"/>
      <c r="I21" s="245"/>
      <c r="J21" s="245"/>
      <c r="K21" s="245"/>
      <c r="L21" s="245"/>
      <c r="M21" s="245"/>
      <c r="N21" s="245"/>
      <c r="O21" s="245"/>
      <c r="P21" s="245"/>
      <c r="Q21" s="245"/>
      <c r="R21" s="266"/>
      <c r="S21" s="246"/>
      <c r="T21" s="241"/>
    </row>
    <row r="22" spans="1:23" x14ac:dyDescent="0.3">
      <c r="A22" s="424"/>
      <c r="B22" s="428"/>
      <c r="C22" s="429"/>
      <c r="D22" s="429" t="s">
        <v>152</v>
      </c>
      <c r="E22" s="429"/>
      <c r="F22" s="429" t="s">
        <v>185</v>
      </c>
      <c r="G22" s="429"/>
      <c r="H22" s="429" t="s">
        <v>186</v>
      </c>
      <c r="I22" s="429"/>
      <c r="J22" s="429" t="s">
        <v>187</v>
      </c>
      <c r="K22" s="429"/>
      <c r="L22" s="429"/>
      <c r="M22" s="429"/>
      <c r="N22" s="429"/>
      <c r="O22" s="430"/>
      <c r="P22" s="430"/>
      <c r="Q22" s="428"/>
      <c r="R22" s="428"/>
      <c r="S22" s="426"/>
      <c r="T22" s="241"/>
    </row>
    <row r="23" spans="1:23" s="260" customFormat="1" x14ac:dyDescent="0.3">
      <c r="A23" s="255"/>
      <c r="B23" s="302" t="s">
        <v>183</v>
      </c>
      <c r="C23" s="427"/>
      <c r="D23" s="427" t="s">
        <v>112</v>
      </c>
      <c r="E23" s="427"/>
      <c r="F23" s="427" t="s">
        <v>184</v>
      </c>
      <c r="G23" s="427"/>
      <c r="H23" s="427" t="s">
        <v>188</v>
      </c>
      <c r="I23" s="427"/>
      <c r="J23" s="427" t="s">
        <v>154</v>
      </c>
      <c r="K23" s="427"/>
      <c r="L23" s="427"/>
      <c r="M23" s="427"/>
      <c r="N23" s="427"/>
      <c r="O23" s="427"/>
      <c r="P23" s="427"/>
      <c r="Q23" s="302"/>
      <c r="R23" s="302"/>
      <c r="S23" s="258"/>
      <c r="T23" s="259"/>
    </row>
    <row r="24" spans="1:23" s="260" customFormat="1" x14ac:dyDescent="0.3">
      <c r="A24" s="267"/>
      <c r="B24" s="268" t="s">
        <v>216</v>
      </c>
      <c r="C24" s="269"/>
      <c r="D24" s="270" t="s">
        <v>218</v>
      </c>
      <c r="E24" s="270"/>
      <c r="F24" s="270" t="s">
        <v>219</v>
      </c>
      <c r="G24" s="270"/>
      <c r="H24" s="270" t="s">
        <v>220</v>
      </c>
      <c r="I24" s="270"/>
      <c r="J24" s="270" t="s">
        <v>154</v>
      </c>
      <c r="K24" s="270"/>
      <c r="L24" s="270"/>
      <c r="M24" s="270"/>
      <c r="N24" s="270"/>
      <c r="O24" s="269"/>
      <c r="P24" s="270"/>
      <c r="Q24" s="268"/>
      <c r="R24" s="268"/>
      <c r="S24" s="271"/>
      <c r="T24" s="259"/>
    </row>
    <row r="25" spans="1:23" s="260" customFormat="1" x14ac:dyDescent="0.3">
      <c r="A25" s="267"/>
      <c r="B25" s="272" t="s">
        <v>201</v>
      </c>
      <c r="C25" s="269"/>
      <c r="D25" s="269" t="s">
        <v>112</v>
      </c>
      <c r="E25" s="269"/>
      <c r="F25" s="269" t="s">
        <v>184</v>
      </c>
      <c r="G25" s="269"/>
      <c r="H25" s="269" t="s">
        <v>265</v>
      </c>
      <c r="I25" s="269"/>
      <c r="J25" s="269" t="s">
        <v>154</v>
      </c>
      <c r="K25" s="269"/>
      <c r="L25" s="269"/>
      <c r="M25" s="269"/>
      <c r="N25" s="269"/>
      <c r="O25" s="269"/>
      <c r="P25" s="270"/>
      <c r="Q25" s="268"/>
      <c r="R25" s="268"/>
      <c r="S25" s="271"/>
      <c r="T25" s="259"/>
      <c r="U25" s="273"/>
      <c r="W25" s="274"/>
    </row>
    <row r="26" spans="1:23" s="260" customFormat="1" x14ac:dyDescent="0.3">
      <c r="A26" s="275"/>
      <c r="B26" s="272" t="s">
        <v>217</v>
      </c>
      <c r="C26" s="270"/>
      <c r="D26" s="269" t="s">
        <v>218</v>
      </c>
      <c r="E26" s="269"/>
      <c r="F26" s="269" t="s">
        <v>218</v>
      </c>
      <c r="G26" s="269"/>
      <c r="H26" s="269" t="s">
        <v>219</v>
      </c>
      <c r="I26" s="269"/>
      <c r="J26" s="269" t="s">
        <v>154</v>
      </c>
      <c r="K26" s="269"/>
      <c r="L26" s="269"/>
      <c r="M26" s="269"/>
      <c r="N26" s="269"/>
      <c r="O26" s="270"/>
      <c r="P26" s="276"/>
      <c r="Q26" s="268"/>
      <c r="R26" s="268"/>
      <c r="S26" s="271"/>
      <c r="T26" s="259"/>
      <c r="U26" s="273"/>
      <c r="W26" s="274"/>
    </row>
    <row r="27" spans="1:23" s="260" customFormat="1" x14ac:dyDescent="0.3">
      <c r="A27" s="275"/>
      <c r="B27" s="268" t="s">
        <v>7</v>
      </c>
      <c r="C27" s="277"/>
      <c r="D27" s="270" t="s">
        <v>231</v>
      </c>
      <c r="E27" s="270"/>
      <c r="F27" s="270" t="s">
        <v>232</v>
      </c>
      <c r="G27" s="270"/>
      <c r="H27" s="270" t="s">
        <v>233</v>
      </c>
      <c r="I27" s="270"/>
      <c r="J27" s="270" t="s">
        <v>234</v>
      </c>
      <c r="K27" s="270"/>
      <c r="L27" s="270"/>
      <c r="M27" s="270"/>
      <c r="N27" s="270"/>
      <c r="O27" s="278"/>
      <c r="P27" s="278"/>
      <c r="Q27" s="277"/>
      <c r="R27" s="278"/>
      <c r="S27" s="279"/>
      <c r="T27" s="259"/>
      <c r="U27" s="273"/>
      <c r="W27" s="274"/>
    </row>
    <row r="28" spans="1:23" s="260" customFormat="1" x14ac:dyDescent="0.3">
      <c r="A28" s="267"/>
      <c r="B28" s="268" t="s">
        <v>106</v>
      </c>
      <c r="C28" s="280"/>
      <c r="D28" s="281">
        <v>217900</v>
      </c>
      <c r="E28" s="282"/>
      <c r="F28" s="281">
        <v>17700</v>
      </c>
      <c r="G28" s="283"/>
      <c r="H28" s="281">
        <v>8100</v>
      </c>
      <c r="I28" s="278"/>
      <c r="J28" s="281">
        <v>6300</v>
      </c>
      <c r="K28" s="278"/>
      <c r="L28" s="282"/>
      <c r="M28" s="278"/>
      <c r="N28" s="282"/>
      <c r="O28" s="284"/>
      <c r="P28" s="284"/>
      <c r="Q28" s="280"/>
      <c r="R28" s="278">
        <f>SUM(D28:J28)</f>
        <v>250000</v>
      </c>
      <c r="S28" s="279"/>
      <c r="T28" s="259"/>
    </row>
    <row r="29" spans="1:23" s="260" customFormat="1" x14ac:dyDescent="0.3">
      <c r="A29" s="275"/>
      <c r="B29" s="268" t="s">
        <v>105</v>
      </c>
      <c r="C29" s="277"/>
      <c r="D29" s="281">
        <f>D28*D32</f>
        <v>61136.943859999992</v>
      </c>
      <c r="E29" s="282"/>
      <c r="F29" s="281">
        <f>F28*F32</f>
        <v>17700</v>
      </c>
      <c r="G29" s="281"/>
      <c r="H29" s="281">
        <f>H28*H32</f>
        <v>8100</v>
      </c>
      <c r="I29" s="278"/>
      <c r="J29" s="281">
        <f>J28*J32</f>
        <v>6300</v>
      </c>
      <c r="K29" s="278"/>
      <c r="L29" s="282"/>
      <c r="M29" s="278"/>
      <c r="N29" s="282"/>
      <c r="O29" s="278"/>
      <c r="P29" s="278"/>
      <c r="Q29" s="277"/>
      <c r="R29" s="278">
        <f>SUM(D29:J29)</f>
        <v>93236.943859999999</v>
      </c>
      <c r="S29" s="279"/>
      <c r="T29" s="259"/>
    </row>
    <row r="30" spans="1:23" s="260" customFormat="1" x14ac:dyDescent="0.3">
      <c r="A30" s="275"/>
      <c r="B30" s="272" t="s">
        <v>107</v>
      </c>
      <c r="C30" s="277"/>
      <c r="D30" s="285">
        <f>D28*D31</f>
        <v>49815.252079999998</v>
      </c>
      <c r="E30" s="285"/>
      <c r="F30" s="285">
        <f t="shared" ref="F30:J30" si="0">F28*F31</f>
        <v>17700</v>
      </c>
      <c r="G30" s="285"/>
      <c r="H30" s="285">
        <f>H28*H31</f>
        <v>8100</v>
      </c>
      <c r="I30" s="285"/>
      <c r="J30" s="285">
        <f t="shared" si="0"/>
        <v>6300</v>
      </c>
      <c r="K30" s="284"/>
      <c r="L30" s="286"/>
      <c r="M30" s="284"/>
      <c r="N30" s="286"/>
      <c r="O30" s="278"/>
      <c r="P30" s="278"/>
      <c r="Q30" s="277"/>
      <c r="R30" s="284">
        <f>SUM(D30:J30)</f>
        <v>81915.252080000006</v>
      </c>
      <c r="S30" s="279"/>
      <c r="T30" s="259"/>
    </row>
    <row r="31" spans="1:23" s="409" customFormat="1" x14ac:dyDescent="0.3">
      <c r="A31" s="401"/>
      <c r="B31" s="402" t="s">
        <v>103</v>
      </c>
      <c r="C31" s="403"/>
      <c r="D31" s="404">
        <v>0.22861519999999999</v>
      </c>
      <c r="E31" s="404"/>
      <c r="F31" s="404">
        <v>1</v>
      </c>
      <c r="G31" s="404"/>
      <c r="H31" s="404">
        <v>1</v>
      </c>
      <c r="I31" s="404"/>
      <c r="J31" s="404">
        <v>1</v>
      </c>
      <c r="K31" s="404"/>
      <c r="L31" s="404"/>
      <c r="M31" s="404"/>
      <c r="N31" s="404"/>
      <c r="O31" s="405"/>
      <c r="P31" s="405"/>
      <c r="Q31" s="403"/>
      <c r="R31" s="406"/>
      <c r="S31" s="407"/>
      <c r="T31" s="408"/>
    </row>
    <row r="32" spans="1:23" s="409" customFormat="1" x14ac:dyDescent="0.3">
      <c r="A32" s="401"/>
      <c r="B32" s="402" t="s">
        <v>104</v>
      </c>
      <c r="C32" s="403"/>
      <c r="D32" s="404">
        <v>0.28057339999999997</v>
      </c>
      <c r="E32" s="404"/>
      <c r="F32" s="404">
        <v>1</v>
      </c>
      <c r="G32" s="404"/>
      <c r="H32" s="404">
        <v>1</v>
      </c>
      <c r="I32" s="404"/>
      <c r="J32" s="404">
        <v>1</v>
      </c>
      <c r="K32" s="404"/>
      <c r="L32" s="404"/>
      <c r="M32" s="404"/>
      <c r="N32" s="404"/>
      <c r="O32" s="410"/>
      <c r="P32" s="411"/>
      <c r="Q32" s="403"/>
      <c r="R32" s="410"/>
      <c r="S32" s="407"/>
      <c r="T32" s="408"/>
    </row>
    <row r="33" spans="1:21" s="260" customFormat="1" x14ac:dyDescent="0.3">
      <c r="A33" s="275"/>
      <c r="B33" s="268" t="s">
        <v>8</v>
      </c>
      <c r="C33" s="268"/>
      <c r="D33" s="276" t="s">
        <v>250</v>
      </c>
      <c r="E33" s="276"/>
      <c r="F33" s="276" t="s">
        <v>251</v>
      </c>
      <c r="G33" s="276"/>
      <c r="H33" s="276" t="s">
        <v>252</v>
      </c>
      <c r="I33" s="276"/>
      <c r="J33" s="276" t="s">
        <v>253</v>
      </c>
      <c r="K33" s="276"/>
      <c r="L33" s="276"/>
      <c r="M33" s="276"/>
      <c r="N33" s="276"/>
      <c r="O33" s="290"/>
      <c r="P33" s="291"/>
      <c r="Q33" s="268"/>
      <c r="R33" s="268"/>
      <c r="S33" s="271"/>
      <c r="T33" s="259"/>
    </row>
    <row r="34" spans="1:21" s="260" customFormat="1" x14ac:dyDescent="0.3">
      <c r="A34" s="275"/>
      <c r="B34" s="268" t="s">
        <v>9</v>
      </c>
      <c r="C34" s="292"/>
      <c r="D34" s="291">
        <v>1.1268800000000001E-2</v>
      </c>
      <c r="E34" s="291"/>
      <c r="F34" s="291">
        <v>1.7268800000000001E-2</v>
      </c>
      <c r="G34" s="291"/>
      <c r="H34" s="291">
        <v>2.07688E-2</v>
      </c>
      <c r="I34" s="291"/>
      <c r="J34" s="291">
        <v>2.42688E-2</v>
      </c>
      <c r="K34" s="291"/>
      <c r="L34" s="291"/>
      <c r="M34" s="290"/>
      <c r="N34" s="291"/>
      <c r="O34" s="276"/>
      <c r="P34" s="276"/>
      <c r="Q34" s="268"/>
      <c r="R34" s="290">
        <f>SUMPRODUCT(D34:J34,D29:J29)/R29</f>
        <v>1.4111557270100852E-2</v>
      </c>
      <c r="S34" s="271"/>
      <c r="T34" s="259"/>
    </row>
    <row r="35" spans="1:21" s="260" customFormat="1" x14ac:dyDescent="0.3">
      <c r="A35" s="275"/>
      <c r="B35" s="268" t="s">
        <v>10</v>
      </c>
      <c r="C35" s="292"/>
      <c r="D35" s="291">
        <v>1.08869E-2</v>
      </c>
      <c r="E35" s="291"/>
      <c r="F35" s="291">
        <v>1.68869E-2</v>
      </c>
      <c r="G35" s="291"/>
      <c r="H35" s="291">
        <v>2.0386899999999999E-2</v>
      </c>
      <c r="I35" s="291"/>
      <c r="J35" s="291">
        <v>2.3886899999999999E-2</v>
      </c>
      <c r="K35" s="291"/>
      <c r="L35" s="291"/>
      <c r="M35" s="290"/>
      <c r="N35" s="291"/>
      <c r="O35" s="276"/>
      <c r="P35" s="276"/>
      <c r="Q35" s="268"/>
      <c r="R35" s="268"/>
      <c r="S35" s="271"/>
      <c r="T35" s="259"/>
    </row>
    <row r="36" spans="1:21" s="260" customFormat="1" x14ac:dyDescent="0.3">
      <c r="A36" s="275"/>
      <c r="B36" s="268" t="s">
        <v>155</v>
      </c>
      <c r="C36" s="268"/>
      <c r="D36" s="292">
        <v>43449</v>
      </c>
      <c r="E36" s="292"/>
      <c r="F36" s="292">
        <v>43449</v>
      </c>
      <c r="G36" s="292"/>
      <c r="H36" s="292">
        <v>43449</v>
      </c>
      <c r="I36" s="292"/>
      <c r="J36" s="292">
        <v>43449</v>
      </c>
      <c r="K36" s="292"/>
      <c r="L36" s="292"/>
      <c r="M36" s="292"/>
      <c r="N36" s="292"/>
      <c r="O36" s="276"/>
      <c r="P36" s="276"/>
      <c r="Q36" s="268"/>
      <c r="R36" s="268"/>
      <c r="S36" s="271"/>
      <c r="T36" s="259"/>
    </row>
    <row r="37" spans="1:21" s="260" customFormat="1" x14ac:dyDescent="0.3">
      <c r="A37" s="275"/>
      <c r="B37" s="268" t="s">
        <v>11</v>
      </c>
      <c r="C37" s="268"/>
      <c r="D37" s="292" t="s">
        <v>97</v>
      </c>
      <c r="E37" s="292"/>
      <c r="F37" s="292" t="s">
        <v>97</v>
      </c>
      <c r="G37" s="276"/>
      <c r="H37" s="292" t="s">
        <v>97</v>
      </c>
      <c r="I37" s="276"/>
      <c r="J37" s="292" t="s">
        <v>97</v>
      </c>
      <c r="K37" s="276"/>
      <c r="L37" s="292"/>
      <c r="M37" s="276"/>
      <c r="N37" s="292"/>
      <c r="O37" s="276"/>
      <c r="P37" s="276"/>
      <c r="Q37" s="268"/>
      <c r="R37" s="268"/>
      <c r="S37" s="271"/>
      <c r="T37" s="259"/>
    </row>
    <row r="38" spans="1:21" s="260" customFormat="1" x14ac:dyDescent="0.3">
      <c r="A38" s="275"/>
      <c r="B38" s="268" t="s">
        <v>98</v>
      </c>
      <c r="C38" s="268"/>
      <c r="D38" s="276" t="s">
        <v>97</v>
      </c>
      <c r="E38" s="276"/>
      <c r="F38" s="276" t="s">
        <v>97</v>
      </c>
      <c r="G38" s="276"/>
      <c r="H38" s="276" t="s">
        <v>97</v>
      </c>
      <c r="I38" s="276"/>
      <c r="J38" s="276" t="s">
        <v>97</v>
      </c>
      <c r="K38" s="276"/>
      <c r="L38" s="276"/>
      <c r="M38" s="276"/>
      <c r="N38" s="276"/>
      <c r="O38" s="293"/>
      <c r="P38" s="293"/>
      <c r="Q38" s="293"/>
      <c r="R38" s="293"/>
      <c r="S38" s="271"/>
      <c r="T38" s="259"/>
    </row>
    <row r="39" spans="1:21" s="260" customFormat="1" x14ac:dyDescent="0.3">
      <c r="A39" s="275"/>
      <c r="B39" s="268"/>
      <c r="C39" s="268"/>
      <c r="D39" s="276"/>
      <c r="E39" s="276"/>
      <c r="F39" s="276"/>
      <c r="G39" s="276"/>
      <c r="H39" s="276"/>
      <c r="I39" s="276"/>
      <c r="J39" s="276"/>
      <c r="K39" s="276"/>
      <c r="L39" s="276"/>
      <c r="M39" s="276"/>
      <c r="N39" s="276"/>
      <c r="O39" s="268"/>
      <c r="P39" s="268"/>
      <c r="Q39" s="268"/>
      <c r="R39" s="290" t="s">
        <v>130</v>
      </c>
      <c r="S39" s="271"/>
      <c r="T39" s="259"/>
    </row>
    <row r="40" spans="1:21" s="260" customFormat="1" x14ac:dyDescent="0.3">
      <c r="A40" s="275"/>
      <c r="B40" s="268" t="s">
        <v>202</v>
      </c>
      <c r="C40" s="268"/>
      <c r="D40" s="276"/>
      <c r="E40" s="276"/>
      <c r="F40" s="276"/>
      <c r="G40" s="276"/>
      <c r="H40" s="276"/>
      <c r="I40" s="276"/>
      <c r="J40" s="276"/>
      <c r="K40" s="276"/>
      <c r="L40" s="276"/>
      <c r="M40" s="276"/>
      <c r="N40" s="276"/>
      <c r="O40" s="268"/>
      <c r="P40" s="268"/>
      <c r="Q40" s="268"/>
      <c r="R40" s="290">
        <f>SUM(F28:J28)/D28</f>
        <v>0.14731528223955942</v>
      </c>
      <c r="S40" s="271"/>
      <c r="T40" s="259"/>
    </row>
    <row r="41" spans="1:21" s="260" customFormat="1" x14ac:dyDescent="0.3">
      <c r="A41" s="275"/>
      <c r="B41" s="268" t="s">
        <v>203</v>
      </c>
      <c r="C41" s="268"/>
      <c r="D41" s="268"/>
      <c r="E41" s="268"/>
      <c r="F41" s="268"/>
      <c r="G41" s="268"/>
      <c r="H41" s="268"/>
      <c r="I41" s="268"/>
      <c r="J41" s="268"/>
      <c r="K41" s="268"/>
      <c r="L41" s="268"/>
      <c r="M41" s="268"/>
      <c r="N41" s="268"/>
      <c r="O41" s="268"/>
      <c r="P41" s="268"/>
      <c r="Q41" s="268"/>
      <c r="R41" s="290">
        <f>SUM(F30:J30)/D30</f>
        <v>0.64438096084407093</v>
      </c>
      <c r="S41" s="271"/>
      <c r="T41" s="259"/>
    </row>
    <row r="42" spans="1:21" s="260" customFormat="1" x14ac:dyDescent="0.3">
      <c r="A42" s="275"/>
      <c r="B42" s="268" t="s">
        <v>204</v>
      </c>
      <c r="C42" s="268"/>
      <c r="D42" s="268"/>
      <c r="E42" s="268"/>
      <c r="F42" s="268"/>
      <c r="G42" s="268"/>
      <c r="H42" s="268"/>
      <c r="I42" s="268"/>
      <c r="J42" s="268"/>
      <c r="K42" s="268"/>
      <c r="L42" s="268"/>
      <c r="M42" s="268"/>
      <c r="N42" s="268"/>
      <c r="O42" s="268"/>
      <c r="P42" s="276"/>
      <c r="Q42" s="276"/>
      <c r="R42" s="278" t="s">
        <v>149</v>
      </c>
      <c r="S42" s="271"/>
      <c r="T42" s="259"/>
    </row>
    <row r="43" spans="1:21" s="260" customFormat="1" x14ac:dyDescent="0.3">
      <c r="A43" s="275"/>
      <c r="B43" s="268"/>
      <c r="C43" s="268"/>
      <c r="D43" s="268"/>
      <c r="E43" s="268"/>
      <c r="F43" s="268"/>
      <c r="G43" s="268"/>
      <c r="H43" s="268"/>
      <c r="I43" s="268"/>
      <c r="J43" s="268"/>
      <c r="K43" s="268"/>
      <c r="L43" s="268"/>
      <c r="M43" s="268"/>
      <c r="N43" s="268"/>
      <c r="O43" s="268"/>
      <c r="P43" s="268"/>
      <c r="Q43" s="268"/>
      <c r="R43" s="294"/>
      <c r="S43" s="271"/>
      <c r="T43" s="259"/>
    </row>
    <row r="44" spans="1:21" s="260" customFormat="1" x14ac:dyDescent="0.3">
      <c r="A44" s="275"/>
      <c r="B44" s="268" t="s">
        <v>205</v>
      </c>
      <c r="C44" s="268"/>
      <c r="D44" s="268"/>
      <c r="E44" s="268"/>
      <c r="F44" s="268"/>
      <c r="G44" s="268"/>
      <c r="H44" s="268"/>
      <c r="I44" s="268"/>
      <c r="J44" s="268"/>
      <c r="K44" s="268"/>
      <c r="L44" s="268"/>
      <c r="M44" s="268"/>
      <c r="N44" s="268"/>
      <c r="O44" s="268"/>
      <c r="P44" s="268"/>
      <c r="Q44" s="268"/>
      <c r="R44" s="295" t="s">
        <v>91</v>
      </c>
      <c r="S44" s="271"/>
      <c r="T44" s="259"/>
    </row>
    <row r="45" spans="1:21" s="260" customFormat="1" x14ac:dyDescent="0.3">
      <c r="A45" s="275"/>
      <c r="B45" s="272" t="s">
        <v>131</v>
      </c>
      <c r="C45" s="272"/>
      <c r="D45" s="272"/>
      <c r="E45" s="272"/>
      <c r="F45" s="272"/>
      <c r="G45" s="272"/>
      <c r="H45" s="272"/>
      <c r="I45" s="272"/>
      <c r="J45" s="272"/>
      <c r="K45" s="272"/>
      <c r="L45" s="272"/>
      <c r="M45" s="272"/>
      <c r="N45" s="272"/>
      <c r="O45" s="272"/>
      <c r="P45" s="296"/>
      <c r="Q45" s="296"/>
      <c r="R45" s="297">
        <v>43084</v>
      </c>
      <c r="S45" s="271"/>
      <c r="T45" s="259"/>
    </row>
    <row r="46" spans="1:21" s="260" customFormat="1" x14ac:dyDescent="0.3">
      <c r="A46" s="275"/>
      <c r="B46" s="268" t="s">
        <v>99</v>
      </c>
      <c r="C46" s="268"/>
      <c r="D46" s="298"/>
      <c r="E46" s="298"/>
      <c r="F46" s="298"/>
      <c r="G46" s="298"/>
      <c r="H46" s="298"/>
      <c r="I46" s="298"/>
      <c r="J46" s="298"/>
      <c r="K46" s="298"/>
      <c r="L46" s="298"/>
      <c r="M46" s="298"/>
      <c r="N46" s="268">
        <f>+R46-P46+1</f>
        <v>92</v>
      </c>
      <c r="O46" s="268"/>
      <c r="P46" s="299">
        <v>42901</v>
      </c>
      <c r="Q46" s="300"/>
      <c r="R46" s="299">
        <v>42992</v>
      </c>
      <c r="S46" s="271"/>
      <c r="T46" s="259"/>
    </row>
    <row r="47" spans="1:21" s="260" customFormat="1" x14ac:dyDescent="0.3">
      <c r="A47" s="275"/>
      <c r="B47" s="268" t="s">
        <v>100</v>
      </c>
      <c r="C47" s="268"/>
      <c r="D47" s="268"/>
      <c r="E47" s="268"/>
      <c r="F47" s="268"/>
      <c r="G47" s="268"/>
      <c r="H47" s="268"/>
      <c r="I47" s="268"/>
      <c r="J47" s="268"/>
      <c r="K47" s="268"/>
      <c r="L47" s="268"/>
      <c r="M47" s="268"/>
      <c r="N47" s="268">
        <f>+R47-P47+1</f>
        <v>91</v>
      </c>
      <c r="O47" s="268"/>
      <c r="P47" s="299">
        <v>42993</v>
      </c>
      <c r="Q47" s="300"/>
      <c r="R47" s="299">
        <v>43083</v>
      </c>
      <c r="S47" s="271"/>
      <c r="T47" s="259"/>
    </row>
    <row r="48" spans="1:21" s="260" customFormat="1" x14ac:dyDescent="0.3">
      <c r="A48" s="275"/>
      <c r="B48" s="268" t="s">
        <v>206</v>
      </c>
      <c r="C48" s="268"/>
      <c r="D48" s="268"/>
      <c r="E48" s="268"/>
      <c r="F48" s="268"/>
      <c r="G48" s="268"/>
      <c r="H48" s="268"/>
      <c r="I48" s="268"/>
      <c r="J48" s="268"/>
      <c r="K48" s="268"/>
      <c r="L48" s="268"/>
      <c r="M48" s="268"/>
      <c r="N48" s="268"/>
      <c r="O48" s="268"/>
      <c r="P48" s="299"/>
      <c r="Q48" s="300"/>
      <c r="R48" s="299" t="s">
        <v>118</v>
      </c>
      <c r="S48" s="271"/>
      <c r="T48" s="259"/>
      <c r="U48" s="301"/>
    </row>
    <row r="49" spans="1:20" s="260" customFormat="1" x14ac:dyDescent="0.3">
      <c r="A49" s="275"/>
      <c r="B49" s="268" t="s">
        <v>12</v>
      </c>
      <c r="C49" s="268"/>
      <c r="D49" s="268"/>
      <c r="E49" s="268"/>
      <c r="F49" s="268"/>
      <c r="G49" s="268"/>
      <c r="H49" s="268"/>
      <c r="I49" s="268"/>
      <c r="J49" s="268"/>
      <c r="K49" s="268"/>
      <c r="L49" s="268"/>
      <c r="M49" s="268"/>
      <c r="N49" s="268"/>
      <c r="O49" s="268"/>
      <c r="P49" s="299"/>
      <c r="Q49" s="300"/>
      <c r="R49" s="299">
        <v>43070</v>
      </c>
      <c r="S49" s="271"/>
      <c r="T49" s="259"/>
    </row>
    <row r="50" spans="1:20" s="260" customFormat="1" x14ac:dyDescent="0.3">
      <c r="A50" s="255"/>
      <c r="B50" s="302"/>
      <c r="C50" s="302"/>
      <c r="D50" s="302"/>
      <c r="E50" s="302"/>
      <c r="F50" s="302"/>
      <c r="G50" s="302"/>
      <c r="H50" s="302"/>
      <c r="I50" s="302"/>
      <c r="J50" s="302"/>
      <c r="K50" s="302"/>
      <c r="L50" s="302"/>
      <c r="M50" s="302"/>
      <c r="N50" s="302"/>
      <c r="O50" s="302"/>
      <c r="P50" s="303"/>
      <c r="Q50" s="304"/>
      <c r="R50" s="303"/>
      <c r="S50" s="258"/>
      <c r="T50" s="259"/>
    </row>
    <row r="51" spans="1:20" s="260" customFormat="1" x14ac:dyDescent="0.3">
      <c r="A51" s="255"/>
      <c r="B51" s="256"/>
      <c r="C51" s="256"/>
      <c r="D51" s="256"/>
      <c r="E51" s="256"/>
      <c r="F51" s="256"/>
      <c r="G51" s="256"/>
      <c r="H51" s="256"/>
      <c r="I51" s="256"/>
      <c r="J51" s="256"/>
      <c r="K51" s="256"/>
      <c r="L51" s="256"/>
      <c r="M51" s="256"/>
      <c r="N51" s="256"/>
      <c r="O51" s="256"/>
      <c r="P51" s="305"/>
      <c r="Q51" s="306"/>
      <c r="R51" s="305"/>
      <c r="S51" s="258"/>
      <c r="T51" s="259"/>
    </row>
    <row r="52" spans="1:20" s="260" customFormat="1" ht="18.600000000000001" thickBot="1" x14ac:dyDescent="0.4">
      <c r="A52" s="307"/>
      <c r="B52" s="308" t="s">
        <v>274</v>
      </c>
      <c r="C52" s="309"/>
      <c r="D52" s="309"/>
      <c r="E52" s="309"/>
      <c r="F52" s="309"/>
      <c r="G52" s="309"/>
      <c r="H52" s="309"/>
      <c r="I52" s="309"/>
      <c r="J52" s="309"/>
      <c r="K52" s="309"/>
      <c r="L52" s="309"/>
      <c r="M52" s="309"/>
      <c r="N52" s="309"/>
      <c r="O52" s="309"/>
      <c r="P52" s="309"/>
      <c r="Q52" s="309"/>
      <c r="R52" s="310"/>
      <c r="S52" s="311"/>
      <c r="T52" s="259"/>
    </row>
    <row r="53" spans="1:20" x14ac:dyDescent="0.3">
      <c r="A53" s="424"/>
      <c r="B53" s="431" t="s">
        <v>13</v>
      </c>
      <c r="C53" s="425"/>
      <c r="D53" s="425"/>
      <c r="E53" s="425"/>
      <c r="F53" s="425"/>
      <c r="G53" s="425"/>
      <c r="H53" s="425"/>
      <c r="I53" s="425"/>
      <c r="J53" s="425"/>
      <c r="K53" s="425"/>
      <c r="L53" s="425"/>
      <c r="M53" s="425"/>
      <c r="N53" s="425"/>
      <c r="O53" s="425"/>
      <c r="P53" s="425"/>
      <c r="Q53" s="425"/>
      <c r="R53" s="432"/>
      <c r="S53" s="425"/>
      <c r="T53" s="241"/>
    </row>
    <row r="54" spans="1:20" x14ac:dyDescent="0.3">
      <c r="A54" s="243"/>
      <c r="B54" s="253"/>
      <c r="C54" s="245"/>
      <c r="D54" s="245"/>
      <c r="E54" s="245"/>
      <c r="F54" s="245"/>
      <c r="G54" s="245"/>
      <c r="H54" s="245"/>
      <c r="I54" s="245"/>
      <c r="J54" s="245"/>
      <c r="K54" s="245"/>
      <c r="L54" s="245"/>
      <c r="M54" s="245"/>
      <c r="N54" s="245"/>
      <c r="O54" s="245"/>
      <c r="P54" s="245"/>
      <c r="Q54" s="245"/>
      <c r="R54" s="312"/>
      <c r="S54" s="246"/>
      <c r="T54" s="241"/>
    </row>
    <row r="55" spans="1:20" s="409" customFormat="1" ht="46.8" x14ac:dyDescent="0.3">
      <c r="A55" s="412"/>
      <c r="B55" s="413" t="s">
        <v>14</v>
      </c>
      <c r="C55" s="414"/>
      <c r="D55" s="414"/>
      <c r="E55" s="414"/>
      <c r="F55" s="414" t="s">
        <v>76</v>
      </c>
      <c r="G55" s="414"/>
      <c r="H55" s="414" t="s">
        <v>78</v>
      </c>
      <c r="I55" s="414"/>
      <c r="J55" s="414" t="s">
        <v>165</v>
      </c>
      <c r="K55" s="414"/>
      <c r="L55" s="414" t="s">
        <v>166</v>
      </c>
      <c r="M55" s="414"/>
      <c r="N55" s="414" t="s">
        <v>81</v>
      </c>
      <c r="O55" s="414"/>
      <c r="P55" s="414" t="s">
        <v>86</v>
      </c>
      <c r="Q55" s="414"/>
      <c r="R55" s="415" t="s">
        <v>92</v>
      </c>
      <c r="S55" s="416"/>
      <c r="T55" s="408"/>
    </row>
    <row r="56" spans="1:20" s="260" customFormat="1" x14ac:dyDescent="0.3">
      <c r="A56" s="275"/>
      <c r="B56" s="268" t="s">
        <v>15</v>
      </c>
      <c r="C56" s="313"/>
      <c r="D56" s="313"/>
      <c r="E56" s="313"/>
      <c r="F56" s="313">
        <v>224374</v>
      </c>
      <c r="G56" s="313"/>
      <c r="H56" s="314">
        <v>93237</v>
      </c>
      <c r="I56" s="313"/>
      <c r="J56" s="314">
        <v>63</v>
      </c>
      <c r="K56" s="313"/>
      <c r="L56" s="313">
        <v>6877</v>
      </c>
      <c r="M56" s="313"/>
      <c r="N56" s="313">
        <v>0</v>
      </c>
      <c r="O56" s="313"/>
      <c r="P56" s="313">
        <f>1398+2508+476</f>
        <v>4382</v>
      </c>
      <c r="Q56" s="313"/>
      <c r="R56" s="314">
        <f>H56-J56-L56+N56-P56</f>
        <v>81915</v>
      </c>
      <c r="S56" s="271"/>
      <c r="T56" s="259"/>
    </row>
    <row r="57" spans="1:20" s="260" customFormat="1" x14ac:dyDescent="0.3">
      <c r="A57" s="275"/>
      <c r="B57" s="268" t="s">
        <v>16</v>
      </c>
      <c r="C57" s="313"/>
      <c r="D57" s="313"/>
      <c r="E57" s="313"/>
      <c r="F57" s="313">
        <v>0</v>
      </c>
      <c r="G57" s="313"/>
      <c r="H57" s="314">
        <v>0</v>
      </c>
      <c r="I57" s="313"/>
      <c r="J57" s="314">
        <v>0</v>
      </c>
      <c r="K57" s="313"/>
      <c r="L57" s="313">
        <v>0</v>
      </c>
      <c r="M57" s="313"/>
      <c r="N57" s="313">
        <v>0</v>
      </c>
      <c r="O57" s="313"/>
      <c r="P57" s="313">
        <v>0</v>
      </c>
      <c r="Q57" s="313"/>
      <c r="R57" s="314">
        <f>F57-J57-L57</f>
        <v>0</v>
      </c>
      <c r="S57" s="271"/>
      <c r="T57" s="259"/>
    </row>
    <row r="58" spans="1:20" s="260" customFormat="1" x14ac:dyDescent="0.3">
      <c r="A58" s="275"/>
      <c r="B58" s="268"/>
      <c r="C58" s="313"/>
      <c r="D58" s="313"/>
      <c r="E58" s="313"/>
      <c r="F58" s="313"/>
      <c r="G58" s="313"/>
      <c r="H58" s="314"/>
      <c r="I58" s="313"/>
      <c r="J58" s="314"/>
      <c r="K58" s="313"/>
      <c r="L58" s="313"/>
      <c r="M58" s="313"/>
      <c r="N58" s="313"/>
      <c r="O58" s="313"/>
      <c r="P58" s="313"/>
      <c r="Q58" s="313"/>
      <c r="R58" s="314"/>
      <c r="S58" s="271"/>
      <c r="T58" s="259"/>
    </row>
    <row r="59" spans="1:20" s="260" customFormat="1" x14ac:dyDescent="0.3">
      <c r="A59" s="275"/>
      <c r="B59" s="268" t="s">
        <v>17</v>
      </c>
      <c r="C59" s="313"/>
      <c r="D59" s="313"/>
      <c r="E59" s="313"/>
      <c r="F59" s="313">
        <f>SUM(F56:F58)</f>
        <v>224374</v>
      </c>
      <c r="G59" s="313"/>
      <c r="H59" s="313">
        <f>H56+H57</f>
        <v>93237</v>
      </c>
      <c r="I59" s="313"/>
      <c r="J59" s="313">
        <f>J56+J57</f>
        <v>63</v>
      </c>
      <c r="K59" s="313"/>
      <c r="L59" s="313">
        <f>SUM(L56:L58)</f>
        <v>6877</v>
      </c>
      <c r="M59" s="313"/>
      <c r="N59" s="313">
        <f>SUM(N56:N58)</f>
        <v>0</v>
      </c>
      <c r="O59" s="313"/>
      <c r="P59" s="313">
        <f>SUM(P56:P58)</f>
        <v>4382</v>
      </c>
      <c r="Q59" s="313"/>
      <c r="R59" s="313">
        <f>SUM(R56:R58)</f>
        <v>81915</v>
      </c>
      <c r="S59" s="271"/>
      <c r="T59" s="259"/>
    </row>
    <row r="60" spans="1:20" x14ac:dyDescent="0.3">
      <c r="A60" s="243"/>
      <c r="B60" s="315"/>
      <c r="C60" s="316"/>
      <c r="D60" s="316"/>
      <c r="E60" s="316"/>
      <c r="F60" s="316"/>
      <c r="G60" s="316"/>
      <c r="H60" s="316"/>
      <c r="I60" s="316"/>
      <c r="J60" s="316"/>
      <c r="K60" s="316"/>
      <c r="L60" s="316"/>
      <c r="M60" s="316"/>
      <c r="N60" s="316"/>
      <c r="O60" s="316"/>
      <c r="P60" s="316"/>
      <c r="Q60" s="316"/>
      <c r="R60" s="317"/>
      <c r="S60" s="246"/>
      <c r="T60" s="241"/>
    </row>
    <row r="61" spans="1:20" x14ac:dyDescent="0.3">
      <c r="A61" s="243"/>
      <c r="B61" s="248" t="s">
        <v>18</v>
      </c>
      <c r="C61" s="318"/>
      <c r="D61" s="318"/>
      <c r="E61" s="318"/>
      <c r="F61" s="318"/>
      <c r="G61" s="318"/>
      <c r="H61" s="318"/>
      <c r="I61" s="318"/>
      <c r="J61" s="318"/>
      <c r="K61" s="318"/>
      <c r="L61" s="318"/>
      <c r="M61" s="318"/>
      <c r="N61" s="318"/>
      <c r="O61" s="318"/>
      <c r="P61" s="318"/>
      <c r="Q61" s="318"/>
      <c r="R61" s="319"/>
      <c r="S61" s="246"/>
      <c r="T61" s="241"/>
    </row>
    <row r="62" spans="1:20" x14ac:dyDescent="0.3">
      <c r="A62" s="243"/>
      <c r="B62" s="245"/>
      <c r="C62" s="318"/>
      <c r="D62" s="318"/>
      <c r="E62" s="318"/>
      <c r="F62" s="318"/>
      <c r="G62" s="318"/>
      <c r="H62" s="318"/>
      <c r="I62" s="318"/>
      <c r="J62" s="318"/>
      <c r="K62" s="318"/>
      <c r="L62" s="318"/>
      <c r="M62" s="318"/>
      <c r="N62" s="318"/>
      <c r="O62" s="318"/>
      <c r="P62" s="318"/>
      <c r="Q62" s="318"/>
      <c r="R62" s="319"/>
      <c r="S62" s="246"/>
      <c r="T62" s="241"/>
    </row>
    <row r="63" spans="1:20" s="260" customFormat="1" x14ac:dyDescent="0.3">
      <c r="A63" s="275"/>
      <c r="B63" s="268" t="s">
        <v>15</v>
      </c>
      <c r="C63" s="313"/>
      <c r="D63" s="313"/>
      <c r="E63" s="313"/>
      <c r="F63" s="313"/>
      <c r="G63" s="313"/>
      <c r="H63" s="313"/>
      <c r="I63" s="313"/>
      <c r="J63" s="313"/>
      <c r="K63" s="313"/>
      <c r="L63" s="313"/>
      <c r="M63" s="313"/>
      <c r="N63" s="313"/>
      <c r="O63" s="313"/>
      <c r="P63" s="313"/>
      <c r="Q63" s="313"/>
      <c r="R63" s="313"/>
      <c r="S63" s="271"/>
      <c r="T63" s="259"/>
    </row>
    <row r="64" spans="1:20" s="260" customFormat="1" x14ac:dyDescent="0.3">
      <c r="A64" s="275"/>
      <c r="B64" s="268" t="s">
        <v>16</v>
      </c>
      <c r="C64" s="313"/>
      <c r="D64" s="313"/>
      <c r="E64" s="313"/>
      <c r="F64" s="313"/>
      <c r="G64" s="313"/>
      <c r="H64" s="313"/>
      <c r="I64" s="313"/>
      <c r="J64" s="313"/>
      <c r="K64" s="313"/>
      <c r="L64" s="313"/>
      <c r="M64" s="313"/>
      <c r="N64" s="313"/>
      <c r="O64" s="313"/>
      <c r="P64" s="313"/>
      <c r="Q64" s="313"/>
      <c r="R64" s="313"/>
      <c r="S64" s="271"/>
      <c r="T64" s="259"/>
    </row>
    <row r="65" spans="1:20" s="260" customFormat="1" x14ac:dyDescent="0.3">
      <c r="A65" s="275"/>
      <c r="B65" s="268"/>
      <c r="C65" s="313"/>
      <c r="D65" s="313"/>
      <c r="E65" s="313"/>
      <c r="F65" s="313"/>
      <c r="G65" s="313"/>
      <c r="H65" s="313"/>
      <c r="I65" s="313"/>
      <c r="J65" s="313"/>
      <c r="K65" s="313"/>
      <c r="L65" s="313"/>
      <c r="M65" s="313"/>
      <c r="N65" s="313"/>
      <c r="O65" s="313"/>
      <c r="P65" s="313"/>
      <c r="Q65" s="313"/>
      <c r="R65" s="313"/>
      <c r="S65" s="271"/>
      <c r="T65" s="259"/>
    </row>
    <row r="66" spans="1:20" s="260" customFormat="1" x14ac:dyDescent="0.3">
      <c r="A66" s="275"/>
      <c r="B66" s="268" t="s">
        <v>17</v>
      </c>
      <c r="C66" s="313"/>
      <c r="D66" s="313"/>
      <c r="E66" s="313"/>
      <c r="F66" s="313"/>
      <c r="G66" s="313"/>
      <c r="H66" s="313"/>
      <c r="I66" s="313"/>
      <c r="J66" s="313"/>
      <c r="K66" s="313"/>
      <c r="L66" s="313"/>
      <c r="M66" s="313"/>
      <c r="N66" s="313"/>
      <c r="O66" s="313"/>
      <c r="P66" s="313"/>
      <c r="Q66" s="313"/>
      <c r="R66" s="313"/>
      <c r="S66" s="271"/>
      <c r="T66" s="259"/>
    </row>
    <row r="67" spans="1:20" s="260" customFormat="1" x14ac:dyDescent="0.3">
      <c r="A67" s="275"/>
      <c r="B67" s="268"/>
      <c r="C67" s="313"/>
      <c r="D67" s="313"/>
      <c r="E67" s="313"/>
      <c r="F67" s="313"/>
      <c r="G67" s="313"/>
      <c r="H67" s="313"/>
      <c r="I67" s="313"/>
      <c r="J67" s="313"/>
      <c r="K67" s="313"/>
      <c r="L67" s="313"/>
      <c r="M67" s="313"/>
      <c r="N67" s="313"/>
      <c r="O67" s="313"/>
      <c r="P67" s="313"/>
      <c r="Q67" s="313"/>
      <c r="R67" s="313"/>
      <c r="S67" s="271"/>
      <c r="T67" s="259"/>
    </row>
    <row r="68" spans="1:20" s="260" customFormat="1" x14ac:dyDescent="0.3">
      <c r="A68" s="275"/>
      <c r="B68" s="268" t="s">
        <v>19</v>
      </c>
      <c r="C68" s="313"/>
      <c r="D68" s="313"/>
      <c r="E68" s="313"/>
      <c r="F68" s="313">
        <v>0</v>
      </c>
      <c r="G68" s="313"/>
      <c r="H68" s="313">
        <v>0</v>
      </c>
      <c r="I68" s="313"/>
      <c r="J68" s="313"/>
      <c r="K68" s="313"/>
      <c r="L68" s="313"/>
      <c r="M68" s="313"/>
      <c r="N68" s="313"/>
      <c r="O68" s="313"/>
      <c r="P68" s="313"/>
      <c r="Q68" s="313"/>
      <c r="R68" s="314">
        <v>0</v>
      </c>
      <c r="S68" s="271"/>
      <c r="T68" s="259"/>
    </row>
    <row r="69" spans="1:20" s="260" customFormat="1" x14ac:dyDescent="0.3">
      <c r="A69" s="275"/>
      <c r="B69" s="268" t="s">
        <v>215</v>
      </c>
      <c r="C69" s="313"/>
      <c r="D69" s="313"/>
      <c r="E69" s="313"/>
      <c r="F69" s="313">
        <v>23451</v>
      </c>
      <c r="G69" s="313"/>
      <c r="H69" s="313">
        <v>0</v>
      </c>
      <c r="I69" s="313"/>
      <c r="J69" s="313">
        <v>0</v>
      </c>
      <c r="K69" s="313"/>
      <c r="L69" s="313">
        <v>0</v>
      </c>
      <c r="M69" s="313"/>
      <c r="N69" s="313"/>
      <c r="O69" s="313"/>
      <c r="P69" s="313"/>
      <c r="Q69" s="313"/>
      <c r="R69" s="313">
        <v>0</v>
      </c>
      <c r="S69" s="271"/>
      <c r="T69" s="259"/>
    </row>
    <row r="70" spans="1:20" s="260" customFormat="1" x14ac:dyDescent="0.3">
      <c r="A70" s="275"/>
      <c r="B70" s="268" t="s">
        <v>235</v>
      </c>
      <c r="C70" s="313"/>
      <c r="D70" s="313"/>
      <c r="E70" s="313"/>
      <c r="F70" s="313">
        <v>2175</v>
      </c>
      <c r="G70" s="313"/>
      <c r="H70" s="313">
        <v>0</v>
      </c>
      <c r="I70" s="313"/>
      <c r="J70" s="313"/>
      <c r="K70" s="313"/>
      <c r="L70" s="313"/>
      <c r="M70" s="313"/>
      <c r="N70" s="313">
        <v>0</v>
      </c>
      <c r="O70" s="313"/>
      <c r="P70" s="313"/>
      <c r="Q70" s="313"/>
      <c r="R70" s="313">
        <f>+H70+N70</f>
        <v>0</v>
      </c>
      <c r="S70" s="271"/>
      <c r="T70" s="259"/>
    </row>
    <row r="71" spans="1:20" s="260" customFormat="1" x14ac:dyDescent="0.3">
      <c r="A71" s="275"/>
      <c r="B71" s="268" t="s">
        <v>20</v>
      </c>
      <c r="C71" s="313"/>
      <c r="D71" s="313"/>
      <c r="E71" s="313"/>
      <c r="F71" s="313">
        <v>0</v>
      </c>
      <c r="G71" s="313"/>
      <c r="H71" s="313">
        <v>0</v>
      </c>
      <c r="I71" s="313"/>
      <c r="J71" s="313"/>
      <c r="K71" s="313"/>
      <c r="L71" s="313"/>
      <c r="M71" s="313"/>
      <c r="N71" s="313"/>
      <c r="O71" s="313"/>
      <c r="P71" s="313"/>
      <c r="Q71" s="313"/>
      <c r="R71" s="313">
        <v>0</v>
      </c>
      <c r="S71" s="271"/>
      <c r="T71" s="259"/>
    </row>
    <row r="72" spans="1:20" s="260" customFormat="1" x14ac:dyDescent="0.3">
      <c r="A72" s="275"/>
      <c r="B72" s="268" t="s">
        <v>21</v>
      </c>
      <c r="C72" s="313"/>
      <c r="D72" s="313"/>
      <c r="E72" s="313"/>
      <c r="F72" s="313">
        <f>SUM(F59:F71)</f>
        <v>250000</v>
      </c>
      <c r="G72" s="313"/>
      <c r="H72" s="313">
        <f>SUM(H59:H71)</f>
        <v>93237</v>
      </c>
      <c r="I72" s="313"/>
      <c r="J72" s="313"/>
      <c r="K72" s="313"/>
      <c r="L72" s="313"/>
      <c r="M72" s="313"/>
      <c r="N72" s="313"/>
      <c r="O72" s="313"/>
      <c r="P72" s="313"/>
      <c r="Q72" s="313"/>
      <c r="R72" s="313">
        <f>SUM(R59:R71)</f>
        <v>81915</v>
      </c>
      <c r="S72" s="271"/>
      <c r="T72" s="259"/>
    </row>
    <row r="73" spans="1:20" x14ac:dyDescent="0.3">
      <c r="A73" s="243"/>
      <c r="B73" s="315"/>
      <c r="C73" s="316"/>
      <c r="D73" s="316"/>
      <c r="E73" s="316"/>
      <c r="F73" s="316"/>
      <c r="G73" s="316"/>
      <c r="H73" s="316"/>
      <c r="I73" s="316"/>
      <c r="J73" s="316"/>
      <c r="K73" s="316"/>
      <c r="L73" s="316"/>
      <c r="M73" s="316"/>
      <c r="N73" s="316"/>
      <c r="O73" s="316"/>
      <c r="P73" s="316"/>
      <c r="Q73" s="316"/>
      <c r="R73" s="317"/>
      <c r="S73" s="246"/>
      <c r="T73" s="241"/>
    </row>
    <row r="74" spans="1:20" x14ac:dyDescent="0.3">
      <c r="A74" s="243"/>
      <c r="B74" s="245"/>
      <c r="C74" s="245"/>
      <c r="D74" s="245"/>
      <c r="E74" s="245"/>
      <c r="F74" s="245"/>
      <c r="G74" s="245"/>
      <c r="H74" s="245"/>
      <c r="I74" s="245"/>
      <c r="J74" s="245"/>
      <c r="K74" s="245"/>
      <c r="L74" s="245"/>
      <c r="M74" s="245"/>
      <c r="N74" s="245"/>
      <c r="O74" s="245"/>
      <c r="P74" s="245"/>
      <c r="Q74" s="245"/>
      <c r="R74" s="245"/>
      <c r="S74" s="246"/>
      <c r="T74" s="241"/>
    </row>
    <row r="75" spans="1:20" x14ac:dyDescent="0.3">
      <c r="A75" s="424"/>
      <c r="B75" s="434" t="s">
        <v>22</v>
      </c>
      <c r="C75" s="434"/>
      <c r="D75" s="435"/>
      <c r="E75" s="435"/>
      <c r="F75" s="435"/>
      <c r="G75" s="435"/>
      <c r="H75" s="436" t="s">
        <v>77</v>
      </c>
      <c r="I75" s="435"/>
      <c r="J75" s="437">
        <f>+P197</f>
        <v>43069</v>
      </c>
      <c r="K75" s="435"/>
      <c r="L75" s="435"/>
      <c r="M75" s="435"/>
      <c r="N75" s="435"/>
      <c r="O75" s="435"/>
      <c r="P75" s="435" t="s">
        <v>87</v>
      </c>
      <c r="Q75" s="435"/>
      <c r="R75" s="435" t="s">
        <v>93</v>
      </c>
      <c r="S75" s="426"/>
      <c r="T75" s="241"/>
    </row>
    <row r="76" spans="1:20" s="260" customFormat="1" x14ac:dyDescent="0.3">
      <c r="A76" s="255"/>
      <c r="B76" s="302" t="s">
        <v>23</v>
      </c>
      <c r="C76" s="302"/>
      <c r="D76" s="302"/>
      <c r="E76" s="302"/>
      <c r="F76" s="302"/>
      <c r="G76" s="302"/>
      <c r="H76" s="302"/>
      <c r="I76" s="302"/>
      <c r="J76" s="302"/>
      <c r="K76" s="302"/>
      <c r="L76" s="302"/>
      <c r="M76" s="302"/>
      <c r="N76" s="302"/>
      <c r="O76" s="302"/>
      <c r="P76" s="327">
        <v>0</v>
      </c>
      <c r="Q76" s="302"/>
      <c r="R76" s="433">
        <v>0</v>
      </c>
      <c r="S76" s="258"/>
      <c r="T76" s="259"/>
    </row>
    <row r="77" spans="1:20" s="260" customFormat="1" x14ac:dyDescent="0.3">
      <c r="A77" s="275"/>
      <c r="B77" s="268" t="s">
        <v>248</v>
      </c>
      <c r="C77" s="268"/>
      <c r="D77" s="293"/>
      <c r="E77" s="293"/>
      <c r="F77" s="293"/>
      <c r="G77" s="320"/>
      <c r="H77" s="293"/>
      <c r="I77" s="268"/>
      <c r="J77" s="321"/>
      <c r="K77" s="268"/>
      <c r="L77" s="268"/>
      <c r="M77" s="268"/>
      <c r="N77" s="268"/>
      <c r="O77" s="268"/>
      <c r="P77" s="313">
        <f>-N70</f>
        <v>0</v>
      </c>
      <c r="Q77" s="268"/>
      <c r="R77" s="314"/>
      <c r="S77" s="271"/>
      <c r="T77" s="259"/>
    </row>
    <row r="78" spans="1:20" s="260" customFormat="1" x14ac:dyDescent="0.3">
      <c r="A78" s="275"/>
      <c r="B78" s="268" t="s">
        <v>249</v>
      </c>
      <c r="C78" s="268"/>
      <c r="D78" s="293"/>
      <c r="E78" s="293"/>
      <c r="F78" s="293"/>
      <c r="G78" s="320"/>
      <c r="H78" s="293"/>
      <c r="I78" s="268"/>
      <c r="J78" s="321"/>
      <c r="K78" s="268"/>
      <c r="L78" s="268"/>
      <c r="M78" s="268"/>
      <c r="N78" s="268"/>
      <c r="O78" s="268"/>
      <c r="P78" s="313">
        <v>0</v>
      </c>
      <c r="Q78" s="268"/>
      <c r="R78" s="314"/>
      <c r="S78" s="271"/>
      <c r="T78" s="259"/>
    </row>
    <row r="79" spans="1:20" s="260" customFormat="1" x14ac:dyDescent="0.3">
      <c r="A79" s="275"/>
      <c r="B79" s="268" t="s">
        <v>24</v>
      </c>
      <c r="C79" s="268"/>
      <c r="D79" s="293"/>
      <c r="E79" s="293"/>
      <c r="F79" s="293"/>
      <c r="G79" s="320"/>
      <c r="H79" s="293"/>
      <c r="I79" s="268"/>
      <c r="J79" s="321"/>
      <c r="K79" s="268"/>
      <c r="L79" s="268"/>
      <c r="M79" s="268"/>
      <c r="N79" s="268"/>
      <c r="O79" s="268"/>
      <c r="P79" s="313">
        <f>+J56+L56+P56</f>
        <v>11322</v>
      </c>
      <c r="Q79" s="268"/>
      <c r="R79" s="314"/>
      <c r="S79" s="271"/>
      <c r="T79" s="259"/>
    </row>
    <row r="80" spans="1:20" s="260" customFormat="1" x14ac:dyDescent="0.3">
      <c r="A80" s="275"/>
      <c r="B80" s="268" t="s">
        <v>135</v>
      </c>
      <c r="C80" s="268"/>
      <c r="D80" s="293"/>
      <c r="E80" s="293"/>
      <c r="F80" s="293"/>
      <c r="G80" s="320"/>
      <c r="H80" s="293"/>
      <c r="I80" s="268"/>
      <c r="J80" s="321"/>
      <c r="K80" s="268"/>
      <c r="L80" s="268"/>
      <c r="M80" s="268"/>
      <c r="N80" s="268"/>
      <c r="O80" s="268"/>
      <c r="P80" s="313"/>
      <c r="Q80" s="268"/>
      <c r="R80" s="314">
        <f>1180-130</f>
        <v>1050</v>
      </c>
      <c r="S80" s="271"/>
      <c r="T80" s="259"/>
    </row>
    <row r="81" spans="1:20" s="260" customFormat="1" x14ac:dyDescent="0.3">
      <c r="A81" s="275"/>
      <c r="B81" s="268" t="s">
        <v>133</v>
      </c>
      <c r="C81" s="268"/>
      <c r="D81" s="293"/>
      <c r="E81" s="293"/>
      <c r="F81" s="293"/>
      <c r="G81" s="320"/>
      <c r="H81" s="293"/>
      <c r="I81" s="268"/>
      <c r="J81" s="321"/>
      <c r="K81" s="268"/>
      <c r="L81" s="268"/>
      <c r="M81" s="268"/>
      <c r="N81" s="268"/>
      <c r="O81" s="268"/>
      <c r="P81" s="313"/>
      <c r="Q81" s="268"/>
      <c r="R81" s="314">
        <v>29</v>
      </c>
      <c r="S81" s="271"/>
      <c r="T81" s="259"/>
    </row>
    <row r="82" spans="1:20" s="260" customFormat="1" x14ac:dyDescent="0.3">
      <c r="A82" s="275"/>
      <c r="B82" s="268" t="s">
        <v>134</v>
      </c>
      <c r="C82" s="268"/>
      <c r="D82" s="293"/>
      <c r="E82" s="293"/>
      <c r="F82" s="293"/>
      <c r="G82" s="320"/>
      <c r="H82" s="293"/>
      <c r="I82" s="268"/>
      <c r="J82" s="321"/>
      <c r="K82" s="268"/>
      <c r="L82" s="268"/>
      <c r="M82" s="268"/>
      <c r="N82" s="268"/>
      <c r="O82" s="268"/>
      <c r="P82" s="313"/>
      <c r="Q82" s="268"/>
      <c r="R82" s="314">
        <v>8</v>
      </c>
      <c r="S82" s="271"/>
      <c r="T82" s="259"/>
    </row>
    <row r="83" spans="1:20" s="260" customFormat="1" x14ac:dyDescent="0.3">
      <c r="A83" s="275"/>
      <c r="B83" s="268" t="s">
        <v>143</v>
      </c>
      <c r="C83" s="268"/>
      <c r="D83" s="293"/>
      <c r="E83" s="293"/>
      <c r="F83" s="293"/>
      <c r="G83" s="320"/>
      <c r="H83" s="293"/>
      <c r="I83" s="268"/>
      <c r="J83" s="321"/>
      <c r="K83" s="268"/>
      <c r="L83" s="268"/>
      <c r="M83" s="268"/>
      <c r="N83" s="268"/>
      <c r="O83" s="268"/>
      <c r="P83" s="313"/>
      <c r="Q83" s="268"/>
      <c r="R83" s="314">
        <v>0</v>
      </c>
      <c r="S83" s="271"/>
      <c r="T83" s="259"/>
    </row>
    <row r="84" spans="1:20" s="260" customFormat="1" x14ac:dyDescent="0.3">
      <c r="A84" s="275"/>
      <c r="B84" s="268" t="s">
        <v>145</v>
      </c>
      <c r="C84" s="268"/>
      <c r="D84" s="293"/>
      <c r="E84" s="293"/>
      <c r="F84" s="293"/>
      <c r="G84" s="320"/>
      <c r="H84" s="293"/>
      <c r="I84" s="268"/>
      <c r="J84" s="321"/>
      <c r="K84" s="268"/>
      <c r="L84" s="268"/>
      <c r="M84" s="268"/>
      <c r="N84" s="268"/>
      <c r="O84" s="268"/>
      <c r="P84" s="313"/>
      <c r="Q84" s="268"/>
      <c r="R84" s="314">
        <v>107</v>
      </c>
      <c r="S84" s="271"/>
      <c r="T84" s="259"/>
    </row>
    <row r="85" spans="1:20" s="260" customFormat="1" x14ac:dyDescent="0.3">
      <c r="A85" s="275"/>
      <c r="B85" s="268" t="s">
        <v>167</v>
      </c>
      <c r="C85" s="268"/>
      <c r="D85" s="293"/>
      <c r="E85" s="293"/>
      <c r="F85" s="293"/>
      <c r="G85" s="320"/>
      <c r="H85" s="293"/>
      <c r="I85" s="268"/>
      <c r="J85" s="321"/>
      <c r="K85" s="268"/>
      <c r="L85" s="268"/>
      <c r="M85" s="268"/>
      <c r="N85" s="268"/>
      <c r="O85" s="268"/>
      <c r="P85" s="313"/>
      <c r="Q85" s="268"/>
      <c r="R85" s="314">
        <v>0</v>
      </c>
      <c r="S85" s="271"/>
      <c r="T85" s="259"/>
    </row>
    <row r="86" spans="1:20" s="260" customFormat="1" x14ac:dyDescent="0.3">
      <c r="A86" s="275"/>
      <c r="B86" s="268" t="s">
        <v>168</v>
      </c>
      <c r="C86" s="268"/>
      <c r="D86" s="293"/>
      <c r="E86" s="293"/>
      <c r="F86" s="293"/>
      <c r="G86" s="320"/>
      <c r="H86" s="293"/>
      <c r="I86" s="268"/>
      <c r="J86" s="321"/>
      <c r="K86" s="268"/>
      <c r="L86" s="268"/>
      <c r="M86" s="268"/>
      <c r="N86" s="268"/>
      <c r="O86" s="268"/>
      <c r="P86" s="313"/>
      <c r="Q86" s="268"/>
      <c r="R86" s="314">
        <v>0</v>
      </c>
      <c r="S86" s="271"/>
      <c r="T86" s="259"/>
    </row>
    <row r="87" spans="1:20" s="260" customFormat="1" x14ac:dyDescent="0.3">
      <c r="A87" s="275"/>
      <c r="B87" s="268" t="s">
        <v>169</v>
      </c>
      <c r="C87" s="268"/>
      <c r="D87" s="268"/>
      <c r="E87" s="268"/>
      <c r="F87" s="268"/>
      <c r="G87" s="268"/>
      <c r="H87" s="268"/>
      <c r="I87" s="268"/>
      <c r="J87" s="268"/>
      <c r="K87" s="268"/>
      <c r="L87" s="268"/>
      <c r="M87" s="268"/>
      <c r="N87" s="268"/>
      <c r="O87" s="268"/>
      <c r="P87" s="313"/>
      <c r="Q87" s="268"/>
      <c r="R87" s="314">
        <v>0</v>
      </c>
      <c r="S87" s="271"/>
      <c r="T87" s="259"/>
    </row>
    <row r="88" spans="1:20" s="260" customFormat="1" x14ac:dyDescent="0.3">
      <c r="A88" s="275"/>
      <c r="B88" s="268" t="s">
        <v>227</v>
      </c>
      <c r="C88" s="268"/>
      <c r="D88" s="268"/>
      <c r="E88" s="268"/>
      <c r="F88" s="268"/>
      <c r="G88" s="268"/>
      <c r="H88" s="268"/>
      <c r="I88" s="268"/>
      <c r="J88" s="268"/>
      <c r="K88" s="268"/>
      <c r="L88" s="268"/>
      <c r="M88" s="268"/>
      <c r="N88" s="268"/>
      <c r="O88" s="268"/>
      <c r="P88" s="313"/>
      <c r="Q88" s="268"/>
      <c r="R88" s="314">
        <v>0</v>
      </c>
      <c r="S88" s="271"/>
      <c r="T88" s="259"/>
    </row>
    <row r="89" spans="1:20" s="260" customFormat="1" x14ac:dyDescent="0.3">
      <c r="A89" s="275"/>
      <c r="B89" s="268" t="s">
        <v>25</v>
      </c>
      <c r="C89" s="268"/>
      <c r="D89" s="268"/>
      <c r="E89" s="268"/>
      <c r="F89" s="268"/>
      <c r="G89" s="268"/>
      <c r="H89" s="268"/>
      <c r="I89" s="268"/>
      <c r="J89" s="268"/>
      <c r="K89" s="268"/>
      <c r="L89" s="268"/>
      <c r="M89" s="268"/>
      <c r="N89" s="268"/>
      <c r="O89" s="268"/>
      <c r="P89" s="313">
        <f>SUM(P76:P88)</f>
        <v>11322</v>
      </c>
      <c r="Q89" s="268"/>
      <c r="R89" s="313">
        <f>SUM(R76:R88)</f>
        <v>1194</v>
      </c>
      <c r="S89" s="271"/>
      <c r="T89" s="259"/>
    </row>
    <row r="90" spans="1:20" s="260" customFormat="1" x14ac:dyDescent="0.3">
      <c r="A90" s="275"/>
      <c r="B90" s="268" t="s">
        <v>26</v>
      </c>
      <c r="C90" s="268"/>
      <c r="D90" s="268"/>
      <c r="E90" s="268"/>
      <c r="F90" s="268"/>
      <c r="G90" s="268"/>
      <c r="H90" s="268"/>
      <c r="I90" s="268"/>
      <c r="J90" s="268"/>
      <c r="K90" s="268"/>
      <c r="L90" s="268"/>
      <c r="M90" s="268"/>
      <c r="N90" s="268"/>
      <c r="O90" s="268"/>
      <c r="P90" s="313">
        <f>-R90</f>
        <v>0</v>
      </c>
      <c r="Q90" s="268"/>
      <c r="R90" s="314">
        <v>0</v>
      </c>
      <c r="S90" s="271"/>
      <c r="T90" s="259"/>
    </row>
    <row r="91" spans="1:20" s="260" customFormat="1" x14ac:dyDescent="0.3">
      <c r="A91" s="275"/>
      <c r="B91" s="268" t="s">
        <v>150</v>
      </c>
      <c r="C91" s="268"/>
      <c r="D91" s="268"/>
      <c r="E91" s="268"/>
      <c r="F91" s="268"/>
      <c r="G91" s="268"/>
      <c r="H91" s="268"/>
      <c r="I91" s="268"/>
      <c r="J91" s="268"/>
      <c r="K91" s="268"/>
      <c r="L91" s="268"/>
      <c r="M91" s="268"/>
      <c r="N91" s="268"/>
      <c r="O91" s="268"/>
      <c r="P91" s="313"/>
      <c r="Q91" s="268"/>
      <c r="R91" s="314">
        <v>0</v>
      </c>
      <c r="S91" s="271"/>
      <c r="T91" s="259"/>
    </row>
    <row r="92" spans="1:20" s="260" customFormat="1" x14ac:dyDescent="0.3">
      <c r="A92" s="275"/>
      <c r="B92" s="268" t="s">
        <v>27</v>
      </c>
      <c r="C92" s="268"/>
      <c r="D92" s="268"/>
      <c r="E92" s="268"/>
      <c r="F92" s="268"/>
      <c r="G92" s="268"/>
      <c r="H92" s="268"/>
      <c r="I92" s="268"/>
      <c r="J92" s="268"/>
      <c r="K92" s="268"/>
      <c r="L92" s="268"/>
      <c r="M92" s="268"/>
      <c r="N92" s="268"/>
      <c r="O92" s="268"/>
      <c r="P92" s="313">
        <f>P89+P90</f>
        <v>11322</v>
      </c>
      <c r="Q92" s="268"/>
      <c r="R92" s="313">
        <f>R89+R90+R91</f>
        <v>1194</v>
      </c>
      <c r="S92" s="271"/>
      <c r="T92" s="259"/>
    </row>
    <row r="93" spans="1:20" x14ac:dyDescent="0.3">
      <c r="A93" s="287"/>
      <c r="B93" s="417" t="s">
        <v>28</v>
      </c>
      <c r="C93" s="288"/>
      <c r="D93" s="288"/>
      <c r="E93" s="288"/>
      <c r="F93" s="288"/>
      <c r="G93" s="288"/>
      <c r="H93" s="288"/>
      <c r="I93" s="288"/>
      <c r="J93" s="288"/>
      <c r="K93" s="288"/>
      <c r="L93" s="288"/>
      <c r="M93" s="288"/>
      <c r="N93" s="288"/>
      <c r="O93" s="288"/>
      <c r="P93" s="322"/>
      <c r="Q93" s="323"/>
      <c r="R93" s="324"/>
      <c r="S93" s="289"/>
      <c r="T93" s="241"/>
    </row>
    <row r="94" spans="1:20" s="260" customFormat="1" x14ac:dyDescent="0.3">
      <c r="A94" s="275">
        <v>1</v>
      </c>
      <c r="B94" s="268" t="s">
        <v>180</v>
      </c>
      <c r="C94" s="268"/>
      <c r="D94" s="268"/>
      <c r="E94" s="268"/>
      <c r="F94" s="268"/>
      <c r="G94" s="268"/>
      <c r="H94" s="268"/>
      <c r="I94" s="268"/>
      <c r="J94" s="268"/>
      <c r="K94" s="268"/>
      <c r="L94" s="268"/>
      <c r="M94" s="268"/>
      <c r="N94" s="268"/>
      <c r="O94" s="268"/>
      <c r="P94" s="313"/>
      <c r="Q94" s="268"/>
      <c r="R94" s="314">
        <v>0</v>
      </c>
      <c r="S94" s="271"/>
      <c r="T94" s="259"/>
    </row>
    <row r="95" spans="1:20" s="260" customFormat="1" x14ac:dyDescent="0.3">
      <c r="A95" s="275">
        <v>2</v>
      </c>
      <c r="B95" s="268" t="s">
        <v>214</v>
      </c>
      <c r="C95" s="268"/>
      <c r="D95" s="268"/>
      <c r="E95" s="268"/>
      <c r="F95" s="268"/>
      <c r="G95" s="268"/>
      <c r="H95" s="268"/>
      <c r="I95" s="268"/>
      <c r="J95" s="268"/>
      <c r="K95" s="268"/>
      <c r="L95" s="268"/>
      <c r="M95" s="268"/>
      <c r="N95" s="268"/>
      <c r="O95" s="268"/>
      <c r="P95" s="268"/>
      <c r="Q95" s="268"/>
      <c r="R95" s="314">
        <v>-3</v>
      </c>
      <c r="S95" s="271"/>
      <c r="T95" s="259"/>
    </row>
    <row r="96" spans="1:20" s="260" customFormat="1" x14ac:dyDescent="0.3">
      <c r="A96" s="275">
        <v>3</v>
      </c>
      <c r="B96" s="268" t="s">
        <v>267</v>
      </c>
      <c r="C96" s="268"/>
      <c r="D96" s="268"/>
      <c r="E96" s="268"/>
      <c r="F96" s="268"/>
      <c r="G96" s="268"/>
      <c r="H96" s="268"/>
      <c r="I96" s="268"/>
      <c r="J96" s="268"/>
      <c r="K96" s="268"/>
      <c r="L96" s="268"/>
      <c r="M96" s="268"/>
      <c r="N96" s="268"/>
      <c r="O96" s="268"/>
      <c r="P96" s="268"/>
      <c r="Q96" s="268"/>
      <c r="R96" s="314">
        <f>-35-5-3</f>
        <v>-43</v>
      </c>
      <c r="S96" s="271"/>
      <c r="T96" s="259"/>
    </row>
    <row r="97" spans="1:21" s="260" customFormat="1" x14ac:dyDescent="0.3">
      <c r="A97" s="275">
        <v>4</v>
      </c>
      <c r="B97" s="268" t="s">
        <v>96</v>
      </c>
      <c r="C97" s="268"/>
      <c r="D97" s="268"/>
      <c r="E97" s="268"/>
      <c r="F97" s="268"/>
      <c r="G97" s="268"/>
      <c r="H97" s="268"/>
      <c r="I97" s="268"/>
      <c r="J97" s="268"/>
      <c r="K97" s="268"/>
      <c r="L97" s="268"/>
      <c r="M97" s="268"/>
      <c r="N97" s="268"/>
      <c r="O97" s="268"/>
      <c r="P97" s="268"/>
      <c r="Q97" s="268"/>
      <c r="R97" s="314">
        <v>-46</v>
      </c>
      <c r="S97" s="271"/>
      <c r="T97" s="259"/>
    </row>
    <row r="98" spans="1:21" s="260" customFormat="1" x14ac:dyDescent="0.3">
      <c r="A98" s="275">
        <v>5</v>
      </c>
      <c r="B98" s="268" t="s">
        <v>157</v>
      </c>
      <c r="C98" s="268"/>
      <c r="D98" s="268"/>
      <c r="E98" s="268"/>
      <c r="F98" s="268"/>
      <c r="G98" s="268"/>
      <c r="H98" s="268"/>
      <c r="I98" s="268"/>
      <c r="J98" s="268"/>
      <c r="K98" s="268"/>
      <c r="L98" s="268"/>
      <c r="M98" s="268"/>
      <c r="N98" s="268"/>
      <c r="O98" s="268"/>
      <c r="P98" s="268"/>
      <c r="Q98" s="268"/>
      <c r="R98" s="314">
        <v>-172</v>
      </c>
      <c r="S98" s="271"/>
      <c r="T98" s="259"/>
      <c r="U98" s="325"/>
    </row>
    <row r="99" spans="1:21" s="260" customFormat="1" x14ac:dyDescent="0.3">
      <c r="A99" s="275">
        <v>6</v>
      </c>
      <c r="B99" s="268" t="s">
        <v>207</v>
      </c>
      <c r="C99" s="268"/>
      <c r="D99" s="268"/>
      <c r="E99" s="268"/>
      <c r="F99" s="268"/>
      <c r="G99" s="268"/>
      <c r="H99" s="268"/>
      <c r="I99" s="268"/>
      <c r="J99" s="268"/>
      <c r="K99" s="268"/>
      <c r="L99" s="268"/>
      <c r="M99" s="268"/>
      <c r="N99" s="268"/>
      <c r="O99" s="268"/>
      <c r="P99" s="268"/>
      <c r="Q99" s="268"/>
      <c r="R99" s="314">
        <v>-76</v>
      </c>
      <c r="S99" s="271"/>
      <c r="T99" s="259"/>
      <c r="U99" s="325"/>
    </row>
    <row r="100" spans="1:21" s="260" customFormat="1" x14ac:dyDescent="0.3">
      <c r="A100" s="275">
        <v>7</v>
      </c>
      <c r="B100" s="268" t="s">
        <v>208</v>
      </c>
      <c r="C100" s="268"/>
      <c r="D100" s="268"/>
      <c r="E100" s="268"/>
      <c r="F100" s="268"/>
      <c r="G100" s="268"/>
      <c r="H100" s="268"/>
      <c r="I100" s="268"/>
      <c r="J100" s="268"/>
      <c r="K100" s="268"/>
      <c r="L100" s="268"/>
      <c r="M100" s="268"/>
      <c r="N100" s="268"/>
      <c r="O100" s="268"/>
      <c r="P100" s="268"/>
      <c r="Q100" s="268"/>
      <c r="R100" s="314">
        <v>-42</v>
      </c>
      <c r="S100" s="271"/>
      <c r="T100" s="259"/>
      <c r="U100" s="325"/>
    </row>
    <row r="101" spans="1:21" s="260" customFormat="1" x14ac:dyDescent="0.3">
      <c r="A101" s="275">
        <v>8</v>
      </c>
      <c r="B101" s="268" t="s">
        <v>158</v>
      </c>
      <c r="C101" s="268"/>
      <c r="D101" s="268"/>
      <c r="E101" s="268"/>
      <c r="F101" s="268"/>
      <c r="G101" s="268"/>
      <c r="H101" s="268"/>
      <c r="I101" s="268"/>
      <c r="J101" s="268"/>
      <c r="K101" s="268"/>
      <c r="L101" s="268"/>
      <c r="M101" s="268"/>
      <c r="N101" s="268"/>
      <c r="O101" s="268"/>
      <c r="P101" s="268"/>
      <c r="Q101" s="268"/>
      <c r="R101" s="314">
        <v>0</v>
      </c>
      <c r="S101" s="271"/>
      <c r="T101" s="259"/>
      <c r="U101" s="325"/>
    </row>
    <row r="102" spans="1:21" s="260" customFormat="1" x14ac:dyDescent="0.3">
      <c r="A102" s="275">
        <v>9</v>
      </c>
      <c r="B102" s="268" t="s">
        <v>37</v>
      </c>
      <c r="C102" s="268"/>
      <c r="D102" s="268"/>
      <c r="E102" s="268"/>
      <c r="F102" s="268"/>
      <c r="G102" s="268"/>
      <c r="H102" s="268"/>
      <c r="I102" s="268"/>
      <c r="J102" s="268"/>
      <c r="K102" s="268"/>
      <c r="L102" s="268"/>
      <c r="M102" s="268"/>
      <c r="N102" s="268"/>
      <c r="O102" s="268"/>
      <c r="P102" s="313">
        <f>-R102</f>
        <v>0</v>
      </c>
      <c r="Q102" s="268"/>
      <c r="R102" s="314">
        <v>0</v>
      </c>
      <c r="S102" s="271"/>
      <c r="T102" s="259"/>
    </row>
    <row r="103" spans="1:21" s="260" customFormat="1" x14ac:dyDescent="0.3">
      <c r="A103" s="275">
        <v>10</v>
      </c>
      <c r="B103" s="268" t="s">
        <v>101</v>
      </c>
      <c r="C103" s="268"/>
      <c r="D103" s="268"/>
      <c r="E103" s="268"/>
      <c r="F103" s="268"/>
      <c r="G103" s="268"/>
      <c r="H103" s="268"/>
      <c r="I103" s="268"/>
      <c r="J103" s="268"/>
      <c r="K103" s="268"/>
      <c r="L103" s="268"/>
      <c r="M103" s="268"/>
      <c r="N103" s="268"/>
      <c r="O103" s="268"/>
      <c r="P103" s="268"/>
      <c r="Q103" s="268"/>
      <c r="R103" s="314">
        <v>0</v>
      </c>
      <c r="S103" s="271"/>
      <c r="T103" s="259"/>
    </row>
    <row r="104" spans="1:21" s="260" customFormat="1" x14ac:dyDescent="0.3">
      <c r="A104" s="275">
        <v>11</v>
      </c>
      <c r="B104" s="268" t="s">
        <v>29</v>
      </c>
      <c r="C104" s="268"/>
      <c r="D104" s="268"/>
      <c r="E104" s="268"/>
      <c r="F104" s="268"/>
      <c r="G104" s="268"/>
      <c r="H104" s="268"/>
      <c r="I104" s="268"/>
      <c r="J104" s="268"/>
      <c r="K104" s="268"/>
      <c r="L104" s="268"/>
      <c r="M104" s="268"/>
      <c r="N104" s="268"/>
      <c r="O104" s="268"/>
      <c r="P104" s="268"/>
      <c r="Q104" s="268"/>
      <c r="R104" s="314">
        <v>-20</v>
      </c>
      <c r="S104" s="271"/>
      <c r="T104" s="259"/>
    </row>
    <row r="105" spans="1:21" s="260" customFormat="1" x14ac:dyDescent="0.3">
      <c r="A105" s="275">
        <v>12</v>
      </c>
      <c r="B105" s="268" t="s">
        <v>138</v>
      </c>
      <c r="C105" s="268"/>
      <c r="D105" s="268"/>
      <c r="E105" s="268"/>
      <c r="F105" s="268"/>
      <c r="G105" s="268"/>
      <c r="H105" s="268"/>
      <c r="I105" s="268"/>
      <c r="J105" s="268"/>
      <c r="K105" s="268"/>
      <c r="L105" s="268"/>
      <c r="M105" s="268"/>
      <c r="N105" s="268"/>
      <c r="O105" s="268"/>
      <c r="P105" s="268"/>
      <c r="Q105" s="268"/>
      <c r="R105" s="314">
        <v>0</v>
      </c>
      <c r="S105" s="271"/>
      <c r="T105" s="259"/>
    </row>
    <row r="106" spans="1:21" s="260" customFormat="1" x14ac:dyDescent="0.3">
      <c r="A106" s="275">
        <v>13</v>
      </c>
      <c r="B106" s="268" t="s">
        <v>209</v>
      </c>
      <c r="C106" s="268"/>
      <c r="D106" s="268"/>
      <c r="E106" s="268"/>
      <c r="F106" s="268"/>
      <c r="G106" s="268"/>
      <c r="H106" s="268"/>
      <c r="I106" s="268"/>
      <c r="J106" s="268"/>
      <c r="K106" s="268"/>
      <c r="L106" s="268"/>
      <c r="M106" s="268"/>
      <c r="N106" s="268"/>
      <c r="O106" s="268"/>
      <c r="P106" s="268"/>
      <c r="Q106" s="268"/>
      <c r="R106" s="314">
        <v>-38</v>
      </c>
      <c r="S106" s="271"/>
      <c r="T106" s="259"/>
    </row>
    <row r="107" spans="1:21" s="260" customFormat="1" x14ac:dyDescent="0.3">
      <c r="A107" s="275">
        <v>14</v>
      </c>
      <c r="B107" s="268" t="s">
        <v>159</v>
      </c>
      <c r="C107" s="268"/>
      <c r="D107" s="268"/>
      <c r="E107" s="268"/>
      <c r="F107" s="268"/>
      <c r="G107" s="268"/>
      <c r="H107" s="268"/>
      <c r="I107" s="268"/>
      <c r="J107" s="268"/>
      <c r="K107" s="268"/>
      <c r="L107" s="268"/>
      <c r="M107" s="268"/>
      <c r="N107" s="268"/>
      <c r="O107" s="268"/>
      <c r="P107" s="268"/>
      <c r="Q107" s="268"/>
      <c r="R107" s="314">
        <v>0</v>
      </c>
      <c r="S107" s="271"/>
      <c r="T107" s="259"/>
    </row>
    <row r="108" spans="1:21" s="260" customFormat="1" x14ac:dyDescent="0.3">
      <c r="A108" s="275">
        <v>15</v>
      </c>
      <c r="B108" s="268" t="s">
        <v>237</v>
      </c>
      <c r="C108" s="268"/>
      <c r="D108" s="268"/>
      <c r="E108" s="268"/>
      <c r="F108" s="268"/>
      <c r="G108" s="268"/>
      <c r="H108" s="268"/>
      <c r="I108" s="268"/>
      <c r="J108" s="268"/>
      <c r="K108" s="268"/>
      <c r="L108" s="268"/>
      <c r="M108" s="268"/>
      <c r="N108" s="268"/>
      <c r="O108" s="268"/>
      <c r="P108" s="268"/>
      <c r="Q108" s="268"/>
      <c r="R108" s="314">
        <v>-35</v>
      </c>
      <c r="S108" s="271"/>
      <c r="T108" s="259"/>
    </row>
    <row r="109" spans="1:21" s="260" customFormat="1" x14ac:dyDescent="0.3">
      <c r="A109" s="275">
        <v>16</v>
      </c>
      <c r="B109" s="268" t="s">
        <v>170</v>
      </c>
      <c r="C109" s="268"/>
      <c r="D109" s="268"/>
      <c r="E109" s="268"/>
      <c r="F109" s="268"/>
      <c r="G109" s="268"/>
      <c r="H109" s="268"/>
      <c r="I109" s="268"/>
      <c r="J109" s="268"/>
      <c r="K109" s="268"/>
      <c r="L109" s="268"/>
      <c r="M109" s="268"/>
      <c r="N109" s="268"/>
      <c r="O109" s="268"/>
      <c r="P109" s="268"/>
      <c r="Q109" s="268"/>
      <c r="R109" s="314">
        <f>-9-157</f>
        <v>-166</v>
      </c>
      <c r="S109" s="271"/>
      <c r="T109" s="259"/>
    </row>
    <row r="110" spans="1:21" s="260" customFormat="1" x14ac:dyDescent="0.3">
      <c r="A110" s="275">
        <v>17</v>
      </c>
      <c r="B110" s="268" t="s">
        <v>175</v>
      </c>
      <c r="C110" s="268"/>
      <c r="D110" s="268"/>
      <c r="E110" s="268"/>
      <c r="F110" s="268"/>
      <c r="G110" s="268"/>
      <c r="H110" s="268"/>
      <c r="I110" s="268"/>
      <c r="J110" s="268"/>
      <c r="K110" s="268"/>
      <c r="L110" s="268"/>
      <c r="M110" s="268"/>
      <c r="N110" s="268"/>
      <c r="O110" s="268"/>
      <c r="P110" s="268"/>
      <c r="Q110" s="268"/>
      <c r="R110" s="314">
        <f>-R92-SUM(R94:R109)</f>
        <v>-553</v>
      </c>
      <c r="S110" s="271"/>
      <c r="T110" s="259"/>
    </row>
    <row r="111" spans="1:21" s="260" customFormat="1" x14ac:dyDescent="0.3">
      <c r="A111" s="275">
        <v>18</v>
      </c>
      <c r="B111" s="268" t="s">
        <v>176</v>
      </c>
      <c r="C111" s="268"/>
      <c r="D111" s="268"/>
      <c r="E111" s="268"/>
      <c r="F111" s="268"/>
      <c r="G111" s="268"/>
      <c r="H111" s="268"/>
      <c r="I111" s="268"/>
      <c r="J111" s="268"/>
      <c r="K111" s="268"/>
      <c r="L111" s="268"/>
      <c r="M111" s="268"/>
      <c r="N111" s="268"/>
      <c r="O111" s="268"/>
      <c r="P111" s="313">
        <f>-R111</f>
        <v>0</v>
      </c>
      <c r="Q111" s="268"/>
      <c r="R111" s="314">
        <v>0</v>
      </c>
      <c r="S111" s="271"/>
      <c r="T111" s="259"/>
    </row>
    <row r="112" spans="1:21" x14ac:dyDescent="0.3">
      <c r="A112" s="287"/>
      <c r="B112" s="417" t="s">
        <v>30</v>
      </c>
      <c r="C112" s="288"/>
      <c r="D112" s="288"/>
      <c r="E112" s="288"/>
      <c r="F112" s="288"/>
      <c r="G112" s="288"/>
      <c r="H112" s="288"/>
      <c r="I112" s="288"/>
      <c r="J112" s="288"/>
      <c r="K112" s="288"/>
      <c r="L112" s="288"/>
      <c r="M112" s="288"/>
      <c r="N112" s="288"/>
      <c r="O112" s="288"/>
      <c r="P112" s="323"/>
      <c r="Q112" s="323"/>
      <c r="R112" s="326"/>
      <c r="S112" s="289"/>
      <c r="T112" s="241"/>
    </row>
    <row r="113" spans="1:20" s="260" customFormat="1" x14ac:dyDescent="0.3">
      <c r="A113" s="275"/>
      <c r="B113" s="268" t="s">
        <v>238</v>
      </c>
      <c r="C113" s="268"/>
      <c r="D113" s="268"/>
      <c r="E113" s="268"/>
      <c r="F113" s="268"/>
      <c r="G113" s="268"/>
      <c r="H113" s="268"/>
      <c r="I113" s="268"/>
      <c r="J113" s="268"/>
      <c r="K113" s="268"/>
      <c r="L113" s="268"/>
      <c r="M113" s="268"/>
      <c r="N113" s="268"/>
      <c r="O113" s="268"/>
      <c r="P113" s="313">
        <f>-P179</f>
        <v>0</v>
      </c>
      <c r="Q113" s="313"/>
      <c r="R113" s="314"/>
      <c r="S113" s="271"/>
      <c r="T113" s="259"/>
    </row>
    <row r="114" spans="1:20" s="260" customFormat="1" x14ac:dyDescent="0.3">
      <c r="A114" s="275"/>
      <c r="B114" s="268" t="s">
        <v>239</v>
      </c>
      <c r="C114" s="268"/>
      <c r="D114" s="268"/>
      <c r="E114" s="268"/>
      <c r="F114" s="268"/>
      <c r="G114" s="268"/>
      <c r="H114" s="268"/>
      <c r="I114" s="268"/>
      <c r="J114" s="268"/>
      <c r="K114" s="268"/>
      <c r="L114" s="268"/>
      <c r="M114" s="268"/>
      <c r="N114" s="268"/>
      <c r="O114" s="268"/>
      <c r="P114" s="313">
        <f>-O179</f>
        <v>0</v>
      </c>
      <c r="Q114" s="313"/>
      <c r="R114" s="314"/>
      <c r="S114" s="271"/>
      <c r="T114" s="259"/>
    </row>
    <row r="115" spans="1:20" s="260" customFormat="1" x14ac:dyDescent="0.3">
      <c r="A115" s="275"/>
      <c r="B115" s="268" t="s">
        <v>160</v>
      </c>
      <c r="C115" s="268"/>
      <c r="D115" s="268"/>
      <c r="E115" s="268"/>
      <c r="F115" s="268"/>
      <c r="G115" s="268"/>
      <c r="H115" s="268"/>
      <c r="I115" s="268"/>
      <c r="J115" s="268"/>
      <c r="K115" s="268"/>
      <c r="L115" s="268"/>
      <c r="M115" s="268"/>
      <c r="N115" s="268"/>
      <c r="O115" s="268"/>
      <c r="P115" s="313">
        <v>-11322</v>
      </c>
      <c r="Q115" s="313"/>
      <c r="R115" s="314"/>
      <c r="S115" s="271"/>
      <c r="T115" s="259"/>
    </row>
    <row r="116" spans="1:20" s="260" customFormat="1" x14ac:dyDescent="0.3">
      <c r="A116" s="275"/>
      <c r="B116" s="268" t="s">
        <v>189</v>
      </c>
      <c r="C116" s="268"/>
      <c r="D116" s="268"/>
      <c r="E116" s="268"/>
      <c r="F116" s="268"/>
      <c r="G116" s="268"/>
      <c r="H116" s="268"/>
      <c r="I116" s="268"/>
      <c r="J116" s="268"/>
      <c r="K116" s="268"/>
      <c r="L116" s="268"/>
      <c r="M116" s="268"/>
      <c r="N116" s="268"/>
      <c r="O116" s="268"/>
      <c r="P116" s="313">
        <v>0</v>
      </c>
      <c r="Q116" s="313"/>
      <c r="R116" s="314"/>
      <c r="S116" s="271"/>
      <c r="T116" s="259"/>
    </row>
    <row r="117" spans="1:20" s="260" customFormat="1" x14ac:dyDescent="0.3">
      <c r="A117" s="275"/>
      <c r="B117" s="268" t="s">
        <v>190</v>
      </c>
      <c r="C117" s="268"/>
      <c r="D117" s="268"/>
      <c r="E117" s="268"/>
      <c r="F117" s="268"/>
      <c r="G117" s="268"/>
      <c r="H117" s="268"/>
      <c r="I117" s="268"/>
      <c r="J117" s="268"/>
      <c r="K117" s="268"/>
      <c r="L117" s="268"/>
      <c r="M117" s="268"/>
      <c r="N117" s="268"/>
      <c r="O117" s="268"/>
      <c r="P117" s="313">
        <v>0</v>
      </c>
      <c r="Q117" s="313"/>
      <c r="R117" s="314"/>
      <c r="S117" s="271"/>
      <c r="T117" s="259"/>
    </row>
    <row r="118" spans="1:20" s="260" customFormat="1" x14ac:dyDescent="0.3">
      <c r="A118" s="275"/>
      <c r="B118" s="268" t="s">
        <v>191</v>
      </c>
      <c r="C118" s="268"/>
      <c r="D118" s="268"/>
      <c r="E118" s="268"/>
      <c r="F118" s="268"/>
      <c r="G118" s="268"/>
      <c r="H118" s="268"/>
      <c r="I118" s="268"/>
      <c r="J118" s="268"/>
      <c r="K118" s="268"/>
      <c r="L118" s="268"/>
      <c r="M118" s="268"/>
      <c r="N118" s="268"/>
      <c r="O118" s="268"/>
      <c r="P118" s="313">
        <v>0</v>
      </c>
      <c r="Q118" s="313"/>
      <c r="R118" s="314"/>
      <c r="S118" s="271"/>
      <c r="T118" s="259"/>
    </row>
    <row r="119" spans="1:20" s="260" customFormat="1" x14ac:dyDescent="0.3">
      <c r="A119" s="275"/>
      <c r="B119" s="268" t="s">
        <v>31</v>
      </c>
      <c r="C119" s="268"/>
      <c r="D119" s="268"/>
      <c r="E119" s="268"/>
      <c r="F119" s="268"/>
      <c r="G119" s="268"/>
      <c r="H119" s="268"/>
      <c r="I119" s="268"/>
      <c r="J119" s="268"/>
      <c r="K119" s="268"/>
      <c r="L119" s="268"/>
      <c r="M119" s="268"/>
      <c r="N119" s="268"/>
      <c r="O119" s="268"/>
      <c r="P119" s="313">
        <f>SUM(P113:P118)</f>
        <v>-11322</v>
      </c>
      <c r="Q119" s="313"/>
      <c r="R119" s="313">
        <f>SUM(R93:R118)</f>
        <v>-1194</v>
      </c>
      <c r="S119" s="271"/>
      <c r="T119" s="259"/>
    </row>
    <row r="120" spans="1:20" s="260" customFormat="1" x14ac:dyDescent="0.3">
      <c r="A120" s="275"/>
      <c r="B120" s="268" t="s">
        <v>32</v>
      </c>
      <c r="C120" s="268"/>
      <c r="D120" s="268"/>
      <c r="E120" s="268"/>
      <c r="F120" s="268"/>
      <c r="G120" s="268"/>
      <c r="H120" s="268"/>
      <c r="I120" s="268"/>
      <c r="J120" s="268"/>
      <c r="K120" s="268"/>
      <c r="L120" s="268"/>
      <c r="M120" s="268"/>
      <c r="N120" s="268"/>
      <c r="O120" s="268"/>
      <c r="P120" s="313">
        <f>P92+P119+P102+P111</f>
        <v>0</v>
      </c>
      <c r="Q120" s="313"/>
      <c r="R120" s="313">
        <f>R92+R119</f>
        <v>0</v>
      </c>
      <c r="S120" s="271"/>
      <c r="T120" s="259"/>
    </row>
    <row r="121" spans="1:20" s="260" customFormat="1" x14ac:dyDescent="0.3">
      <c r="A121" s="255"/>
      <c r="B121" s="302"/>
      <c r="C121" s="302"/>
      <c r="D121" s="302"/>
      <c r="E121" s="302"/>
      <c r="F121" s="302"/>
      <c r="G121" s="302"/>
      <c r="H121" s="302"/>
      <c r="I121" s="302"/>
      <c r="J121" s="302"/>
      <c r="K121" s="302"/>
      <c r="L121" s="302"/>
      <c r="M121" s="302"/>
      <c r="N121" s="302"/>
      <c r="O121" s="302"/>
      <c r="P121" s="327"/>
      <c r="Q121" s="327"/>
      <c r="R121" s="327"/>
      <c r="S121" s="258"/>
      <c r="T121" s="259"/>
    </row>
    <row r="122" spans="1:20" s="260" customFormat="1" x14ac:dyDescent="0.3">
      <c r="A122" s="255"/>
      <c r="B122" s="256"/>
      <c r="C122" s="256"/>
      <c r="D122" s="256"/>
      <c r="E122" s="256"/>
      <c r="F122" s="256"/>
      <c r="G122" s="256"/>
      <c r="H122" s="256"/>
      <c r="I122" s="256"/>
      <c r="J122" s="256"/>
      <c r="K122" s="256"/>
      <c r="L122" s="256"/>
      <c r="M122" s="256"/>
      <c r="N122" s="256"/>
      <c r="O122" s="256"/>
      <c r="P122" s="256"/>
      <c r="Q122" s="256"/>
      <c r="R122" s="328"/>
      <c r="S122" s="258"/>
      <c r="T122" s="259"/>
    </row>
    <row r="123" spans="1:20" s="260" customFormat="1" ht="18.600000000000001" thickBot="1" x14ac:dyDescent="0.4">
      <c r="A123" s="307"/>
      <c r="B123" s="308" t="str">
        <f>B52</f>
        <v>PM21 INVESTOR REPORT QUARTER ENDING NOVEMBER 2017</v>
      </c>
      <c r="C123" s="309"/>
      <c r="D123" s="309"/>
      <c r="E123" s="309"/>
      <c r="F123" s="309"/>
      <c r="G123" s="309"/>
      <c r="H123" s="309"/>
      <c r="I123" s="309"/>
      <c r="J123" s="309"/>
      <c r="K123" s="309"/>
      <c r="L123" s="309"/>
      <c r="M123" s="309"/>
      <c r="N123" s="309"/>
      <c r="O123" s="309"/>
      <c r="P123" s="309"/>
      <c r="Q123" s="309"/>
      <c r="R123" s="329"/>
      <c r="S123" s="311"/>
      <c r="T123" s="259"/>
    </row>
    <row r="124" spans="1:20" x14ac:dyDescent="0.3">
      <c r="A124" s="438"/>
      <c r="B124" s="439" t="s">
        <v>33</v>
      </c>
      <c r="C124" s="440"/>
      <c r="D124" s="440"/>
      <c r="E124" s="440"/>
      <c r="F124" s="440"/>
      <c r="G124" s="440"/>
      <c r="H124" s="440"/>
      <c r="I124" s="440"/>
      <c r="J124" s="440"/>
      <c r="K124" s="440"/>
      <c r="L124" s="440"/>
      <c r="M124" s="440"/>
      <c r="N124" s="440"/>
      <c r="O124" s="440"/>
      <c r="P124" s="440"/>
      <c r="Q124" s="440"/>
      <c r="R124" s="441"/>
      <c r="S124" s="442"/>
      <c r="T124" s="241"/>
    </row>
    <row r="125" spans="1:20" x14ac:dyDescent="0.3">
      <c r="A125" s="243"/>
      <c r="B125" s="330"/>
      <c r="C125" s="245"/>
      <c r="D125" s="245"/>
      <c r="E125" s="245"/>
      <c r="F125" s="245"/>
      <c r="G125" s="245"/>
      <c r="H125" s="245"/>
      <c r="I125" s="245"/>
      <c r="J125" s="245"/>
      <c r="K125" s="245"/>
      <c r="L125" s="245"/>
      <c r="M125" s="245"/>
      <c r="N125" s="245"/>
      <c r="O125" s="245"/>
      <c r="P125" s="245"/>
      <c r="Q125" s="245"/>
      <c r="R125" s="312"/>
      <c r="S125" s="246"/>
      <c r="T125" s="241"/>
    </row>
    <row r="126" spans="1:20" x14ac:dyDescent="0.3">
      <c r="A126" s="243"/>
      <c r="B126" s="418" t="s">
        <v>34</v>
      </c>
      <c r="C126" s="245"/>
      <c r="D126" s="245"/>
      <c r="E126" s="245"/>
      <c r="F126" s="245"/>
      <c r="G126" s="245"/>
      <c r="H126" s="245"/>
      <c r="I126" s="245"/>
      <c r="J126" s="245"/>
      <c r="K126" s="245"/>
      <c r="L126" s="245"/>
      <c r="M126" s="245"/>
      <c r="N126" s="245"/>
      <c r="O126" s="245"/>
      <c r="P126" s="245"/>
      <c r="Q126" s="245"/>
      <c r="R126" s="312"/>
      <c r="S126" s="246"/>
      <c r="T126" s="241"/>
    </row>
    <row r="127" spans="1:20" s="260" customFormat="1" x14ac:dyDescent="0.3">
      <c r="A127" s="275"/>
      <c r="B127" s="268" t="s">
        <v>35</v>
      </c>
      <c r="C127" s="268"/>
      <c r="D127" s="268"/>
      <c r="E127" s="268"/>
      <c r="F127" s="268"/>
      <c r="G127" s="268"/>
      <c r="H127" s="268"/>
      <c r="I127" s="268"/>
      <c r="J127" s="268"/>
      <c r="K127" s="268"/>
      <c r="L127" s="268"/>
      <c r="M127" s="268"/>
      <c r="N127" s="268"/>
      <c r="O127" s="268"/>
      <c r="P127" s="268"/>
      <c r="Q127" s="268"/>
      <c r="R127" s="314">
        <f>+R28*0.025</f>
        <v>6250</v>
      </c>
      <c r="S127" s="271"/>
      <c r="T127" s="259"/>
    </row>
    <row r="128" spans="1:20" s="260" customFormat="1" x14ac:dyDescent="0.3">
      <c r="A128" s="275"/>
      <c r="B128" s="268" t="s">
        <v>36</v>
      </c>
      <c r="C128" s="268"/>
      <c r="D128" s="268"/>
      <c r="E128" s="268"/>
      <c r="F128" s="268"/>
      <c r="G128" s="268"/>
      <c r="H128" s="268"/>
      <c r="I128" s="268"/>
      <c r="J128" s="268"/>
      <c r="K128" s="268"/>
      <c r="L128" s="268"/>
      <c r="M128" s="268"/>
      <c r="N128" s="268"/>
      <c r="O128" s="268"/>
      <c r="P128" s="268"/>
      <c r="Q128" s="268"/>
      <c r="R128" s="314">
        <v>0</v>
      </c>
      <c r="S128" s="271"/>
      <c r="T128" s="259"/>
    </row>
    <row r="129" spans="1:21" s="260" customFormat="1" x14ac:dyDescent="0.3">
      <c r="A129" s="275"/>
      <c r="B129" s="268" t="s">
        <v>172</v>
      </c>
      <c r="C129" s="268"/>
      <c r="D129" s="268"/>
      <c r="E129" s="268"/>
      <c r="F129" s="268"/>
      <c r="G129" s="268"/>
      <c r="H129" s="268"/>
      <c r="I129" s="268"/>
      <c r="J129" s="268"/>
      <c r="K129" s="268"/>
      <c r="L129" s="268"/>
      <c r="M129" s="268"/>
      <c r="N129" s="268"/>
      <c r="O129" s="268"/>
      <c r="P129" s="268"/>
      <c r="Q129" s="268"/>
      <c r="R129" s="314">
        <f>R127-R130</f>
        <v>4359.6186980000002</v>
      </c>
      <c r="S129" s="271"/>
      <c r="T129" s="259"/>
    </row>
    <row r="130" spans="1:21" s="260" customFormat="1" x14ac:dyDescent="0.3">
      <c r="A130" s="275"/>
      <c r="B130" s="268" t="s">
        <v>240</v>
      </c>
      <c r="C130" s="268"/>
      <c r="D130" s="268"/>
      <c r="E130" s="268"/>
      <c r="F130" s="268"/>
      <c r="G130" s="268"/>
      <c r="H130" s="268"/>
      <c r="I130" s="268"/>
      <c r="J130" s="268"/>
      <c r="K130" s="268"/>
      <c r="L130" s="268"/>
      <c r="M130" s="268"/>
      <c r="N130" s="268"/>
      <c r="O130" s="268"/>
      <c r="P130" s="268"/>
      <c r="Q130" s="268"/>
      <c r="R130" s="314">
        <f>SUM(D30:H30)*0.025</f>
        <v>1890.3813020000002</v>
      </c>
      <c r="S130" s="271"/>
      <c r="T130" s="259"/>
    </row>
    <row r="131" spans="1:21" s="260" customFormat="1" x14ac:dyDescent="0.3">
      <c r="A131" s="275"/>
      <c r="B131" s="268" t="s">
        <v>108</v>
      </c>
      <c r="C131" s="268"/>
      <c r="D131" s="268"/>
      <c r="E131" s="268"/>
      <c r="F131" s="268"/>
      <c r="G131" s="268"/>
      <c r="H131" s="268"/>
      <c r="I131" s="268"/>
      <c r="J131" s="268"/>
      <c r="K131" s="268"/>
      <c r="L131" s="268"/>
      <c r="M131" s="268"/>
      <c r="N131" s="268"/>
      <c r="O131" s="268"/>
      <c r="P131" s="268"/>
      <c r="Q131" s="268"/>
      <c r="R131" s="314"/>
      <c r="S131" s="271"/>
      <c r="T131" s="259"/>
    </row>
    <row r="132" spans="1:21" s="260" customFormat="1" x14ac:dyDescent="0.3">
      <c r="A132" s="275"/>
      <c r="B132" s="268" t="s">
        <v>157</v>
      </c>
      <c r="C132" s="268"/>
      <c r="D132" s="268"/>
      <c r="E132" s="268"/>
      <c r="F132" s="268"/>
      <c r="G132" s="268"/>
      <c r="H132" s="268"/>
      <c r="I132" s="268"/>
      <c r="J132" s="268"/>
      <c r="K132" s="268"/>
      <c r="L132" s="268"/>
      <c r="M132" s="268"/>
      <c r="N132" s="268"/>
      <c r="O132" s="268"/>
      <c r="P132" s="268"/>
      <c r="Q132" s="268"/>
      <c r="R132" s="314">
        <v>0</v>
      </c>
      <c r="S132" s="271"/>
      <c r="T132" s="259"/>
    </row>
    <row r="133" spans="1:21" s="260" customFormat="1" x14ac:dyDescent="0.3">
      <c r="A133" s="275"/>
      <c r="B133" s="268" t="s">
        <v>207</v>
      </c>
      <c r="C133" s="268"/>
      <c r="D133" s="268"/>
      <c r="E133" s="268"/>
      <c r="F133" s="268"/>
      <c r="G133" s="268"/>
      <c r="H133" s="268"/>
      <c r="I133" s="268"/>
      <c r="J133" s="268"/>
      <c r="K133" s="268"/>
      <c r="L133" s="268"/>
      <c r="M133" s="268"/>
      <c r="N133" s="268"/>
      <c r="O133" s="268"/>
      <c r="P133" s="268"/>
      <c r="Q133" s="268"/>
      <c r="R133" s="314">
        <v>0</v>
      </c>
      <c r="S133" s="271"/>
      <c r="T133" s="259"/>
    </row>
    <row r="134" spans="1:21" s="260" customFormat="1" x14ac:dyDescent="0.3">
      <c r="A134" s="275"/>
      <c r="B134" s="268" t="s">
        <v>208</v>
      </c>
      <c r="C134" s="268"/>
      <c r="D134" s="268"/>
      <c r="E134" s="268"/>
      <c r="F134" s="268"/>
      <c r="G134" s="268"/>
      <c r="H134" s="268"/>
      <c r="I134" s="268"/>
      <c r="J134" s="268"/>
      <c r="K134" s="268"/>
      <c r="L134" s="268"/>
      <c r="M134" s="268"/>
      <c r="N134" s="268"/>
      <c r="O134" s="268"/>
      <c r="P134" s="268"/>
      <c r="Q134" s="268"/>
      <c r="R134" s="314">
        <v>0</v>
      </c>
      <c r="S134" s="271"/>
      <c r="T134" s="259"/>
    </row>
    <row r="135" spans="1:21" s="260" customFormat="1" x14ac:dyDescent="0.3">
      <c r="A135" s="275"/>
      <c r="B135" s="268" t="s">
        <v>37</v>
      </c>
      <c r="C135" s="268"/>
      <c r="D135" s="268"/>
      <c r="E135" s="268"/>
      <c r="F135" s="268"/>
      <c r="G135" s="268"/>
      <c r="H135" s="268"/>
      <c r="I135" s="268"/>
      <c r="J135" s="268"/>
      <c r="K135" s="268"/>
      <c r="L135" s="268"/>
      <c r="M135" s="268"/>
      <c r="N135" s="268"/>
      <c r="O135" s="268"/>
      <c r="P135" s="268"/>
      <c r="Q135" s="268"/>
      <c r="R135" s="314">
        <v>0</v>
      </c>
      <c r="S135" s="271"/>
      <c r="T135" s="259"/>
    </row>
    <row r="136" spans="1:21" s="260" customFormat="1" x14ac:dyDescent="0.3">
      <c r="A136" s="275"/>
      <c r="B136" s="268" t="s">
        <v>102</v>
      </c>
      <c r="C136" s="268"/>
      <c r="D136" s="268"/>
      <c r="E136" s="268"/>
      <c r="F136" s="268"/>
      <c r="G136" s="268"/>
      <c r="H136" s="268"/>
      <c r="I136" s="268"/>
      <c r="J136" s="268"/>
      <c r="K136" s="268"/>
      <c r="L136" s="268"/>
      <c r="M136" s="268"/>
      <c r="N136" s="268"/>
      <c r="O136" s="268"/>
      <c r="P136" s="268"/>
      <c r="Q136" s="268"/>
      <c r="R136" s="314">
        <v>0</v>
      </c>
      <c r="S136" s="271"/>
      <c r="T136" s="259"/>
    </row>
    <row r="137" spans="1:21" s="260" customFormat="1" x14ac:dyDescent="0.3">
      <c r="A137" s="275"/>
      <c r="B137" s="268" t="s">
        <v>228</v>
      </c>
      <c r="C137" s="268"/>
      <c r="D137" s="268"/>
      <c r="E137" s="268"/>
      <c r="F137" s="268"/>
      <c r="G137" s="268"/>
      <c r="H137" s="268"/>
      <c r="I137" s="268"/>
      <c r="J137" s="268"/>
      <c r="K137" s="268"/>
      <c r="L137" s="268"/>
      <c r="M137" s="268"/>
      <c r="N137" s="268"/>
      <c r="O137" s="268"/>
      <c r="P137" s="268"/>
      <c r="Q137" s="268"/>
      <c r="R137" s="314">
        <v>0</v>
      </c>
      <c r="S137" s="271"/>
      <c r="T137" s="259"/>
      <c r="U137" s="325"/>
    </row>
    <row r="138" spans="1:21" s="260" customFormat="1" x14ac:dyDescent="0.3">
      <c r="A138" s="275"/>
      <c r="B138" s="268" t="s">
        <v>38</v>
      </c>
      <c r="C138" s="268"/>
      <c r="D138" s="268"/>
      <c r="E138" s="268"/>
      <c r="F138" s="268"/>
      <c r="G138" s="268"/>
      <c r="H138" s="268"/>
      <c r="I138" s="268"/>
      <c r="J138" s="268"/>
      <c r="K138" s="268"/>
      <c r="L138" s="268"/>
      <c r="M138" s="268"/>
      <c r="N138" s="268"/>
      <c r="O138" s="268"/>
      <c r="P138" s="268"/>
      <c r="Q138" s="268"/>
      <c r="R138" s="314">
        <f>SUM(R128:R137)</f>
        <v>6250</v>
      </c>
      <c r="S138" s="271"/>
      <c r="T138" s="259"/>
    </row>
    <row r="139" spans="1:21" x14ac:dyDescent="0.3">
      <c r="A139" s="243"/>
      <c r="B139" s="315"/>
      <c r="C139" s="315"/>
      <c r="D139" s="315"/>
      <c r="E139" s="315"/>
      <c r="F139" s="315"/>
      <c r="G139" s="315"/>
      <c r="H139" s="315"/>
      <c r="I139" s="315"/>
      <c r="J139" s="315"/>
      <c r="K139" s="315"/>
      <c r="L139" s="315"/>
      <c r="M139" s="315"/>
      <c r="N139" s="315"/>
      <c r="O139" s="315"/>
      <c r="P139" s="315"/>
      <c r="Q139" s="315"/>
      <c r="R139" s="331"/>
      <c r="S139" s="246"/>
      <c r="T139" s="241"/>
    </row>
    <row r="140" spans="1:21" x14ac:dyDescent="0.3">
      <c r="A140" s="243"/>
      <c r="B140" s="418" t="s">
        <v>222</v>
      </c>
      <c r="C140" s="245"/>
      <c r="D140" s="245"/>
      <c r="E140" s="245"/>
      <c r="F140" s="245"/>
      <c r="G140" s="245"/>
      <c r="H140" s="245"/>
      <c r="I140" s="245"/>
      <c r="J140" s="245"/>
      <c r="K140" s="245"/>
      <c r="L140" s="245"/>
      <c r="M140" s="245"/>
      <c r="N140" s="245"/>
      <c r="O140" s="245"/>
      <c r="P140" s="245"/>
      <c r="Q140" s="245"/>
      <c r="R140" s="312"/>
      <c r="S140" s="246"/>
      <c r="T140" s="241"/>
    </row>
    <row r="141" spans="1:21" s="260" customFormat="1" x14ac:dyDescent="0.3">
      <c r="A141" s="275"/>
      <c r="B141" s="268" t="s">
        <v>256</v>
      </c>
      <c r="C141" s="268"/>
      <c r="D141" s="268"/>
      <c r="E141" s="268"/>
      <c r="F141" s="268"/>
      <c r="G141" s="268"/>
      <c r="H141" s="268"/>
      <c r="I141" s="268"/>
      <c r="J141" s="268"/>
      <c r="K141" s="268"/>
      <c r="L141" s="268"/>
      <c r="M141" s="268"/>
      <c r="N141" s="268"/>
      <c r="O141" s="268"/>
      <c r="P141" s="268"/>
      <c r="Q141" s="268"/>
      <c r="R141" s="314">
        <v>0</v>
      </c>
      <c r="S141" s="271"/>
      <c r="T141" s="259"/>
    </row>
    <row r="142" spans="1:21" s="260" customFormat="1" x14ac:dyDescent="0.3">
      <c r="A142" s="275"/>
      <c r="B142" s="268" t="s">
        <v>210</v>
      </c>
      <c r="C142" s="268"/>
      <c r="D142" s="268"/>
      <c r="E142" s="268"/>
      <c r="F142" s="268"/>
      <c r="G142" s="268"/>
      <c r="H142" s="268"/>
      <c r="I142" s="268"/>
      <c r="J142" s="268"/>
      <c r="K142" s="268"/>
      <c r="L142" s="268"/>
      <c r="M142" s="268"/>
      <c r="N142" s="268"/>
      <c r="O142" s="268"/>
      <c r="P142" s="268"/>
      <c r="Q142" s="268"/>
      <c r="R142" s="314">
        <f>+J69</f>
        <v>0</v>
      </c>
      <c r="S142" s="271"/>
      <c r="T142" s="259"/>
    </row>
    <row r="143" spans="1:21" s="260" customFormat="1" x14ac:dyDescent="0.3">
      <c r="A143" s="275"/>
      <c r="B143" s="268" t="s">
        <v>224</v>
      </c>
      <c r="C143" s="268"/>
      <c r="D143" s="268"/>
      <c r="E143" s="268"/>
      <c r="F143" s="268"/>
      <c r="G143" s="268"/>
      <c r="H143" s="268"/>
      <c r="I143" s="268"/>
      <c r="J143" s="268"/>
      <c r="K143" s="268"/>
      <c r="L143" s="268"/>
      <c r="M143" s="268"/>
      <c r="N143" s="268"/>
      <c r="O143" s="268"/>
      <c r="P143" s="268"/>
      <c r="Q143" s="268"/>
      <c r="R143" s="314">
        <f>R141+R142</f>
        <v>0</v>
      </c>
      <c r="S143" s="271"/>
      <c r="T143" s="259"/>
    </row>
    <row r="144" spans="1:21" x14ac:dyDescent="0.3">
      <c r="A144" s="243"/>
      <c r="B144" s="332"/>
      <c r="C144" s="332"/>
      <c r="D144" s="332"/>
      <c r="E144" s="332"/>
      <c r="F144" s="332"/>
      <c r="G144" s="332"/>
      <c r="H144" s="332"/>
      <c r="I144" s="332"/>
      <c r="J144" s="332"/>
      <c r="K144" s="332"/>
      <c r="L144" s="332"/>
      <c r="M144" s="332"/>
      <c r="N144" s="332"/>
      <c r="O144" s="332"/>
      <c r="P144" s="332"/>
      <c r="Q144" s="332"/>
      <c r="R144" s="333"/>
      <c r="S144" s="246"/>
      <c r="T144" s="241"/>
    </row>
    <row r="145" spans="1:252" x14ac:dyDescent="0.3">
      <c r="A145" s="243"/>
      <c r="B145" s="418" t="s">
        <v>241</v>
      </c>
      <c r="C145" s="332"/>
      <c r="D145" s="332"/>
      <c r="E145" s="332"/>
      <c r="F145" s="332"/>
      <c r="G145" s="332"/>
      <c r="H145" s="332"/>
      <c r="I145" s="332"/>
      <c r="J145" s="332"/>
      <c r="K145" s="332"/>
      <c r="L145" s="332"/>
      <c r="M145" s="332"/>
      <c r="N145" s="332"/>
      <c r="O145" s="332"/>
      <c r="P145" s="332"/>
      <c r="Q145" s="332"/>
      <c r="R145" s="333"/>
      <c r="S145" s="246"/>
      <c r="T145" s="241"/>
    </row>
    <row r="146" spans="1:252" s="260" customFormat="1" x14ac:dyDescent="0.3">
      <c r="A146" s="334"/>
      <c r="B146" s="335" t="s">
        <v>255</v>
      </c>
      <c r="C146" s="335"/>
      <c r="D146" s="335"/>
      <c r="E146" s="335"/>
      <c r="F146" s="335"/>
      <c r="G146" s="335"/>
      <c r="H146" s="335"/>
      <c r="I146" s="335"/>
      <c r="J146" s="335"/>
      <c r="K146" s="335"/>
      <c r="L146" s="335"/>
      <c r="M146" s="335"/>
      <c r="N146" s="335"/>
      <c r="O146" s="335"/>
      <c r="P146" s="335"/>
      <c r="Q146" s="335"/>
      <c r="R146" s="336">
        <v>0</v>
      </c>
      <c r="S146" s="337"/>
      <c r="T146" s="259"/>
    </row>
    <row r="147" spans="1:252" s="260" customFormat="1" x14ac:dyDescent="0.3">
      <c r="A147" s="334"/>
      <c r="B147" s="335" t="s">
        <v>243</v>
      </c>
      <c r="C147" s="335"/>
      <c r="D147" s="335"/>
      <c r="E147" s="335"/>
      <c r="F147" s="335"/>
      <c r="G147" s="335"/>
      <c r="H147" s="335"/>
      <c r="I147" s="335"/>
      <c r="J147" s="335"/>
      <c r="K147" s="335"/>
      <c r="L147" s="335"/>
      <c r="M147" s="335"/>
      <c r="N147" s="335"/>
      <c r="O147" s="335"/>
      <c r="P147" s="335"/>
      <c r="Q147" s="335"/>
      <c r="R147" s="336">
        <f>P78</f>
        <v>0</v>
      </c>
      <c r="S147" s="337"/>
      <c r="T147" s="259"/>
    </row>
    <row r="148" spans="1:252" s="260" customFormat="1" x14ac:dyDescent="0.3">
      <c r="A148" s="334"/>
      <c r="B148" s="335" t="s">
        <v>244</v>
      </c>
      <c r="C148" s="335"/>
      <c r="D148" s="335"/>
      <c r="E148" s="335"/>
      <c r="F148" s="335"/>
      <c r="G148" s="335"/>
      <c r="H148" s="335"/>
      <c r="I148" s="335"/>
      <c r="J148" s="335"/>
      <c r="K148" s="335"/>
      <c r="L148" s="335"/>
      <c r="M148" s="335"/>
      <c r="N148" s="335"/>
      <c r="O148" s="335"/>
      <c r="P148" s="335"/>
      <c r="Q148" s="335"/>
      <c r="R148" s="336">
        <v>0</v>
      </c>
      <c r="S148" s="337"/>
      <c r="T148" s="259"/>
    </row>
    <row r="149" spans="1:252" s="260" customFormat="1" x14ac:dyDescent="0.3">
      <c r="A149" s="334"/>
      <c r="B149" s="335" t="s">
        <v>245</v>
      </c>
      <c r="C149" s="335"/>
      <c r="D149" s="335"/>
      <c r="E149" s="335"/>
      <c r="F149" s="335"/>
      <c r="G149" s="335"/>
      <c r="H149" s="335"/>
      <c r="I149" s="335"/>
      <c r="J149" s="335"/>
      <c r="K149" s="335"/>
      <c r="L149" s="335"/>
      <c r="M149" s="335"/>
      <c r="N149" s="335"/>
      <c r="O149" s="335"/>
      <c r="P149" s="335"/>
      <c r="Q149" s="335"/>
      <c r="R149" s="336">
        <f>R146+R147+R148</f>
        <v>0</v>
      </c>
      <c r="S149" s="337"/>
      <c r="T149" s="259"/>
    </row>
    <row r="150" spans="1:252" x14ac:dyDescent="0.3">
      <c r="A150" s="243"/>
      <c r="B150" s="315"/>
      <c r="C150" s="315"/>
      <c r="D150" s="315"/>
      <c r="E150" s="315"/>
      <c r="F150" s="315"/>
      <c r="G150" s="315"/>
      <c r="H150" s="315"/>
      <c r="I150" s="315"/>
      <c r="J150" s="315"/>
      <c r="K150" s="315"/>
      <c r="L150" s="315"/>
      <c r="M150" s="315"/>
      <c r="N150" s="315"/>
      <c r="O150" s="315"/>
      <c r="P150" s="315"/>
      <c r="Q150" s="315"/>
      <c r="R150" s="331"/>
      <c r="S150" s="246"/>
      <c r="T150" s="241"/>
    </row>
    <row r="151" spans="1:252" x14ac:dyDescent="0.3">
      <c r="A151" s="243"/>
      <c r="B151" s="418" t="s">
        <v>39</v>
      </c>
      <c r="C151" s="245"/>
      <c r="D151" s="245"/>
      <c r="E151" s="245"/>
      <c r="F151" s="245"/>
      <c r="G151" s="245"/>
      <c r="H151" s="245"/>
      <c r="I151" s="245"/>
      <c r="J151" s="245"/>
      <c r="K151" s="245"/>
      <c r="L151" s="245"/>
      <c r="M151" s="245"/>
      <c r="N151" s="245"/>
      <c r="O151" s="245"/>
      <c r="P151" s="245"/>
      <c r="Q151" s="245"/>
      <c r="R151" s="338"/>
      <c r="S151" s="246"/>
      <c r="T151" s="241"/>
    </row>
    <row r="152" spans="1:252" s="260" customFormat="1" x14ac:dyDescent="0.3">
      <c r="A152" s="275"/>
      <c r="B152" s="268" t="s">
        <v>40</v>
      </c>
      <c r="C152" s="268"/>
      <c r="D152" s="268"/>
      <c r="E152" s="268"/>
      <c r="F152" s="268"/>
      <c r="G152" s="268"/>
      <c r="H152" s="268"/>
      <c r="I152" s="268"/>
      <c r="J152" s="268"/>
      <c r="K152" s="268"/>
      <c r="L152" s="268"/>
      <c r="M152" s="268"/>
      <c r="N152" s="268"/>
      <c r="O152" s="268"/>
      <c r="P152" s="268"/>
      <c r="Q152" s="268"/>
      <c r="R152" s="314">
        <v>0</v>
      </c>
      <c r="S152" s="271"/>
      <c r="T152" s="259"/>
    </row>
    <row r="153" spans="1:252" s="260" customFormat="1" x14ac:dyDescent="0.3">
      <c r="A153" s="275"/>
      <c r="B153" s="268" t="s">
        <v>41</v>
      </c>
      <c r="C153" s="268"/>
      <c r="D153" s="268"/>
      <c r="E153" s="268"/>
      <c r="F153" s="268"/>
      <c r="G153" s="268"/>
      <c r="H153" s="268"/>
      <c r="I153" s="268"/>
      <c r="J153" s="268"/>
      <c r="K153" s="268"/>
      <c r="L153" s="268"/>
      <c r="M153" s="268"/>
      <c r="N153" s="268"/>
      <c r="O153" s="268"/>
      <c r="P153" s="268"/>
      <c r="Q153" s="268"/>
      <c r="R153" s="314">
        <v>0</v>
      </c>
      <c r="S153" s="271"/>
      <c r="T153" s="259"/>
    </row>
    <row r="154" spans="1:252" s="260" customFormat="1" x14ac:dyDescent="0.3">
      <c r="A154" s="275"/>
      <c r="B154" s="268" t="s">
        <v>42</v>
      </c>
      <c r="C154" s="268"/>
      <c r="D154" s="268"/>
      <c r="E154" s="268"/>
      <c r="F154" s="268"/>
      <c r="G154" s="268"/>
      <c r="H154" s="268"/>
      <c r="I154" s="268"/>
      <c r="J154" s="268"/>
      <c r="K154" s="268"/>
      <c r="L154" s="268"/>
      <c r="M154" s="268"/>
      <c r="N154" s="268"/>
      <c r="O154" s="268"/>
      <c r="P154" s="268"/>
      <c r="Q154" s="268"/>
      <c r="R154" s="314">
        <f>R153+R152</f>
        <v>0</v>
      </c>
      <c r="S154" s="271"/>
      <c r="T154" s="259"/>
    </row>
    <row r="155" spans="1:252" s="260" customFormat="1" x14ac:dyDescent="0.3">
      <c r="A155" s="275"/>
      <c r="B155" s="268" t="s">
        <v>179</v>
      </c>
      <c r="C155" s="268"/>
      <c r="D155" s="268"/>
      <c r="E155" s="268"/>
      <c r="F155" s="268"/>
      <c r="G155" s="268"/>
      <c r="H155" s="268"/>
      <c r="I155" s="268"/>
      <c r="J155" s="268"/>
      <c r="K155" s="268"/>
      <c r="L155" s="268"/>
      <c r="M155" s="268"/>
      <c r="N155" s="268"/>
      <c r="O155" s="268"/>
      <c r="P155" s="268"/>
      <c r="Q155" s="268"/>
      <c r="R155" s="314">
        <f>R102</f>
        <v>0</v>
      </c>
      <c r="S155" s="271"/>
      <c r="T155" s="259"/>
    </row>
    <row r="156" spans="1:252" s="260" customFormat="1" x14ac:dyDescent="0.3">
      <c r="A156" s="275"/>
      <c r="B156" s="268" t="s">
        <v>43</v>
      </c>
      <c r="C156" s="268"/>
      <c r="D156" s="268"/>
      <c r="E156" s="268"/>
      <c r="F156" s="268"/>
      <c r="G156" s="268"/>
      <c r="H156" s="268"/>
      <c r="I156" s="268"/>
      <c r="J156" s="268"/>
      <c r="K156" s="268"/>
      <c r="L156" s="268"/>
      <c r="M156" s="268"/>
      <c r="N156" s="268"/>
      <c r="O156" s="268"/>
      <c r="P156" s="268"/>
      <c r="Q156" s="268"/>
      <c r="R156" s="314">
        <f>R154+R155</f>
        <v>0</v>
      </c>
      <c r="S156" s="271"/>
      <c r="T156" s="259"/>
    </row>
    <row r="157" spans="1:252" s="260" customFormat="1" x14ac:dyDescent="0.3">
      <c r="A157" s="275"/>
      <c r="B157" s="268" t="s">
        <v>150</v>
      </c>
      <c r="C157" s="268"/>
      <c r="D157" s="268"/>
      <c r="E157" s="268"/>
      <c r="F157" s="268"/>
      <c r="G157" s="268"/>
      <c r="H157" s="268"/>
      <c r="I157" s="268"/>
      <c r="J157" s="268"/>
      <c r="K157" s="268"/>
      <c r="L157" s="268"/>
      <c r="M157" s="268"/>
      <c r="N157" s="268"/>
      <c r="O157" s="268"/>
      <c r="P157" s="268"/>
      <c r="Q157" s="268"/>
      <c r="R157" s="314">
        <f>-R91</f>
        <v>0</v>
      </c>
      <c r="S157" s="271"/>
      <c r="T157" s="259"/>
    </row>
    <row r="158" spans="1:252" ht="16.2" thickBot="1" x14ac:dyDescent="0.35">
      <c r="A158" s="243"/>
      <c r="B158" s="315"/>
      <c r="C158" s="315"/>
      <c r="D158" s="315"/>
      <c r="E158" s="315"/>
      <c r="F158" s="315"/>
      <c r="G158" s="315"/>
      <c r="H158" s="315"/>
      <c r="I158" s="315"/>
      <c r="J158" s="315"/>
      <c r="K158" s="315"/>
      <c r="L158" s="315"/>
      <c r="M158" s="315"/>
      <c r="N158" s="315"/>
      <c r="O158" s="315"/>
      <c r="P158" s="315"/>
      <c r="Q158" s="315"/>
      <c r="R158" s="331"/>
      <c r="S158" s="246"/>
      <c r="T158" s="241"/>
    </row>
    <row r="159" spans="1:252" x14ac:dyDescent="0.3">
      <c r="A159" s="237"/>
      <c r="B159" s="239"/>
      <c r="C159" s="239"/>
      <c r="D159" s="239"/>
      <c r="E159" s="239"/>
      <c r="F159" s="239"/>
      <c r="G159" s="239"/>
      <c r="H159" s="239"/>
      <c r="I159" s="239"/>
      <c r="J159" s="239"/>
      <c r="K159" s="239"/>
      <c r="L159" s="239"/>
      <c r="M159" s="239"/>
      <c r="N159" s="239"/>
      <c r="O159" s="239"/>
      <c r="P159" s="239"/>
      <c r="Q159" s="239"/>
      <c r="R159" s="339"/>
      <c r="S159" s="240"/>
      <c r="T159" s="241"/>
    </row>
    <row r="160" spans="1:252" s="341" customFormat="1" x14ac:dyDescent="0.3">
      <c r="A160" s="243"/>
      <c r="B160" s="418" t="s">
        <v>223</v>
      </c>
      <c r="C160" s="315"/>
      <c r="D160" s="315"/>
      <c r="E160" s="315"/>
      <c r="F160" s="315"/>
      <c r="G160" s="315"/>
      <c r="H160" s="315"/>
      <c r="I160" s="315"/>
      <c r="J160" s="315"/>
      <c r="K160" s="315"/>
      <c r="L160" s="315"/>
      <c r="M160" s="315"/>
      <c r="N160" s="315"/>
      <c r="O160" s="315"/>
      <c r="P160" s="315"/>
      <c r="Q160" s="315"/>
      <c r="R160" s="340"/>
      <c r="S160" s="246"/>
      <c r="T160" s="241"/>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c r="EI160" s="242"/>
      <c r="EJ160" s="242"/>
      <c r="EK160" s="242"/>
      <c r="EL160" s="242"/>
      <c r="EM160" s="242"/>
      <c r="EN160" s="242"/>
      <c r="EO160" s="242"/>
      <c r="EP160" s="242"/>
      <c r="EQ160" s="242"/>
      <c r="ER160" s="242"/>
      <c r="ES160" s="242"/>
      <c r="ET160" s="242"/>
      <c r="EU160" s="242"/>
      <c r="EV160" s="242"/>
      <c r="EW160" s="242"/>
      <c r="EX160" s="242"/>
      <c r="EY160" s="242"/>
      <c r="EZ160" s="242"/>
      <c r="FA160" s="242"/>
      <c r="FB160" s="242"/>
      <c r="FC160" s="242"/>
      <c r="FD160" s="242"/>
      <c r="FE160" s="242"/>
      <c r="FF160" s="242"/>
      <c r="FG160" s="242"/>
      <c r="FH160" s="242"/>
      <c r="FI160" s="242"/>
      <c r="FJ160" s="242"/>
      <c r="FK160" s="242"/>
      <c r="FL160" s="242"/>
      <c r="FM160" s="242"/>
      <c r="FN160" s="242"/>
      <c r="FO160" s="242"/>
      <c r="FP160" s="242"/>
      <c r="FQ160" s="242"/>
      <c r="FR160" s="242"/>
      <c r="FS160" s="242"/>
      <c r="FT160" s="242"/>
      <c r="FU160" s="242"/>
      <c r="FV160" s="242"/>
      <c r="FW160" s="242"/>
      <c r="FX160" s="242"/>
      <c r="FY160" s="242"/>
      <c r="FZ160" s="242"/>
      <c r="GA160" s="242"/>
      <c r="GB160" s="242"/>
      <c r="GC160" s="242"/>
      <c r="GD160" s="242"/>
      <c r="GE160" s="242"/>
      <c r="GF160" s="242"/>
      <c r="GG160" s="242"/>
      <c r="GH160" s="242"/>
      <c r="GI160" s="242"/>
      <c r="GJ160" s="242"/>
      <c r="GK160" s="242"/>
      <c r="GL160" s="242"/>
      <c r="GM160" s="242"/>
      <c r="GN160" s="242"/>
      <c r="GO160" s="242"/>
      <c r="GP160" s="242"/>
      <c r="GQ160" s="242"/>
      <c r="GR160" s="242"/>
      <c r="GS160" s="242"/>
      <c r="GT160" s="242"/>
      <c r="GU160" s="242"/>
      <c r="GV160" s="242"/>
      <c r="GW160" s="242"/>
      <c r="GX160" s="242"/>
      <c r="GY160" s="242"/>
      <c r="GZ160" s="242"/>
      <c r="HA160" s="242"/>
      <c r="HB160" s="242"/>
      <c r="HC160" s="242"/>
      <c r="HD160" s="242"/>
      <c r="HE160" s="242"/>
      <c r="HF160" s="242"/>
      <c r="HG160" s="242"/>
      <c r="HH160" s="242"/>
      <c r="HI160" s="242"/>
      <c r="HJ160" s="242"/>
      <c r="HK160" s="242"/>
      <c r="HL160" s="242"/>
      <c r="HM160" s="242"/>
      <c r="HN160" s="242"/>
      <c r="HO160" s="242"/>
      <c r="HP160" s="242"/>
      <c r="HQ160" s="242"/>
      <c r="HR160" s="242"/>
      <c r="HS160" s="242"/>
      <c r="HT160" s="242"/>
      <c r="HU160" s="242"/>
      <c r="HV160" s="242"/>
      <c r="HW160" s="242"/>
      <c r="HX160" s="242"/>
      <c r="HY160" s="242"/>
      <c r="HZ160" s="242"/>
      <c r="IA160" s="242"/>
      <c r="IB160" s="242"/>
      <c r="IC160" s="242"/>
      <c r="ID160" s="242"/>
      <c r="IE160" s="242"/>
      <c r="IF160" s="242"/>
      <c r="IG160" s="242"/>
      <c r="IH160" s="242"/>
      <c r="II160" s="242"/>
      <c r="IJ160" s="242"/>
      <c r="IK160" s="242"/>
      <c r="IL160" s="242"/>
      <c r="IM160" s="242"/>
      <c r="IN160" s="242"/>
      <c r="IO160" s="242"/>
      <c r="IP160" s="242"/>
      <c r="IQ160" s="242"/>
      <c r="IR160" s="242"/>
    </row>
    <row r="161" spans="1:252" s="342" customFormat="1" x14ac:dyDescent="0.3">
      <c r="A161" s="275"/>
      <c r="B161" s="268" t="s">
        <v>141</v>
      </c>
      <c r="C161" s="268"/>
      <c r="D161" s="268"/>
      <c r="E161" s="268"/>
      <c r="F161" s="268"/>
      <c r="G161" s="268"/>
      <c r="H161" s="268"/>
      <c r="I161" s="268"/>
      <c r="J161" s="268"/>
      <c r="K161" s="268"/>
      <c r="L161" s="268"/>
      <c r="M161" s="268"/>
      <c r="N161" s="268"/>
      <c r="O161" s="268"/>
      <c r="P161" s="268"/>
      <c r="Q161" s="268"/>
      <c r="R161" s="314">
        <f>+'Aug 17'!R164</f>
        <v>812</v>
      </c>
      <c r="S161" s="271"/>
      <c r="T161" s="259"/>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60"/>
      <c r="BS161" s="260"/>
      <c r="BT161" s="260"/>
      <c r="BU161" s="260"/>
      <c r="BV161" s="260"/>
      <c r="BW161" s="260"/>
      <c r="BX161" s="260"/>
      <c r="BY161" s="260"/>
      <c r="BZ161" s="260"/>
      <c r="CA161" s="260"/>
      <c r="CB161" s="260"/>
      <c r="CC161" s="260"/>
      <c r="CD161" s="260"/>
      <c r="CE161" s="260"/>
      <c r="CF161" s="260"/>
      <c r="CG161" s="260"/>
      <c r="CH161" s="260"/>
      <c r="CI161" s="260"/>
      <c r="CJ161" s="260"/>
      <c r="CK161" s="260"/>
      <c r="CL161" s="260"/>
      <c r="CM161" s="260"/>
      <c r="CN161" s="260"/>
      <c r="CO161" s="260"/>
      <c r="CP161" s="260"/>
      <c r="CQ161" s="260"/>
      <c r="CR161" s="260"/>
      <c r="CS161" s="260"/>
      <c r="CT161" s="260"/>
      <c r="CU161" s="260"/>
      <c r="CV161" s="260"/>
      <c r="CW161" s="260"/>
      <c r="CX161" s="260"/>
      <c r="CY161" s="260"/>
      <c r="CZ161" s="260"/>
      <c r="DA161" s="260"/>
      <c r="DB161" s="260"/>
      <c r="DC161" s="260"/>
      <c r="DD161" s="260"/>
      <c r="DE161" s="260"/>
      <c r="DF161" s="260"/>
      <c r="DG161" s="260"/>
      <c r="DH161" s="260"/>
      <c r="DI161" s="260"/>
      <c r="DJ161" s="260"/>
      <c r="DK161" s="260"/>
      <c r="DL161" s="260"/>
      <c r="DM161" s="260"/>
      <c r="DN161" s="260"/>
      <c r="DO161" s="260"/>
      <c r="DP161" s="260"/>
      <c r="DQ161" s="260"/>
      <c r="DR161" s="260"/>
      <c r="DS161" s="260"/>
      <c r="DT161" s="260"/>
      <c r="DU161" s="260"/>
      <c r="DV161" s="260"/>
      <c r="DW161" s="260"/>
      <c r="DX161" s="260"/>
      <c r="DY161" s="260"/>
      <c r="DZ161" s="260"/>
      <c r="EA161" s="260"/>
      <c r="EB161" s="260"/>
      <c r="EC161" s="260"/>
      <c r="ED161" s="260"/>
      <c r="EE161" s="260"/>
      <c r="EF161" s="260"/>
      <c r="EG161" s="260"/>
      <c r="EH161" s="260"/>
      <c r="EI161" s="260"/>
      <c r="EJ161" s="260"/>
      <c r="EK161" s="260"/>
      <c r="EL161" s="260"/>
      <c r="EM161" s="260"/>
      <c r="EN161" s="260"/>
      <c r="EO161" s="260"/>
      <c r="EP161" s="260"/>
      <c r="EQ161" s="260"/>
      <c r="ER161" s="260"/>
      <c r="ES161" s="260"/>
      <c r="ET161" s="260"/>
      <c r="EU161" s="260"/>
      <c r="EV161" s="260"/>
      <c r="EW161" s="260"/>
      <c r="EX161" s="260"/>
      <c r="EY161" s="260"/>
      <c r="EZ161" s="260"/>
      <c r="FA161" s="260"/>
      <c r="FB161" s="260"/>
      <c r="FC161" s="260"/>
      <c r="FD161" s="260"/>
      <c r="FE161" s="260"/>
      <c r="FF161" s="260"/>
      <c r="FG161" s="260"/>
      <c r="FH161" s="260"/>
      <c r="FI161" s="260"/>
      <c r="FJ161" s="260"/>
      <c r="FK161" s="260"/>
      <c r="FL161" s="260"/>
      <c r="FM161" s="260"/>
      <c r="FN161" s="260"/>
      <c r="FO161" s="260"/>
      <c r="FP161" s="260"/>
      <c r="FQ161" s="260"/>
      <c r="FR161" s="260"/>
      <c r="FS161" s="260"/>
      <c r="FT161" s="260"/>
      <c r="FU161" s="260"/>
      <c r="FV161" s="260"/>
      <c r="FW161" s="260"/>
      <c r="FX161" s="260"/>
      <c r="FY161" s="260"/>
      <c r="FZ161" s="260"/>
      <c r="GA161" s="260"/>
      <c r="GB161" s="260"/>
      <c r="GC161" s="260"/>
      <c r="GD161" s="260"/>
      <c r="GE161" s="260"/>
      <c r="GF161" s="260"/>
      <c r="GG161" s="260"/>
      <c r="GH161" s="260"/>
      <c r="GI161" s="260"/>
      <c r="GJ161" s="260"/>
      <c r="GK161" s="260"/>
      <c r="GL161" s="260"/>
      <c r="GM161" s="260"/>
      <c r="GN161" s="260"/>
      <c r="GO161" s="260"/>
      <c r="GP161" s="260"/>
      <c r="GQ161" s="260"/>
      <c r="GR161" s="260"/>
      <c r="GS161" s="260"/>
      <c r="GT161" s="260"/>
      <c r="GU161" s="260"/>
      <c r="GV161" s="260"/>
      <c r="GW161" s="260"/>
      <c r="GX161" s="260"/>
      <c r="GY161" s="260"/>
      <c r="GZ161" s="260"/>
      <c r="HA161" s="260"/>
      <c r="HB161" s="260"/>
      <c r="HC161" s="260"/>
      <c r="HD161" s="260"/>
      <c r="HE161" s="260"/>
      <c r="HF161" s="260"/>
      <c r="HG161" s="260"/>
      <c r="HH161" s="260"/>
      <c r="HI161" s="260"/>
      <c r="HJ161" s="260"/>
      <c r="HK161" s="260"/>
      <c r="HL161" s="260"/>
      <c r="HM161" s="260"/>
      <c r="HN161" s="260"/>
      <c r="HO161" s="260"/>
      <c r="HP161" s="260"/>
      <c r="HQ161" s="260"/>
      <c r="HR161" s="260"/>
      <c r="HS161" s="260"/>
      <c r="HT161" s="260"/>
      <c r="HU161" s="260"/>
      <c r="HV161" s="260"/>
      <c r="HW161" s="260"/>
      <c r="HX161" s="260"/>
      <c r="HY161" s="260"/>
      <c r="HZ161" s="260"/>
      <c r="IA161" s="260"/>
      <c r="IB161" s="260"/>
      <c r="IC161" s="260"/>
      <c r="ID161" s="260"/>
      <c r="IE161" s="260"/>
      <c r="IF161" s="260"/>
      <c r="IG161" s="260"/>
      <c r="IH161" s="260"/>
      <c r="II161" s="260"/>
      <c r="IJ161" s="260"/>
      <c r="IK161" s="260"/>
      <c r="IL161" s="260"/>
      <c r="IM161" s="260"/>
      <c r="IN161" s="260"/>
      <c r="IO161" s="260"/>
      <c r="IP161" s="260"/>
      <c r="IQ161" s="260"/>
      <c r="IR161" s="260"/>
    </row>
    <row r="162" spans="1:252" s="342" customFormat="1" x14ac:dyDescent="0.3">
      <c r="A162" s="275"/>
      <c r="B162" s="268" t="s">
        <v>268</v>
      </c>
      <c r="C162" s="268"/>
      <c r="D162" s="268"/>
      <c r="E162" s="268"/>
      <c r="F162" s="268"/>
      <c r="G162" s="268"/>
      <c r="H162" s="268"/>
      <c r="I162" s="268"/>
      <c r="J162" s="268"/>
      <c r="K162" s="268"/>
      <c r="L162" s="268"/>
      <c r="M162" s="268"/>
      <c r="N162" s="268"/>
      <c r="O162" s="268"/>
      <c r="P162" s="268"/>
      <c r="Q162" s="268"/>
      <c r="R162" s="314">
        <v>0</v>
      </c>
      <c r="S162" s="271"/>
      <c r="T162" s="259"/>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c r="AX162" s="260"/>
      <c r="AY162" s="260"/>
      <c r="AZ162" s="260"/>
      <c r="BA162" s="260"/>
      <c r="BB162" s="260"/>
      <c r="BC162" s="260"/>
      <c r="BD162" s="260"/>
      <c r="BE162" s="260"/>
      <c r="BF162" s="260"/>
      <c r="BG162" s="260"/>
      <c r="BH162" s="260"/>
      <c r="BI162" s="260"/>
      <c r="BJ162" s="260"/>
      <c r="BK162" s="260"/>
      <c r="BL162" s="260"/>
      <c r="BM162" s="260"/>
      <c r="BN162" s="260"/>
      <c r="BO162" s="260"/>
      <c r="BP162" s="260"/>
      <c r="BQ162" s="260"/>
      <c r="BR162" s="260"/>
      <c r="BS162" s="260"/>
      <c r="BT162" s="260"/>
      <c r="BU162" s="260"/>
      <c r="BV162" s="260"/>
      <c r="BW162" s="260"/>
      <c r="BX162" s="260"/>
      <c r="BY162" s="260"/>
      <c r="BZ162" s="260"/>
      <c r="CA162" s="260"/>
      <c r="CB162" s="260"/>
      <c r="CC162" s="260"/>
      <c r="CD162" s="260"/>
      <c r="CE162" s="260"/>
      <c r="CF162" s="260"/>
      <c r="CG162" s="260"/>
      <c r="CH162" s="260"/>
      <c r="CI162" s="260"/>
      <c r="CJ162" s="260"/>
      <c r="CK162" s="260"/>
      <c r="CL162" s="260"/>
      <c r="CM162" s="260"/>
      <c r="CN162" s="260"/>
      <c r="CO162" s="260"/>
      <c r="CP162" s="260"/>
      <c r="CQ162" s="260"/>
      <c r="CR162" s="260"/>
      <c r="CS162" s="260"/>
      <c r="CT162" s="260"/>
      <c r="CU162" s="260"/>
      <c r="CV162" s="260"/>
      <c r="CW162" s="260"/>
      <c r="CX162" s="260"/>
      <c r="CY162" s="260"/>
      <c r="CZ162" s="260"/>
      <c r="DA162" s="260"/>
      <c r="DB162" s="260"/>
      <c r="DC162" s="260"/>
      <c r="DD162" s="260"/>
      <c r="DE162" s="260"/>
      <c r="DF162" s="260"/>
      <c r="DG162" s="260"/>
      <c r="DH162" s="260"/>
      <c r="DI162" s="260"/>
      <c r="DJ162" s="260"/>
      <c r="DK162" s="260"/>
      <c r="DL162" s="260"/>
      <c r="DM162" s="260"/>
      <c r="DN162" s="260"/>
      <c r="DO162" s="260"/>
      <c r="DP162" s="260"/>
      <c r="DQ162" s="260"/>
      <c r="DR162" s="260"/>
      <c r="DS162" s="260"/>
      <c r="DT162" s="260"/>
      <c r="DU162" s="260"/>
      <c r="DV162" s="260"/>
      <c r="DW162" s="260"/>
      <c r="DX162" s="260"/>
      <c r="DY162" s="260"/>
      <c r="DZ162" s="260"/>
      <c r="EA162" s="260"/>
      <c r="EB162" s="260"/>
      <c r="EC162" s="260"/>
      <c r="ED162" s="260"/>
      <c r="EE162" s="260"/>
      <c r="EF162" s="260"/>
      <c r="EG162" s="260"/>
      <c r="EH162" s="260"/>
      <c r="EI162" s="260"/>
      <c r="EJ162" s="260"/>
      <c r="EK162" s="260"/>
      <c r="EL162" s="260"/>
      <c r="EM162" s="260"/>
      <c r="EN162" s="260"/>
      <c r="EO162" s="260"/>
      <c r="EP162" s="260"/>
      <c r="EQ162" s="260"/>
      <c r="ER162" s="260"/>
      <c r="ES162" s="260"/>
      <c r="ET162" s="260"/>
      <c r="EU162" s="260"/>
      <c r="EV162" s="260"/>
      <c r="EW162" s="260"/>
      <c r="EX162" s="260"/>
      <c r="EY162" s="260"/>
      <c r="EZ162" s="260"/>
      <c r="FA162" s="260"/>
      <c r="FB162" s="260"/>
      <c r="FC162" s="260"/>
      <c r="FD162" s="260"/>
      <c r="FE162" s="260"/>
      <c r="FF162" s="260"/>
      <c r="FG162" s="260"/>
      <c r="FH162" s="260"/>
      <c r="FI162" s="260"/>
      <c r="FJ162" s="260"/>
      <c r="FK162" s="260"/>
      <c r="FL162" s="260"/>
      <c r="FM162" s="260"/>
      <c r="FN162" s="260"/>
      <c r="FO162" s="260"/>
      <c r="FP162" s="260"/>
      <c r="FQ162" s="260"/>
      <c r="FR162" s="260"/>
      <c r="FS162" s="260"/>
      <c r="FT162" s="260"/>
      <c r="FU162" s="260"/>
      <c r="FV162" s="260"/>
      <c r="FW162" s="260"/>
      <c r="FX162" s="260"/>
      <c r="FY162" s="260"/>
      <c r="FZ162" s="260"/>
      <c r="GA162" s="260"/>
      <c r="GB162" s="260"/>
      <c r="GC162" s="260"/>
      <c r="GD162" s="260"/>
      <c r="GE162" s="260"/>
      <c r="GF162" s="260"/>
      <c r="GG162" s="260"/>
      <c r="GH162" s="260"/>
      <c r="GI162" s="260"/>
      <c r="GJ162" s="260"/>
      <c r="GK162" s="260"/>
      <c r="GL162" s="260"/>
      <c r="GM162" s="260"/>
      <c r="GN162" s="260"/>
      <c r="GO162" s="260"/>
      <c r="GP162" s="260"/>
      <c r="GQ162" s="260"/>
      <c r="GR162" s="260"/>
      <c r="GS162" s="260"/>
      <c r="GT162" s="260"/>
      <c r="GU162" s="260"/>
      <c r="GV162" s="260"/>
      <c r="GW162" s="260"/>
      <c r="GX162" s="260"/>
      <c r="GY162" s="260"/>
      <c r="GZ162" s="260"/>
      <c r="HA162" s="260"/>
      <c r="HB162" s="260"/>
      <c r="HC162" s="260"/>
      <c r="HD162" s="260"/>
      <c r="HE162" s="260"/>
      <c r="HF162" s="260"/>
      <c r="HG162" s="260"/>
      <c r="HH162" s="260"/>
      <c r="HI162" s="260"/>
      <c r="HJ162" s="260"/>
      <c r="HK162" s="260"/>
      <c r="HL162" s="260"/>
      <c r="HM162" s="260"/>
      <c r="HN162" s="260"/>
      <c r="HO162" s="260"/>
      <c r="HP162" s="260"/>
      <c r="HQ162" s="260"/>
      <c r="HR162" s="260"/>
      <c r="HS162" s="260"/>
      <c r="HT162" s="260"/>
      <c r="HU162" s="260"/>
      <c r="HV162" s="260"/>
      <c r="HW162" s="260"/>
      <c r="HX162" s="260"/>
      <c r="HY162" s="260"/>
      <c r="HZ162" s="260"/>
      <c r="IA162" s="260"/>
      <c r="IB162" s="260"/>
      <c r="IC162" s="260"/>
      <c r="ID162" s="260"/>
      <c r="IE162" s="260"/>
      <c r="IF162" s="260"/>
      <c r="IG162" s="260"/>
      <c r="IH162" s="260"/>
      <c r="II162" s="260"/>
      <c r="IJ162" s="260"/>
      <c r="IK162" s="260"/>
      <c r="IL162" s="260"/>
      <c r="IM162" s="260"/>
      <c r="IN162" s="260"/>
      <c r="IO162" s="260"/>
      <c r="IP162" s="260"/>
      <c r="IQ162" s="260"/>
      <c r="IR162" s="260"/>
    </row>
    <row r="163" spans="1:252" s="342" customFormat="1" x14ac:dyDescent="0.3">
      <c r="A163" s="275"/>
      <c r="B163" s="268" t="s">
        <v>144</v>
      </c>
      <c r="C163" s="268"/>
      <c r="D163" s="268"/>
      <c r="E163" s="268"/>
      <c r="F163" s="268"/>
      <c r="G163" s="268"/>
      <c r="H163" s="268"/>
      <c r="I163" s="268"/>
      <c r="J163" s="268"/>
      <c r="K163" s="268"/>
      <c r="L163" s="268"/>
      <c r="M163" s="268"/>
      <c r="N163" s="268"/>
      <c r="O163" s="268"/>
      <c r="P163" s="268"/>
      <c r="Q163" s="268"/>
      <c r="R163" s="314">
        <f>R84</f>
        <v>107</v>
      </c>
      <c r="S163" s="271"/>
      <c r="T163" s="259"/>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0"/>
      <c r="CE163" s="260"/>
      <c r="CF163" s="260"/>
      <c r="CG163" s="260"/>
      <c r="CH163" s="260"/>
      <c r="CI163" s="260"/>
      <c r="CJ163" s="260"/>
      <c r="CK163" s="260"/>
      <c r="CL163" s="260"/>
      <c r="CM163" s="260"/>
      <c r="CN163" s="260"/>
      <c r="CO163" s="260"/>
      <c r="CP163" s="260"/>
      <c r="CQ163" s="260"/>
      <c r="CR163" s="260"/>
      <c r="CS163" s="260"/>
      <c r="CT163" s="260"/>
      <c r="CU163" s="260"/>
      <c r="CV163" s="260"/>
      <c r="CW163" s="260"/>
      <c r="CX163" s="260"/>
      <c r="CY163" s="260"/>
      <c r="CZ163" s="260"/>
      <c r="DA163" s="260"/>
      <c r="DB163" s="260"/>
      <c r="DC163" s="260"/>
      <c r="DD163" s="260"/>
      <c r="DE163" s="260"/>
      <c r="DF163" s="260"/>
      <c r="DG163" s="260"/>
      <c r="DH163" s="260"/>
      <c r="DI163" s="260"/>
      <c r="DJ163" s="260"/>
      <c r="DK163" s="260"/>
      <c r="DL163" s="260"/>
      <c r="DM163" s="260"/>
      <c r="DN163" s="260"/>
      <c r="DO163" s="260"/>
      <c r="DP163" s="260"/>
      <c r="DQ163" s="260"/>
      <c r="DR163" s="260"/>
      <c r="DS163" s="260"/>
      <c r="DT163" s="260"/>
      <c r="DU163" s="260"/>
      <c r="DV163" s="260"/>
      <c r="DW163" s="260"/>
      <c r="DX163" s="260"/>
      <c r="DY163" s="260"/>
      <c r="DZ163" s="260"/>
      <c r="EA163" s="260"/>
      <c r="EB163" s="260"/>
      <c r="EC163" s="260"/>
      <c r="ED163" s="260"/>
      <c r="EE163" s="260"/>
      <c r="EF163" s="260"/>
      <c r="EG163" s="260"/>
      <c r="EH163" s="260"/>
      <c r="EI163" s="260"/>
      <c r="EJ163" s="260"/>
      <c r="EK163" s="260"/>
      <c r="EL163" s="260"/>
      <c r="EM163" s="260"/>
      <c r="EN163" s="260"/>
      <c r="EO163" s="260"/>
      <c r="EP163" s="260"/>
      <c r="EQ163" s="260"/>
      <c r="ER163" s="260"/>
      <c r="ES163" s="260"/>
      <c r="ET163" s="260"/>
      <c r="EU163" s="260"/>
      <c r="EV163" s="260"/>
      <c r="EW163" s="260"/>
      <c r="EX163" s="260"/>
      <c r="EY163" s="260"/>
      <c r="EZ163" s="260"/>
      <c r="FA163" s="260"/>
      <c r="FB163" s="260"/>
      <c r="FC163" s="260"/>
      <c r="FD163" s="260"/>
      <c r="FE163" s="260"/>
      <c r="FF163" s="260"/>
      <c r="FG163" s="260"/>
      <c r="FH163" s="260"/>
      <c r="FI163" s="260"/>
      <c r="FJ163" s="260"/>
      <c r="FK163" s="260"/>
      <c r="FL163" s="260"/>
      <c r="FM163" s="260"/>
      <c r="FN163" s="260"/>
      <c r="FO163" s="260"/>
      <c r="FP163" s="260"/>
      <c r="FQ163" s="260"/>
      <c r="FR163" s="260"/>
      <c r="FS163" s="260"/>
      <c r="FT163" s="260"/>
      <c r="FU163" s="260"/>
      <c r="FV163" s="260"/>
      <c r="FW163" s="260"/>
      <c r="FX163" s="260"/>
      <c r="FY163" s="260"/>
      <c r="FZ163" s="260"/>
      <c r="GA163" s="260"/>
      <c r="GB163" s="260"/>
      <c r="GC163" s="260"/>
      <c r="GD163" s="260"/>
      <c r="GE163" s="260"/>
      <c r="GF163" s="260"/>
      <c r="GG163" s="260"/>
      <c r="GH163" s="260"/>
      <c r="GI163" s="260"/>
      <c r="GJ163" s="260"/>
      <c r="GK163" s="260"/>
      <c r="GL163" s="260"/>
      <c r="GM163" s="260"/>
      <c r="GN163" s="260"/>
      <c r="GO163" s="260"/>
      <c r="GP163" s="260"/>
      <c r="GQ163" s="260"/>
      <c r="GR163" s="260"/>
      <c r="GS163" s="260"/>
      <c r="GT163" s="260"/>
      <c r="GU163" s="260"/>
      <c r="GV163" s="260"/>
      <c r="GW163" s="260"/>
      <c r="GX163" s="260"/>
      <c r="GY163" s="260"/>
      <c r="GZ163" s="260"/>
      <c r="HA163" s="260"/>
      <c r="HB163" s="260"/>
      <c r="HC163" s="260"/>
      <c r="HD163" s="260"/>
      <c r="HE163" s="260"/>
      <c r="HF163" s="260"/>
      <c r="HG163" s="260"/>
      <c r="HH163" s="260"/>
      <c r="HI163" s="260"/>
      <c r="HJ163" s="260"/>
      <c r="HK163" s="260"/>
      <c r="HL163" s="260"/>
      <c r="HM163" s="260"/>
      <c r="HN163" s="260"/>
      <c r="HO163" s="260"/>
      <c r="HP163" s="260"/>
      <c r="HQ163" s="260"/>
      <c r="HR163" s="260"/>
      <c r="HS163" s="260"/>
      <c r="HT163" s="260"/>
      <c r="HU163" s="260"/>
      <c r="HV163" s="260"/>
      <c r="HW163" s="260"/>
      <c r="HX163" s="260"/>
      <c r="HY163" s="260"/>
      <c r="HZ163" s="260"/>
      <c r="IA163" s="260"/>
      <c r="IB163" s="260"/>
      <c r="IC163" s="260"/>
      <c r="ID163" s="260"/>
      <c r="IE163" s="260"/>
      <c r="IF163" s="260"/>
      <c r="IG163" s="260"/>
      <c r="IH163" s="260"/>
      <c r="II163" s="260"/>
      <c r="IJ163" s="260"/>
      <c r="IK163" s="260"/>
      <c r="IL163" s="260"/>
      <c r="IM163" s="260"/>
      <c r="IN163" s="260"/>
      <c r="IO163" s="260"/>
      <c r="IP163" s="260"/>
      <c r="IQ163" s="260"/>
      <c r="IR163" s="260"/>
    </row>
    <row r="164" spans="1:252" s="342" customFormat="1" x14ac:dyDescent="0.3">
      <c r="A164" s="275"/>
      <c r="B164" s="268" t="s">
        <v>142</v>
      </c>
      <c r="C164" s="268"/>
      <c r="D164" s="268"/>
      <c r="E164" s="268"/>
      <c r="F164" s="268"/>
      <c r="G164" s="268"/>
      <c r="H164" s="268"/>
      <c r="I164" s="268"/>
      <c r="J164" s="268"/>
      <c r="K164" s="268"/>
      <c r="L164" s="268"/>
      <c r="M164" s="268"/>
      <c r="N164" s="268"/>
      <c r="O164" s="268"/>
      <c r="P164" s="268"/>
      <c r="Q164" s="268"/>
      <c r="R164" s="314">
        <f>+R161+R162-R163</f>
        <v>705</v>
      </c>
      <c r="S164" s="271"/>
      <c r="T164" s="259"/>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0"/>
      <c r="BW164" s="260"/>
      <c r="BX164" s="260"/>
      <c r="BY164" s="260"/>
      <c r="BZ164" s="260"/>
      <c r="CA164" s="260"/>
      <c r="CB164" s="260"/>
      <c r="CC164" s="260"/>
      <c r="CD164" s="260"/>
      <c r="CE164" s="260"/>
      <c r="CF164" s="260"/>
      <c r="CG164" s="260"/>
      <c r="CH164" s="260"/>
      <c r="CI164" s="260"/>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0"/>
      <c r="DF164" s="260"/>
      <c r="DG164" s="260"/>
      <c r="DH164" s="260"/>
      <c r="DI164" s="260"/>
      <c r="DJ164" s="260"/>
      <c r="DK164" s="260"/>
      <c r="DL164" s="260"/>
      <c r="DM164" s="260"/>
      <c r="DN164" s="260"/>
      <c r="DO164" s="260"/>
      <c r="DP164" s="260"/>
      <c r="DQ164" s="260"/>
      <c r="DR164" s="260"/>
      <c r="DS164" s="260"/>
      <c r="DT164" s="260"/>
      <c r="DU164" s="260"/>
      <c r="DV164" s="260"/>
      <c r="DW164" s="260"/>
      <c r="DX164" s="260"/>
      <c r="DY164" s="260"/>
      <c r="DZ164" s="260"/>
      <c r="EA164" s="260"/>
      <c r="EB164" s="260"/>
      <c r="EC164" s="260"/>
      <c r="ED164" s="260"/>
      <c r="EE164" s="260"/>
      <c r="EF164" s="260"/>
      <c r="EG164" s="260"/>
      <c r="EH164" s="260"/>
      <c r="EI164" s="260"/>
      <c r="EJ164" s="260"/>
      <c r="EK164" s="260"/>
      <c r="EL164" s="260"/>
      <c r="EM164" s="260"/>
      <c r="EN164" s="260"/>
      <c r="EO164" s="260"/>
      <c r="EP164" s="260"/>
      <c r="EQ164" s="260"/>
      <c r="ER164" s="260"/>
      <c r="ES164" s="260"/>
      <c r="ET164" s="260"/>
      <c r="EU164" s="260"/>
      <c r="EV164" s="260"/>
      <c r="EW164" s="260"/>
      <c r="EX164" s="260"/>
      <c r="EY164" s="260"/>
      <c r="EZ164" s="260"/>
      <c r="FA164" s="260"/>
      <c r="FB164" s="260"/>
      <c r="FC164" s="260"/>
      <c r="FD164" s="260"/>
      <c r="FE164" s="260"/>
      <c r="FF164" s="260"/>
      <c r="FG164" s="260"/>
      <c r="FH164" s="260"/>
      <c r="FI164" s="260"/>
      <c r="FJ164" s="260"/>
      <c r="FK164" s="260"/>
      <c r="FL164" s="260"/>
      <c r="FM164" s="260"/>
      <c r="FN164" s="260"/>
      <c r="FO164" s="260"/>
      <c r="FP164" s="260"/>
      <c r="FQ164" s="260"/>
      <c r="FR164" s="260"/>
      <c r="FS164" s="260"/>
      <c r="FT164" s="260"/>
      <c r="FU164" s="260"/>
      <c r="FV164" s="260"/>
      <c r="FW164" s="260"/>
      <c r="FX164" s="260"/>
      <c r="FY164" s="260"/>
      <c r="FZ164" s="260"/>
      <c r="GA164" s="260"/>
      <c r="GB164" s="260"/>
      <c r="GC164" s="260"/>
      <c r="GD164" s="260"/>
      <c r="GE164" s="260"/>
      <c r="GF164" s="260"/>
      <c r="GG164" s="260"/>
      <c r="GH164" s="260"/>
      <c r="GI164" s="260"/>
      <c r="GJ164" s="260"/>
      <c r="GK164" s="260"/>
      <c r="GL164" s="260"/>
      <c r="GM164" s="260"/>
      <c r="GN164" s="260"/>
      <c r="GO164" s="260"/>
      <c r="GP164" s="260"/>
      <c r="GQ164" s="260"/>
      <c r="GR164" s="260"/>
      <c r="GS164" s="260"/>
      <c r="GT164" s="260"/>
      <c r="GU164" s="260"/>
      <c r="GV164" s="260"/>
      <c r="GW164" s="260"/>
      <c r="GX164" s="260"/>
      <c r="GY164" s="260"/>
      <c r="GZ164" s="260"/>
      <c r="HA164" s="260"/>
      <c r="HB164" s="260"/>
      <c r="HC164" s="260"/>
      <c r="HD164" s="260"/>
      <c r="HE164" s="260"/>
      <c r="HF164" s="260"/>
      <c r="HG164" s="260"/>
      <c r="HH164" s="260"/>
      <c r="HI164" s="260"/>
      <c r="HJ164" s="260"/>
      <c r="HK164" s="260"/>
      <c r="HL164" s="260"/>
      <c r="HM164" s="260"/>
      <c r="HN164" s="260"/>
      <c r="HO164" s="260"/>
      <c r="HP164" s="260"/>
      <c r="HQ164" s="260"/>
      <c r="HR164" s="260"/>
      <c r="HS164" s="260"/>
      <c r="HT164" s="260"/>
      <c r="HU164" s="260"/>
      <c r="HV164" s="260"/>
      <c r="HW164" s="260"/>
      <c r="HX164" s="260"/>
      <c r="HY164" s="260"/>
      <c r="HZ164" s="260"/>
      <c r="IA164" s="260"/>
      <c r="IB164" s="260"/>
      <c r="IC164" s="260"/>
      <c r="ID164" s="260"/>
      <c r="IE164" s="260"/>
      <c r="IF164" s="260"/>
      <c r="IG164" s="260"/>
      <c r="IH164" s="260"/>
      <c r="II164" s="260"/>
      <c r="IJ164" s="260"/>
      <c r="IK164" s="260"/>
      <c r="IL164" s="260"/>
      <c r="IM164" s="260"/>
      <c r="IN164" s="260"/>
      <c r="IO164" s="260"/>
      <c r="IP164" s="260"/>
      <c r="IQ164" s="260"/>
      <c r="IR164" s="260"/>
    </row>
    <row r="165" spans="1:252" s="344" customFormat="1" ht="16.2" thickBot="1" x14ac:dyDescent="0.35">
      <c r="A165" s="343"/>
      <c r="B165" s="315"/>
      <c r="C165" s="315"/>
      <c r="D165" s="315"/>
      <c r="E165" s="315"/>
      <c r="F165" s="315"/>
      <c r="G165" s="315"/>
      <c r="H165" s="315"/>
      <c r="I165" s="315"/>
      <c r="J165" s="315"/>
      <c r="K165" s="315"/>
      <c r="L165" s="315"/>
      <c r="M165" s="315"/>
      <c r="N165" s="315"/>
      <c r="O165" s="315"/>
      <c r="P165" s="315"/>
      <c r="Q165" s="315"/>
      <c r="R165" s="331"/>
      <c r="S165" s="246"/>
      <c r="T165" s="241"/>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42"/>
      <c r="BD165" s="242"/>
      <c r="BE165" s="242"/>
      <c r="BF165" s="242"/>
      <c r="BG165" s="242"/>
      <c r="BH165" s="242"/>
      <c r="BI165" s="242"/>
      <c r="BJ165" s="242"/>
      <c r="BK165" s="242"/>
      <c r="BL165" s="242"/>
      <c r="BM165" s="242"/>
      <c r="BN165" s="242"/>
      <c r="BO165" s="242"/>
      <c r="BP165" s="242"/>
      <c r="BQ165" s="242"/>
      <c r="BR165" s="242"/>
      <c r="BS165" s="242"/>
      <c r="BT165" s="242"/>
      <c r="BU165" s="242"/>
      <c r="BV165" s="242"/>
      <c r="BW165" s="242"/>
      <c r="BX165" s="242"/>
      <c r="BY165" s="242"/>
      <c r="BZ165" s="242"/>
      <c r="CA165" s="242"/>
      <c r="CB165" s="242"/>
      <c r="CC165" s="242"/>
      <c r="CD165" s="242"/>
      <c r="CE165" s="242"/>
      <c r="CF165" s="242"/>
      <c r="CG165" s="242"/>
      <c r="CH165" s="242"/>
      <c r="CI165" s="242"/>
      <c r="CJ165" s="242"/>
      <c r="CK165" s="242"/>
      <c r="CL165" s="242"/>
      <c r="CM165" s="242"/>
      <c r="CN165" s="242"/>
      <c r="CO165" s="242"/>
      <c r="CP165" s="242"/>
      <c r="CQ165" s="242"/>
      <c r="CR165" s="242"/>
      <c r="CS165" s="242"/>
      <c r="CT165" s="242"/>
      <c r="CU165" s="242"/>
      <c r="CV165" s="242"/>
      <c r="CW165" s="242"/>
      <c r="CX165" s="242"/>
      <c r="CY165" s="242"/>
      <c r="CZ165" s="242"/>
      <c r="DA165" s="242"/>
      <c r="DB165" s="242"/>
      <c r="DC165" s="242"/>
      <c r="DD165" s="242"/>
      <c r="DE165" s="242"/>
      <c r="DF165" s="242"/>
      <c r="DG165" s="242"/>
      <c r="DH165" s="242"/>
      <c r="DI165" s="242"/>
      <c r="DJ165" s="242"/>
      <c r="DK165" s="242"/>
      <c r="DL165" s="242"/>
      <c r="DM165" s="242"/>
      <c r="DN165" s="242"/>
      <c r="DO165" s="242"/>
      <c r="DP165" s="242"/>
      <c r="DQ165" s="242"/>
      <c r="DR165" s="242"/>
      <c r="DS165" s="242"/>
      <c r="DT165" s="242"/>
      <c r="DU165" s="242"/>
      <c r="DV165" s="242"/>
      <c r="DW165" s="242"/>
      <c r="DX165" s="242"/>
      <c r="DY165" s="242"/>
      <c r="DZ165" s="242"/>
      <c r="EA165" s="242"/>
      <c r="EB165" s="242"/>
      <c r="EC165" s="242"/>
      <c r="ED165" s="242"/>
      <c r="EE165" s="242"/>
      <c r="EF165" s="242"/>
      <c r="EG165" s="242"/>
      <c r="EH165" s="242"/>
      <c r="EI165" s="242"/>
      <c r="EJ165" s="242"/>
      <c r="EK165" s="242"/>
      <c r="EL165" s="242"/>
      <c r="EM165" s="242"/>
      <c r="EN165" s="242"/>
      <c r="EO165" s="242"/>
      <c r="EP165" s="242"/>
      <c r="EQ165" s="242"/>
      <c r="ER165" s="242"/>
      <c r="ES165" s="242"/>
      <c r="ET165" s="242"/>
      <c r="EU165" s="242"/>
      <c r="EV165" s="242"/>
      <c r="EW165" s="242"/>
      <c r="EX165" s="242"/>
      <c r="EY165" s="242"/>
      <c r="EZ165" s="242"/>
      <c r="FA165" s="242"/>
      <c r="FB165" s="242"/>
      <c r="FC165" s="242"/>
      <c r="FD165" s="242"/>
      <c r="FE165" s="242"/>
      <c r="FF165" s="242"/>
      <c r="FG165" s="242"/>
      <c r="FH165" s="242"/>
      <c r="FI165" s="242"/>
      <c r="FJ165" s="242"/>
      <c r="FK165" s="242"/>
      <c r="FL165" s="242"/>
      <c r="FM165" s="242"/>
      <c r="FN165" s="242"/>
      <c r="FO165" s="242"/>
      <c r="FP165" s="242"/>
      <c r="FQ165" s="242"/>
      <c r="FR165" s="242"/>
      <c r="FS165" s="242"/>
      <c r="FT165" s="242"/>
      <c r="FU165" s="242"/>
      <c r="FV165" s="242"/>
      <c r="FW165" s="242"/>
      <c r="FX165" s="242"/>
      <c r="FY165" s="242"/>
      <c r="FZ165" s="242"/>
      <c r="GA165" s="242"/>
      <c r="GB165" s="242"/>
      <c r="GC165" s="242"/>
      <c r="GD165" s="242"/>
      <c r="GE165" s="242"/>
      <c r="GF165" s="242"/>
      <c r="GG165" s="242"/>
      <c r="GH165" s="242"/>
      <c r="GI165" s="242"/>
      <c r="GJ165" s="242"/>
      <c r="GK165" s="242"/>
      <c r="GL165" s="242"/>
      <c r="GM165" s="242"/>
      <c r="GN165" s="242"/>
      <c r="GO165" s="242"/>
      <c r="GP165" s="242"/>
      <c r="GQ165" s="242"/>
      <c r="GR165" s="242"/>
      <c r="GS165" s="242"/>
      <c r="GT165" s="242"/>
      <c r="GU165" s="242"/>
      <c r="GV165" s="242"/>
      <c r="GW165" s="242"/>
      <c r="GX165" s="242"/>
      <c r="GY165" s="242"/>
      <c r="GZ165" s="242"/>
      <c r="HA165" s="242"/>
      <c r="HB165" s="242"/>
      <c r="HC165" s="242"/>
      <c r="HD165" s="242"/>
      <c r="HE165" s="242"/>
      <c r="HF165" s="242"/>
      <c r="HG165" s="242"/>
      <c r="HH165" s="242"/>
      <c r="HI165" s="242"/>
      <c r="HJ165" s="242"/>
      <c r="HK165" s="242"/>
      <c r="HL165" s="242"/>
      <c r="HM165" s="242"/>
      <c r="HN165" s="242"/>
      <c r="HO165" s="242"/>
      <c r="HP165" s="242"/>
      <c r="HQ165" s="242"/>
      <c r="HR165" s="242"/>
      <c r="HS165" s="242"/>
      <c r="HT165" s="242"/>
      <c r="HU165" s="242"/>
      <c r="HV165" s="242"/>
      <c r="HW165" s="242"/>
      <c r="HX165" s="242"/>
      <c r="HY165" s="242"/>
      <c r="HZ165" s="242"/>
      <c r="IA165" s="242"/>
      <c r="IB165" s="242"/>
      <c r="IC165" s="242"/>
      <c r="ID165" s="242"/>
      <c r="IE165" s="242"/>
      <c r="IF165" s="242"/>
      <c r="IG165" s="242"/>
      <c r="IH165" s="242"/>
      <c r="II165" s="242"/>
      <c r="IJ165" s="242"/>
      <c r="IK165" s="242"/>
      <c r="IL165" s="242"/>
      <c r="IM165" s="242"/>
      <c r="IN165" s="242"/>
      <c r="IO165" s="242"/>
      <c r="IP165" s="242"/>
      <c r="IQ165" s="242"/>
      <c r="IR165" s="242"/>
    </row>
    <row r="166" spans="1:252" s="345" customFormat="1" x14ac:dyDescent="0.3">
      <c r="A166" s="237"/>
      <c r="B166" s="239"/>
      <c r="C166" s="239"/>
      <c r="D166" s="239"/>
      <c r="E166" s="239"/>
      <c r="F166" s="239"/>
      <c r="G166" s="239"/>
      <c r="H166" s="239"/>
      <c r="I166" s="239"/>
      <c r="J166" s="239"/>
      <c r="K166" s="239"/>
      <c r="L166" s="239"/>
      <c r="M166" s="239"/>
      <c r="N166" s="239"/>
      <c r="O166" s="239"/>
      <c r="P166" s="239"/>
      <c r="Q166" s="239"/>
      <c r="R166" s="339"/>
      <c r="S166" s="240"/>
      <c r="T166" s="241"/>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c r="AV166" s="242"/>
      <c r="AW166" s="242"/>
      <c r="AX166" s="242"/>
      <c r="AY166" s="242"/>
      <c r="AZ166" s="242"/>
      <c r="BA166" s="242"/>
      <c r="BB166" s="242"/>
      <c r="BC166" s="242"/>
      <c r="BD166" s="242"/>
      <c r="BE166" s="242"/>
      <c r="BF166" s="242"/>
      <c r="BG166" s="242"/>
      <c r="BH166" s="242"/>
      <c r="BI166" s="242"/>
      <c r="BJ166" s="242"/>
      <c r="BK166" s="242"/>
      <c r="BL166" s="242"/>
      <c r="BM166" s="242"/>
      <c r="BN166" s="242"/>
      <c r="BO166" s="242"/>
      <c r="BP166" s="242"/>
      <c r="BQ166" s="242"/>
      <c r="BR166" s="242"/>
      <c r="BS166" s="242"/>
      <c r="BT166" s="242"/>
      <c r="BU166" s="242"/>
      <c r="BV166" s="242"/>
      <c r="BW166" s="242"/>
      <c r="BX166" s="242"/>
      <c r="BY166" s="242"/>
      <c r="BZ166" s="242"/>
      <c r="CA166" s="242"/>
      <c r="CB166" s="242"/>
      <c r="CC166" s="242"/>
      <c r="CD166" s="242"/>
      <c r="CE166" s="242"/>
      <c r="CF166" s="242"/>
      <c r="CG166" s="242"/>
      <c r="CH166" s="242"/>
      <c r="CI166" s="242"/>
      <c r="CJ166" s="242"/>
      <c r="CK166" s="242"/>
      <c r="CL166" s="242"/>
      <c r="CM166" s="242"/>
      <c r="CN166" s="242"/>
      <c r="CO166" s="242"/>
      <c r="CP166" s="242"/>
      <c r="CQ166" s="242"/>
      <c r="CR166" s="242"/>
      <c r="CS166" s="242"/>
      <c r="CT166" s="242"/>
      <c r="CU166" s="242"/>
      <c r="CV166" s="242"/>
      <c r="CW166" s="242"/>
      <c r="CX166" s="242"/>
      <c r="CY166" s="242"/>
      <c r="CZ166" s="242"/>
      <c r="DA166" s="242"/>
      <c r="DB166" s="242"/>
      <c r="DC166" s="242"/>
      <c r="DD166" s="242"/>
      <c r="DE166" s="242"/>
      <c r="DF166" s="242"/>
      <c r="DG166" s="242"/>
      <c r="DH166" s="242"/>
      <c r="DI166" s="242"/>
      <c r="DJ166" s="242"/>
      <c r="DK166" s="242"/>
      <c r="DL166" s="242"/>
      <c r="DM166" s="242"/>
      <c r="DN166" s="242"/>
      <c r="DO166" s="242"/>
      <c r="DP166" s="242"/>
      <c r="DQ166" s="242"/>
      <c r="DR166" s="242"/>
      <c r="DS166" s="242"/>
      <c r="DT166" s="242"/>
      <c r="DU166" s="242"/>
      <c r="DV166" s="242"/>
      <c r="DW166" s="242"/>
      <c r="DX166" s="242"/>
      <c r="DY166" s="242"/>
      <c r="DZ166" s="242"/>
      <c r="EA166" s="242"/>
      <c r="EB166" s="242"/>
      <c r="EC166" s="242"/>
      <c r="ED166" s="242"/>
      <c r="EE166" s="242"/>
      <c r="EF166" s="242"/>
      <c r="EG166" s="242"/>
      <c r="EH166" s="242"/>
      <c r="EI166" s="242"/>
      <c r="EJ166" s="242"/>
      <c r="EK166" s="242"/>
      <c r="EL166" s="242"/>
      <c r="EM166" s="242"/>
      <c r="EN166" s="242"/>
      <c r="EO166" s="242"/>
      <c r="EP166" s="242"/>
      <c r="EQ166" s="242"/>
      <c r="ER166" s="242"/>
      <c r="ES166" s="242"/>
      <c r="ET166" s="242"/>
      <c r="EU166" s="242"/>
      <c r="EV166" s="242"/>
      <c r="EW166" s="242"/>
      <c r="EX166" s="242"/>
      <c r="EY166" s="242"/>
      <c r="EZ166" s="242"/>
      <c r="FA166" s="242"/>
      <c r="FB166" s="242"/>
      <c r="FC166" s="242"/>
      <c r="FD166" s="242"/>
      <c r="FE166" s="242"/>
      <c r="FF166" s="242"/>
      <c r="FG166" s="242"/>
      <c r="FH166" s="242"/>
      <c r="FI166" s="242"/>
      <c r="FJ166" s="242"/>
      <c r="FK166" s="242"/>
      <c r="FL166" s="242"/>
      <c r="FM166" s="242"/>
      <c r="FN166" s="242"/>
      <c r="FO166" s="242"/>
      <c r="FP166" s="242"/>
      <c r="FQ166" s="242"/>
      <c r="FR166" s="242"/>
      <c r="FS166" s="242"/>
      <c r="FT166" s="242"/>
      <c r="FU166" s="242"/>
      <c r="FV166" s="242"/>
      <c r="FW166" s="242"/>
      <c r="FX166" s="242"/>
      <c r="FY166" s="242"/>
      <c r="FZ166" s="242"/>
      <c r="GA166" s="242"/>
      <c r="GB166" s="242"/>
      <c r="GC166" s="242"/>
      <c r="GD166" s="242"/>
      <c r="GE166" s="242"/>
      <c r="GF166" s="242"/>
      <c r="GG166" s="242"/>
      <c r="GH166" s="242"/>
      <c r="GI166" s="242"/>
      <c r="GJ166" s="242"/>
      <c r="GK166" s="242"/>
      <c r="GL166" s="242"/>
      <c r="GM166" s="242"/>
      <c r="GN166" s="242"/>
      <c r="GO166" s="242"/>
      <c r="GP166" s="242"/>
      <c r="GQ166" s="242"/>
      <c r="GR166" s="242"/>
      <c r="GS166" s="242"/>
      <c r="GT166" s="242"/>
      <c r="GU166" s="242"/>
      <c r="GV166" s="242"/>
      <c r="GW166" s="242"/>
      <c r="GX166" s="242"/>
      <c r="GY166" s="242"/>
      <c r="GZ166" s="242"/>
      <c r="HA166" s="242"/>
      <c r="HB166" s="242"/>
      <c r="HC166" s="242"/>
      <c r="HD166" s="242"/>
      <c r="HE166" s="242"/>
      <c r="HF166" s="242"/>
      <c r="HG166" s="242"/>
      <c r="HH166" s="242"/>
      <c r="HI166" s="242"/>
      <c r="HJ166" s="242"/>
      <c r="HK166" s="242"/>
      <c r="HL166" s="242"/>
      <c r="HM166" s="242"/>
      <c r="HN166" s="242"/>
      <c r="HO166" s="242"/>
      <c r="HP166" s="242"/>
      <c r="HQ166" s="242"/>
      <c r="HR166" s="242"/>
      <c r="HS166" s="242"/>
      <c r="HT166" s="242"/>
      <c r="HU166" s="242"/>
      <c r="HV166" s="242"/>
      <c r="HW166" s="242"/>
      <c r="HX166" s="242"/>
      <c r="HY166" s="242"/>
      <c r="HZ166" s="242"/>
      <c r="IA166" s="242"/>
      <c r="IB166" s="242"/>
      <c r="IC166" s="242"/>
      <c r="ID166" s="242"/>
      <c r="IE166" s="242"/>
      <c r="IF166" s="242"/>
      <c r="IG166" s="242"/>
      <c r="IH166" s="242"/>
      <c r="II166" s="242"/>
      <c r="IJ166" s="242"/>
      <c r="IK166" s="242"/>
      <c r="IL166" s="242"/>
      <c r="IM166" s="242"/>
      <c r="IN166" s="242"/>
      <c r="IO166" s="242"/>
      <c r="IP166" s="242"/>
      <c r="IQ166" s="242"/>
      <c r="IR166" s="242"/>
    </row>
    <row r="167" spans="1:252" x14ac:dyDescent="0.3">
      <c r="A167" s="243"/>
      <c r="B167" s="418" t="s">
        <v>44</v>
      </c>
      <c r="C167" s="245"/>
      <c r="D167" s="245"/>
      <c r="E167" s="245"/>
      <c r="F167" s="245"/>
      <c r="G167" s="245"/>
      <c r="H167" s="245"/>
      <c r="I167" s="245"/>
      <c r="J167" s="245"/>
      <c r="K167" s="245"/>
      <c r="L167" s="245"/>
      <c r="M167" s="245"/>
      <c r="N167" s="245"/>
      <c r="O167" s="245"/>
      <c r="P167" s="245"/>
      <c r="Q167" s="245"/>
      <c r="R167" s="312"/>
      <c r="S167" s="246"/>
      <c r="T167" s="241"/>
    </row>
    <row r="168" spans="1:252" x14ac:dyDescent="0.3">
      <c r="A168" s="243"/>
      <c r="B168" s="330"/>
      <c r="C168" s="245"/>
      <c r="D168" s="245"/>
      <c r="E168" s="245"/>
      <c r="F168" s="245"/>
      <c r="G168" s="245"/>
      <c r="H168" s="245"/>
      <c r="I168" s="245"/>
      <c r="J168" s="245"/>
      <c r="K168" s="245"/>
      <c r="L168" s="245"/>
      <c r="M168" s="245"/>
      <c r="N168" s="245"/>
      <c r="O168" s="245"/>
      <c r="P168" s="245"/>
      <c r="Q168" s="245"/>
      <c r="R168" s="312"/>
      <c r="S168" s="246"/>
      <c r="T168" s="241"/>
    </row>
    <row r="169" spans="1:252" s="260" customFormat="1" x14ac:dyDescent="0.3">
      <c r="A169" s="275"/>
      <c r="B169" s="268" t="s">
        <v>177</v>
      </c>
      <c r="C169" s="268"/>
      <c r="D169" s="268"/>
      <c r="E169" s="268"/>
      <c r="F169" s="268"/>
      <c r="G169" s="268"/>
      <c r="H169" s="268"/>
      <c r="I169" s="268"/>
      <c r="J169" s="268"/>
      <c r="K169" s="268"/>
      <c r="L169" s="268"/>
      <c r="M169" s="268"/>
      <c r="N169" s="268"/>
      <c r="O169" s="268"/>
      <c r="P169" s="268"/>
      <c r="Q169" s="268"/>
      <c r="R169" s="314">
        <f>+R59</f>
        <v>81915</v>
      </c>
      <c r="S169" s="271"/>
      <c r="T169" s="259"/>
    </row>
    <row r="170" spans="1:252" s="260" customFormat="1" x14ac:dyDescent="0.3">
      <c r="A170" s="275"/>
      <c r="B170" s="268" t="s">
        <v>178</v>
      </c>
      <c r="C170" s="268"/>
      <c r="D170" s="268"/>
      <c r="E170" s="268"/>
      <c r="F170" s="268"/>
      <c r="G170" s="268"/>
      <c r="H170" s="268"/>
      <c r="I170" s="268"/>
      <c r="J170" s="268"/>
      <c r="K170" s="268"/>
      <c r="L170" s="268"/>
      <c r="M170" s="268"/>
      <c r="N170" s="268"/>
      <c r="O170" s="268"/>
      <c r="P170" s="268"/>
      <c r="Q170" s="268"/>
      <c r="R170" s="314">
        <f>+R69</f>
        <v>0</v>
      </c>
      <c r="S170" s="271"/>
      <c r="T170" s="259"/>
    </row>
    <row r="171" spans="1:252" s="260" customFormat="1" x14ac:dyDescent="0.3">
      <c r="A171" s="275"/>
      <c r="B171" s="268" t="s">
        <v>246</v>
      </c>
      <c r="C171" s="268"/>
      <c r="D171" s="268"/>
      <c r="E171" s="268"/>
      <c r="F171" s="268"/>
      <c r="G171" s="268"/>
      <c r="H171" s="268"/>
      <c r="I171" s="268"/>
      <c r="J171" s="268"/>
      <c r="K171" s="268"/>
      <c r="L171" s="268"/>
      <c r="M171" s="268"/>
      <c r="N171" s="268"/>
      <c r="O171" s="268"/>
      <c r="P171" s="268"/>
      <c r="Q171" s="268"/>
      <c r="R171" s="314">
        <f>+R70</f>
        <v>0</v>
      </c>
      <c r="S171" s="271"/>
      <c r="T171" s="259"/>
    </row>
    <row r="172" spans="1:252" s="260" customFormat="1" x14ac:dyDescent="0.3">
      <c r="A172" s="275"/>
      <c r="B172" s="268" t="s">
        <v>126</v>
      </c>
      <c r="C172" s="268"/>
      <c r="D172" s="268"/>
      <c r="E172" s="268"/>
      <c r="F172" s="268"/>
      <c r="G172" s="268"/>
      <c r="H172" s="268"/>
      <c r="I172" s="268"/>
      <c r="J172" s="268"/>
      <c r="K172" s="268"/>
      <c r="L172" s="268"/>
      <c r="M172" s="268"/>
      <c r="N172" s="268"/>
      <c r="O172" s="268"/>
      <c r="P172" s="268"/>
      <c r="Q172" s="268"/>
      <c r="R172" s="314">
        <f>+R169+R170+R171</f>
        <v>81915</v>
      </c>
      <c r="S172" s="271"/>
      <c r="T172" s="259"/>
    </row>
    <row r="173" spans="1:252" s="260" customFormat="1" x14ac:dyDescent="0.3">
      <c r="A173" s="275"/>
      <c r="B173" s="268" t="s">
        <v>45</v>
      </c>
      <c r="C173" s="268"/>
      <c r="D173" s="268"/>
      <c r="E173" s="268"/>
      <c r="F173" s="268"/>
      <c r="G173" s="268"/>
      <c r="H173" s="268"/>
      <c r="I173" s="268"/>
      <c r="J173" s="268"/>
      <c r="K173" s="268"/>
      <c r="L173" s="268"/>
      <c r="M173" s="268"/>
      <c r="N173" s="268"/>
      <c r="O173" s="268"/>
      <c r="P173" s="268"/>
      <c r="Q173" s="268"/>
      <c r="R173" s="314">
        <f>R72</f>
        <v>81915</v>
      </c>
      <c r="S173" s="271"/>
      <c r="T173" s="259"/>
    </row>
    <row r="174" spans="1:252" ht="16.2" thickBot="1" x14ac:dyDescent="0.35">
      <c r="A174" s="243"/>
      <c r="B174" s="315"/>
      <c r="C174" s="315"/>
      <c r="D174" s="315"/>
      <c r="E174" s="315"/>
      <c r="F174" s="315"/>
      <c r="G174" s="315"/>
      <c r="H174" s="315"/>
      <c r="I174" s="315"/>
      <c r="J174" s="315"/>
      <c r="K174" s="315"/>
      <c r="L174" s="315"/>
      <c r="M174" s="315"/>
      <c r="N174" s="315"/>
      <c r="O174" s="315"/>
      <c r="P174" s="315"/>
      <c r="Q174" s="315"/>
      <c r="R174" s="331"/>
      <c r="S174" s="246"/>
      <c r="T174" s="241"/>
    </row>
    <row r="175" spans="1:252" x14ac:dyDescent="0.3">
      <c r="A175" s="237"/>
      <c r="B175" s="239"/>
      <c r="C175" s="239"/>
      <c r="D175" s="239"/>
      <c r="E175" s="239"/>
      <c r="F175" s="239"/>
      <c r="G175" s="239"/>
      <c r="H175" s="239"/>
      <c r="I175" s="239"/>
      <c r="J175" s="239"/>
      <c r="K175" s="239"/>
      <c r="L175" s="239"/>
      <c r="M175" s="239"/>
      <c r="N175" s="239"/>
      <c r="O175" s="239"/>
      <c r="P175" s="239"/>
      <c r="Q175" s="239"/>
      <c r="R175" s="339"/>
      <c r="S175" s="240"/>
      <c r="T175" s="241"/>
    </row>
    <row r="176" spans="1:252" s="409" customFormat="1" x14ac:dyDescent="0.3">
      <c r="A176" s="412"/>
      <c r="B176" s="418" t="s">
        <v>46</v>
      </c>
      <c r="C176" s="419"/>
      <c r="D176" s="420"/>
      <c r="E176" s="420"/>
      <c r="F176" s="420"/>
      <c r="G176" s="420"/>
      <c r="H176" s="420"/>
      <c r="I176" s="420"/>
      <c r="J176" s="420"/>
      <c r="K176" s="420"/>
      <c r="L176" s="420"/>
      <c r="M176" s="420"/>
      <c r="N176" s="420"/>
      <c r="O176" s="420" t="s">
        <v>82</v>
      </c>
      <c r="P176" s="420" t="s">
        <v>173</v>
      </c>
      <c r="Q176" s="248"/>
      <c r="R176" s="421" t="s">
        <v>94</v>
      </c>
      <c r="S176" s="422"/>
      <c r="T176" s="408"/>
    </row>
    <row r="177" spans="1:20" s="260" customFormat="1" x14ac:dyDescent="0.3">
      <c r="A177" s="275"/>
      <c r="B177" s="268" t="s">
        <v>47</v>
      </c>
      <c r="C177" s="268"/>
      <c r="D177" s="268"/>
      <c r="E177" s="268"/>
      <c r="F177" s="268"/>
      <c r="G177" s="268"/>
      <c r="H177" s="268"/>
      <c r="I177" s="268"/>
      <c r="J177" s="268"/>
      <c r="K177" s="268"/>
      <c r="L177" s="268"/>
      <c r="M177" s="268"/>
      <c r="N177" s="268"/>
      <c r="O177" s="314">
        <f>+R28*0.05</f>
        <v>12500</v>
      </c>
      <c r="P177" s="293"/>
      <c r="Q177" s="268"/>
      <c r="R177" s="314"/>
      <c r="S177" s="271"/>
      <c r="T177" s="259"/>
    </row>
    <row r="178" spans="1:20" s="260" customFormat="1" x14ac:dyDescent="0.3">
      <c r="A178" s="275"/>
      <c r="B178" s="268" t="s">
        <v>48</v>
      </c>
      <c r="C178" s="268"/>
      <c r="D178" s="268"/>
      <c r="E178" s="268"/>
      <c r="F178" s="268"/>
      <c r="G178" s="268"/>
      <c r="H178" s="268"/>
      <c r="I178" s="268"/>
      <c r="J178" s="268"/>
      <c r="K178" s="268"/>
      <c r="L178" s="268"/>
      <c r="M178" s="268"/>
      <c r="N178" s="268"/>
      <c r="O178" s="314">
        <f>+'Aug 17'!O180</f>
        <v>1069</v>
      </c>
      <c r="P178" s="314">
        <f>+'Aug 17'!P180</f>
        <v>517</v>
      </c>
      <c r="Q178" s="268"/>
      <c r="R178" s="314">
        <f>O178+P178</f>
        <v>1586</v>
      </c>
      <c r="S178" s="271"/>
      <c r="T178" s="259"/>
    </row>
    <row r="179" spans="1:20" s="260" customFormat="1" x14ac:dyDescent="0.3">
      <c r="A179" s="275"/>
      <c r="B179" s="268" t="s">
        <v>49</v>
      </c>
      <c r="C179" s="268"/>
      <c r="D179" s="268"/>
      <c r="E179" s="268"/>
      <c r="F179" s="268"/>
      <c r="G179" s="268"/>
      <c r="H179" s="268"/>
      <c r="I179" s="268"/>
      <c r="J179" s="268"/>
      <c r="K179" s="268"/>
      <c r="L179" s="268"/>
      <c r="M179" s="268"/>
      <c r="N179" s="268"/>
      <c r="O179" s="313">
        <v>0</v>
      </c>
      <c r="P179" s="313">
        <v>0</v>
      </c>
      <c r="Q179" s="268"/>
      <c r="R179" s="314">
        <f>O179+P179</f>
        <v>0</v>
      </c>
      <c r="S179" s="271"/>
      <c r="T179" s="259"/>
    </row>
    <row r="180" spans="1:20" s="260" customFormat="1" x14ac:dyDescent="0.3">
      <c r="A180" s="275"/>
      <c r="B180" s="268" t="s">
        <v>50</v>
      </c>
      <c r="C180" s="268"/>
      <c r="D180" s="268"/>
      <c r="E180" s="268"/>
      <c r="F180" s="268"/>
      <c r="G180" s="268"/>
      <c r="H180" s="268"/>
      <c r="I180" s="268"/>
      <c r="J180" s="268"/>
      <c r="K180" s="268"/>
      <c r="L180" s="268"/>
      <c r="M180" s="268"/>
      <c r="N180" s="268"/>
      <c r="O180" s="314">
        <f>O178+O179</f>
        <v>1069</v>
      </c>
      <c r="P180" s="314">
        <f>P179+P178</f>
        <v>517</v>
      </c>
      <c r="Q180" s="268"/>
      <c r="R180" s="314">
        <f>O180+P180</f>
        <v>1586</v>
      </c>
      <c r="S180" s="271"/>
      <c r="T180" s="259"/>
    </row>
    <row r="181" spans="1:20" s="260" customFormat="1" x14ac:dyDescent="0.3">
      <c r="A181" s="275"/>
      <c r="B181" s="268" t="s">
        <v>51</v>
      </c>
      <c r="C181" s="268"/>
      <c r="D181" s="268"/>
      <c r="E181" s="268"/>
      <c r="F181" s="268"/>
      <c r="G181" s="268"/>
      <c r="H181" s="268"/>
      <c r="I181" s="268"/>
      <c r="J181" s="268"/>
      <c r="K181" s="268"/>
      <c r="L181" s="268"/>
      <c r="M181" s="268"/>
      <c r="N181" s="268"/>
      <c r="O181" s="314">
        <f>O177-O180-P180</f>
        <v>10914</v>
      </c>
      <c r="P181" s="293"/>
      <c r="Q181" s="268"/>
      <c r="R181" s="314"/>
      <c r="S181" s="271"/>
      <c r="T181" s="259"/>
    </row>
    <row r="182" spans="1:20" ht="16.2" thickBot="1" x14ac:dyDescent="0.35">
      <c r="A182" s="243"/>
      <c r="B182" s="315"/>
      <c r="C182" s="315"/>
      <c r="D182" s="315"/>
      <c r="E182" s="315"/>
      <c r="F182" s="315"/>
      <c r="G182" s="315"/>
      <c r="H182" s="315"/>
      <c r="I182" s="315"/>
      <c r="J182" s="315"/>
      <c r="K182" s="315"/>
      <c r="L182" s="315"/>
      <c r="M182" s="315"/>
      <c r="N182" s="315"/>
      <c r="O182" s="315"/>
      <c r="P182" s="315"/>
      <c r="Q182" s="315"/>
      <c r="R182" s="331"/>
      <c r="S182" s="246"/>
      <c r="T182" s="241"/>
    </row>
    <row r="183" spans="1:20" x14ac:dyDescent="0.3">
      <c r="A183" s="237"/>
      <c r="B183" s="239"/>
      <c r="C183" s="239"/>
      <c r="D183" s="239"/>
      <c r="E183" s="239"/>
      <c r="F183" s="239"/>
      <c r="G183" s="239"/>
      <c r="H183" s="239"/>
      <c r="I183" s="239"/>
      <c r="J183" s="239"/>
      <c r="K183" s="239"/>
      <c r="L183" s="239"/>
      <c r="M183" s="239"/>
      <c r="N183" s="239"/>
      <c r="O183" s="239"/>
      <c r="P183" s="239"/>
      <c r="Q183" s="239"/>
      <c r="R183" s="339"/>
      <c r="S183" s="240"/>
      <c r="T183" s="241"/>
    </row>
    <row r="184" spans="1:20" x14ac:dyDescent="0.3">
      <c r="A184" s="243"/>
      <c r="B184" s="418" t="s">
        <v>52</v>
      </c>
      <c r="C184" s="245"/>
      <c r="D184" s="245"/>
      <c r="E184" s="245"/>
      <c r="F184" s="245"/>
      <c r="G184" s="245"/>
      <c r="H184" s="245"/>
      <c r="I184" s="245"/>
      <c r="J184" s="245"/>
      <c r="K184" s="245"/>
      <c r="L184" s="245"/>
      <c r="M184" s="245"/>
      <c r="N184" s="245"/>
      <c r="O184" s="245"/>
      <c r="P184" s="245"/>
      <c r="Q184" s="245"/>
      <c r="R184" s="346"/>
      <c r="S184" s="246"/>
      <c r="T184" s="241"/>
    </row>
    <row r="185" spans="1:20" s="260" customFormat="1" x14ac:dyDescent="0.3">
      <c r="A185" s="275"/>
      <c r="B185" s="268" t="s">
        <v>53</v>
      </c>
      <c r="C185" s="268"/>
      <c r="D185" s="268"/>
      <c r="E185" s="268"/>
      <c r="F185" s="268"/>
      <c r="G185" s="268"/>
      <c r="H185" s="268"/>
      <c r="I185" s="268"/>
      <c r="J185" s="268"/>
      <c r="K185" s="268"/>
      <c r="L185" s="268"/>
      <c r="M185" s="268"/>
      <c r="N185" s="268"/>
      <c r="O185" s="268"/>
      <c r="P185" s="268"/>
      <c r="Q185" s="268"/>
      <c r="R185" s="347">
        <f>(R92+R94+R95+R96+R97)/-(R98)</f>
        <v>6.4069767441860463</v>
      </c>
      <c r="S185" s="271" t="s">
        <v>95</v>
      </c>
      <c r="T185" s="259"/>
    </row>
    <row r="186" spans="1:20" s="260" customFormat="1" x14ac:dyDescent="0.3">
      <c r="A186" s="275"/>
      <c r="B186" s="268" t="s">
        <v>54</v>
      </c>
      <c r="C186" s="268"/>
      <c r="D186" s="268"/>
      <c r="E186" s="268"/>
      <c r="F186" s="268"/>
      <c r="G186" s="268"/>
      <c r="H186" s="268"/>
      <c r="I186" s="268"/>
      <c r="J186" s="268"/>
      <c r="K186" s="268"/>
      <c r="L186" s="268"/>
      <c r="M186" s="268"/>
      <c r="N186" s="268"/>
      <c r="O186" s="268"/>
      <c r="P186" s="268"/>
      <c r="Q186" s="268"/>
      <c r="R186" s="348">
        <v>3.85</v>
      </c>
      <c r="S186" s="271" t="s">
        <v>95</v>
      </c>
      <c r="T186" s="259"/>
    </row>
    <row r="187" spans="1:20" s="260" customFormat="1" x14ac:dyDescent="0.3">
      <c r="A187" s="275"/>
      <c r="B187" s="268" t="s">
        <v>192</v>
      </c>
      <c r="C187" s="268"/>
      <c r="D187" s="268"/>
      <c r="E187" s="268"/>
      <c r="F187" s="268"/>
      <c r="G187" s="268"/>
      <c r="H187" s="268"/>
      <c r="I187" s="268"/>
      <c r="J187" s="268"/>
      <c r="K187" s="268"/>
      <c r="L187" s="268"/>
      <c r="M187" s="268"/>
      <c r="N187" s="268"/>
      <c r="O187" s="268"/>
      <c r="P187" s="268"/>
      <c r="Q187" s="268"/>
      <c r="R187" s="347">
        <f>(R92+R94+R95+R96+R97+R98)/-(R99)</f>
        <v>12.236842105263158</v>
      </c>
      <c r="S187" s="271" t="s">
        <v>95</v>
      </c>
      <c r="T187" s="259"/>
    </row>
    <row r="188" spans="1:20" s="260" customFormat="1" x14ac:dyDescent="0.3">
      <c r="A188" s="275"/>
      <c r="B188" s="268" t="s">
        <v>193</v>
      </c>
      <c r="C188" s="268"/>
      <c r="D188" s="268"/>
      <c r="E188" s="268"/>
      <c r="F188" s="268"/>
      <c r="G188" s="268"/>
      <c r="H188" s="268"/>
      <c r="I188" s="268"/>
      <c r="J188" s="268"/>
      <c r="K188" s="268"/>
      <c r="L188" s="268"/>
      <c r="M188" s="268"/>
      <c r="N188" s="268"/>
      <c r="O188" s="268"/>
      <c r="P188" s="268"/>
      <c r="Q188" s="268"/>
      <c r="R188" s="348">
        <v>18.68</v>
      </c>
      <c r="S188" s="271" t="s">
        <v>95</v>
      </c>
      <c r="T188" s="259"/>
    </row>
    <row r="189" spans="1:20" s="260" customFormat="1" x14ac:dyDescent="0.3">
      <c r="A189" s="275"/>
      <c r="B189" s="268" t="s">
        <v>194</v>
      </c>
      <c r="C189" s="268"/>
      <c r="D189" s="268"/>
      <c r="E189" s="268"/>
      <c r="F189" s="268"/>
      <c r="G189" s="268"/>
      <c r="H189" s="268"/>
      <c r="I189" s="268"/>
      <c r="J189" s="268"/>
      <c r="K189" s="268"/>
      <c r="L189" s="268"/>
      <c r="M189" s="268"/>
      <c r="N189" s="268"/>
      <c r="O189" s="268"/>
      <c r="P189" s="268"/>
      <c r="Q189" s="268"/>
      <c r="R189" s="347">
        <f>(R92+R94+R95+R96+R97+R98+R99)/-(R100)</f>
        <v>20.333333333333332</v>
      </c>
      <c r="S189" s="271" t="s">
        <v>95</v>
      </c>
      <c r="T189" s="259"/>
    </row>
    <row r="190" spans="1:20" s="260" customFormat="1" x14ac:dyDescent="0.3">
      <c r="A190" s="275"/>
      <c r="B190" s="268" t="s">
        <v>195</v>
      </c>
      <c r="C190" s="268"/>
      <c r="D190" s="268"/>
      <c r="E190" s="268"/>
      <c r="F190" s="268"/>
      <c r="G190" s="268"/>
      <c r="H190" s="268"/>
      <c r="I190" s="268"/>
      <c r="J190" s="268"/>
      <c r="K190" s="268"/>
      <c r="L190" s="268"/>
      <c r="M190" s="268"/>
      <c r="N190" s="268"/>
      <c r="O190" s="268"/>
      <c r="P190" s="268"/>
      <c r="Q190" s="268"/>
      <c r="R190" s="348">
        <v>32.64</v>
      </c>
      <c r="S190" s="271" t="s">
        <v>95</v>
      </c>
      <c r="T190" s="259"/>
    </row>
    <row r="191" spans="1:20" s="260" customFormat="1" x14ac:dyDescent="0.3">
      <c r="A191" s="275"/>
      <c r="B191" s="268" t="s">
        <v>196</v>
      </c>
      <c r="C191" s="268"/>
      <c r="D191" s="268"/>
      <c r="E191" s="268"/>
      <c r="F191" s="268"/>
      <c r="G191" s="268"/>
      <c r="H191" s="268"/>
      <c r="I191" s="268"/>
      <c r="J191" s="268"/>
      <c r="K191" s="268"/>
      <c r="L191" s="268"/>
      <c r="M191" s="268"/>
      <c r="N191" s="268"/>
      <c r="O191" s="268"/>
      <c r="P191" s="268"/>
      <c r="Q191" s="268"/>
      <c r="R191" s="347">
        <f>(R92+R94+R95+R96+R97+R98+R99+R100+R101+R102+R103+R104+R105)/-(R106)</f>
        <v>20.842105263157894</v>
      </c>
      <c r="S191" s="271" t="s">
        <v>95</v>
      </c>
      <c r="T191" s="259"/>
    </row>
    <row r="192" spans="1:20" s="260" customFormat="1" x14ac:dyDescent="0.3">
      <c r="A192" s="275"/>
      <c r="B192" s="268" t="s">
        <v>197</v>
      </c>
      <c r="C192" s="268"/>
      <c r="D192" s="268"/>
      <c r="E192" s="268"/>
      <c r="F192" s="268"/>
      <c r="G192" s="268"/>
      <c r="H192" s="268"/>
      <c r="I192" s="268"/>
      <c r="J192" s="268"/>
      <c r="K192" s="268"/>
      <c r="L192" s="268"/>
      <c r="M192" s="268"/>
      <c r="N192" s="268"/>
      <c r="O192" s="268"/>
      <c r="P192" s="268"/>
      <c r="Q192" s="268"/>
      <c r="R192" s="348">
        <v>34.729999999999997</v>
      </c>
      <c r="S192" s="271" t="s">
        <v>95</v>
      </c>
      <c r="T192" s="259"/>
    </row>
    <row r="193" spans="1:20" s="260" customFormat="1" x14ac:dyDescent="0.3">
      <c r="A193" s="275"/>
      <c r="B193" s="268"/>
      <c r="C193" s="268"/>
      <c r="D193" s="268"/>
      <c r="E193" s="268"/>
      <c r="F193" s="268"/>
      <c r="G193" s="268"/>
      <c r="H193" s="268"/>
      <c r="I193" s="268"/>
      <c r="J193" s="268"/>
      <c r="K193" s="268"/>
      <c r="L193" s="268"/>
      <c r="M193" s="268"/>
      <c r="N193" s="268"/>
      <c r="O193" s="268"/>
      <c r="P193" s="268"/>
      <c r="Q193" s="268"/>
      <c r="R193" s="268"/>
      <c r="S193" s="271"/>
      <c r="T193" s="259"/>
    </row>
    <row r="194" spans="1:20" s="260" customFormat="1" x14ac:dyDescent="0.3">
      <c r="A194" s="255"/>
      <c r="B194" s="302"/>
      <c r="C194" s="302"/>
      <c r="D194" s="302"/>
      <c r="E194" s="302"/>
      <c r="F194" s="302"/>
      <c r="G194" s="302"/>
      <c r="H194" s="302"/>
      <c r="I194" s="302"/>
      <c r="J194" s="302"/>
      <c r="K194" s="302"/>
      <c r="L194" s="302"/>
      <c r="M194" s="302"/>
      <c r="N194" s="302"/>
      <c r="O194" s="302"/>
      <c r="P194" s="302"/>
      <c r="Q194" s="302"/>
      <c r="R194" s="302"/>
      <c r="S194" s="258"/>
      <c r="T194" s="259"/>
    </row>
    <row r="195" spans="1:20" s="260" customFormat="1" x14ac:dyDescent="0.3">
      <c r="A195" s="255"/>
      <c r="B195" s="256"/>
      <c r="C195" s="256"/>
      <c r="D195" s="256"/>
      <c r="E195" s="256"/>
      <c r="F195" s="256"/>
      <c r="G195" s="256"/>
      <c r="H195" s="256"/>
      <c r="I195" s="256"/>
      <c r="J195" s="256"/>
      <c r="K195" s="256"/>
      <c r="L195" s="256"/>
      <c r="M195" s="256"/>
      <c r="N195" s="256"/>
      <c r="O195" s="256"/>
      <c r="P195" s="256"/>
      <c r="Q195" s="256"/>
      <c r="R195" s="256"/>
      <c r="S195" s="258"/>
      <c r="T195" s="259"/>
    </row>
    <row r="196" spans="1:20" s="260" customFormat="1" ht="18.600000000000001" thickBot="1" x14ac:dyDescent="0.4">
      <c r="A196" s="307"/>
      <c r="B196" s="308" t="str">
        <f>B123</f>
        <v>PM21 INVESTOR REPORT QUARTER ENDING NOVEMBER 2017</v>
      </c>
      <c r="C196" s="309"/>
      <c r="D196" s="309"/>
      <c r="E196" s="309"/>
      <c r="F196" s="309"/>
      <c r="G196" s="309"/>
      <c r="H196" s="309"/>
      <c r="I196" s="309"/>
      <c r="J196" s="309"/>
      <c r="K196" s="309"/>
      <c r="L196" s="309"/>
      <c r="M196" s="309"/>
      <c r="N196" s="309"/>
      <c r="O196" s="309"/>
      <c r="P196" s="309"/>
      <c r="Q196" s="309"/>
      <c r="R196" s="309"/>
      <c r="S196" s="311"/>
      <c r="T196" s="259"/>
    </row>
    <row r="197" spans="1:20" x14ac:dyDescent="0.3">
      <c r="A197" s="438"/>
      <c r="B197" s="439" t="s">
        <v>55</v>
      </c>
      <c r="C197" s="443"/>
      <c r="D197" s="444"/>
      <c r="E197" s="444"/>
      <c r="F197" s="444"/>
      <c r="G197" s="444"/>
      <c r="H197" s="444"/>
      <c r="I197" s="444"/>
      <c r="J197" s="444"/>
      <c r="K197" s="444"/>
      <c r="L197" s="444"/>
      <c r="M197" s="444"/>
      <c r="N197" s="444"/>
      <c r="O197" s="444"/>
      <c r="P197" s="444">
        <v>43069</v>
      </c>
      <c r="Q197" s="440"/>
      <c r="R197" s="440"/>
      <c r="S197" s="442"/>
      <c r="T197" s="241"/>
    </row>
    <row r="198" spans="1:20" x14ac:dyDescent="0.3">
      <c r="A198" s="349"/>
      <c r="B198" s="350"/>
      <c r="C198" s="351"/>
      <c r="D198" s="352"/>
      <c r="E198" s="352"/>
      <c r="F198" s="352"/>
      <c r="G198" s="352"/>
      <c r="H198" s="352"/>
      <c r="I198" s="352"/>
      <c r="J198" s="352"/>
      <c r="K198" s="352"/>
      <c r="L198" s="352"/>
      <c r="M198" s="352"/>
      <c r="N198" s="352"/>
      <c r="O198" s="352"/>
      <c r="P198" s="352"/>
      <c r="Q198" s="245"/>
      <c r="R198" s="245"/>
      <c r="S198" s="246"/>
      <c r="T198" s="241"/>
    </row>
    <row r="199" spans="1:20" s="260" customFormat="1" x14ac:dyDescent="0.3">
      <c r="A199" s="275"/>
      <c r="B199" s="268" t="s">
        <v>56</v>
      </c>
      <c r="C199" s="353"/>
      <c r="D199" s="296"/>
      <c r="E199" s="296"/>
      <c r="F199" s="296"/>
      <c r="G199" s="296"/>
      <c r="H199" s="296"/>
      <c r="I199" s="296"/>
      <c r="J199" s="296"/>
      <c r="K199" s="296"/>
      <c r="L199" s="296"/>
      <c r="M199" s="296"/>
      <c r="N199" s="296"/>
      <c r="O199" s="296"/>
      <c r="P199" s="290">
        <v>4.1349999999999998E-2</v>
      </c>
      <c r="Q199" s="268"/>
      <c r="R199" s="268"/>
      <c r="S199" s="271"/>
      <c r="T199" s="259"/>
    </row>
    <row r="200" spans="1:20" s="260" customFormat="1" x14ac:dyDescent="0.3">
      <c r="A200" s="275"/>
      <c r="B200" s="268" t="s">
        <v>161</v>
      </c>
      <c r="C200" s="353"/>
      <c r="D200" s="296"/>
      <c r="E200" s="296"/>
      <c r="F200" s="296"/>
      <c r="G200" s="296"/>
      <c r="H200" s="296"/>
      <c r="I200" s="296"/>
      <c r="J200" s="296"/>
      <c r="K200" s="296"/>
      <c r="L200" s="296"/>
      <c r="M200" s="296"/>
      <c r="N200" s="296"/>
      <c r="O200" s="296"/>
      <c r="P200" s="290">
        <v>1.50706E-2</v>
      </c>
      <c r="Q200" s="268"/>
      <c r="R200" s="268"/>
      <c r="S200" s="271"/>
      <c r="T200" s="259"/>
    </row>
    <row r="201" spans="1:20" s="260" customFormat="1" x14ac:dyDescent="0.3">
      <c r="A201" s="275"/>
      <c r="B201" s="268" t="s">
        <v>57</v>
      </c>
      <c r="C201" s="353"/>
      <c r="D201" s="296"/>
      <c r="E201" s="296"/>
      <c r="F201" s="296"/>
      <c r="G201" s="296"/>
      <c r="H201" s="296"/>
      <c r="I201" s="296"/>
      <c r="J201" s="296"/>
      <c r="K201" s="296"/>
      <c r="L201" s="296"/>
      <c r="M201" s="296"/>
      <c r="N201" s="296"/>
      <c r="O201" s="296"/>
      <c r="P201" s="290">
        <f>P199-P200</f>
        <v>2.6279399999999998E-2</v>
      </c>
      <c r="Q201" s="268"/>
      <c r="R201" s="268"/>
      <c r="S201" s="271"/>
      <c r="T201" s="259"/>
    </row>
    <row r="202" spans="1:20" s="260" customFormat="1" x14ac:dyDescent="0.3">
      <c r="A202" s="275"/>
      <c r="B202" s="268" t="s">
        <v>164</v>
      </c>
      <c r="C202" s="353"/>
      <c r="D202" s="296"/>
      <c r="E202" s="296"/>
      <c r="F202" s="296"/>
      <c r="G202" s="296"/>
      <c r="H202" s="296"/>
      <c r="I202" s="296"/>
      <c r="J202" s="296"/>
      <c r="K202" s="296"/>
      <c r="L202" s="296"/>
      <c r="M202" s="296"/>
      <c r="N202" s="296"/>
      <c r="O202" s="296"/>
      <c r="P202" s="290">
        <v>4.3268800000000003E-2</v>
      </c>
      <c r="Q202" s="268"/>
      <c r="R202" s="268"/>
      <c r="S202" s="271"/>
      <c r="T202" s="259"/>
    </row>
    <row r="203" spans="1:20" s="260" customFormat="1" x14ac:dyDescent="0.3">
      <c r="A203" s="275"/>
      <c r="B203" s="268" t="s">
        <v>58</v>
      </c>
      <c r="C203" s="353"/>
      <c r="D203" s="296"/>
      <c r="E203" s="296"/>
      <c r="F203" s="296"/>
      <c r="G203" s="296"/>
      <c r="H203" s="296"/>
      <c r="I203" s="296"/>
      <c r="J203" s="296"/>
      <c r="K203" s="296"/>
      <c r="L203" s="296"/>
      <c r="M203" s="296"/>
      <c r="N203" s="296"/>
      <c r="O203" s="296"/>
      <c r="P203" s="290">
        <v>4.7070000000000001E-2</v>
      </c>
      <c r="Q203" s="268"/>
      <c r="R203" s="268"/>
      <c r="S203" s="271"/>
      <c r="T203" s="259"/>
    </row>
    <row r="204" spans="1:20" s="260" customFormat="1" x14ac:dyDescent="0.3">
      <c r="A204" s="275"/>
      <c r="B204" s="268" t="s">
        <v>162</v>
      </c>
      <c r="C204" s="353"/>
      <c r="D204" s="296"/>
      <c r="E204" s="296"/>
      <c r="F204" s="296"/>
      <c r="G204" s="296"/>
      <c r="H204" s="296"/>
      <c r="I204" s="296"/>
      <c r="J204" s="296"/>
      <c r="K204" s="296"/>
      <c r="L204" s="296"/>
      <c r="M204" s="296"/>
      <c r="N204" s="296"/>
      <c r="O204" s="296"/>
      <c r="P204" s="290">
        <f>R34</f>
        <v>1.4111557270100852E-2</v>
      </c>
      <c r="Q204" s="268"/>
      <c r="R204" s="268"/>
      <c r="S204" s="271"/>
      <c r="T204" s="259"/>
    </row>
    <row r="205" spans="1:20" s="260" customFormat="1" x14ac:dyDescent="0.3">
      <c r="A205" s="275"/>
      <c r="B205" s="268" t="s">
        <v>59</v>
      </c>
      <c r="C205" s="353"/>
      <c r="D205" s="296"/>
      <c r="E205" s="296"/>
      <c r="F205" s="296"/>
      <c r="G205" s="296"/>
      <c r="H205" s="296"/>
      <c r="I205" s="296"/>
      <c r="J205" s="296"/>
      <c r="K205" s="296"/>
      <c r="L205" s="296"/>
      <c r="M205" s="296"/>
      <c r="N205" s="296"/>
      <c r="O205" s="296"/>
      <c r="P205" s="290">
        <f>P203-P204</f>
        <v>3.2958442729899146E-2</v>
      </c>
      <c r="Q205" s="268"/>
      <c r="R205" s="268"/>
      <c r="S205" s="271"/>
      <c r="T205" s="259"/>
    </row>
    <row r="206" spans="1:20" s="260" customFormat="1" x14ac:dyDescent="0.3">
      <c r="A206" s="275"/>
      <c r="B206" s="268" t="s">
        <v>139</v>
      </c>
      <c r="C206" s="353"/>
      <c r="D206" s="296"/>
      <c r="E206" s="296"/>
      <c r="F206" s="296"/>
      <c r="G206" s="296"/>
      <c r="H206" s="296"/>
      <c r="I206" s="296"/>
      <c r="J206" s="296"/>
      <c r="K206" s="296"/>
      <c r="L206" s="296"/>
      <c r="M206" s="296"/>
      <c r="N206" s="296"/>
      <c r="O206" s="296"/>
      <c r="P206" s="290">
        <f>(+R92+R94)/H72</f>
        <v>1.2806074841532868E-2</v>
      </c>
      <c r="Q206" s="268"/>
      <c r="R206" s="268"/>
      <c r="S206" s="271"/>
      <c r="T206" s="259"/>
    </row>
    <row r="207" spans="1:20" s="260" customFormat="1" x14ac:dyDescent="0.3">
      <c r="A207" s="275"/>
      <c r="B207" s="268" t="s">
        <v>132</v>
      </c>
      <c r="C207" s="353"/>
      <c r="D207" s="296"/>
      <c r="E207" s="296"/>
      <c r="F207" s="296"/>
      <c r="G207" s="296"/>
      <c r="H207" s="296"/>
      <c r="I207" s="296"/>
      <c r="J207" s="296"/>
      <c r="K207" s="296"/>
      <c r="L207" s="296"/>
      <c r="M207" s="296"/>
      <c r="N207" s="296"/>
      <c r="O207" s="296"/>
      <c r="P207" s="354">
        <v>15507</v>
      </c>
      <c r="Q207" s="268"/>
      <c r="R207" s="268"/>
      <c r="S207" s="271"/>
      <c r="T207" s="259"/>
    </row>
    <row r="208" spans="1:20" s="260" customFormat="1" x14ac:dyDescent="0.3">
      <c r="A208" s="275"/>
      <c r="B208" s="268" t="s">
        <v>198</v>
      </c>
      <c r="C208" s="353"/>
      <c r="D208" s="296"/>
      <c r="E208" s="296"/>
      <c r="F208" s="296"/>
      <c r="G208" s="296"/>
      <c r="H208" s="296"/>
      <c r="I208" s="296"/>
      <c r="J208" s="296"/>
      <c r="K208" s="296"/>
      <c r="L208" s="296"/>
      <c r="M208" s="296"/>
      <c r="N208" s="296"/>
      <c r="O208" s="296"/>
      <c r="P208" s="354">
        <v>15507</v>
      </c>
      <c r="Q208" s="268"/>
      <c r="R208" s="268"/>
      <c r="S208" s="271"/>
      <c r="T208" s="259"/>
    </row>
    <row r="209" spans="1:20" s="260" customFormat="1" x14ac:dyDescent="0.3">
      <c r="A209" s="275"/>
      <c r="B209" s="268" t="s">
        <v>199</v>
      </c>
      <c r="C209" s="353"/>
      <c r="D209" s="296"/>
      <c r="E209" s="296"/>
      <c r="F209" s="296"/>
      <c r="G209" s="296"/>
      <c r="H209" s="296"/>
      <c r="I209" s="296"/>
      <c r="J209" s="296"/>
      <c r="K209" s="296"/>
      <c r="L209" s="296"/>
      <c r="M209" s="296"/>
      <c r="N209" s="296"/>
      <c r="O209" s="296"/>
      <c r="P209" s="354">
        <v>15507</v>
      </c>
      <c r="Q209" s="268"/>
      <c r="R209" s="268"/>
      <c r="S209" s="271"/>
      <c r="T209" s="259"/>
    </row>
    <row r="210" spans="1:20" s="260" customFormat="1" x14ac:dyDescent="0.3">
      <c r="A210" s="275"/>
      <c r="B210" s="268" t="s">
        <v>200</v>
      </c>
      <c r="C210" s="353"/>
      <c r="D210" s="296"/>
      <c r="E210" s="296"/>
      <c r="F210" s="296"/>
      <c r="G210" s="296"/>
      <c r="H210" s="296"/>
      <c r="I210" s="296"/>
      <c r="J210" s="296"/>
      <c r="K210" s="296"/>
      <c r="L210" s="296"/>
      <c r="M210" s="296"/>
      <c r="N210" s="296"/>
      <c r="O210" s="296"/>
      <c r="P210" s="354">
        <v>15507</v>
      </c>
      <c r="Q210" s="268"/>
      <c r="R210" s="268"/>
      <c r="S210" s="271"/>
      <c r="T210" s="259"/>
    </row>
    <row r="211" spans="1:20" s="260" customFormat="1" x14ac:dyDescent="0.3">
      <c r="A211" s="275"/>
      <c r="B211" s="268" t="s">
        <v>60</v>
      </c>
      <c r="C211" s="353"/>
      <c r="D211" s="296"/>
      <c r="E211" s="296"/>
      <c r="F211" s="296"/>
      <c r="G211" s="296"/>
      <c r="H211" s="296"/>
      <c r="I211" s="296"/>
      <c r="J211" s="296"/>
      <c r="K211" s="296"/>
      <c r="L211" s="296"/>
      <c r="M211" s="296"/>
      <c r="N211" s="296"/>
      <c r="O211" s="296"/>
      <c r="P211" s="294">
        <v>20.170000000000002</v>
      </c>
      <c r="Q211" s="268" t="s">
        <v>90</v>
      </c>
      <c r="R211" s="268"/>
      <c r="S211" s="271"/>
      <c r="T211" s="259"/>
    </row>
    <row r="212" spans="1:20" s="260" customFormat="1" x14ac:dyDescent="0.3">
      <c r="A212" s="275"/>
      <c r="B212" s="268" t="s">
        <v>61</v>
      </c>
      <c r="C212" s="353"/>
      <c r="D212" s="296"/>
      <c r="E212" s="296"/>
      <c r="F212" s="296"/>
      <c r="G212" s="296"/>
      <c r="H212" s="296"/>
      <c r="I212" s="296"/>
      <c r="J212" s="296"/>
      <c r="K212" s="296"/>
      <c r="L212" s="296"/>
      <c r="M212" s="296"/>
      <c r="N212" s="296"/>
      <c r="O212" s="296"/>
      <c r="P212" s="294">
        <v>16.82</v>
      </c>
      <c r="Q212" s="268" t="s">
        <v>90</v>
      </c>
      <c r="R212" s="268"/>
      <c r="S212" s="271"/>
      <c r="T212" s="259"/>
    </row>
    <row r="213" spans="1:20" s="260" customFormat="1" x14ac:dyDescent="0.3">
      <c r="A213" s="275"/>
      <c r="B213" s="268" t="s">
        <v>62</v>
      </c>
      <c r="C213" s="353"/>
      <c r="D213" s="296"/>
      <c r="E213" s="296"/>
      <c r="F213" s="296"/>
      <c r="G213" s="296"/>
      <c r="H213" s="296"/>
      <c r="I213" s="296"/>
      <c r="J213" s="296"/>
      <c r="K213" s="296"/>
      <c r="L213" s="296"/>
      <c r="M213" s="296"/>
      <c r="N213" s="296"/>
      <c r="O213" s="296"/>
      <c r="P213" s="290">
        <f>(+J56+L56+P56)/H56</f>
        <v>0.12143247852247498</v>
      </c>
      <c r="Q213" s="268"/>
      <c r="R213" s="268"/>
      <c r="S213" s="271"/>
      <c r="T213" s="259"/>
    </row>
    <row r="214" spans="1:20" s="260" customFormat="1" x14ac:dyDescent="0.3">
      <c r="A214" s="275"/>
      <c r="B214" s="268" t="s">
        <v>63</v>
      </c>
      <c r="C214" s="353"/>
      <c r="D214" s="296"/>
      <c r="E214" s="296"/>
      <c r="F214" s="296"/>
      <c r="G214" s="296"/>
      <c r="H214" s="296"/>
      <c r="I214" s="296"/>
      <c r="J214" s="296"/>
      <c r="K214" s="296"/>
      <c r="L214" s="296"/>
      <c r="M214" s="296"/>
      <c r="N214" s="296"/>
      <c r="O214" s="296"/>
      <c r="P214" s="290">
        <v>0.30309999999999998</v>
      </c>
      <c r="Q214" s="268"/>
      <c r="R214" s="268"/>
      <c r="S214" s="271"/>
      <c r="T214" s="259"/>
    </row>
    <row r="215" spans="1:20" x14ac:dyDescent="0.3">
      <c r="A215" s="349"/>
      <c r="B215" s="355"/>
      <c r="C215" s="355"/>
      <c r="D215" s="315"/>
      <c r="E215" s="315"/>
      <c r="F215" s="315"/>
      <c r="G215" s="315"/>
      <c r="H215" s="315"/>
      <c r="I215" s="315"/>
      <c r="J215" s="315"/>
      <c r="K215" s="315"/>
      <c r="L215" s="315"/>
      <c r="M215" s="315"/>
      <c r="N215" s="315"/>
      <c r="O215" s="315"/>
      <c r="P215" s="331"/>
      <c r="Q215" s="315"/>
      <c r="R215" s="356"/>
      <c r="S215" s="246"/>
      <c r="T215" s="241"/>
    </row>
    <row r="216" spans="1:20" x14ac:dyDescent="0.3">
      <c r="A216" s="445"/>
      <c r="B216" s="434" t="s">
        <v>64</v>
      </c>
      <c r="C216" s="435"/>
      <c r="D216" s="435"/>
      <c r="E216" s="435"/>
      <c r="F216" s="435"/>
      <c r="G216" s="435"/>
      <c r="H216" s="435"/>
      <c r="I216" s="435"/>
      <c r="J216" s="435"/>
      <c r="K216" s="435"/>
      <c r="L216" s="435"/>
      <c r="M216" s="435"/>
      <c r="N216" s="435"/>
      <c r="O216" s="435" t="s">
        <v>83</v>
      </c>
      <c r="P216" s="451" t="s">
        <v>88</v>
      </c>
      <c r="Q216" s="428"/>
      <c r="R216" s="428"/>
      <c r="S216" s="426"/>
      <c r="T216" s="241"/>
    </row>
    <row r="217" spans="1:20" s="260" customFormat="1" x14ac:dyDescent="0.3">
      <c r="A217" s="446"/>
      <c r="B217" s="302" t="s">
        <v>65</v>
      </c>
      <c r="C217" s="327"/>
      <c r="D217" s="447"/>
      <c r="E217" s="447"/>
      <c r="F217" s="447"/>
      <c r="G217" s="447"/>
      <c r="H217" s="447"/>
      <c r="I217" s="447"/>
      <c r="J217" s="447"/>
      <c r="K217" s="447"/>
      <c r="L217" s="447"/>
      <c r="M217" s="447"/>
      <c r="N217" s="447"/>
      <c r="O217" s="447">
        <v>0</v>
      </c>
      <c r="P217" s="448">
        <v>0</v>
      </c>
      <c r="Q217" s="302"/>
      <c r="R217" s="449"/>
      <c r="S217" s="450"/>
      <c r="T217" s="259"/>
    </row>
    <row r="218" spans="1:20" s="260" customFormat="1" x14ac:dyDescent="0.3">
      <c r="A218" s="357"/>
      <c r="B218" s="268" t="s">
        <v>113</v>
      </c>
      <c r="C218" s="313"/>
      <c r="D218" s="276"/>
      <c r="E218" s="276"/>
      <c r="F218" s="276"/>
      <c r="G218" s="276"/>
      <c r="H218" s="276"/>
      <c r="I218" s="276"/>
      <c r="J218" s="276"/>
      <c r="K218" s="276"/>
      <c r="L218" s="276"/>
      <c r="M218" s="276"/>
      <c r="N218" s="276"/>
      <c r="O218" s="358">
        <f>+N270</f>
        <v>1</v>
      </c>
      <c r="P218" s="359">
        <f>+P270</f>
        <v>195</v>
      </c>
      <c r="Q218" s="268"/>
      <c r="R218" s="360"/>
      <c r="S218" s="361"/>
      <c r="T218" s="259"/>
    </row>
    <row r="219" spans="1:20" s="260" customFormat="1" x14ac:dyDescent="0.3">
      <c r="A219" s="357"/>
      <c r="B219" s="268" t="s">
        <v>66</v>
      </c>
      <c r="C219" s="313"/>
      <c r="D219" s="276"/>
      <c r="E219" s="276"/>
      <c r="F219" s="276"/>
      <c r="G219" s="276"/>
      <c r="H219" s="276"/>
      <c r="I219" s="276"/>
      <c r="J219" s="276"/>
      <c r="K219" s="276"/>
      <c r="L219" s="276"/>
      <c r="M219" s="276"/>
      <c r="N219" s="276"/>
      <c r="O219" s="358">
        <f>+N282</f>
        <v>0</v>
      </c>
      <c r="P219" s="359">
        <f>+P282</f>
        <v>0</v>
      </c>
      <c r="Q219" s="268"/>
      <c r="R219" s="360"/>
      <c r="S219" s="361"/>
      <c r="T219" s="259"/>
    </row>
    <row r="220" spans="1:20" x14ac:dyDescent="0.3">
      <c r="A220" s="362"/>
      <c r="B220" s="402" t="s">
        <v>263</v>
      </c>
      <c r="C220" s="363"/>
      <c r="D220" s="288"/>
      <c r="E220" s="288"/>
      <c r="F220" s="288"/>
      <c r="G220" s="288"/>
      <c r="H220" s="288"/>
      <c r="I220" s="288"/>
      <c r="J220" s="288"/>
      <c r="K220" s="288"/>
      <c r="L220" s="288"/>
      <c r="M220" s="288"/>
      <c r="N220" s="288"/>
      <c r="O220" s="323"/>
      <c r="P220" s="359">
        <f>+P56</f>
        <v>4382</v>
      </c>
      <c r="Q220" s="288"/>
      <c r="R220" s="364"/>
      <c r="S220" s="365"/>
      <c r="T220" s="241"/>
    </row>
    <row r="221" spans="1:20" x14ac:dyDescent="0.3">
      <c r="A221" s="362"/>
      <c r="B221" s="402" t="s">
        <v>140</v>
      </c>
      <c r="C221" s="363"/>
      <c r="D221" s="288"/>
      <c r="E221" s="288"/>
      <c r="F221" s="288"/>
      <c r="G221" s="288"/>
      <c r="H221" s="288"/>
      <c r="I221" s="288"/>
      <c r="J221" s="288"/>
      <c r="K221" s="288"/>
      <c r="L221" s="288"/>
      <c r="M221" s="288"/>
      <c r="N221" s="288"/>
      <c r="O221" s="323"/>
      <c r="P221" s="359">
        <f>-J69</f>
        <v>0</v>
      </c>
      <c r="Q221" s="288"/>
      <c r="R221" s="364"/>
      <c r="S221" s="365"/>
      <c r="T221" s="241"/>
    </row>
    <row r="222" spans="1:20" x14ac:dyDescent="0.3">
      <c r="A222" s="366"/>
      <c r="B222" s="402" t="s">
        <v>67</v>
      </c>
      <c r="C222" s="367"/>
      <c r="D222" s="288"/>
      <c r="E222" s="288"/>
      <c r="F222" s="288"/>
      <c r="G222" s="288"/>
      <c r="H222" s="288"/>
      <c r="I222" s="288"/>
      <c r="J222" s="288"/>
      <c r="K222" s="288"/>
      <c r="L222" s="288"/>
      <c r="M222" s="288"/>
      <c r="N222" s="288"/>
      <c r="O222" s="323"/>
      <c r="P222" s="368"/>
      <c r="Q222" s="288"/>
      <c r="R222" s="364"/>
      <c r="S222" s="369"/>
      <c r="T222" s="241"/>
    </row>
    <row r="223" spans="1:20" s="260" customFormat="1" x14ac:dyDescent="0.3">
      <c r="A223" s="370"/>
      <c r="B223" s="268" t="s">
        <v>68</v>
      </c>
      <c r="C223" s="268"/>
      <c r="D223" s="268"/>
      <c r="E223" s="268"/>
      <c r="F223" s="268"/>
      <c r="G223" s="268"/>
      <c r="H223" s="268"/>
      <c r="I223" s="268"/>
      <c r="J223" s="268"/>
      <c r="K223" s="268"/>
      <c r="L223" s="268"/>
      <c r="M223" s="268"/>
      <c r="N223" s="268"/>
      <c r="O223" s="276"/>
      <c r="P223" s="359">
        <f>R153</f>
        <v>0</v>
      </c>
      <c r="Q223" s="268"/>
      <c r="R223" s="360"/>
      <c r="S223" s="371"/>
      <c r="T223" s="259"/>
    </row>
    <row r="224" spans="1:20" s="260" customFormat="1" x14ac:dyDescent="0.3">
      <c r="A224" s="357"/>
      <c r="B224" s="268" t="s">
        <v>69</v>
      </c>
      <c r="C224" s="313"/>
      <c r="D224" s="268"/>
      <c r="E224" s="268"/>
      <c r="F224" s="268"/>
      <c r="G224" s="268"/>
      <c r="H224" s="268"/>
      <c r="I224" s="268"/>
      <c r="J224" s="268"/>
      <c r="K224" s="268"/>
      <c r="L224" s="268"/>
      <c r="M224" s="268"/>
      <c r="N224" s="268"/>
      <c r="O224" s="276"/>
      <c r="P224" s="359">
        <f>'Aug 17'!P224+P223</f>
        <v>0</v>
      </c>
      <c r="Q224" s="268"/>
      <c r="R224" s="360"/>
      <c r="S224" s="371"/>
      <c r="T224" s="259"/>
    </row>
    <row r="225" spans="1:20" x14ac:dyDescent="0.3">
      <c r="A225" s="366"/>
      <c r="B225" s="402" t="s">
        <v>151</v>
      </c>
      <c r="C225" s="367"/>
      <c r="D225" s="288"/>
      <c r="E225" s="288"/>
      <c r="F225" s="288"/>
      <c r="G225" s="288"/>
      <c r="H225" s="288"/>
      <c r="I225" s="288"/>
      <c r="J225" s="288"/>
      <c r="K225" s="288"/>
      <c r="L225" s="288"/>
      <c r="M225" s="288"/>
      <c r="N225" s="288"/>
      <c r="O225" s="372"/>
      <c r="P225" s="368"/>
      <c r="Q225" s="288"/>
      <c r="R225" s="364"/>
      <c r="S225" s="369"/>
      <c r="T225" s="241"/>
    </row>
    <row r="226" spans="1:20" s="260" customFormat="1" x14ac:dyDescent="0.3">
      <c r="A226" s="370"/>
      <c r="B226" s="268" t="s">
        <v>163</v>
      </c>
      <c r="C226" s="268"/>
      <c r="D226" s="268"/>
      <c r="E226" s="268"/>
      <c r="F226" s="268"/>
      <c r="G226" s="268"/>
      <c r="H226" s="268"/>
      <c r="I226" s="268"/>
      <c r="J226" s="268"/>
      <c r="K226" s="268"/>
      <c r="L226" s="268"/>
      <c r="M226" s="268"/>
      <c r="N226" s="268"/>
      <c r="O226" s="276">
        <v>0</v>
      </c>
      <c r="P226" s="359">
        <v>0</v>
      </c>
      <c r="Q226" s="268"/>
      <c r="R226" s="360"/>
      <c r="S226" s="371"/>
      <c r="T226" s="259"/>
    </row>
    <row r="227" spans="1:20" s="260" customFormat="1" x14ac:dyDescent="0.3">
      <c r="A227" s="357"/>
      <c r="B227" s="268" t="s">
        <v>70</v>
      </c>
      <c r="C227" s="293"/>
      <c r="D227" s="268"/>
      <c r="E227" s="268"/>
      <c r="F227" s="268"/>
      <c r="G227" s="268"/>
      <c r="H227" s="268"/>
      <c r="I227" s="268"/>
      <c r="J227" s="268"/>
      <c r="K227" s="268"/>
      <c r="L227" s="268"/>
      <c r="M227" s="268"/>
      <c r="N227" s="268"/>
      <c r="O227" s="268"/>
      <c r="P227" s="373">
        <v>0</v>
      </c>
      <c r="Q227" s="268"/>
      <c r="R227" s="360"/>
      <c r="S227" s="371"/>
      <c r="T227" s="259"/>
    </row>
    <row r="228" spans="1:20" s="260" customFormat="1" x14ac:dyDescent="0.3">
      <c r="A228" s="357"/>
      <c r="B228" s="268" t="s">
        <v>71</v>
      </c>
      <c r="C228" s="293"/>
      <c r="D228" s="268"/>
      <c r="E228" s="268"/>
      <c r="F228" s="268"/>
      <c r="G228" s="268"/>
      <c r="H228" s="268"/>
      <c r="I228" s="268"/>
      <c r="J228" s="268"/>
      <c r="K228" s="268"/>
      <c r="L228" s="268"/>
      <c r="M228" s="268"/>
      <c r="N228" s="268"/>
      <c r="O228" s="268"/>
      <c r="P228" s="373">
        <v>0</v>
      </c>
      <c r="Q228" s="268"/>
      <c r="R228" s="360"/>
      <c r="S228" s="371"/>
      <c r="T228" s="259"/>
    </row>
    <row r="229" spans="1:20" x14ac:dyDescent="0.3">
      <c r="A229" s="362"/>
      <c r="B229" s="402" t="s">
        <v>136</v>
      </c>
      <c r="C229" s="374"/>
      <c r="D229" s="288"/>
      <c r="E229" s="288"/>
      <c r="F229" s="288"/>
      <c r="G229" s="288"/>
      <c r="H229" s="288"/>
      <c r="I229" s="288"/>
      <c r="J229" s="288"/>
      <c r="K229" s="288"/>
      <c r="L229" s="288"/>
      <c r="M229" s="288"/>
      <c r="N229" s="288"/>
      <c r="O229" s="323"/>
      <c r="P229" s="375"/>
      <c r="Q229" s="288"/>
      <c r="R229" s="364"/>
      <c r="S229" s="369"/>
      <c r="T229" s="241"/>
    </row>
    <row r="230" spans="1:20" s="260" customFormat="1" x14ac:dyDescent="0.3">
      <c r="A230" s="357"/>
      <c r="B230" s="268" t="s">
        <v>163</v>
      </c>
      <c r="C230" s="293"/>
      <c r="D230" s="268"/>
      <c r="E230" s="268"/>
      <c r="F230" s="268"/>
      <c r="G230" s="268"/>
      <c r="H230" s="268"/>
      <c r="I230" s="268"/>
      <c r="J230" s="268"/>
      <c r="K230" s="268"/>
      <c r="L230" s="268"/>
      <c r="M230" s="268"/>
      <c r="N230" s="268"/>
      <c r="O230" s="276">
        <v>0</v>
      </c>
      <c r="P230" s="359">
        <v>0</v>
      </c>
      <c r="Q230" s="268"/>
      <c r="R230" s="360"/>
      <c r="S230" s="371"/>
      <c r="T230" s="259"/>
    </row>
    <row r="231" spans="1:20" s="260" customFormat="1" x14ac:dyDescent="0.3">
      <c r="A231" s="357"/>
      <c r="B231" s="268" t="s">
        <v>137</v>
      </c>
      <c r="C231" s="293"/>
      <c r="D231" s="268"/>
      <c r="E231" s="268"/>
      <c r="F231" s="268"/>
      <c r="G231" s="268"/>
      <c r="H231" s="268"/>
      <c r="I231" s="268"/>
      <c r="J231" s="268"/>
      <c r="K231" s="268"/>
      <c r="L231" s="268"/>
      <c r="M231" s="268"/>
      <c r="N231" s="268"/>
      <c r="O231" s="268"/>
      <c r="P231" s="373">
        <v>0</v>
      </c>
      <c r="Q231" s="268"/>
      <c r="R231" s="360"/>
      <c r="S231" s="371"/>
      <c r="T231" s="259"/>
    </row>
    <row r="232" spans="1:20" x14ac:dyDescent="0.3">
      <c r="A232" s="362"/>
      <c r="B232" s="367"/>
      <c r="C232" s="374"/>
      <c r="D232" s="288"/>
      <c r="E232" s="288"/>
      <c r="F232" s="288"/>
      <c r="G232" s="288"/>
      <c r="H232" s="288"/>
      <c r="I232" s="288"/>
      <c r="J232" s="288"/>
      <c r="K232" s="288"/>
      <c r="L232" s="288"/>
      <c r="M232" s="288"/>
      <c r="N232" s="288"/>
      <c r="O232" s="323"/>
      <c r="P232" s="375"/>
      <c r="Q232" s="288"/>
      <c r="R232" s="364"/>
      <c r="S232" s="369"/>
      <c r="T232" s="241"/>
    </row>
    <row r="233" spans="1:20" x14ac:dyDescent="0.3">
      <c r="A233" s="362"/>
      <c r="B233" s="367"/>
      <c r="C233" s="374"/>
      <c r="D233" s="288"/>
      <c r="E233" s="288"/>
      <c r="F233" s="288"/>
      <c r="G233" s="288"/>
      <c r="H233" s="288"/>
      <c r="I233" s="288"/>
      <c r="J233" s="288"/>
      <c r="K233" s="288"/>
      <c r="L233" s="288"/>
      <c r="M233" s="288"/>
      <c r="N233" s="288"/>
      <c r="O233" s="288"/>
      <c r="P233" s="376"/>
      <c r="Q233" s="288"/>
      <c r="R233" s="364"/>
      <c r="S233" s="369"/>
      <c r="T233" s="241"/>
    </row>
    <row r="234" spans="1:20" ht="18" x14ac:dyDescent="0.35">
      <c r="A234" s="362"/>
      <c r="B234" s="423" t="s">
        <v>129</v>
      </c>
      <c r="C234" s="374"/>
      <c r="D234" s="288"/>
      <c r="E234" s="288"/>
      <c r="F234" s="288"/>
      <c r="G234" s="288"/>
      <c r="H234" s="288"/>
      <c r="I234" s="288"/>
      <c r="J234" s="288"/>
      <c r="K234" s="288"/>
      <c r="L234" s="377"/>
      <c r="M234" s="288"/>
      <c r="N234" s="459" t="s">
        <v>271</v>
      </c>
      <c r="O234" s="377"/>
      <c r="P234" s="376"/>
      <c r="Q234" s="288"/>
      <c r="R234" s="364"/>
      <c r="S234" s="369"/>
      <c r="T234" s="241"/>
    </row>
    <row r="235" spans="1:20" ht="18" x14ac:dyDescent="0.35">
      <c r="A235" s="378"/>
      <c r="B235" s="379"/>
      <c r="C235" s="380"/>
      <c r="D235" s="315"/>
      <c r="E235" s="315"/>
      <c r="F235" s="315"/>
      <c r="G235" s="315"/>
      <c r="H235" s="315"/>
      <c r="I235" s="315"/>
      <c r="J235" s="315"/>
      <c r="K235" s="315"/>
      <c r="L235" s="381"/>
      <c r="M235" s="315"/>
      <c r="N235" s="315"/>
      <c r="O235" s="315"/>
      <c r="P235" s="382"/>
      <c r="Q235" s="315"/>
      <c r="R235" s="356"/>
      <c r="S235" s="383"/>
      <c r="T235" s="241"/>
    </row>
    <row r="236" spans="1:20" x14ac:dyDescent="0.3">
      <c r="A236" s="424"/>
      <c r="B236" s="434" t="s">
        <v>153</v>
      </c>
      <c r="C236" s="435"/>
      <c r="D236" s="435"/>
      <c r="E236" s="435"/>
      <c r="F236" s="435"/>
      <c r="G236" s="435"/>
      <c r="H236" s="435"/>
      <c r="I236" s="435"/>
      <c r="J236" s="435"/>
      <c r="K236" s="435"/>
      <c r="L236" s="435"/>
      <c r="M236" s="435"/>
      <c r="N236" s="451" t="s">
        <v>83</v>
      </c>
      <c r="O236" s="435" t="s">
        <v>84</v>
      </c>
      <c r="P236" s="451" t="s">
        <v>89</v>
      </c>
      <c r="Q236" s="435" t="s">
        <v>84</v>
      </c>
      <c r="R236" s="428"/>
      <c r="S236" s="452"/>
      <c r="T236" s="241"/>
    </row>
    <row r="237" spans="1:20" s="260" customFormat="1" x14ac:dyDescent="0.3">
      <c r="A237" s="255"/>
      <c r="B237" s="327" t="s">
        <v>72</v>
      </c>
      <c r="C237" s="453"/>
      <c r="D237" s="453"/>
      <c r="E237" s="453"/>
      <c r="F237" s="453"/>
      <c r="G237" s="453"/>
      <c r="H237" s="453"/>
      <c r="I237" s="453"/>
      <c r="J237" s="453"/>
      <c r="K237" s="453"/>
      <c r="L237" s="453"/>
      <c r="M237" s="453"/>
      <c r="N237" s="327">
        <f t="shared" ref="N237:N244" si="1">+N249+N261+N273</f>
        <v>562</v>
      </c>
      <c r="O237" s="454">
        <f>N237/$N$246</f>
        <v>0.99645390070921991</v>
      </c>
      <c r="P237" s="433">
        <f t="shared" ref="P237:P244" si="2">+P249+P261+P273</f>
        <v>81581</v>
      </c>
      <c r="Q237" s="454">
        <f t="shared" ref="Q237:Q244" si="3">P237/$P$246</f>
        <v>0.99592260269791855</v>
      </c>
      <c r="R237" s="449"/>
      <c r="S237" s="455"/>
      <c r="T237" s="259"/>
    </row>
    <row r="238" spans="1:20" s="260" customFormat="1" x14ac:dyDescent="0.3">
      <c r="A238" s="275"/>
      <c r="B238" s="313" t="s">
        <v>73</v>
      </c>
      <c r="C238" s="384"/>
      <c r="D238" s="384"/>
      <c r="E238" s="384"/>
      <c r="F238" s="384"/>
      <c r="G238" s="384"/>
      <c r="H238" s="384"/>
      <c r="I238" s="384"/>
      <c r="J238" s="384"/>
      <c r="K238" s="384"/>
      <c r="L238" s="384"/>
      <c r="M238" s="384"/>
      <c r="N238" s="313">
        <f t="shared" si="1"/>
        <v>1</v>
      </c>
      <c r="O238" s="385">
        <f t="shared" ref="O238:O244" si="4">N238/$N$246</f>
        <v>1.7730496453900709E-3</v>
      </c>
      <c r="P238" s="314">
        <f t="shared" si="2"/>
        <v>139</v>
      </c>
      <c r="Q238" s="385">
        <f t="shared" si="3"/>
        <v>1.6968809131416712E-3</v>
      </c>
      <c r="R238" s="360"/>
      <c r="S238" s="371"/>
      <c r="T238" s="259"/>
    </row>
    <row r="239" spans="1:20" s="260" customFormat="1" x14ac:dyDescent="0.3">
      <c r="A239" s="275"/>
      <c r="B239" s="313" t="s">
        <v>74</v>
      </c>
      <c r="C239" s="384"/>
      <c r="D239" s="384"/>
      <c r="E239" s="384"/>
      <c r="F239" s="384"/>
      <c r="G239" s="384"/>
      <c r="H239" s="384"/>
      <c r="I239" s="384"/>
      <c r="J239" s="384"/>
      <c r="K239" s="384"/>
      <c r="L239" s="384"/>
      <c r="M239" s="384"/>
      <c r="N239" s="313">
        <f t="shared" si="1"/>
        <v>0</v>
      </c>
      <c r="O239" s="385">
        <f t="shared" si="4"/>
        <v>0</v>
      </c>
      <c r="P239" s="314">
        <f t="shared" si="2"/>
        <v>0</v>
      </c>
      <c r="Q239" s="385">
        <f t="shared" si="3"/>
        <v>0</v>
      </c>
      <c r="R239" s="360"/>
      <c r="S239" s="371"/>
      <c r="T239" s="259"/>
    </row>
    <row r="240" spans="1:20" s="260" customFormat="1" x14ac:dyDescent="0.3">
      <c r="A240" s="275"/>
      <c r="B240" s="313" t="s">
        <v>119</v>
      </c>
      <c r="C240" s="384"/>
      <c r="D240" s="384"/>
      <c r="E240" s="384"/>
      <c r="F240" s="384"/>
      <c r="G240" s="384"/>
      <c r="H240" s="384"/>
      <c r="I240" s="384"/>
      <c r="J240" s="384"/>
      <c r="K240" s="384"/>
      <c r="L240" s="384"/>
      <c r="M240" s="384"/>
      <c r="N240" s="313">
        <f t="shared" si="1"/>
        <v>0</v>
      </c>
      <c r="O240" s="385">
        <f t="shared" si="4"/>
        <v>0</v>
      </c>
      <c r="P240" s="314">
        <f t="shared" si="2"/>
        <v>0</v>
      </c>
      <c r="Q240" s="385">
        <f t="shared" si="3"/>
        <v>0</v>
      </c>
      <c r="R240" s="360"/>
      <c r="S240" s="371"/>
      <c r="T240" s="259"/>
    </row>
    <row r="241" spans="1:21" s="260" customFormat="1" x14ac:dyDescent="0.3">
      <c r="A241" s="275"/>
      <c r="B241" s="313" t="s">
        <v>120</v>
      </c>
      <c r="C241" s="384"/>
      <c r="D241" s="384"/>
      <c r="E241" s="384"/>
      <c r="F241" s="384"/>
      <c r="G241" s="384"/>
      <c r="H241" s="384"/>
      <c r="I241" s="384"/>
      <c r="J241" s="384"/>
      <c r="K241" s="384"/>
      <c r="L241" s="384"/>
      <c r="M241" s="384"/>
      <c r="N241" s="313">
        <f t="shared" si="1"/>
        <v>0</v>
      </c>
      <c r="O241" s="385">
        <f t="shared" si="4"/>
        <v>0</v>
      </c>
      <c r="P241" s="314">
        <f t="shared" si="2"/>
        <v>0</v>
      </c>
      <c r="Q241" s="385">
        <f t="shared" si="3"/>
        <v>0</v>
      </c>
      <c r="R241" s="360"/>
      <c r="S241" s="371"/>
      <c r="T241" s="259"/>
    </row>
    <row r="242" spans="1:21" s="260" customFormat="1" x14ac:dyDescent="0.3">
      <c r="A242" s="275"/>
      <c r="B242" s="313" t="s">
        <v>121</v>
      </c>
      <c r="C242" s="384"/>
      <c r="D242" s="384"/>
      <c r="E242" s="384"/>
      <c r="F242" s="384"/>
      <c r="G242" s="384"/>
      <c r="H242" s="384"/>
      <c r="I242" s="384"/>
      <c r="J242" s="384"/>
      <c r="K242" s="384"/>
      <c r="L242" s="384"/>
      <c r="M242" s="384"/>
      <c r="N242" s="313">
        <f t="shared" si="1"/>
        <v>1</v>
      </c>
      <c r="O242" s="385">
        <f t="shared" si="4"/>
        <v>1.7730496453900709E-3</v>
      </c>
      <c r="P242" s="314">
        <f t="shared" si="2"/>
        <v>195</v>
      </c>
      <c r="Q242" s="385">
        <f t="shared" si="3"/>
        <v>2.3805163889397546E-3</v>
      </c>
      <c r="R242" s="360"/>
      <c r="S242" s="371"/>
      <c r="T242" s="259"/>
    </row>
    <row r="243" spans="1:21" s="260" customFormat="1" x14ac:dyDescent="0.3">
      <c r="A243" s="275"/>
      <c r="B243" s="313" t="s">
        <v>122</v>
      </c>
      <c r="C243" s="384"/>
      <c r="D243" s="384"/>
      <c r="E243" s="384"/>
      <c r="F243" s="384"/>
      <c r="G243" s="384"/>
      <c r="H243" s="384"/>
      <c r="I243" s="384"/>
      <c r="J243" s="384"/>
      <c r="K243" s="384"/>
      <c r="L243" s="384"/>
      <c r="M243" s="384"/>
      <c r="N243" s="313">
        <f t="shared" si="1"/>
        <v>0</v>
      </c>
      <c r="O243" s="385">
        <f t="shared" si="4"/>
        <v>0</v>
      </c>
      <c r="P243" s="314">
        <f t="shared" si="2"/>
        <v>0</v>
      </c>
      <c r="Q243" s="385">
        <f t="shared" si="3"/>
        <v>0</v>
      </c>
      <c r="R243" s="360"/>
      <c r="S243" s="371"/>
      <c r="T243" s="259"/>
    </row>
    <row r="244" spans="1:21" s="260" customFormat="1" x14ac:dyDescent="0.3">
      <c r="A244" s="275"/>
      <c r="B244" s="313" t="s">
        <v>123</v>
      </c>
      <c r="C244" s="384"/>
      <c r="D244" s="384"/>
      <c r="E244" s="384"/>
      <c r="F244" s="384"/>
      <c r="G244" s="384"/>
      <c r="H244" s="384"/>
      <c r="I244" s="384"/>
      <c r="J244" s="384"/>
      <c r="K244" s="384"/>
      <c r="L244" s="384"/>
      <c r="M244" s="384"/>
      <c r="N244" s="313">
        <f t="shared" si="1"/>
        <v>0</v>
      </c>
      <c r="O244" s="385">
        <f t="shared" si="4"/>
        <v>0</v>
      </c>
      <c r="P244" s="314">
        <f t="shared" si="2"/>
        <v>0</v>
      </c>
      <c r="Q244" s="385">
        <f t="shared" si="3"/>
        <v>0</v>
      </c>
      <c r="R244" s="360"/>
      <c r="S244" s="371"/>
      <c r="T244" s="259"/>
    </row>
    <row r="245" spans="1:21" s="260" customFormat="1" x14ac:dyDescent="0.3">
      <c r="A245" s="275"/>
      <c r="B245" s="313"/>
      <c r="C245" s="384"/>
      <c r="D245" s="384"/>
      <c r="E245" s="384"/>
      <c r="F245" s="384"/>
      <c r="G245" s="384"/>
      <c r="H245" s="384"/>
      <c r="I245" s="384"/>
      <c r="J245" s="384"/>
      <c r="K245" s="384"/>
      <c r="L245" s="384"/>
      <c r="M245" s="384"/>
      <c r="N245" s="313"/>
      <c r="O245" s="385"/>
      <c r="P245" s="314"/>
      <c r="Q245" s="385"/>
      <c r="R245" s="360"/>
      <c r="S245" s="371"/>
      <c r="T245" s="259"/>
    </row>
    <row r="246" spans="1:21" s="260" customFormat="1" x14ac:dyDescent="0.3">
      <c r="A246" s="275"/>
      <c r="B246" s="268" t="s">
        <v>94</v>
      </c>
      <c r="C246" s="268"/>
      <c r="D246" s="386"/>
      <c r="E246" s="386"/>
      <c r="F246" s="386"/>
      <c r="G246" s="386"/>
      <c r="H246" s="386"/>
      <c r="I246" s="386"/>
      <c r="J246" s="386"/>
      <c r="K246" s="386"/>
      <c r="L246" s="386"/>
      <c r="M246" s="386"/>
      <c r="N246" s="313">
        <f>SUM(N237:N245)</f>
        <v>564</v>
      </c>
      <c r="O246" s="385">
        <f>SUM(O237:O245)</f>
        <v>1</v>
      </c>
      <c r="P246" s="314">
        <f>SUM(P237:P245)</f>
        <v>81915</v>
      </c>
      <c r="Q246" s="385">
        <f>SUM(Q237:Q245)</f>
        <v>1</v>
      </c>
      <c r="R246" s="268"/>
      <c r="S246" s="271"/>
      <c r="T246" s="259"/>
    </row>
    <row r="247" spans="1:21" x14ac:dyDescent="0.3">
      <c r="A247" s="243"/>
      <c r="B247" s="355"/>
      <c r="C247" s="380"/>
      <c r="D247" s="315"/>
      <c r="E247" s="315"/>
      <c r="F247" s="315"/>
      <c r="G247" s="315"/>
      <c r="H247" s="315"/>
      <c r="I247" s="315"/>
      <c r="J247" s="315"/>
      <c r="K247" s="315"/>
      <c r="L247" s="315"/>
      <c r="M247" s="315"/>
      <c r="N247" s="315"/>
      <c r="O247" s="315"/>
      <c r="P247" s="382"/>
      <c r="Q247" s="315"/>
      <c r="R247" s="315"/>
      <c r="S247" s="246"/>
      <c r="T247" s="241"/>
    </row>
    <row r="248" spans="1:21" x14ac:dyDescent="0.3">
      <c r="A248" s="424"/>
      <c r="B248" s="434" t="s">
        <v>124</v>
      </c>
      <c r="C248" s="435"/>
      <c r="D248" s="435"/>
      <c r="E248" s="435"/>
      <c r="F248" s="435"/>
      <c r="G248" s="435"/>
      <c r="H248" s="435"/>
      <c r="I248" s="435"/>
      <c r="J248" s="435"/>
      <c r="K248" s="435"/>
      <c r="L248" s="435"/>
      <c r="M248" s="435"/>
      <c r="N248" s="451" t="s">
        <v>83</v>
      </c>
      <c r="O248" s="435" t="s">
        <v>84</v>
      </c>
      <c r="P248" s="451" t="s">
        <v>89</v>
      </c>
      <c r="Q248" s="435" t="s">
        <v>84</v>
      </c>
      <c r="R248" s="428"/>
      <c r="S248" s="452"/>
      <c r="T248" s="241"/>
    </row>
    <row r="249" spans="1:21" s="260" customFormat="1" x14ac:dyDescent="0.3">
      <c r="A249" s="255"/>
      <c r="B249" s="327" t="s">
        <v>72</v>
      </c>
      <c r="C249" s="453"/>
      <c r="D249" s="453"/>
      <c r="E249" s="453"/>
      <c r="F249" s="453"/>
      <c r="G249" s="453"/>
      <c r="H249" s="453"/>
      <c r="I249" s="453"/>
      <c r="J249" s="453"/>
      <c r="K249" s="453"/>
      <c r="L249" s="453"/>
      <c r="M249" s="453"/>
      <c r="N249" s="327">
        <v>562</v>
      </c>
      <c r="O249" s="454">
        <f>N249/$N$258</f>
        <v>0.9982238010657194</v>
      </c>
      <c r="P249" s="433">
        <v>81581</v>
      </c>
      <c r="Q249" s="454">
        <f t="shared" ref="Q249:Q256" si="5">P249/$P$258</f>
        <v>0.9982990699951052</v>
      </c>
      <c r="R249" s="449"/>
      <c r="S249" s="455"/>
      <c r="T249" s="259"/>
    </row>
    <row r="250" spans="1:21" s="260" customFormat="1" x14ac:dyDescent="0.3">
      <c r="A250" s="275"/>
      <c r="B250" s="313" t="s">
        <v>73</v>
      </c>
      <c r="C250" s="384"/>
      <c r="D250" s="384"/>
      <c r="E250" s="384"/>
      <c r="F250" s="384"/>
      <c r="G250" s="384"/>
      <c r="H250" s="384"/>
      <c r="I250" s="384"/>
      <c r="J250" s="384"/>
      <c r="K250" s="384"/>
      <c r="L250" s="384"/>
      <c r="M250" s="384"/>
      <c r="N250" s="313">
        <v>1</v>
      </c>
      <c r="O250" s="385">
        <f t="shared" ref="O250:O256" si="6">N250/$N$258</f>
        <v>1.7761989342806395E-3</v>
      </c>
      <c r="P250" s="314">
        <v>139</v>
      </c>
      <c r="Q250" s="385">
        <f t="shared" si="5"/>
        <v>1.7009300048947626E-3</v>
      </c>
      <c r="R250" s="360"/>
      <c r="S250" s="371"/>
      <c r="T250" s="259"/>
      <c r="U250" s="325"/>
    </row>
    <row r="251" spans="1:21" s="260" customFormat="1" x14ac:dyDescent="0.3">
      <c r="A251" s="275"/>
      <c r="B251" s="313" t="s">
        <v>74</v>
      </c>
      <c r="C251" s="384"/>
      <c r="D251" s="384"/>
      <c r="E251" s="384"/>
      <c r="F251" s="384"/>
      <c r="G251" s="384"/>
      <c r="H251" s="384"/>
      <c r="I251" s="384"/>
      <c r="J251" s="384"/>
      <c r="K251" s="384"/>
      <c r="L251" s="384"/>
      <c r="M251" s="384"/>
      <c r="N251" s="313">
        <v>0</v>
      </c>
      <c r="O251" s="385">
        <f t="shared" si="6"/>
        <v>0</v>
      </c>
      <c r="P251" s="314">
        <v>0</v>
      </c>
      <c r="Q251" s="385">
        <f t="shared" si="5"/>
        <v>0</v>
      </c>
      <c r="R251" s="360"/>
      <c r="S251" s="371"/>
      <c r="T251" s="259"/>
    </row>
    <row r="252" spans="1:21" s="260" customFormat="1" x14ac:dyDescent="0.3">
      <c r="A252" s="275"/>
      <c r="B252" s="313" t="s">
        <v>119</v>
      </c>
      <c r="C252" s="384"/>
      <c r="D252" s="384"/>
      <c r="E252" s="384"/>
      <c r="F252" s="384"/>
      <c r="G252" s="384"/>
      <c r="H252" s="384"/>
      <c r="I252" s="384"/>
      <c r="J252" s="384"/>
      <c r="K252" s="384"/>
      <c r="L252" s="384"/>
      <c r="M252" s="384"/>
      <c r="N252" s="313">
        <v>0</v>
      </c>
      <c r="O252" s="385">
        <f t="shared" si="6"/>
        <v>0</v>
      </c>
      <c r="P252" s="314">
        <v>0</v>
      </c>
      <c r="Q252" s="385">
        <f t="shared" si="5"/>
        <v>0</v>
      </c>
      <c r="R252" s="360"/>
      <c r="S252" s="371"/>
      <c r="T252" s="259"/>
      <c r="U252" s="325"/>
    </row>
    <row r="253" spans="1:21" s="260" customFormat="1" x14ac:dyDescent="0.3">
      <c r="A253" s="275"/>
      <c r="B253" s="313" t="s">
        <v>120</v>
      </c>
      <c r="C253" s="384"/>
      <c r="D253" s="384"/>
      <c r="E253" s="384"/>
      <c r="F253" s="384"/>
      <c r="G253" s="384"/>
      <c r="H253" s="384"/>
      <c r="I253" s="384"/>
      <c r="J253" s="384"/>
      <c r="K253" s="384"/>
      <c r="L253" s="384"/>
      <c r="M253" s="384"/>
      <c r="N253" s="313">
        <v>0</v>
      </c>
      <c r="O253" s="385">
        <f t="shared" si="6"/>
        <v>0</v>
      </c>
      <c r="P253" s="314">
        <v>0</v>
      </c>
      <c r="Q253" s="385">
        <f t="shared" si="5"/>
        <v>0</v>
      </c>
      <c r="R253" s="360"/>
      <c r="S253" s="371"/>
      <c r="T253" s="259"/>
    </row>
    <row r="254" spans="1:21" s="260" customFormat="1" x14ac:dyDescent="0.3">
      <c r="A254" s="275"/>
      <c r="B254" s="313" t="s">
        <v>121</v>
      </c>
      <c r="C254" s="384"/>
      <c r="D254" s="384"/>
      <c r="E254" s="384"/>
      <c r="F254" s="384"/>
      <c r="G254" s="384"/>
      <c r="H254" s="384"/>
      <c r="I254" s="384"/>
      <c r="J254" s="384"/>
      <c r="K254" s="384"/>
      <c r="L254" s="384"/>
      <c r="M254" s="384"/>
      <c r="N254" s="313">
        <v>0</v>
      </c>
      <c r="O254" s="385">
        <f t="shared" si="6"/>
        <v>0</v>
      </c>
      <c r="P254" s="314">
        <v>0</v>
      </c>
      <c r="Q254" s="385">
        <f t="shared" si="5"/>
        <v>0</v>
      </c>
      <c r="R254" s="360"/>
      <c r="S254" s="371"/>
      <c r="T254" s="259"/>
      <c r="U254" s="325"/>
    </row>
    <row r="255" spans="1:21" s="260" customFormat="1" x14ac:dyDescent="0.3">
      <c r="A255" s="275"/>
      <c r="B255" s="313" t="s">
        <v>122</v>
      </c>
      <c r="C255" s="384"/>
      <c r="D255" s="384"/>
      <c r="E255" s="384"/>
      <c r="F255" s="384"/>
      <c r="G255" s="384"/>
      <c r="H255" s="384"/>
      <c r="I255" s="384"/>
      <c r="J255" s="384"/>
      <c r="K255" s="384"/>
      <c r="L255" s="384"/>
      <c r="M255" s="384"/>
      <c r="N255" s="313">
        <v>0</v>
      </c>
      <c r="O255" s="385">
        <f t="shared" si="6"/>
        <v>0</v>
      </c>
      <c r="P255" s="314">
        <v>0</v>
      </c>
      <c r="Q255" s="385">
        <f t="shared" si="5"/>
        <v>0</v>
      </c>
      <c r="R255" s="360"/>
      <c r="S255" s="371"/>
      <c r="T255" s="259"/>
    </row>
    <row r="256" spans="1:21" s="260" customFormat="1" x14ac:dyDescent="0.3">
      <c r="A256" s="275"/>
      <c r="B256" s="313" t="s">
        <v>123</v>
      </c>
      <c r="C256" s="384"/>
      <c r="D256" s="384"/>
      <c r="E256" s="384"/>
      <c r="F256" s="384"/>
      <c r="G256" s="384"/>
      <c r="H256" s="384"/>
      <c r="I256" s="384"/>
      <c r="J256" s="384"/>
      <c r="K256" s="384"/>
      <c r="L256" s="384"/>
      <c r="M256" s="384"/>
      <c r="N256" s="313">
        <v>0</v>
      </c>
      <c r="O256" s="385">
        <f t="shared" si="6"/>
        <v>0</v>
      </c>
      <c r="P256" s="314">
        <v>0</v>
      </c>
      <c r="Q256" s="385">
        <f t="shared" si="5"/>
        <v>0</v>
      </c>
      <c r="R256" s="360"/>
      <c r="S256" s="371"/>
      <c r="T256" s="259"/>
      <c r="U256" s="325"/>
    </row>
    <row r="257" spans="1:20" s="260" customFormat="1" x14ac:dyDescent="0.3">
      <c r="A257" s="275"/>
      <c r="B257" s="313"/>
      <c r="C257" s="384"/>
      <c r="D257" s="384"/>
      <c r="E257" s="384"/>
      <c r="F257" s="384"/>
      <c r="G257" s="384"/>
      <c r="H257" s="384"/>
      <c r="I257" s="384"/>
      <c r="J257" s="384"/>
      <c r="K257" s="384"/>
      <c r="L257" s="384"/>
      <c r="M257" s="384"/>
      <c r="N257" s="313"/>
      <c r="O257" s="385"/>
      <c r="P257" s="314"/>
      <c r="Q257" s="385"/>
      <c r="R257" s="360"/>
      <c r="S257" s="371"/>
      <c r="T257" s="259"/>
    </row>
    <row r="258" spans="1:20" s="260" customFormat="1" x14ac:dyDescent="0.3">
      <c r="A258" s="275"/>
      <c r="B258" s="268" t="s">
        <v>94</v>
      </c>
      <c r="C258" s="268"/>
      <c r="D258" s="386"/>
      <c r="E258" s="386"/>
      <c r="F258" s="386"/>
      <c r="G258" s="386"/>
      <c r="H258" s="386"/>
      <c r="I258" s="386"/>
      <c r="J258" s="386"/>
      <c r="K258" s="386"/>
      <c r="L258" s="386"/>
      <c r="M258" s="386"/>
      <c r="N258" s="313">
        <f>SUM(N249:N257)</f>
        <v>563</v>
      </c>
      <c r="O258" s="385">
        <f>SUM(O249:O257)</f>
        <v>1</v>
      </c>
      <c r="P258" s="314">
        <f>SUM(P249:P257)</f>
        <v>81720</v>
      </c>
      <c r="Q258" s="385">
        <f>SUM(Q249:Q257)</f>
        <v>1</v>
      </c>
      <c r="R258" s="268"/>
      <c r="S258" s="271"/>
      <c r="T258" s="259"/>
    </row>
    <row r="259" spans="1:20" x14ac:dyDescent="0.3">
      <c r="A259" s="243"/>
      <c r="B259" s="315"/>
      <c r="C259" s="315"/>
      <c r="D259" s="387"/>
      <c r="E259" s="387"/>
      <c r="F259" s="387"/>
      <c r="G259" s="387"/>
      <c r="H259" s="387"/>
      <c r="I259" s="387"/>
      <c r="J259" s="387"/>
      <c r="K259" s="387"/>
      <c r="L259" s="387"/>
      <c r="M259" s="387"/>
      <c r="N259" s="316"/>
      <c r="O259" s="388"/>
      <c r="P259" s="389"/>
      <c r="Q259" s="388"/>
      <c r="R259" s="315"/>
      <c r="S259" s="246"/>
      <c r="T259" s="241"/>
    </row>
    <row r="260" spans="1:20" x14ac:dyDescent="0.3">
      <c r="A260" s="424"/>
      <c r="B260" s="434" t="s">
        <v>146</v>
      </c>
      <c r="C260" s="435"/>
      <c r="D260" s="435"/>
      <c r="E260" s="435"/>
      <c r="F260" s="435"/>
      <c r="G260" s="435"/>
      <c r="H260" s="435"/>
      <c r="I260" s="435"/>
      <c r="J260" s="435"/>
      <c r="K260" s="435"/>
      <c r="L260" s="435"/>
      <c r="M260" s="435"/>
      <c r="N260" s="451" t="s">
        <v>83</v>
      </c>
      <c r="O260" s="435" t="s">
        <v>84</v>
      </c>
      <c r="P260" s="451" t="s">
        <v>89</v>
      </c>
      <c r="Q260" s="435" t="s">
        <v>84</v>
      </c>
      <c r="R260" s="428"/>
      <c r="S260" s="426"/>
      <c r="T260" s="241"/>
    </row>
    <row r="261" spans="1:20" s="260" customFormat="1" x14ac:dyDescent="0.3">
      <c r="A261" s="255"/>
      <c r="B261" s="327" t="s">
        <v>72</v>
      </c>
      <c r="C261" s="453"/>
      <c r="D261" s="453"/>
      <c r="E261" s="453"/>
      <c r="F261" s="453"/>
      <c r="G261" s="453"/>
      <c r="H261" s="453"/>
      <c r="I261" s="453"/>
      <c r="J261" s="453"/>
      <c r="K261" s="453"/>
      <c r="L261" s="453"/>
      <c r="M261" s="453"/>
      <c r="N261" s="327">
        <v>0</v>
      </c>
      <c r="O261" s="454">
        <v>0</v>
      </c>
      <c r="P261" s="433">
        <v>0</v>
      </c>
      <c r="Q261" s="454">
        <v>0</v>
      </c>
      <c r="R261" s="302"/>
      <c r="S261" s="258"/>
      <c r="T261" s="259"/>
    </row>
    <row r="262" spans="1:20" s="260" customFormat="1" x14ac:dyDescent="0.3">
      <c r="A262" s="275"/>
      <c r="B262" s="313" t="s">
        <v>73</v>
      </c>
      <c r="C262" s="384"/>
      <c r="D262" s="384"/>
      <c r="E262" s="384"/>
      <c r="F262" s="384"/>
      <c r="G262" s="384"/>
      <c r="H262" s="384"/>
      <c r="I262" s="384"/>
      <c r="J262" s="384"/>
      <c r="K262" s="384"/>
      <c r="L262" s="384"/>
      <c r="M262" s="384"/>
      <c r="N262" s="313">
        <v>0</v>
      </c>
      <c r="O262" s="385">
        <v>0</v>
      </c>
      <c r="P262" s="314">
        <v>0</v>
      </c>
      <c r="Q262" s="385">
        <v>0</v>
      </c>
      <c r="R262" s="268"/>
      <c r="S262" s="271"/>
      <c r="T262" s="259"/>
    </row>
    <row r="263" spans="1:20" s="260" customFormat="1" x14ac:dyDescent="0.3">
      <c r="A263" s="275"/>
      <c r="B263" s="313" t="s">
        <v>74</v>
      </c>
      <c r="C263" s="384"/>
      <c r="D263" s="384"/>
      <c r="E263" s="384"/>
      <c r="F263" s="384"/>
      <c r="G263" s="384"/>
      <c r="H263" s="384"/>
      <c r="I263" s="384"/>
      <c r="J263" s="384"/>
      <c r="K263" s="384"/>
      <c r="L263" s="384"/>
      <c r="M263" s="384"/>
      <c r="N263" s="313">
        <v>0</v>
      </c>
      <c r="O263" s="385">
        <v>0</v>
      </c>
      <c r="P263" s="314">
        <v>0</v>
      </c>
      <c r="Q263" s="385">
        <v>0</v>
      </c>
      <c r="R263" s="268"/>
      <c r="S263" s="271"/>
      <c r="T263" s="259"/>
    </row>
    <row r="264" spans="1:20" s="260" customFormat="1" x14ac:dyDescent="0.3">
      <c r="A264" s="275"/>
      <c r="B264" s="313" t="s">
        <v>119</v>
      </c>
      <c r="C264" s="384"/>
      <c r="D264" s="384"/>
      <c r="E264" s="384"/>
      <c r="F264" s="384"/>
      <c r="G264" s="384"/>
      <c r="H264" s="384"/>
      <c r="I264" s="384"/>
      <c r="J264" s="384"/>
      <c r="K264" s="384"/>
      <c r="L264" s="384"/>
      <c r="M264" s="384"/>
      <c r="N264" s="313">
        <v>0</v>
      </c>
      <c r="O264" s="385">
        <v>0</v>
      </c>
      <c r="P264" s="314">
        <v>0</v>
      </c>
      <c r="Q264" s="385">
        <v>0</v>
      </c>
      <c r="R264" s="268"/>
      <c r="S264" s="271"/>
      <c r="T264" s="259"/>
    </row>
    <row r="265" spans="1:20" s="260" customFormat="1" x14ac:dyDescent="0.3">
      <c r="A265" s="275"/>
      <c r="B265" s="313" t="s">
        <v>120</v>
      </c>
      <c r="C265" s="384"/>
      <c r="D265" s="384"/>
      <c r="E265" s="384"/>
      <c r="F265" s="384"/>
      <c r="G265" s="384"/>
      <c r="H265" s="384"/>
      <c r="I265" s="384"/>
      <c r="J265" s="384"/>
      <c r="K265" s="384"/>
      <c r="L265" s="384"/>
      <c r="M265" s="384"/>
      <c r="N265" s="313">
        <v>0</v>
      </c>
      <c r="O265" s="385">
        <v>0</v>
      </c>
      <c r="P265" s="314">
        <v>0</v>
      </c>
      <c r="Q265" s="385">
        <v>0</v>
      </c>
      <c r="R265" s="268"/>
      <c r="S265" s="271"/>
      <c r="T265" s="259"/>
    </row>
    <row r="266" spans="1:20" s="260" customFormat="1" x14ac:dyDescent="0.3">
      <c r="A266" s="275"/>
      <c r="B266" s="313" t="s">
        <v>121</v>
      </c>
      <c r="C266" s="384"/>
      <c r="D266" s="384"/>
      <c r="E266" s="384"/>
      <c r="F266" s="384"/>
      <c r="G266" s="384"/>
      <c r="H266" s="384"/>
      <c r="I266" s="384"/>
      <c r="J266" s="384"/>
      <c r="K266" s="384"/>
      <c r="L266" s="384"/>
      <c r="M266" s="384"/>
      <c r="N266" s="313">
        <v>1</v>
      </c>
      <c r="O266" s="385">
        <v>1</v>
      </c>
      <c r="P266" s="314">
        <v>195</v>
      </c>
      <c r="Q266" s="385">
        <v>1</v>
      </c>
      <c r="R266" s="268"/>
      <c r="S266" s="271"/>
      <c r="T266" s="259"/>
    </row>
    <row r="267" spans="1:20" s="260" customFormat="1" x14ac:dyDescent="0.3">
      <c r="A267" s="275"/>
      <c r="B267" s="313" t="s">
        <v>122</v>
      </c>
      <c r="C267" s="384"/>
      <c r="D267" s="384"/>
      <c r="E267" s="384"/>
      <c r="F267" s="384"/>
      <c r="G267" s="384"/>
      <c r="H267" s="384"/>
      <c r="I267" s="384"/>
      <c r="J267" s="384"/>
      <c r="K267" s="384"/>
      <c r="L267" s="384"/>
      <c r="M267" s="384"/>
      <c r="N267" s="313">
        <v>0</v>
      </c>
      <c r="O267" s="385">
        <v>0</v>
      </c>
      <c r="P267" s="314">
        <v>0</v>
      </c>
      <c r="Q267" s="385">
        <v>0</v>
      </c>
      <c r="R267" s="268"/>
      <c r="S267" s="271"/>
      <c r="T267" s="259"/>
    </row>
    <row r="268" spans="1:20" s="260" customFormat="1" x14ac:dyDescent="0.3">
      <c r="A268" s="275"/>
      <c r="B268" s="313" t="s">
        <v>123</v>
      </c>
      <c r="C268" s="384"/>
      <c r="D268" s="384"/>
      <c r="E268" s="384"/>
      <c r="F268" s="384"/>
      <c r="G268" s="384"/>
      <c r="H268" s="384"/>
      <c r="I268" s="384"/>
      <c r="J268" s="384"/>
      <c r="K268" s="384"/>
      <c r="L268" s="384"/>
      <c r="M268" s="384"/>
      <c r="N268" s="313">
        <v>0</v>
      </c>
      <c r="O268" s="385">
        <v>0</v>
      </c>
      <c r="P268" s="314">
        <v>0</v>
      </c>
      <c r="Q268" s="385">
        <v>0</v>
      </c>
      <c r="R268" s="268"/>
      <c r="S268" s="271"/>
      <c r="T268" s="259"/>
    </row>
    <row r="269" spans="1:20" s="260" customFormat="1" x14ac:dyDescent="0.3">
      <c r="A269" s="275"/>
      <c r="B269" s="313"/>
      <c r="C269" s="384"/>
      <c r="D269" s="384"/>
      <c r="E269" s="384"/>
      <c r="F269" s="384"/>
      <c r="G269" s="384"/>
      <c r="H269" s="384"/>
      <c r="I269" s="384"/>
      <c r="J269" s="384"/>
      <c r="K269" s="384"/>
      <c r="L269" s="384"/>
      <c r="M269" s="384"/>
      <c r="N269" s="313"/>
      <c r="O269" s="385"/>
      <c r="P269" s="314"/>
      <c r="Q269" s="385"/>
      <c r="R269" s="268"/>
      <c r="S269" s="271"/>
      <c r="T269" s="259"/>
    </row>
    <row r="270" spans="1:20" s="260" customFormat="1" x14ac:dyDescent="0.3">
      <c r="A270" s="275"/>
      <c r="B270" s="268" t="s">
        <v>94</v>
      </c>
      <c r="C270" s="268"/>
      <c r="D270" s="386"/>
      <c r="E270" s="386"/>
      <c r="F270" s="386"/>
      <c r="G270" s="386"/>
      <c r="H270" s="386"/>
      <c r="I270" s="386"/>
      <c r="J270" s="386"/>
      <c r="K270" s="386"/>
      <c r="L270" s="386"/>
      <c r="M270" s="386"/>
      <c r="N270" s="313">
        <f>SUM(N261:N269)</f>
        <v>1</v>
      </c>
      <c r="O270" s="385">
        <f>SUM(O261:O269)</f>
        <v>1</v>
      </c>
      <c r="P270" s="314">
        <f>SUM(P261:P269)</f>
        <v>195</v>
      </c>
      <c r="Q270" s="385">
        <f>SUM(Q261:Q269)</f>
        <v>1</v>
      </c>
      <c r="R270" s="268"/>
      <c r="S270" s="271"/>
      <c r="T270" s="259"/>
    </row>
    <row r="271" spans="1:20" x14ac:dyDescent="0.3">
      <c r="A271" s="243"/>
      <c r="B271" s="315"/>
      <c r="C271" s="315"/>
      <c r="D271" s="387"/>
      <c r="E271" s="387"/>
      <c r="F271" s="387"/>
      <c r="G271" s="387"/>
      <c r="H271" s="387"/>
      <c r="I271" s="387"/>
      <c r="J271" s="387"/>
      <c r="K271" s="387"/>
      <c r="L271" s="387"/>
      <c r="M271" s="387"/>
      <c r="N271" s="316"/>
      <c r="O271" s="388"/>
      <c r="P271" s="389"/>
      <c r="Q271" s="388"/>
      <c r="R271" s="315"/>
      <c r="S271" s="246"/>
      <c r="T271" s="241"/>
    </row>
    <row r="272" spans="1:20" x14ac:dyDescent="0.3">
      <c r="A272" s="424"/>
      <c r="B272" s="434" t="s">
        <v>125</v>
      </c>
      <c r="C272" s="428"/>
      <c r="D272" s="457"/>
      <c r="E272" s="457"/>
      <c r="F272" s="457"/>
      <c r="G272" s="457"/>
      <c r="H272" s="457"/>
      <c r="I272" s="457"/>
      <c r="J272" s="457"/>
      <c r="K272" s="457"/>
      <c r="L272" s="457"/>
      <c r="M272" s="457"/>
      <c r="N272" s="451" t="s">
        <v>83</v>
      </c>
      <c r="O272" s="435" t="s">
        <v>84</v>
      </c>
      <c r="P272" s="451" t="s">
        <v>89</v>
      </c>
      <c r="Q272" s="435" t="s">
        <v>84</v>
      </c>
      <c r="R272" s="428"/>
      <c r="S272" s="426"/>
      <c r="T272" s="241"/>
    </row>
    <row r="273" spans="1:20" s="260" customFormat="1" x14ac:dyDescent="0.3">
      <c r="A273" s="255"/>
      <c r="B273" s="327" t="s">
        <v>72</v>
      </c>
      <c r="C273" s="302"/>
      <c r="D273" s="456"/>
      <c r="E273" s="456"/>
      <c r="F273" s="456"/>
      <c r="G273" s="456"/>
      <c r="H273" s="456"/>
      <c r="I273" s="456"/>
      <c r="J273" s="456"/>
      <c r="K273" s="456"/>
      <c r="L273" s="456"/>
      <c r="M273" s="456"/>
      <c r="N273" s="327">
        <v>0</v>
      </c>
      <c r="O273" s="454">
        <v>0</v>
      </c>
      <c r="P273" s="433">
        <v>0</v>
      </c>
      <c r="Q273" s="454">
        <v>0</v>
      </c>
      <c r="R273" s="302"/>
      <c r="S273" s="258"/>
      <c r="T273" s="259"/>
    </row>
    <row r="274" spans="1:20" s="260" customFormat="1" x14ac:dyDescent="0.3">
      <c r="A274" s="275"/>
      <c r="B274" s="313" t="s">
        <v>73</v>
      </c>
      <c r="C274" s="268"/>
      <c r="D274" s="386"/>
      <c r="E274" s="386"/>
      <c r="F274" s="386"/>
      <c r="G274" s="386"/>
      <c r="H274" s="386"/>
      <c r="I274" s="386"/>
      <c r="J274" s="386"/>
      <c r="K274" s="386"/>
      <c r="L274" s="386"/>
      <c r="M274" s="386"/>
      <c r="N274" s="313">
        <v>0</v>
      </c>
      <c r="O274" s="385">
        <v>0</v>
      </c>
      <c r="P274" s="314">
        <v>0</v>
      </c>
      <c r="Q274" s="385">
        <v>0</v>
      </c>
      <c r="R274" s="268"/>
      <c r="S274" s="271"/>
      <c r="T274" s="259"/>
    </row>
    <row r="275" spans="1:20" s="260" customFormat="1" x14ac:dyDescent="0.3">
      <c r="A275" s="275"/>
      <c r="B275" s="313" t="s">
        <v>74</v>
      </c>
      <c r="C275" s="268"/>
      <c r="D275" s="386"/>
      <c r="E275" s="386"/>
      <c r="F275" s="386"/>
      <c r="G275" s="386"/>
      <c r="H275" s="386"/>
      <c r="I275" s="386"/>
      <c r="J275" s="386"/>
      <c r="K275" s="386"/>
      <c r="L275" s="386"/>
      <c r="M275" s="386"/>
      <c r="N275" s="313">
        <v>0</v>
      </c>
      <c r="O275" s="385">
        <v>0</v>
      </c>
      <c r="P275" s="314">
        <v>0</v>
      </c>
      <c r="Q275" s="385">
        <v>0</v>
      </c>
      <c r="R275" s="268"/>
      <c r="S275" s="271"/>
      <c r="T275" s="259"/>
    </row>
    <row r="276" spans="1:20" s="260" customFormat="1" x14ac:dyDescent="0.3">
      <c r="A276" s="275"/>
      <c r="B276" s="313" t="s">
        <v>119</v>
      </c>
      <c r="C276" s="268"/>
      <c r="D276" s="386"/>
      <c r="E276" s="386"/>
      <c r="F276" s="386"/>
      <c r="G276" s="386"/>
      <c r="H276" s="386"/>
      <c r="I276" s="386"/>
      <c r="J276" s="386"/>
      <c r="K276" s="386"/>
      <c r="L276" s="386"/>
      <c r="M276" s="386"/>
      <c r="N276" s="313">
        <v>0</v>
      </c>
      <c r="O276" s="385">
        <v>0</v>
      </c>
      <c r="P276" s="314">
        <v>0</v>
      </c>
      <c r="Q276" s="385">
        <v>0</v>
      </c>
      <c r="R276" s="268"/>
      <c r="S276" s="271"/>
      <c r="T276" s="259"/>
    </row>
    <row r="277" spans="1:20" s="260" customFormat="1" x14ac:dyDescent="0.3">
      <c r="A277" s="275"/>
      <c r="B277" s="313" t="s">
        <v>120</v>
      </c>
      <c r="C277" s="268"/>
      <c r="D277" s="386"/>
      <c r="E277" s="386"/>
      <c r="F277" s="386"/>
      <c r="G277" s="386"/>
      <c r="H277" s="386"/>
      <c r="I277" s="386"/>
      <c r="J277" s="386"/>
      <c r="K277" s="386"/>
      <c r="L277" s="386"/>
      <c r="M277" s="386"/>
      <c r="N277" s="313">
        <v>0</v>
      </c>
      <c r="O277" s="385">
        <v>0</v>
      </c>
      <c r="P277" s="314">
        <v>0</v>
      </c>
      <c r="Q277" s="385">
        <v>0</v>
      </c>
      <c r="R277" s="268"/>
      <c r="S277" s="271"/>
      <c r="T277" s="259"/>
    </row>
    <row r="278" spans="1:20" s="260" customFormat="1" x14ac:dyDescent="0.3">
      <c r="A278" s="275"/>
      <c r="B278" s="313" t="s">
        <v>121</v>
      </c>
      <c r="C278" s="268"/>
      <c r="D278" s="386"/>
      <c r="E278" s="386"/>
      <c r="F278" s="386"/>
      <c r="G278" s="386"/>
      <c r="H278" s="386"/>
      <c r="I278" s="386"/>
      <c r="J278" s="386"/>
      <c r="K278" s="386"/>
      <c r="L278" s="386"/>
      <c r="M278" s="386"/>
      <c r="N278" s="313">
        <v>0</v>
      </c>
      <c r="O278" s="385">
        <v>0</v>
      </c>
      <c r="P278" s="314">
        <v>0</v>
      </c>
      <c r="Q278" s="385">
        <v>0</v>
      </c>
      <c r="R278" s="268"/>
      <c r="S278" s="271"/>
      <c r="T278" s="259"/>
    </row>
    <row r="279" spans="1:20" s="260" customFormat="1" x14ac:dyDescent="0.3">
      <c r="A279" s="275"/>
      <c r="B279" s="313" t="s">
        <v>122</v>
      </c>
      <c r="C279" s="268"/>
      <c r="D279" s="386"/>
      <c r="E279" s="386"/>
      <c r="F279" s="386"/>
      <c r="G279" s="386"/>
      <c r="H279" s="386"/>
      <c r="I279" s="386"/>
      <c r="J279" s="386"/>
      <c r="K279" s="386"/>
      <c r="L279" s="386"/>
      <c r="M279" s="386"/>
      <c r="N279" s="313">
        <v>0</v>
      </c>
      <c r="O279" s="385">
        <v>0</v>
      </c>
      <c r="P279" s="314">
        <v>0</v>
      </c>
      <c r="Q279" s="385">
        <v>0</v>
      </c>
      <c r="R279" s="268"/>
      <c r="S279" s="271"/>
      <c r="T279" s="259"/>
    </row>
    <row r="280" spans="1:20" s="260" customFormat="1" x14ac:dyDescent="0.3">
      <c r="A280" s="275"/>
      <c r="B280" s="313" t="s">
        <v>123</v>
      </c>
      <c r="C280" s="268"/>
      <c r="D280" s="386"/>
      <c r="E280" s="386"/>
      <c r="F280" s="386"/>
      <c r="G280" s="386"/>
      <c r="H280" s="386"/>
      <c r="I280" s="386"/>
      <c r="J280" s="386"/>
      <c r="K280" s="386"/>
      <c r="L280" s="386"/>
      <c r="M280" s="386"/>
      <c r="N280" s="313">
        <v>0</v>
      </c>
      <c r="O280" s="385">
        <v>0</v>
      </c>
      <c r="P280" s="314">
        <v>0</v>
      </c>
      <c r="Q280" s="385">
        <v>0</v>
      </c>
      <c r="R280" s="268"/>
      <c r="S280" s="271"/>
      <c r="T280" s="259"/>
    </row>
    <row r="281" spans="1:20" s="260" customFormat="1" x14ac:dyDescent="0.3">
      <c r="A281" s="275"/>
      <c r="B281" s="313"/>
      <c r="C281" s="268"/>
      <c r="D281" s="386"/>
      <c r="E281" s="386"/>
      <c r="F281" s="386"/>
      <c r="G281" s="386"/>
      <c r="H281" s="386"/>
      <c r="I281" s="386"/>
      <c r="J281" s="386"/>
      <c r="K281" s="386"/>
      <c r="L281" s="386"/>
      <c r="M281" s="386"/>
      <c r="N281" s="313"/>
      <c r="O281" s="385"/>
      <c r="P281" s="314"/>
      <c r="Q281" s="385"/>
      <c r="R281" s="268"/>
      <c r="S281" s="271"/>
      <c r="T281" s="259"/>
    </row>
    <row r="282" spans="1:20" s="260" customFormat="1" x14ac:dyDescent="0.3">
      <c r="A282" s="275"/>
      <c r="B282" s="268" t="s">
        <v>94</v>
      </c>
      <c r="C282" s="268"/>
      <c r="D282" s="386"/>
      <c r="E282" s="386"/>
      <c r="F282" s="386"/>
      <c r="G282" s="386"/>
      <c r="H282" s="386"/>
      <c r="I282" s="386"/>
      <c r="J282" s="386"/>
      <c r="K282" s="386"/>
      <c r="L282" s="386"/>
      <c r="M282" s="386"/>
      <c r="N282" s="313">
        <f>SUM(N273:N280)</f>
        <v>0</v>
      </c>
      <c r="O282" s="385">
        <f>SUM(O273:O280)</f>
        <v>0</v>
      </c>
      <c r="P282" s="314">
        <f>SUM(P273:P280)</f>
        <v>0</v>
      </c>
      <c r="Q282" s="385">
        <f>SUM(Q273:Q280)</f>
        <v>0</v>
      </c>
      <c r="R282" s="268"/>
      <c r="S282" s="271"/>
      <c r="T282" s="259"/>
    </row>
    <row r="283" spans="1:20" s="260" customFormat="1" x14ac:dyDescent="0.3">
      <c r="A283" s="275"/>
      <c r="B283" s="268"/>
      <c r="C283" s="268"/>
      <c r="D283" s="386"/>
      <c r="E283" s="386"/>
      <c r="F283" s="386"/>
      <c r="G283" s="386"/>
      <c r="H283" s="386"/>
      <c r="I283" s="386"/>
      <c r="J283" s="386"/>
      <c r="K283" s="386"/>
      <c r="L283" s="386"/>
      <c r="M283" s="386"/>
      <c r="N283" s="313"/>
      <c r="O283" s="385"/>
      <c r="P283" s="314"/>
      <c r="Q283" s="385"/>
      <c r="R283" s="268"/>
      <c r="S283" s="271"/>
      <c r="T283" s="259"/>
    </row>
    <row r="284" spans="1:20" s="260" customFormat="1" x14ac:dyDescent="0.3">
      <c r="A284" s="275"/>
      <c r="B284" s="272" t="s">
        <v>182</v>
      </c>
      <c r="C284" s="268"/>
      <c r="D284" s="386"/>
      <c r="E284" s="386"/>
      <c r="F284" s="386"/>
      <c r="G284" s="386"/>
      <c r="H284" s="386"/>
      <c r="I284" s="386"/>
      <c r="J284" s="386"/>
      <c r="K284" s="386"/>
      <c r="L284" s="386"/>
      <c r="M284" s="386"/>
      <c r="N284" s="390">
        <f>N282+N270+N258</f>
        <v>564</v>
      </c>
      <c r="O284" s="385"/>
      <c r="P284" s="391">
        <f>+P282+P270+P258</f>
        <v>81915</v>
      </c>
      <c r="Q284" s="385"/>
      <c r="R284" s="268"/>
      <c r="S284" s="271"/>
      <c r="T284" s="259"/>
    </row>
    <row r="285" spans="1:20" s="260" customFormat="1" x14ac:dyDescent="0.3">
      <c r="A285" s="275"/>
      <c r="B285" s="272" t="s">
        <v>247</v>
      </c>
      <c r="C285" s="272"/>
      <c r="D285" s="392"/>
      <c r="E285" s="392"/>
      <c r="F285" s="392"/>
      <c r="G285" s="392"/>
      <c r="H285" s="392"/>
      <c r="I285" s="392"/>
      <c r="J285" s="392"/>
      <c r="K285" s="392"/>
      <c r="L285" s="392"/>
      <c r="M285" s="392"/>
      <c r="N285" s="390"/>
      <c r="O285" s="393"/>
      <c r="P285" s="391">
        <f>+R171</f>
        <v>0</v>
      </c>
      <c r="Q285" s="385"/>
      <c r="R285" s="268"/>
      <c r="S285" s="271"/>
      <c r="T285" s="259"/>
    </row>
    <row r="286" spans="1:20" s="260" customFormat="1" x14ac:dyDescent="0.3">
      <c r="A286" s="275"/>
      <c r="B286" s="272" t="s">
        <v>126</v>
      </c>
      <c r="C286" s="272"/>
      <c r="D286" s="392"/>
      <c r="E286" s="392"/>
      <c r="F286" s="392"/>
      <c r="G286" s="392"/>
      <c r="H286" s="392"/>
      <c r="I286" s="392"/>
      <c r="J286" s="392"/>
      <c r="K286" s="392"/>
      <c r="L286" s="392"/>
      <c r="M286" s="392"/>
      <c r="N286" s="390"/>
      <c r="O286" s="393"/>
      <c r="P286" s="391">
        <f>+P284+P285</f>
        <v>81915</v>
      </c>
      <c r="Q286" s="385"/>
      <c r="R286" s="268"/>
      <c r="S286" s="271"/>
      <c r="T286" s="259"/>
    </row>
    <row r="287" spans="1:20" s="260" customFormat="1" x14ac:dyDescent="0.3">
      <c r="A287" s="275"/>
      <c r="B287" s="272" t="s">
        <v>181</v>
      </c>
      <c r="C287" s="268"/>
      <c r="D287" s="386"/>
      <c r="E287" s="386"/>
      <c r="F287" s="386"/>
      <c r="G287" s="386"/>
      <c r="H287" s="386"/>
      <c r="I287" s="386"/>
      <c r="J287" s="386"/>
      <c r="K287" s="386"/>
      <c r="L287" s="386"/>
      <c r="M287" s="386"/>
      <c r="N287" s="390"/>
      <c r="O287" s="385"/>
      <c r="P287" s="391">
        <f>+R72</f>
        <v>81915</v>
      </c>
      <c r="Q287" s="385"/>
      <c r="R287" s="268"/>
      <c r="S287" s="271"/>
      <c r="T287" s="259"/>
    </row>
    <row r="288" spans="1:20" s="260" customFormat="1" x14ac:dyDescent="0.3">
      <c r="A288" s="275"/>
      <c r="B288" s="272"/>
      <c r="C288" s="268"/>
      <c r="D288" s="386"/>
      <c r="E288" s="386"/>
      <c r="F288" s="386"/>
      <c r="G288" s="386"/>
      <c r="H288" s="386"/>
      <c r="I288" s="386"/>
      <c r="J288" s="386"/>
      <c r="K288" s="386"/>
      <c r="L288" s="386"/>
      <c r="M288" s="386"/>
      <c r="N288" s="390"/>
      <c r="O288" s="385"/>
      <c r="P288" s="391"/>
      <c r="Q288" s="385"/>
      <c r="R288" s="268"/>
      <c r="S288" s="271"/>
      <c r="T288" s="259"/>
    </row>
    <row r="289" spans="1:20" s="260" customFormat="1" x14ac:dyDescent="0.3">
      <c r="A289" s="275"/>
      <c r="B289" s="272" t="s">
        <v>221</v>
      </c>
      <c r="C289" s="268"/>
      <c r="D289" s="386"/>
      <c r="E289" s="386"/>
      <c r="F289" s="386"/>
      <c r="G289" s="386"/>
      <c r="H289" s="386"/>
      <c r="I289" s="386"/>
      <c r="J289" s="386"/>
      <c r="K289" s="386"/>
      <c r="L289" s="386"/>
      <c r="M289" s="386"/>
      <c r="N289" s="390"/>
      <c r="O289" s="385"/>
      <c r="P289" s="394">
        <f>(J30+R138)/R30</f>
        <v>0.15320712176706031</v>
      </c>
      <c r="Q289" s="385"/>
      <c r="R289" s="268"/>
      <c r="S289" s="271"/>
      <c r="T289" s="259"/>
    </row>
    <row r="290" spans="1:20" s="260" customFormat="1" x14ac:dyDescent="0.3">
      <c r="A290" s="255"/>
      <c r="B290" s="256"/>
      <c r="C290" s="256"/>
      <c r="D290" s="395"/>
      <c r="E290" s="395"/>
      <c r="F290" s="395"/>
      <c r="G290" s="395"/>
      <c r="H290" s="395"/>
      <c r="I290" s="395"/>
      <c r="J290" s="395"/>
      <c r="K290" s="395"/>
      <c r="L290" s="395"/>
      <c r="M290" s="395"/>
      <c r="N290" s="395"/>
      <c r="O290" s="395"/>
      <c r="P290" s="396"/>
      <c r="Q290" s="395"/>
      <c r="R290" s="256"/>
      <c r="S290" s="258"/>
      <c r="T290" s="259"/>
    </row>
    <row r="291" spans="1:20" s="260" customFormat="1" x14ac:dyDescent="0.3">
      <c r="A291" s="255"/>
      <c r="B291" s="254" t="s">
        <v>75</v>
      </c>
      <c r="C291" s="256"/>
      <c r="D291" s="397" t="s">
        <v>79</v>
      </c>
      <c r="E291" s="254"/>
      <c r="F291" s="254" t="s">
        <v>80</v>
      </c>
      <c r="G291" s="256"/>
      <c r="H291" s="254"/>
      <c r="I291" s="256"/>
      <c r="J291" s="256"/>
      <c r="K291" s="256"/>
      <c r="L291" s="256"/>
      <c r="M291" s="256"/>
      <c r="N291" s="256"/>
      <c r="O291" s="256"/>
      <c r="P291" s="256"/>
      <c r="Q291" s="256"/>
      <c r="R291" s="256"/>
      <c r="S291" s="258"/>
      <c r="T291" s="259"/>
    </row>
    <row r="292" spans="1:20" s="260" customFormat="1" x14ac:dyDescent="0.3">
      <c r="A292" s="255"/>
      <c r="B292" s="256"/>
      <c r="C292" s="256"/>
      <c r="D292" s="256"/>
      <c r="E292" s="256"/>
      <c r="F292" s="256"/>
      <c r="G292" s="256"/>
      <c r="H292" s="256"/>
      <c r="I292" s="256"/>
      <c r="J292" s="256"/>
      <c r="K292" s="256"/>
      <c r="L292" s="256"/>
      <c r="M292" s="256"/>
      <c r="N292" s="256"/>
      <c r="O292" s="256"/>
      <c r="P292" s="256"/>
      <c r="Q292" s="256"/>
      <c r="R292" s="256"/>
      <c r="S292" s="258"/>
      <c r="T292" s="259"/>
    </row>
    <row r="293" spans="1:20" s="260" customFormat="1" x14ac:dyDescent="0.3">
      <c r="A293" s="255"/>
      <c r="B293" s="254" t="s">
        <v>212</v>
      </c>
      <c r="C293" s="254"/>
      <c r="D293" s="398" t="s">
        <v>147</v>
      </c>
      <c r="E293" s="254"/>
      <c r="F293" s="458" t="s">
        <v>272</v>
      </c>
      <c r="G293" s="254"/>
      <c r="H293" s="254"/>
      <c r="I293" s="256"/>
      <c r="J293" s="256"/>
      <c r="K293" s="256"/>
      <c r="L293" s="256"/>
      <c r="M293" s="256"/>
      <c r="N293" s="256"/>
      <c r="O293" s="256"/>
      <c r="P293" s="256"/>
      <c r="Q293" s="256"/>
      <c r="R293" s="256"/>
      <c r="S293" s="258"/>
      <c r="T293" s="259"/>
    </row>
    <row r="294" spans="1:20" s="260" customFormat="1" x14ac:dyDescent="0.3">
      <c r="A294" s="255"/>
      <c r="B294" s="254" t="s">
        <v>213</v>
      </c>
      <c r="C294" s="254"/>
      <c r="D294" s="398" t="s">
        <v>114</v>
      </c>
      <c r="E294" s="254"/>
      <c r="F294" s="458" t="s">
        <v>273</v>
      </c>
      <c r="G294" s="254"/>
      <c r="H294" s="254"/>
      <c r="I294" s="256"/>
      <c r="J294" s="256"/>
      <c r="K294" s="256"/>
      <c r="L294" s="256"/>
      <c r="M294" s="256"/>
      <c r="N294" s="256"/>
      <c r="O294" s="256"/>
      <c r="P294" s="256"/>
      <c r="Q294" s="256"/>
      <c r="R294" s="256"/>
      <c r="S294" s="258"/>
      <c r="T294" s="259"/>
    </row>
    <row r="295" spans="1:20" s="260" customFormat="1" x14ac:dyDescent="0.3">
      <c r="A295" s="255"/>
      <c r="B295" s="254"/>
      <c r="C295" s="254"/>
      <c r="D295" s="256"/>
      <c r="E295" s="256"/>
      <c r="F295" s="256"/>
      <c r="G295" s="256"/>
      <c r="H295" s="256"/>
      <c r="I295" s="256"/>
      <c r="J295" s="256"/>
      <c r="K295" s="256"/>
      <c r="L295" s="256"/>
      <c r="M295" s="256"/>
      <c r="N295" s="256"/>
      <c r="O295" s="256"/>
      <c r="P295" s="256"/>
      <c r="Q295" s="256"/>
      <c r="R295" s="256"/>
      <c r="S295" s="258"/>
      <c r="T295" s="259"/>
    </row>
    <row r="296" spans="1:20" s="260" customFormat="1" x14ac:dyDescent="0.3">
      <c r="A296" s="255"/>
      <c r="B296" s="254"/>
      <c r="C296" s="254"/>
      <c r="D296" s="256"/>
      <c r="E296" s="256"/>
      <c r="F296" s="256"/>
      <c r="G296" s="256"/>
      <c r="H296" s="256"/>
      <c r="I296" s="256"/>
      <c r="J296" s="256"/>
      <c r="K296" s="256"/>
      <c r="L296" s="256"/>
      <c r="M296" s="256"/>
      <c r="N296" s="256"/>
      <c r="O296" s="256"/>
      <c r="P296" s="256"/>
      <c r="Q296" s="256"/>
      <c r="R296" s="256"/>
      <c r="S296" s="258"/>
      <c r="T296" s="259"/>
    </row>
    <row r="297" spans="1:20" s="260" customFormat="1" ht="18.600000000000001" thickBot="1" x14ac:dyDescent="0.4">
      <c r="A297" s="255"/>
      <c r="B297" s="399" t="str">
        <f>B196</f>
        <v>PM21 INVESTOR REPORT QUARTER ENDING NOVEMBER 2017</v>
      </c>
      <c r="C297" s="254"/>
      <c r="D297" s="256"/>
      <c r="E297" s="256"/>
      <c r="F297" s="256"/>
      <c r="G297" s="256"/>
      <c r="H297" s="256"/>
      <c r="I297" s="256"/>
      <c r="J297" s="256"/>
      <c r="K297" s="256"/>
      <c r="L297" s="256"/>
      <c r="M297" s="256"/>
      <c r="N297" s="256"/>
      <c r="O297" s="256"/>
      <c r="P297" s="256"/>
      <c r="Q297" s="256"/>
      <c r="R297" s="256"/>
      <c r="S297" s="311"/>
      <c r="T297" s="259"/>
    </row>
    <row r="298" spans="1:20" x14ac:dyDescent="0.3">
      <c r="A298" s="400"/>
      <c r="B298" s="400"/>
      <c r="C298" s="400"/>
      <c r="D298" s="400"/>
      <c r="E298" s="400"/>
      <c r="F298" s="400"/>
      <c r="G298" s="400"/>
      <c r="H298" s="400"/>
      <c r="I298" s="400"/>
      <c r="J298" s="400"/>
      <c r="K298" s="400"/>
      <c r="L298" s="400"/>
      <c r="M298" s="400"/>
      <c r="N298" s="400"/>
      <c r="O298" s="400"/>
      <c r="P298" s="400"/>
      <c r="Q298" s="400"/>
      <c r="R298" s="400"/>
      <c r="S298" s="400"/>
    </row>
  </sheetData>
  <hyperlinks>
    <hyperlink ref="K9" r:id="rId1"/>
    <hyperlink ref="N234"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298"/>
  <sheetViews>
    <sheetView showGridLines="0" showOutlineSymbols="0" zoomScale="70" zoomScaleNormal="70" workbookViewId="0"/>
  </sheetViews>
  <sheetFormatPr defaultColWidth="9.6328125" defaultRowHeight="15.6" x14ac:dyDescent="0.3"/>
  <cols>
    <col min="1" max="1" width="4" style="242" customWidth="1"/>
    <col min="2" max="2" width="71.1796875" style="242" customWidth="1"/>
    <col min="3" max="3" width="2.1796875" style="242" customWidth="1"/>
    <col min="4" max="4" width="16.1796875" style="242" customWidth="1"/>
    <col min="5" max="5" width="2.90625" style="242" customWidth="1"/>
    <col min="6" max="6" width="16.1796875" style="242" customWidth="1"/>
    <col min="7" max="7" width="2.1796875" style="242" customWidth="1"/>
    <col min="8" max="8" width="17.90625" style="242" customWidth="1"/>
    <col min="9" max="9" width="2.36328125" style="242" customWidth="1"/>
    <col min="10" max="10" width="14.90625" style="242" customWidth="1"/>
    <col min="11" max="11" width="2.36328125" style="242" customWidth="1"/>
    <col min="12" max="12" width="15.54296875" style="242" customWidth="1"/>
    <col min="13" max="13" width="2.1796875" style="242" customWidth="1"/>
    <col min="14" max="14" width="15.54296875" style="242" customWidth="1"/>
    <col min="15" max="16" width="12.6328125" style="242" customWidth="1"/>
    <col min="17" max="17" width="8.36328125" style="242" customWidth="1"/>
    <col min="18" max="18" width="14.6328125" style="242" customWidth="1"/>
    <col min="19" max="19" width="11.81640625" style="242" customWidth="1"/>
    <col min="20" max="16384" width="9.6328125" style="242"/>
  </cols>
  <sheetData>
    <row r="1" spans="1:20" ht="21" x14ac:dyDescent="0.4">
      <c r="A1" s="237"/>
      <c r="B1" s="238" t="s">
        <v>225</v>
      </c>
      <c r="C1" s="239"/>
      <c r="D1" s="239"/>
      <c r="E1" s="239"/>
      <c r="F1" s="239"/>
      <c r="G1" s="239"/>
      <c r="H1" s="239"/>
      <c r="I1" s="239"/>
      <c r="J1" s="239"/>
      <c r="K1" s="239"/>
      <c r="L1" s="239"/>
      <c r="M1" s="239"/>
      <c r="N1" s="239"/>
      <c r="O1" s="239"/>
      <c r="P1" s="239"/>
      <c r="Q1" s="239"/>
      <c r="R1" s="239"/>
      <c r="S1" s="240"/>
      <c r="T1" s="241"/>
    </row>
    <row r="2" spans="1:20" x14ac:dyDescent="0.3">
      <c r="A2" s="243"/>
      <c r="B2" s="244"/>
      <c r="C2" s="245"/>
      <c r="D2" s="245"/>
      <c r="E2" s="245"/>
      <c r="F2" s="245"/>
      <c r="G2" s="245"/>
      <c r="H2" s="245"/>
      <c r="I2" s="245"/>
      <c r="J2" s="245"/>
      <c r="K2" s="245"/>
      <c r="L2" s="245"/>
      <c r="M2" s="245"/>
      <c r="N2" s="245"/>
      <c r="O2" s="245"/>
      <c r="P2" s="245"/>
      <c r="Q2" s="245"/>
      <c r="R2" s="245"/>
      <c r="S2" s="246"/>
      <c r="T2" s="241"/>
    </row>
    <row r="3" spans="1:20" x14ac:dyDescent="0.3">
      <c r="A3" s="247"/>
      <c r="B3" s="248" t="s">
        <v>230</v>
      </c>
      <c r="C3" s="245"/>
      <c r="D3" s="245"/>
      <c r="E3" s="245"/>
      <c r="F3" s="245"/>
      <c r="G3" s="245"/>
      <c r="H3" s="245"/>
      <c r="I3" s="245"/>
      <c r="J3" s="245"/>
      <c r="K3" s="245"/>
      <c r="L3" s="245"/>
      <c r="M3" s="245"/>
      <c r="N3" s="245"/>
      <c r="O3" s="245"/>
      <c r="P3" s="245"/>
      <c r="Q3" s="245"/>
      <c r="R3" s="245"/>
      <c r="S3" s="246"/>
      <c r="T3" s="241"/>
    </row>
    <row r="4" spans="1:20" x14ac:dyDescent="0.3">
      <c r="A4" s="243"/>
      <c r="B4" s="244"/>
      <c r="C4" s="245"/>
      <c r="D4" s="245"/>
      <c r="E4" s="245"/>
      <c r="F4" s="245"/>
      <c r="G4" s="245"/>
      <c r="H4" s="245"/>
      <c r="I4" s="245"/>
      <c r="J4" s="245"/>
      <c r="K4" s="245"/>
      <c r="L4" s="245"/>
      <c r="M4" s="245"/>
      <c r="N4" s="245"/>
      <c r="O4" s="245"/>
      <c r="P4" s="245"/>
      <c r="Q4" s="245"/>
      <c r="R4" s="245"/>
      <c r="S4" s="246"/>
      <c r="T4" s="241"/>
    </row>
    <row r="5" spans="1:20" x14ac:dyDescent="0.3">
      <c r="A5" s="243"/>
      <c r="B5" s="249" t="s">
        <v>109</v>
      </c>
      <c r="C5" s="245"/>
      <c r="D5" s="245"/>
      <c r="E5" s="245"/>
      <c r="F5" s="245"/>
      <c r="G5" s="245"/>
      <c r="H5" s="245"/>
      <c r="I5" s="245"/>
      <c r="J5" s="245"/>
      <c r="K5" s="245"/>
      <c r="L5" s="245"/>
      <c r="M5" s="245"/>
      <c r="N5" s="245"/>
      <c r="O5" s="245"/>
      <c r="P5" s="245"/>
      <c r="Q5" s="245"/>
      <c r="R5" s="245"/>
      <c r="S5" s="246"/>
      <c r="T5" s="241"/>
    </row>
    <row r="6" spans="1:20" x14ac:dyDescent="0.3">
      <c r="A6" s="243"/>
      <c r="B6" s="249" t="s">
        <v>111</v>
      </c>
      <c r="C6" s="245"/>
      <c r="D6" s="245"/>
      <c r="E6" s="245"/>
      <c r="F6" s="245"/>
      <c r="G6" s="245"/>
      <c r="H6" s="245"/>
      <c r="I6" s="245"/>
      <c r="J6" s="245"/>
      <c r="K6" s="245"/>
      <c r="L6" s="245"/>
      <c r="M6" s="245"/>
      <c r="N6" s="245"/>
      <c r="O6" s="245"/>
      <c r="P6" s="245"/>
      <c r="Q6" s="245"/>
      <c r="R6" s="245"/>
      <c r="S6" s="246"/>
      <c r="T6" s="241"/>
    </row>
    <row r="7" spans="1:20" x14ac:dyDescent="0.3">
      <c r="A7" s="243"/>
      <c r="B7" s="249" t="s">
        <v>110</v>
      </c>
      <c r="C7" s="245"/>
      <c r="D7" s="245"/>
      <c r="E7" s="245"/>
      <c r="F7" s="245"/>
      <c r="G7" s="245"/>
      <c r="H7" s="245"/>
      <c r="I7" s="245"/>
      <c r="J7" s="245"/>
      <c r="K7" s="245"/>
      <c r="L7" s="245"/>
      <c r="M7" s="245"/>
      <c r="N7" s="245"/>
      <c r="O7" s="245"/>
      <c r="P7" s="245"/>
      <c r="Q7" s="245"/>
      <c r="R7" s="245"/>
      <c r="S7" s="246"/>
      <c r="T7" s="241"/>
    </row>
    <row r="8" spans="1:20" x14ac:dyDescent="0.3">
      <c r="A8" s="243"/>
      <c r="B8" s="250"/>
      <c r="C8" s="245"/>
      <c r="D8" s="245"/>
      <c r="E8" s="245"/>
      <c r="F8" s="245"/>
      <c r="G8" s="245"/>
      <c r="H8" s="245"/>
      <c r="I8" s="245"/>
      <c r="J8" s="245"/>
      <c r="K8" s="245"/>
      <c r="L8" s="245"/>
      <c r="M8" s="245"/>
      <c r="N8" s="245"/>
      <c r="O8" s="245"/>
      <c r="P8" s="245"/>
      <c r="Q8" s="245"/>
      <c r="R8" s="245"/>
      <c r="S8" s="246"/>
      <c r="T8" s="241"/>
    </row>
    <row r="9" spans="1:20" ht="18" x14ac:dyDescent="0.35">
      <c r="A9" s="243"/>
      <c r="B9" s="251" t="s">
        <v>127</v>
      </c>
      <c r="C9" s="245"/>
      <c r="D9" s="245"/>
      <c r="E9" s="252"/>
      <c r="F9" s="245"/>
      <c r="G9" s="245"/>
      <c r="H9" s="252"/>
      <c r="I9" s="245"/>
      <c r="J9" s="252"/>
      <c r="K9" s="236" t="s">
        <v>271</v>
      </c>
      <c r="L9" s="252"/>
      <c r="M9" s="245"/>
      <c r="N9" s="245"/>
      <c r="O9" s="245"/>
      <c r="P9" s="245"/>
      <c r="Q9" s="245"/>
      <c r="R9" s="245"/>
      <c r="S9" s="246"/>
      <c r="T9" s="241"/>
    </row>
    <row r="10" spans="1:20" x14ac:dyDescent="0.3">
      <c r="A10" s="243"/>
      <c r="B10" s="250"/>
      <c r="C10" s="253"/>
      <c r="D10" s="245"/>
      <c r="E10" s="245"/>
      <c r="F10" s="245"/>
      <c r="G10" s="245"/>
      <c r="H10" s="245"/>
      <c r="I10" s="245"/>
      <c r="J10" s="245"/>
      <c r="K10" s="245"/>
      <c r="L10" s="245"/>
      <c r="M10" s="245"/>
      <c r="N10" s="245"/>
      <c r="O10" s="245"/>
      <c r="P10" s="245"/>
      <c r="Q10" s="245"/>
      <c r="R10" s="245"/>
      <c r="S10" s="246"/>
      <c r="T10" s="241"/>
    </row>
    <row r="11" spans="1:20" x14ac:dyDescent="0.3">
      <c r="A11" s="243"/>
      <c r="B11" s="254" t="s">
        <v>0</v>
      </c>
      <c r="C11" s="245"/>
      <c r="D11" s="245"/>
      <c r="E11" s="245"/>
      <c r="F11" s="245"/>
      <c r="G11" s="245"/>
      <c r="H11" s="245"/>
      <c r="I11" s="245"/>
      <c r="J11" s="245"/>
      <c r="K11" s="245"/>
      <c r="L11" s="245"/>
      <c r="M11" s="245"/>
      <c r="N11" s="245"/>
      <c r="O11" s="245"/>
      <c r="P11" s="245"/>
      <c r="Q11" s="245"/>
      <c r="R11" s="245"/>
      <c r="S11" s="246"/>
      <c r="T11" s="241"/>
    </row>
    <row r="12" spans="1:20" ht="16.2" thickBot="1" x14ac:dyDescent="0.35">
      <c r="A12" s="243"/>
      <c r="B12" s="253"/>
      <c r="C12" s="245"/>
      <c r="D12" s="245"/>
      <c r="E12" s="245"/>
      <c r="F12" s="245"/>
      <c r="G12" s="245"/>
      <c r="H12" s="245"/>
      <c r="I12" s="245"/>
      <c r="J12" s="245"/>
      <c r="K12" s="245"/>
      <c r="L12" s="245"/>
      <c r="M12" s="245"/>
      <c r="N12" s="245"/>
      <c r="O12" s="245"/>
      <c r="P12" s="245"/>
      <c r="Q12" s="245"/>
      <c r="R12" s="245"/>
      <c r="S12" s="246"/>
      <c r="T12" s="241"/>
    </row>
    <row r="13" spans="1:20" x14ac:dyDescent="0.3">
      <c r="A13" s="237"/>
      <c r="B13" s="239"/>
      <c r="C13" s="239"/>
      <c r="D13" s="239"/>
      <c r="E13" s="239"/>
      <c r="F13" s="239"/>
      <c r="G13" s="239"/>
      <c r="H13" s="239"/>
      <c r="I13" s="239"/>
      <c r="J13" s="239"/>
      <c r="K13" s="239"/>
      <c r="L13" s="239"/>
      <c r="M13" s="239"/>
      <c r="N13" s="239"/>
      <c r="O13" s="239"/>
      <c r="P13" s="239"/>
      <c r="Q13" s="239"/>
      <c r="R13" s="239"/>
      <c r="S13" s="240"/>
      <c r="T13" s="241"/>
    </row>
    <row r="14" spans="1:20" s="260" customFormat="1" x14ac:dyDescent="0.3">
      <c r="A14" s="255"/>
      <c r="B14" s="254" t="s">
        <v>1</v>
      </c>
      <c r="C14" s="256"/>
      <c r="D14" s="256"/>
      <c r="E14" s="256"/>
      <c r="F14" s="256"/>
      <c r="G14" s="256"/>
      <c r="H14" s="256"/>
      <c r="I14" s="256"/>
      <c r="J14" s="256"/>
      <c r="K14" s="256"/>
      <c r="L14" s="256"/>
      <c r="M14" s="256"/>
      <c r="N14" s="256"/>
      <c r="O14" s="256"/>
      <c r="P14" s="256"/>
      <c r="Q14" s="256"/>
      <c r="R14" s="257" t="s">
        <v>226</v>
      </c>
      <c r="S14" s="258"/>
      <c r="T14" s="259"/>
    </row>
    <row r="15" spans="1:20" s="260" customFormat="1" x14ac:dyDescent="0.3">
      <c r="A15" s="255"/>
      <c r="B15" s="254" t="s">
        <v>2</v>
      </c>
      <c r="C15" s="256"/>
      <c r="D15" s="261"/>
      <c r="E15" s="261"/>
      <c r="F15" s="261"/>
      <c r="G15" s="261"/>
      <c r="H15" s="261"/>
      <c r="I15" s="261"/>
      <c r="J15" s="261"/>
      <c r="K15" s="261"/>
      <c r="L15" s="261"/>
      <c r="M15" s="261"/>
      <c r="N15" s="262"/>
      <c r="O15" s="262"/>
      <c r="P15" s="262" t="s">
        <v>156</v>
      </c>
      <c r="Q15" s="262">
        <v>1</v>
      </c>
      <c r="R15" s="257"/>
      <c r="S15" s="258"/>
      <c r="T15" s="259"/>
    </row>
    <row r="16" spans="1:20" s="260" customFormat="1" x14ac:dyDescent="0.3">
      <c r="A16" s="255"/>
      <c r="B16" s="254" t="s">
        <v>3</v>
      </c>
      <c r="C16" s="256"/>
      <c r="D16" s="261"/>
      <c r="E16" s="261"/>
      <c r="F16" s="261"/>
      <c r="G16" s="261"/>
      <c r="H16" s="261"/>
      <c r="I16" s="261"/>
      <c r="J16" s="261"/>
      <c r="K16" s="261"/>
      <c r="L16" s="261"/>
      <c r="M16" s="261"/>
      <c r="N16" s="262"/>
      <c r="O16" s="262"/>
      <c r="P16" s="262" t="s">
        <v>156</v>
      </c>
      <c r="Q16" s="262">
        <v>1</v>
      </c>
      <c r="R16" s="257"/>
      <c r="S16" s="258"/>
      <c r="T16" s="259"/>
    </row>
    <row r="17" spans="1:23" s="260" customFormat="1" x14ac:dyDescent="0.3">
      <c r="A17" s="255"/>
      <c r="B17" s="254" t="s">
        <v>4</v>
      </c>
      <c r="C17" s="256"/>
      <c r="D17" s="256"/>
      <c r="E17" s="256"/>
      <c r="F17" s="256"/>
      <c r="G17" s="256"/>
      <c r="H17" s="256"/>
      <c r="I17" s="256"/>
      <c r="J17" s="256"/>
      <c r="K17" s="256"/>
      <c r="L17" s="256"/>
      <c r="M17" s="256"/>
      <c r="N17" s="256"/>
      <c r="O17" s="256"/>
      <c r="P17" s="256"/>
      <c r="Q17" s="256"/>
      <c r="R17" s="263">
        <v>41956</v>
      </c>
      <c r="S17" s="258"/>
      <c r="T17" s="259"/>
    </row>
    <row r="18" spans="1:23" s="260" customFormat="1" x14ac:dyDescent="0.3">
      <c r="A18" s="255"/>
      <c r="B18" s="254" t="s">
        <v>5</v>
      </c>
      <c r="C18" s="256"/>
      <c r="D18" s="256"/>
      <c r="E18" s="256"/>
      <c r="F18" s="256"/>
      <c r="G18" s="256"/>
      <c r="H18" s="256"/>
      <c r="I18" s="256"/>
      <c r="J18" s="256"/>
      <c r="K18" s="256"/>
      <c r="L18" s="256"/>
      <c r="M18" s="256"/>
      <c r="N18" s="256"/>
      <c r="O18" s="256"/>
      <c r="P18" s="256"/>
      <c r="Q18" s="256"/>
      <c r="R18" s="263">
        <v>43179</v>
      </c>
      <c r="S18" s="258"/>
      <c r="T18" s="259"/>
    </row>
    <row r="19" spans="1:23" s="260" customFormat="1" x14ac:dyDescent="0.3">
      <c r="A19" s="255"/>
      <c r="B19" s="256"/>
      <c r="C19" s="256"/>
      <c r="D19" s="256"/>
      <c r="E19" s="256"/>
      <c r="F19" s="256"/>
      <c r="G19" s="256"/>
      <c r="H19" s="256"/>
      <c r="I19" s="256"/>
      <c r="J19" s="256"/>
      <c r="K19" s="256"/>
      <c r="L19" s="256"/>
      <c r="M19" s="256"/>
      <c r="N19" s="256"/>
      <c r="O19" s="256"/>
      <c r="P19" s="256"/>
      <c r="Q19" s="256"/>
      <c r="R19" s="264"/>
      <c r="S19" s="258"/>
      <c r="T19" s="259"/>
    </row>
    <row r="20" spans="1:23" s="260" customFormat="1" x14ac:dyDescent="0.3">
      <c r="A20" s="255"/>
      <c r="B20" s="265" t="s">
        <v>6</v>
      </c>
      <c r="C20" s="256"/>
      <c r="D20" s="256"/>
      <c r="E20" s="256"/>
      <c r="F20" s="256"/>
      <c r="G20" s="256"/>
      <c r="H20" s="256"/>
      <c r="I20" s="256"/>
      <c r="J20" s="256"/>
      <c r="K20" s="256"/>
      <c r="L20" s="256"/>
      <c r="M20" s="256"/>
      <c r="N20" s="256"/>
      <c r="O20" s="256"/>
      <c r="P20" s="264" t="s">
        <v>85</v>
      </c>
      <c r="Q20" s="256"/>
      <c r="R20" s="256"/>
      <c r="S20" s="258"/>
      <c r="T20" s="259"/>
    </row>
    <row r="21" spans="1:23" x14ac:dyDescent="0.3">
      <c r="A21" s="243"/>
      <c r="B21" s="245"/>
      <c r="C21" s="245"/>
      <c r="D21" s="245"/>
      <c r="E21" s="245"/>
      <c r="F21" s="245"/>
      <c r="G21" s="245"/>
      <c r="H21" s="245"/>
      <c r="I21" s="245"/>
      <c r="J21" s="245"/>
      <c r="K21" s="245"/>
      <c r="L21" s="245"/>
      <c r="M21" s="245"/>
      <c r="N21" s="245"/>
      <c r="O21" s="245"/>
      <c r="P21" s="245"/>
      <c r="Q21" s="245"/>
      <c r="R21" s="266"/>
      <c r="S21" s="246"/>
      <c r="T21" s="241"/>
    </row>
    <row r="22" spans="1:23" x14ac:dyDescent="0.3">
      <c r="A22" s="424"/>
      <c r="B22" s="428"/>
      <c r="C22" s="429"/>
      <c r="D22" s="429" t="s">
        <v>152</v>
      </c>
      <c r="E22" s="429"/>
      <c r="F22" s="429" t="s">
        <v>185</v>
      </c>
      <c r="G22" s="429"/>
      <c r="H22" s="429" t="s">
        <v>186</v>
      </c>
      <c r="I22" s="429"/>
      <c r="J22" s="429" t="s">
        <v>187</v>
      </c>
      <c r="K22" s="429"/>
      <c r="L22" s="429"/>
      <c r="M22" s="429"/>
      <c r="N22" s="429"/>
      <c r="O22" s="430"/>
      <c r="P22" s="430"/>
      <c r="Q22" s="428"/>
      <c r="R22" s="428"/>
      <c r="S22" s="426"/>
      <c r="T22" s="241"/>
    </row>
    <row r="23" spans="1:23" s="260" customFormat="1" x14ac:dyDescent="0.3">
      <c r="A23" s="255"/>
      <c r="B23" s="302" t="s">
        <v>183</v>
      </c>
      <c r="C23" s="427"/>
      <c r="D23" s="427" t="s">
        <v>112</v>
      </c>
      <c r="E23" s="427"/>
      <c r="F23" s="427" t="s">
        <v>184</v>
      </c>
      <c r="G23" s="427"/>
      <c r="H23" s="427" t="s">
        <v>188</v>
      </c>
      <c r="I23" s="427"/>
      <c r="J23" s="427" t="s">
        <v>154</v>
      </c>
      <c r="K23" s="427"/>
      <c r="L23" s="427"/>
      <c r="M23" s="427"/>
      <c r="N23" s="427"/>
      <c r="O23" s="427"/>
      <c r="P23" s="427"/>
      <c r="Q23" s="302"/>
      <c r="R23" s="302"/>
      <c r="S23" s="258"/>
      <c r="T23" s="259"/>
    </row>
    <row r="24" spans="1:23" s="260" customFormat="1" x14ac:dyDescent="0.3">
      <c r="A24" s="267"/>
      <c r="B24" s="268" t="s">
        <v>216</v>
      </c>
      <c r="C24" s="269"/>
      <c r="D24" s="270" t="s">
        <v>218</v>
      </c>
      <c r="E24" s="270"/>
      <c r="F24" s="270" t="s">
        <v>219</v>
      </c>
      <c r="G24" s="270"/>
      <c r="H24" s="270" t="s">
        <v>220</v>
      </c>
      <c r="I24" s="270"/>
      <c r="J24" s="270" t="s">
        <v>154</v>
      </c>
      <c r="K24" s="270"/>
      <c r="L24" s="270"/>
      <c r="M24" s="270"/>
      <c r="N24" s="270"/>
      <c r="O24" s="269"/>
      <c r="P24" s="270"/>
      <c r="Q24" s="268"/>
      <c r="R24" s="268"/>
      <c r="S24" s="271"/>
      <c r="T24" s="259"/>
    </row>
    <row r="25" spans="1:23" s="260" customFormat="1" x14ac:dyDescent="0.3">
      <c r="A25" s="267"/>
      <c r="B25" s="272" t="s">
        <v>201</v>
      </c>
      <c r="C25" s="269"/>
      <c r="D25" s="269" t="s">
        <v>112</v>
      </c>
      <c r="E25" s="269"/>
      <c r="F25" s="269" t="s">
        <v>112</v>
      </c>
      <c r="G25" s="269"/>
      <c r="H25" s="269" t="s">
        <v>276</v>
      </c>
      <c r="I25" s="269"/>
      <c r="J25" s="269" t="s">
        <v>154</v>
      </c>
      <c r="K25" s="269"/>
      <c r="L25" s="269"/>
      <c r="M25" s="269"/>
      <c r="N25" s="269"/>
      <c r="O25" s="269"/>
      <c r="P25" s="270"/>
      <c r="Q25" s="268"/>
      <c r="R25" s="268"/>
      <c r="S25" s="271"/>
      <c r="T25" s="259"/>
      <c r="U25" s="273"/>
      <c r="W25" s="274"/>
    </row>
    <row r="26" spans="1:23" s="260" customFormat="1" x14ac:dyDescent="0.3">
      <c r="A26" s="275"/>
      <c r="B26" s="272" t="s">
        <v>217</v>
      </c>
      <c r="C26" s="270"/>
      <c r="D26" s="269" t="s">
        <v>218</v>
      </c>
      <c r="E26" s="269"/>
      <c r="F26" s="269" t="s">
        <v>218</v>
      </c>
      <c r="G26" s="269"/>
      <c r="H26" s="269" t="s">
        <v>277</v>
      </c>
      <c r="I26" s="269"/>
      <c r="J26" s="269" t="s">
        <v>154</v>
      </c>
      <c r="K26" s="269"/>
      <c r="L26" s="269"/>
      <c r="M26" s="269"/>
      <c r="N26" s="269"/>
      <c r="O26" s="270"/>
      <c r="P26" s="276"/>
      <c r="Q26" s="268"/>
      <c r="R26" s="268"/>
      <c r="S26" s="271"/>
      <c r="T26" s="259"/>
      <c r="U26" s="273"/>
      <c r="W26" s="274"/>
    </row>
    <row r="27" spans="1:23" s="260" customFormat="1" x14ac:dyDescent="0.3">
      <c r="A27" s="275"/>
      <c r="B27" s="268" t="s">
        <v>7</v>
      </c>
      <c r="C27" s="277"/>
      <c r="D27" s="270" t="s">
        <v>231</v>
      </c>
      <c r="E27" s="270"/>
      <c r="F27" s="270" t="s">
        <v>232</v>
      </c>
      <c r="G27" s="270"/>
      <c r="H27" s="270" t="s">
        <v>233</v>
      </c>
      <c r="I27" s="270"/>
      <c r="J27" s="270" t="s">
        <v>234</v>
      </c>
      <c r="K27" s="270"/>
      <c r="L27" s="270"/>
      <c r="M27" s="270"/>
      <c r="N27" s="270"/>
      <c r="O27" s="278"/>
      <c r="P27" s="278"/>
      <c r="Q27" s="277"/>
      <c r="R27" s="278"/>
      <c r="S27" s="279"/>
      <c r="T27" s="259"/>
      <c r="U27" s="273"/>
      <c r="W27" s="274"/>
    </row>
    <row r="28" spans="1:23" s="260" customFormat="1" x14ac:dyDescent="0.3">
      <c r="A28" s="267"/>
      <c r="B28" s="268" t="s">
        <v>106</v>
      </c>
      <c r="C28" s="280"/>
      <c r="D28" s="281">
        <v>217900</v>
      </c>
      <c r="E28" s="282"/>
      <c r="F28" s="281">
        <v>17700</v>
      </c>
      <c r="G28" s="283"/>
      <c r="H28" s="281">
        <v>8100</v>
      </c>
      <c r="I28" s="278"/>
      <c r="J28" s="281">
        <v>6300</v>
      </c>
      <c r="K28" s="278"/>
      <c r="L28" s="282"/>
      <c r="M28" s="278"/>
      <c r="N28" s="282"/>
      <c r="O28" s="284"/>
      <c r="P28" s="284"/>
      <c r="Q28" s="280"/>
      <c r="R28" s="278">
        <f>SUM(D28:J28)</f>
        <v>250000</v>
      </c>
      <c r="S28" s="279"/>
      <c r="T28" s="259"/>
    </row>
    <row r="29" spans="1:23" s="260" customFormat="1" x14ac:dyDescent="0.3">
      <c r="A29" s="275"/>
      <c r="B29" s="268" t="s">
        <v>105</v>
      </c>
      <c r="C29" s="277"/>
      <c r="D29" s="281">
        <f>D28*D32</f>
        <v>49815.252079999998</v>
      </c>
      <c r="E29" s="282"/>
      <c r="F29" s="281">
        <f>F28*F32</f>
        <v>17700</v>
      </c>
      <c r="G29" s="281"/>
      <c r="H29" s="281">
        <f>H28*H32</f>
        <v>8100</v>
      </c>
      <c r="I29" s="278"/>
      <c r="J29" s="281">
        <f>J28*J32</f>
        <v>6300</v>
      </c>
      <c r="K29" s="278"/>
      <c r="L29" s="282"/>
      <c r="M29" s="278"/>
      <c r="N29" s="282"/>
      <c r="O29" s="278"/>
      <c r="P29" s="278"/>
      <c r="Q29" s="277"/>
      <c r="R29" s="278">
        <f>SUM(D29:J29)</f>
        <v>81915.252080000006</v>
      </c>
      <c r="S29" s="279"/>
      <c r="T29" s="259"/>
    </row>
    <row r="30" spans="1:23" s="260" customFormat="1" x14ac:dyDescent="0.3">
      <c r="A30" s="275"/>
      <c r="B30" s="272" t="s">
        <v>107</v>
      </c>
      <c r="C30" s="277"/>
      <c r="D30" s="285">
        <f>D28*D31</f>
        <v>42173.629819999995</v>
      </c>
      <c r="E30" s="285"/>
      <c r="F30" s="285">
        <f t="shared" ref="F30:J30" si="0">F28*F31</f>
        <v>17700</v>
      </c>
      <c r="G30" s="285"/>
      <c r="H30" s="285">
        <f>H28*H31</f>
        <v>8100</v>
      </c>
      <c r="I30" s="285"/>
      <c r="J30" s="285">
        <f t="shared" si="0"/>
        <v>6300</v>
      </c>
      <c r="K30" s="284"/>
      <c r="L30" s="286"/>
      <c r="M30" s="284"/>
      <c r="N30" s="286"/>
      <c r="O30" s="278"/>
      <c r="P30" s="278"/>
      <c r="Q30" s="277"/>
      <c r="R30" s="284">
        <f>SUM(D30:J30)</f>
        <v>74273.629820000002</v>
      </c>
      <c r="S30" s="279"/>
      <c r="T30" s="259"/>
    </row>
    <row r="31" spans="1:23" s="409" customFormat="1" x14ac:dyDescent="0.3">
      <c r="A31" s="401"/>
      <c r="B31" s="402" t="s">
        <v>103</v>
      </c>
      <c r="C31" s="403"/>
      <c r="D31" s="404">
        <v>0.19354579999999999</v>
      </c>
      <c r="E31" s="404"/>
      <c r="F31" s="404">
        <v>1</v>
      </c>
      <c r="G31" s="404"/>
      <c r="H31" s="404">
        <v>1</v>
      </c>
      <c r="I31" s="404"/>
      <c r="J31" s="404">
        <v>1</v>
      </c>
      <c r="K31" s="404"/>
      <c r="L31" s="404"/>
      <c r="M31" s="404"/>
      <c r="N31" s="404"/>
      <c r="O31" s="405"/>
      <c r="P31" s="405"/>
      <c r="Q31" s="403"/>
      <c r="R31" s="406"/>
      <c r="S31" s="407"/>
      <c r="T31" s="408"/>
    </row>
    <row r="32" spans="1:23" s="409" customFormat="1" x14ac:dyDescent="0.3">
      <c r="A32" s="401"/>
      <c r="B32" s="402" t="s">
        <v>104</v>
      </c>
      <c r="C32" s="403"/>
      <c r="D32" s="404">
        <v>0.22861519999999999</v>
      </c>
      <c r="E32" s="404"/>
      <c r="F32" s="404">
        <v>1</v>
      </c>
      <c r="G32" s="404"/>
      <c r="H32" s="404">
        <v>1</v>
      </c>
      <c r="I32" s="404"/>
      <c r="J32" s="404">
        <v>1</v>
      </c>
      <c r="K32" s="404"/>
      <c r="L32" s="404"/>
      <c r="M32" s="404"/>
      <c r="N32" s="404"/>
      <c r="O32" s="410"/>
      <c r="P32" s="411"/>
      <c r="Q32" s="403"/>
      <c r="R32" s="410"/>
      <c r="S32" s="407"/>
      <c r="T32" s="408"/>
    </row>
    <row r="33" spans="1:21" s="260" customFormat="1" x14ac:dyDescent="0.3">
      <c r="A33" s="275"/>
      <c r="B33" s="268" t="s">
        <v>8</v>
      </c>
      <c r="C33" s="268"/>
      <c r="D33" s="276" t="s">
        <v>250</v>
      </c>
      <c r="E33" s="276"/>
      <c r="F33" s="276" t="s">
        <v>251</v>
      </c>
      <c r="G33" s="276"/>
      <c r="H33" s="276" t="s">
        <v>252</v>
      </c>
      <c r="I33" s="276"/>
      <c r="J33" s="276" t="s">
        <v>253</v>
      </c>
      <c r="K33" s="276"/>
      <c r="L33" s="276"/>
      <c r="M33" s="276"/>
      <c r="N33" s="276"/>
      <c r="O33" s="290"/>
      <c r="P33" s="291"/>
      <c r="Q33" s="268"/>
      <c r="R33" s="268"/>
      <c r="S33" s="271"/>
      <c r="T33" s="259"/>
    </row>
    <row r="34" spans="1:21" s="260" customFormat="1" x14ac:dyDescent="0.3">
      <c r="A34" s="275"/>
      <c r="B34" s="268" t="s">
        <v>9</v>
      </c>
      <c r="C34" s="292"/>
      <c r="D34" s="291">
        <v>1.3161900000000001E-2</v>
      </c>
      <c r="E34" s="291"/>
      <c r="F34" s="291">
        <v>1.9161899999999999E-2</v>
      </c>
      <c r="G34" s="291"/>
      <c r="H34" s="291">
        <v>2.2661899999999999E-2</v>
      </c>
      <c r="I34" s="291"/>
      <c r="J34" s="291">
        <v>2.6161899999999998E-2</v>
      </c>
      <c r="K34" s="291"/>
      <c r="L34" s="291"/>
      <c r="M34" s="290"/>
      <c r="N34" s="291"/>
      <c r="O34" s="276"/>
      <c r="P34" s="276"/>
      <c r="Q34" s="268"/>
      <c r="R34" s="290">
        <f>SUMPRODUCT(D34:J34,D29:J29)/R29</f>
        <v>1.6397561165287594E-2</v>
      </c>
      <c r="S34" s="271"/>
      <c r="T34" s="259"/>
    </row>
    <row r="35" spans="1:21" s="260" customFormat="1" x14ac:dyDescent="0.3">
      <c r="A35" s="275"/>
      <c r="B35" s="268" t="s">
        <v>10</v>
      </c>
      <c r="C35" s="292"/>
      <c r="D35" s="291">
        <v>1.1268800000000001E-2</v>
      </c>
      <c r="E35" s="291"/>
      <c r="F35" s="291">
        <v>1.7268800000000001E-2</v>
      </c>
      <c r="G35" s="291"/>
      <c r="H35" s="291">
        <v>2.07688E-2</v>
      </c>
      <c r="I35" s="291"/>
      <c r="J35" s="291">
        <v>2.42688E-2</v>
      </c>
      <c r="K35" s="291"/>
      <c r="L35" s="291"/>
      <c r="M35" s="290"/>
      <c r="N35" s="291"/>
      <c r="O35" s="276"/>
      <c r="P35" s="276"/>
      <c r="Q35" s="268"/>
      <c r="R35" s="268"/>
      <c r="S35" s="271"/>
      <c r="T35" s="259"/>
    </row>
    <row r="36" spans="1:21" s="260" customFormat="1" x14ac:dyDescent="0.3">
      <c r="A36" s="275"/>
      <c r="B36" s="268" t="s">
        <v>155</v>
      </c>
      <c r="C36" s="268"/>
      <c r="D36" s="292">
        <v>43449</v>
      </c>
      <c r="E36" s="292"/>
      <c r="F36" s="292">
        <v>43449</v>
      </c>
      <c r="G36" s="292"/>
      <c r="H36" s="292">
        <v>43449</v>
      </c>
      <c r="I36" s="292"/>
      <c r="J36" s="292">
        <v>43449</v>
      </c>
      <c r="K36" s="292"/>
      <c r="L36" s="292"/>
      <c r="M36" s="292"/>
      <c r="N36" s="292"/>
      <c r="O36" s="276"/>
      <c r="P36" s="276"/>
      <c r="Q36" s="268"/>
      <c r="R36" s="268"/>
      <c r="S36" s="271"/>
      <c r="T36" s="259"/>
    </row>
    <row r="37" spans="1:21" s="260" customFormat="1" x14ac:dyDescent="0.3">
      <c r="A37" s="275"/>
      <c r="B37" s="268" t="s">
        <v>11</v>
      </c>
      <c r="C37" s="268"/>
      <c r="D37" s="292" t="s">
        <v>97</v>
      </c>
      <c r="E37" s="292"/>
      <c r="F37" s="292" t="s">
        <v>97</v>
      </c>
      <c r="G37" s="276"/>
      <c r="H37" s="292" t="s">
        <v>97</v>
      </c>
      <c r="I37" s="276"/>
      <c r="J37" s="292" t="s">
        <v>97</v>
      </c>
      <c r="K37" s="276"/>
      <c r="L37" s="292"/>
      <c r="M37" s="276"/>
      <c r="N37" s="292"/>
      <c r="O37" s="276"/>
      <c r="P37" s="276"/>
      <c r="Q37" s="268"/>
      <c r="R37" s="268"/>
      <c r="S37" s="271"/>
      <c r="T37" s="259"/>
    </row>
    <row r="38" spans="1:21" s="260" customFormat="1" x14ac:dyDescent="0.3">
      <c r="A38" s="275"/>
      <c r="B38" s="268" t="s">
        <v>98</v>
      </c>
      <c r="C38" s="268"/>
      <c r="D38" s="276" t="s">
        <v>97</v>
      </c>
      <c r="E38" s="276"/>
      <c r="F38" s="276" t="s">
        <v>97</v>
      </c>
      <c r="G38" s="276"/>
      <c r="H38" s="276" t="s">
        <v>97</v>
      </c>
      <c r="I38" s="276"/>
      <c r="J38" s="276" t="s">
        <v>97</v>
      </c>
      <c r="K38" s="276"/>
      <c r="L38" s="276"/>
      <c r="M38" s="276"/>
      <c r="N38" s="276"/>
      <c r="O38" s="293"/>
      <c r="P38" s="293"/>
      <c r="Q38" s="293"/>
      <c r="R38" s="293"/>
      <c r="S38" s="271"/>
      <c r="T38" s="259"/>
    </row>
    <row r="39" spans="1:21" s="260" customFormat="1" x14ac:dyDescent="0.3">
      <c r="A39" s="275"/>
      <c r="B39" s="268"/>
      <c r="C39" s="268"/>
      <c r="D39" s="276"/>
      <c r="E39" s="276"/>
      <c r="F39" s="276"/>
      <c r="G39" s="276"/>
      <c r="H39" s="276"/>
      <c r="I39" s="276"/>
      <c r="J39" s="276"/>
      <c r="K39" s="276"/>
      <c r="L39" s="276"/>
      <c r="M39" s="276"/>
      <c r="N39" s="276"/>
      <c r="O39" s="268"/>
      <c r="P39" s="268"/>
      <c r="Q39" s="268"/>
      <c r="R39" s="290" t="s">
        <v>130</v>
      </c>
      <c r="S39" s="271"/>
      <c r="T39" s="259"/>
    </row>
    <row r="40" spans="1:21" s="260" customFormat="1" x14ac:dyDescent="0.3">
      <c r="A40" s="275"/>
      <c r="B40" s="268" t="s">
        <v>202</v>
      </c>
      <c r="C40" s="268"/>
      <c r="D40" s="276"/>
      <c r="E40" s="276"/>
      <c r="F40" s="276"/>
      <c r="G40" s="276"/>
      <c r="H40" s="276"/>
      <c r="I40" s="276"/>
      <c r="J40" s="276"/>
      <c r="K40" s="276"/>
      <c r="L40" s="276"/>
      <c r="M40" s="276"/>
      <c r="N40" s="276"/>
      <c r="O40" s="268"/>
      <c r="P40" s="268"/>
      <c r="Q40" s="268"/>
      <c r="R40" s="290">
        <f>SUM(F28:J28)/D28</f>
        <v>0.14731528223955942</v>
      </c>
      <c r="S40" s="271"/>
      <c r="T40" s="259"/>
    </row>
    <row r="41" spans="1:21" s="260" customFormat="1" x14ac:dyDescent="0.3">
      <c r="A41" s="275"/>
      <c r="B41" s="268" t="s">
        <v>203</v>
      </c>
      <c r="C41" s="268"/>
      <c r="D41" s="268"/>
      <c r="E41" s="268"/>
      <c r="F41" s="268"/>
      <c r="G41" s="268"/>
      <c r="H41" s="268"/>
      <c r="I41" s="268"/>
      <c r="J41" s="268"/>
      <c r="K41" s="268"/>
      <c r="L41" s="268"/>
      <c r="M41" s="268"/>
      <c r="N41" s="268"/>
      <c r="O41" s="268"/>
      <c r="P41" s="268"/>
      <c r="Q41" s="268"/>
      <c r="R41" s="290">
        <f>SUM(F30:J30)/D30</f>
        <v>0.76113913213078999</v>
      </c>
      <c r="S41" s="271"/>
      <c r="T41" s="259"/>
    </row>
    <row r="42" spans="1:21" s="260" customFormat="1" x14ac:dyDescent="0.3">
      <c r="A42" s="275"/>
      <c r="B42" s="268" t="s">
        <v>204</v>
      </c>
      <c r="C42" s="268"/>
      <c r="D42" s="268"/>
      <c r="E42" s="268"/>
      <c r="F42" s="268"/>
      <c r="G42" s="268"/>
      <c r="H42" s="268"/>
      <c r="I42" s="268"/>
      <c r="J42" s="268"/>
      <c r="K42" s="268"/>
      <c r="L42" s="268"/>
      <c r="M42" s="268"/>
      <c r="N42" s="268"/>
      <c r="O42" s="268"/>
      <c r="P42" s="276"/>
      <c r="Q42" s="276"/>
      <c r="R42" s="278" t="s">
        <v>149</v>
      </c>
      <c r="S42" s="271"/>
      <c r="T42" s="259"/>
    </row>
    <row r="43" spans="1:21" s="260" customFormat="1" x14ac:dyDescent="0.3">
      <c r="A43" s="275"/>
      <c r="B43" s="268"/>
      <c r="C43" s="268"/>
      <c r="D43" s="268"/>
      <c r="E43" s="268"/>
      <c r="F43" s="268"/>
      <c r="G43" s="268"/>
      <c r="H43" s="268"/>
      <c r="I43" s="268"/>
      <c r="J43" s="268"/>
      <c r="K43" s="268"/>
      <c r="L43" s="268"/>
      <c r="M43" s="268"/>
      <c r="N43" s="268"/>
      <c r="O43" s="268"/>
      <c r="P43" s="268"/>
      <c r="Q43" s="268"/>
      <c r="R43" s="294"/>
      <c r="S43" s="271"/>
      <c r="T43" s="259"/>
    </row>
    <row r="44" spans="1:21" s="260" customFormat="1" x14ac:dyDescent="0.3">
      <c r="A44" s="275"/>
      <c r="B44" s="268" t="s">
        <v>205</v>
      </c>
      <c r="C44" s="268"/>
      <c r="D44" s="268"/>
      <c r="E44" s="268"/>
      <c r="F44" s="268"/>
      <c r="G44" s="268"/>
      <c r="H44" s="268"/>
      <c r="I44" s="268"/>
      <c r="J44" s="268"/>
      <c r="K44" s="268"/>
      <c r="L44" s="268"/>
      <c r="M44" s="268"/>
      <c r="N44" s="268"/>
      <c r="O44" s="268"/>
      <c r="P44" s="268"/>
      <c r="Q44" s="268"/>
      <c r="R44" s="295" t="s">
        <v>91</v>
      </c>
      <c r="S44" s="271"/>
      <c r="T44" s="259"/>
    </row>
    <row r="45" spans="1:21" s="260" customFormat="1" x14ac:dyDescent="0.3">
      <c r="A45" s="275"/>
      <c r="B45" s="272" t="s">
        <v>131</v>
      </c>
      <c r="C45" s="272"/>
      <c r="D45" s="272"/>
      <c r="E45" s="272"/>
      <c r="F45" s="272"/>
      <c r="G45" s="272"/>
      <c r="H45" s="272"/>
      <c r="I45" s="272"/>
      <c r="J45" s="272"/>
      <c r="K45" s="272"/>
      <c r="L45" s="272"/>
      <c r="M45" s="272"/>
      <c r="N45" s="272"/>
      <c r="O45" s="272"/>
      <c r="P45" s="296"/>
      <c r="Q45" s="296"/>
      <c r="R45" s="297">
        <v>43174</v>
      </c>
      <c r="S45" s="271"/>
      <c r="T45" s="259"/>
    </row>
    <row r="46" spans="1:21" s="260" customFormat="1" x14ac:dyDescent="0.3">
      <c r="A46" s="275"/>
      <c r="B46" s="268" t="s">
        <v>99</v>
      </c>
      <c r="C46" s="268"/>
      <c r="D46" s="298"/>
      <c r="E46" s="298"/>
      <c r="F46" s="298"/>
      <c r="G46" s="298"/>
      <c r="H46" s="298"/>
      <c r="I46" s="298"/>
      <c r="J46" s="298"/>
      <c r="K46" s="298"/>
      <c r="L46" s="298"/>
      <c r="M46" s="298"/>
      <c r="N46" s="268">
        <f>+R46-P46+1</f>
        <v>91</v>
      </c>
      <c r="O46" s="268"/>
      <c r="P46" s="299">
        <v>42993</v>
      </c>
      <c r="Q46" s="300"/>
      <c r="R46" s="299">
        <v>43083</v>
      </c>
      <c r="S46" s="271"/>
      <c r="T46" s="259"/>
    </row>
    <row r="47" spans="1:21" s="260" customFormat="1" x14ac:dyDescent="0.3">
      <c r="A47" s="275"/>
      <c r="B47" s="268" t="s">
        <v>100</v>
      </c>
      <c r="C47" s="268"/>
      <c r="D47" s="268"/>
      <c r="E47" s="268"/>
      <c r="F47" s="268"/>
      <c r="G47" s="268"/>
      <c r="H47" s="268"/>
      <c r="I47" s="268"/>
      <c r="J47" s="268"/>
      <c r="K47" s="268"/>
      <c r="L47" s="268"/>
      <c r="M47" s="268"/>
      <c r="N47" s="268">
        <f>+R47-P47+1</f>
        <v>90</v>
      </c>
      <c r="O47" s="268"/>
      <c r="P47" s="299">
        <v>43084</v>
      </c>
      <c r="Q47" s="300"/>
      <c r="R47" s="299">
        <v>43173</v>
      </c>
      <c r="S47" s="271"/>
      <c r="T47" s="259"/>
    </row>
    <row r="48" spans="1:21" s="260" customFormat="1" x14ac:dyDescent="0.3">
      <c r="A48" s="275"/>
      <c r="B48" s="268" t="s">
        <v>206</v>
      </c>
      <c r="C48" s="268"/>
      <c r="D48" s="268"/>
      <c r="E48" s="268"/>
      <c r="F48" s="268"/>
      <c r="G48" s="268"/>
      <c r="H48" s="268"/>
      <c r="I48" s="268"/>
      <c r="J48" s="268"/>
      <c r="K48" s="268"/>
      <c r="L48" s="268"/>
      <c r="M48" s="268"/>
      <c r="N48" s="268"/>
      <c r="O48" s="268"/>
      <c r="P48" s="299"/>
      <c r="Q48" s="300"/>
      <c r="R48" s="299" t="s">
        <v>118</v>
      </c>
      <c r="S48" s="271"/>
      <c r="T48" s="259"/>
      <c r="U48" s="301"/>
    </row>
    <row r="49" spans="1:20" s="260" customFormat="1" x14ac:dyDescent="0.3">
      <c r="A49" s="275"/>
      <c r="B49" s="268" t="s">
        <v>12</v>
      </c>
      <c r="C49" s="268"/>
      <c r="D49" s="268"/>
      <c r="E49" s="268"/>
      <c r="F49" s="268"/>
      <c r="G49" s="268"/>
      <c r="H49" s="268"/>
      <c r="I49" s="268"/>
      <c r="J49" s="268"/>
      <c r="K49" s="268"/>
      <c r="L49" s="268"/>
      <c r="M49" s="268"/>
      <c r="N49" s="268"/>
      <c r="O49" s="268"/>
      <c r="P49" s="299"/>
      <c r="Q49" s="300"/>
      <c r="R49" s="299">
        <v>43160</v>
      </c>
      <c r="S49" s="271"/>
      <c r="T49" s="259"/>
    </row>
    <row r="50" spans="1:20" s="260" customFormat="1" x14ac:dyDescent="0.3">
      <c r="A50" s="255"/>
      <c r="B50" s="302"/>
      <c r="C50" s="302"/>
      <c r="D50" s="302"/>
      <c r="E50" s="302"/>
      <c r="F50" s="302"/>
      <c r="G50" s="302"/>
      <c r="H50" s="302"/>
      <c r="I50" s="302"/>
      <c r="J50" s="302"/>
      <c r="K50" s="302"/>
      <c r="L50" s="302"/>
      <c r="M50" s="302"/>
      <c r="N50" s="302"/>
      <c r="O50" s="302"/>
      <c r="P50" s="303"/>
      <c r="Q50" s="304"/>
      <c r="R50" s="303"/>
      <c r="S50" s="258"/>
      <c r="T50" s="259"/>
    </row>
    <row r="51" spans="1:20" s="260" customFormat="1" x14ac:dyDescent="0.3">
      <c r="A51" s="255"/>
      <c r="B51" s="256"/>
      <c r="C51" s="256"/>
      <c r="D51" s="256"/>
      <c r="E51" s="256"/>
      <c r="F51" s="256"/>
      <c r="G51" s="256"/>
      <c r="H51" s="256"/>
      <c r="I51" s="256"/>
      <c r="J51" s="256"/>
      <c r="K51" s="256"/>
      <c r="L51" s="256"/>
      <c r="M51" s="256"/>
      <c r="N51" s="256"/>
      <c r="O51" s="256"/>
      <c r="P51" s="305"/>
      <c r="Q51" s="306"/>
      <c r="R51" s="305"/>
      <c r="S51" s="258"/>
      <c r="T51" s="259"/>
    </row>
    <row r="52" spans="1:20" s="260" customFormat="1" ht="18.600000000000001" thickBot="1" x14ac:dyDescent="0.4">
      <c r="A52" s="307"/>
      <c r="B52" s="308" t="s">
        <v>275</v>
      </c>
      <c r="C52" s="309"/>
      <c r="D52" s="309"/>
      <c r="E52" s="309"/>
      <c r="F52" s="309"/>
      <c r="G52" s="309"/>
      <c r="H52" s="309"/>
      <c r="I52" s="309"/>
      <c r="J52" s="309"/>
      <c r="K52" s="309"/>
      <c r="L52" s="309"/>
      <c r="M52" s="309"/>
      <c r="N52" s="309"/>
      <c r="O52" s="309"/>
      <c r="P52" s="309"/>
      <c r="Q52" s="309"/>
      <c r="R52" s="310"/>
      <c r="S52" s="311"/>
      <c r="T52" s="259"/>
    </row>
    <row r="53" spans="1:20" x14ac:dyDescent="0.3">
      <c r="A53" s="424"/>
      <c r="B53" s="431" t="s">
        <v>13</v>
      </c>
      <c r="C53" s="425"/>
      <c r="D53" s="425"/>
      <c r="E53" s="425"/>
      <c r="F53" s="425"/>
      <c r="G53" s="425"/>
      <c r="H53" s="425"/>
      <c r="I53" s="425"/>
      <c r="J53" s="425"/>
      <c r="K53" s="425"/>
      <c r="L53" s="425"/>
      <c r="M53" s="425"/>
      <c r="N53" s="425"/>
      <c r="O53" s="425"/>
      <c r="P53" s="425"/>
      <c r="Q53" s="425"/>
      <c r="R53" s="432"/>
      <c r="S53" s="425"/>
      <c r="T53" s="241"/>
    </row>
    <row r="54" spans="1:20" x14ac:dyDescent="0.3">
      <c r="A54" s="243"/>
      <c r="B54" s="253"/>
      <c r="C54" s="245"/>
      <c r="D54" s="245"/>
      <c r="E54" s="245"/>
      <c r="F54" s="245"/>
      <c r="G54" s="245"/>
      <c r="H54" s="245"/>
      <c r="I54" s="245"/>
      <c r="J54" s="245"/>
      <c r="K54" s="245"/>
      <c r="L54" s="245"/>
      <c r="M54" s="245"/>
      <c r="N54" s="245"/>
      <c r="O54" s="245"/>
      <c r="P54" s="245"/>
      <c r="Q54" s="245"/>
      <c r="R54" s="312"/>
      <c r="S54" s="246"/>
      <c r="T54" s="241"/>
    </row>
    <row r="55" spans="1:20" s="409" customFormat="1" ht="46.8" x14ac:dyDescent="0.3">
      <c r="A55" s="412"/>
      <c r="B55" s="413" t="s">
        <v>14</v>
      </c>
      <c r="C55" s="414"/>
      <c r="D55" s="414"/>
      <c r="E55" s="414"/>
      <c r="F55" s="414" t="s">
        <v>76</v>
      </c>
      <c r="G55" s="414"/>
      <c r="H55" s="414" t="s">
        <v>78</v>
      </c>
      <c r="I55" s="414"/>
      <c r="J55" s="414" t="s">
        <v>165</v>
      </c>
      <c r="K55" s="414"/>
      <c r="L55" s="414" t="s">
        <v>166</v>
      </c>
      <c r="M55" s="414"/>
      <c r="N55" s="414" t="s">
        <v>81</v>
      </c>
      <c r="O55" s="414"/>
      <c r="P55" s="414" t="s">
        <v>86</v>
      </c>
      <c r="Q55" s="414"/>
      <c r="R55" s="415" t="s">
        <v>92</v>
      </c>
      <c r="S55" s="416"/>
      <c r="T55" s="408"/>
    </row>
    <row r="56" spans="1:20" s="260" customFormat="1" x14ac:dyDescent="0.3">
      <c r="A56" s="275"/>
      <c r="B56" s="268" t="s">
        <v>15</v>
      </c>
      <c r="C56" s="313"/>
      <c r="D56" s="313"/>
      <c r="E56" s="313"/>
      <c r="F56" s="313">
        <v>224374</v>
      </c>
      <c r="G56" s="313"/>
      <c r="H56" s="314">
        <v>81915</v>
      </c>
      <c r="I56" s="313"/>
      <c r="J56" s="314">
        <v>57</v>
      </c>
      <c r="K56" s="313"/>
      <c r="L56" s="313">
        <v>4674</v>
      </c>
      <c r="M56" s="313"/>
      <c r="N56" s="313">
        <v>0</v>
      </c>
      <c r="O56" s="313"/>
      <c r="P56" s="313">
        <f>752+1251+907</f>
        <v>2910</v>
      </c>
      <c r="Q56" s="313"/>
      <c r="R56" s="314">
        <f>H56-J56-L56+N56-P56</f>
        <v>74274</v>
      </c>
      <c r="S56" s="271"/>
      <c r="T56" s="259"/>
    </row>
    <row r="57" spans="1:20" s="260" customFormat="1" x14ac:dyDescent="0.3">
      <c r="A57" s="275"/>
      <c r="B57" s="268" t="s">
        <v>16</v>
      </c>
      <c r="C57" s="313"/>
      <c r="D57" s="313"/>
      <c r="E57" s="313"/>
      <c r="F57" s="313">
        <v>0</v>
      </c>
      <c r="G57" s="313"/>
      <c r="H57" s="314">
        <v>0</v>
      </c>
      <c r="I57" s="313"/>
      <c r="J57" s="314">
        <v>0</v>
      </c>
      <c r="K57" s="313"/>
      <c r="L57" s="313">
        <v>0</v>
      </c>
      <c r="M57" s="313"/>
      <c r="N57" s="313">
        <v>0</v>
      </c>
      <c r="O57" s="313"/>
      <c r="P57" s="313">
        <v>0</v>
      </c>
      <c r="Q57" s="313"/>
      <c r="R57" s="314">
        <f>F57-J57-L57</f>
        <v>0</v>
      </c>
      <c r="S57" s="271"/>
      <c r="T57" s="259"/>
    </row>
    <row r="58" spans="1:20" s="260" customFormat="1" x14ac:dyDescent="0.3">
      <c r="A58" s="275"/>
      <c r="B58" s="268"/>
      <c r="C58" s="313"/>
      <c r="D58" s="313"/>
      <c r="E58" s="313"/>
      <c r="F58" s="313"/>
      <c r="G58" s="313"/>
      <c r="H58" s="314"/>
      <c r="I58" s="313"/>
      <c r="J58" s="314"/>
      <c r="K58" s="313"/>
      <c r="L58" s="313"/>
      <c r="M58" s="313"/>
      <c r="N58" s="313"/>
      <c r="O58" s="313"/>
      <c r="P58" s="313"/>
      <c r="Q58" s="313"/>
      <c r="R58" s="314"/>
      <c r="S58" s="271"/>
      <c r="T58" s="259"/>
    </row>
    <row r="59" spans="1:20" s="260" customFormat="1" x14ac:dyDescent="0.3">
      <c r="A59" s="275"/>
      <c r="B59" s="268" t="s">
        <v>17</v>
      </c>
      <c r="C59" s="313"/>
      <c r="D59" s="313"/>
      <c r="E59" s="313"/>
      <c r="F59" s="313">
        <f>SUM(F56:F58)</f>
        <v>224374</v>
      </c>
      <c r="G59" s="313"/>
      <c r="H59" s="313">
        <f>H56+H57</f>
        <v>81915</v>
      </c>
      <c r="I59" s="313"/>
      <c r="J59" s="313">
        <f>J56+J57</f>
        <v>57</v>
      </c>
      <c r="K59" s="313"/>
      <c r="L59" s="313">
        <f>SUM(L56:L58)</f>
        <v>4674</v>
      </c>
      <c r="M59" s="313"/>
      <c r="N59" s="313">
        <f>SUM(N56:N58)</f>
        <v>0</v>
      </c>
      <c r="O59" s="313"/>
      <c r="P59" s="313">
        <f>SUM(P56:P58)</f>
        <v>2910</v>
      </c>
      <c r="Q59" s="313"/>
      <c r="R59" s="313">
        <f>SUM(R56:R58)</f>
        <v>74274</v>
      </c>
      <c r="S59" s="271"/>
      <c r="T59" s="259"/>
    </row>
    <row r="60" spans="1:20" x14ac:dyDescent="0.3">
      <c r="A60" s="243"/>
      <c r="B60" s="315"/>
      <c r="C60" s="316"/>
      <c r="D60" s="316"/>
      <c r="E60" s="316"/>
      <c r="F60" s="316"/>
      <c r="G60" s="316"/>
      <c r="H60" s="316"/>
      <c r="I60" s="316"/>
      <c r="J60" s="316"/>
      <c r="K60" s="316"/>
      <c r="L60" s="316"/>
      <c r="M60" s="316"/>
      <c r="N60" s="316"/>
      <c r="O60" s="316"/>
      <c r="P60" s="316"/>
      <c r="Q60" s="316"/>
      <c r="R60" s="317"/>
      <c r="S60" s="246"/>
      <c r="T60" s="241"/>
    </row>
    <row r="61" spans="1:20" x14ac:dyDescent="0.3">
      <c r="A61" s="243"/>
      <c r="B61" s="248" t="s">
        <v>18</v>
      </c>
      <c r="C61" s="318"/>
      <c r="D61" s="318"/>
      <c r="E61" s="318"/>
      <c r="F61" s="318"/>
      <c r="G61" s="318"/>
      <c r="H61" s="318"/>
      <c r="I61" s="318"/>
      <c r="J61" s="318"/>
      <c r="K61" s="318"/>
      <c r="L61" s="318"/>
      <c r="M61" s="318"/>
      <c r="N61" s="318"/>
      <c r="O61" s="318"/>
      <c r="P61" s="318"/>
      <c r="Q61" s="318"/>
      <c r="R61" s="319"/>
      <c r="S61" s="246"/>
      <c r="T61" s="241"/>
    </row>
    <row r="62" spans="1:20" x14ac:dyDescent="0.3">
      <c r="A62" s="243"/>
      <c r="B62" s="245"/>
      <c r="C62" s="318"/>
      <c r="D62" s="318"/>
      <c r="E62" s="318"/>
      <c r="F62" s="318"/>
      <c r="G62" s="318"/>
      <c r="H62" s="318"/>
      <c r="I62" s="318"/>
      <c r="J62" s="318"/>
      <c r="K62" s="318"/>
      <c r="L62" s="318"/>
      <c r="M62" s="318"/>
      <c r="N62" s="318"/>
      <c r="O62" s="318"/>
      <c r="P62" s="318"/>
      <c r="Q62" s="318"/>
      <c r="R62" s="319"/>
      <c r="S62" s="246"/>
      <c r="T62" s="241"/>
    </row>
    <row r="63" spans="1:20" s="260" customFormat="1" x14ac:dyDescent="0.3">
      <c r="A63" s="275"/>
      <c r="B63" s="268" t="s">
        <v>15</v>
      </c>
      <c r="C63" s="313"/>
      <c r="D63" s="313"/>
      <c r="E63" s="313"/>
      <c r="F63" s="313"/>
      <c r="G63" s="313"/>
      <c r="H63" s="313"/>
      <c r="I63" s="313"/>
      <c r="J63" s="313"/>
      <c r="K63" s="313"/>
      <c r="L63" s="313"/>
      <c r="M63" s="313"/>
      <c r="N63" s="313"/>
      <c r="O63" s="313"/>
      <c r="P63" s="313"/>
      <c r="Q63" s="313"/>
      <c r="R63" s="313"/>
      <c r="S63" s="271"/>
      <c r="T63" s="259"/>
    </row>
    <row r="64" spans="1:20" s="260" customFormat="1" x14ac:dyDescent="0.3">
      <c r="A64" s="275"/>
      <c r="B64" s="268" t="s">
        <v>16</v>
      </c>
      <c r="C64" s="313"/>
      <c r="D64" s="313"/>
      <c r="E64" s="313"/>
      <c r="F64" s="313"/>
      <c r="G64" s="313"/>
      <c r="H64" s="313"/>
      <c r="I64" s="313"/>
      <c r="J64" s="313"/>
      <c r="K64" s="313"/>
      <c r="L64" s="313"/>
      <c r="M64" s="313"/>
      <c r="N64" s="313"/>
      <c r="O64" s="313"/>
      <c r="P64" s="313"/>
      <c r="Q64" s="313"/>
      <c r="R64" s="313"/>
      <c r="S64" s="271"/>
      <c r="T64" s="259"/>
    </row>
    <row r="65" spans="1:20" s="260" customFormat="1" x14ac:dyDescent="0.3">
      <c r="A65" s="275"/>
      <c r="B65" s="268"/>
      <c r="C65" s="313"/>
      <c r="D65" s="313"/>
      <c r="E65" s="313"/>
      <c r="F65" s="313"/>
      <c r="G65" s="313"/>
      <c r="H65" s="313"/>
      <c r="I65" s="313"/>
      <c r="J65" s="313"/>
      <c r="K65" s="313"/>
      <c r="L65" s="313"/>
      <c r="M65" s="313"/>
      <c r="N65" s="313"/>
      <c r="O65" s="313"/>
      <c r="P65" s="313"/>
      <c r="Q65" s="313"/>
      <c r="R65" s="313"/>
      <c r="S65" s="271"/>
      <c r="T65" s="259"/>
    </row>
    <row r="66" spans="1:20" s="260" customFormat="1" x14ac:dyDescent="0.3">
      <c r="A66" s="275"/>
      <c r="B66" s="268" t="s">
        <v>17</v>
      </c>
      <c r="C66" s="313"/>
      <c r="D66" s="313"/>
      <c r="E66" s="313"/>
      <c r="F66" s="313"/>
      <c r="G66" s="313"/>
      <c r="H66" s="313"/>
      <c r="I66" s="313"/>
      <c r="J66" s="313"/>
      <c r="K66" s="313"/>
      <c r="L66" s="313"/>
      <c r="M66" s="313"/>
      <c r="N66" s="313"/>
      <c r="O66" s="313"/>
      <c r="P66" s="313"/>
      <c r="Q66" s="313"/>
      <c r="R66" s="313"/>
      <c r="S66" s="271"/>
      <c r="T66" s="259"/>
    </row>
    <row r="67" spans="1:20" s="260" customFormat="1" x14ac:dyDescent="0.3">
      <c r="A67" s="275"/>
      <c r="B67" s="268"/>
      <c r="C67" s="313"/>
      <c r="D67" s="313"/>
      <c r="E67" s="313"/>
      <c r="F67" s="313"/>
      <c r="G67" s="313"/>
      <c r="H67" s="313"/>
      <c r="I67" s="313"/>
      <c r="J67" s="313"/>
      <c r="K67" s="313"/>
      <c r="L67" s="313"/>
      <c r="M67" s="313"/>
      <c r="N67" s="313"/>
      <c r="O67" s="313"/>
      <c r="P67" s="313"/>
      <c r="Q67" s="313"/>
      <c r="R67" s="313"/>
      <c r="S67" s="271"/>
      <c r="T67" s="259"/>
    </row>
    <row r="68" spans="1:20" s="260" customFormat="1" x14ac:dyDescent="0.3">
      <c r="A68" s="275"/>
      <c r="B68" s="268" t="s">
        <v>19</v>
      </c>
      <c r="C68" s="313"/>
      <c r="D68" s="313"/>
      <c r="E68" s="313"/>
      <c r="F68" s="313">
        <v>0</v>
      </c>
      <c r="G68" s="313"/>
      <c r="H68" s="313">
        <v>0</v>
      </c>
      <c r="I68" s="313"/>
      <c r="J68" s="313"/>
      <c r="K68" s="313"/>
      <c r="L68" s="313"/>
      <c r="M68" s="313"/>
      <c r="N68" s="313"/>
      <c r="O68" s="313"/>
      <c r="P68" s="313"/>
      <c r="Q68" s="313"/>
      <c r="R68" s="314">
        <v>0</v>
      </c>
      <c r="S68" s="271"/>
      <c r="T68" s="259"/>
    </row>
    <row r="69" spans="1:20" s="260" customFormat="1" x14ac:dyDescent="0.3">
      <c r="A69" s="275"/>
      <c r="B69" s="268" t="s">
        <v>215</v>
      </c>
      <c r="C69" s="313"/>
      <c r="D69" s="313"/>
      <c r="E69" s="313"/>
      <c r="F69" s="313">
        <v>23451</v>
      </c>
      <c r="G69" s="313"/>
      <c r="H69" s="313">
        <v>0</v>
      </c>
      <c r="I69" s="313"/>
      <c r="J69" s="313">
        <v>0</v>
      </c>
      <c r="K69" s="313"/>
      <c r="L69" s="313">
        <v>0</v>
      </c>
      <c r="M69" s="313"/>
      <c r="N69" s="313"/>
      <c r="O69" s="313"/>
      <c r="P69" s="313"/>
      <c r="Q69" s="313"/>
      <c r="R69" s="313">
        <v>0</v>
      </c>
      <c r="S69" s="271"/>
      <c r="T69" s="259"/>
    </row>
    <row r="70" spans="1:20" s="260" customFormat="1" x14ac:dyDescent="0.3">
      <c r="A70" s="275"/>
      <c r="B70" s="268" t="s">
        <v>235</v>
      </c>
      <c r="C70" s="313"/>
      <c r="D70" s="313"/>
      <c r="E70" s="313"/>
      <c r="F70" s="313">
        <v>2175</v>
      </c>
      <c r="G70" s="313"/>
      <c r="H70" s="313">
        <v>0</v>
      </c>
      <c r="I70" s="313"/>
      <c r="J70" s="313"/>
      <c r="K70" s="313"/>
      <c r="L70" s="313"/>
      <c r="M70" s="313"/>
      <c r="N70" s="313">
        <v>0</v>
      </c>
      <c r="O70" s="313"/>
      <c r="P70" s="313"/>
      <c r="Q70" s="313"/>
      <c r="R70" s="313">
        <f>+H70+N70</f>
        <v>0</v>
      </c>
      <c r="S70" s="271"/>
      <c r="T70" s="259"/>
    </row>
    <row r="71" spans="1:20" s="260" customFormat="1" x14ac:dyDescent="0.3">
      <c r="A71" s="275"/>
      <c r="B71" s="268" t="s">
        <v>20</v>
      </c>
      <c r="C71" s="313"/>
      <c r="D71" s="313"/>
      <c r="E71" s="313"/>
      <c r="F71" s="313">
        <v>0</v>
      </c>
      <c r="G71" s="313"/>
      <c r="H71" s="313">
        <v>0</v>
      </c>
      <c r="I71" s="313"/>
      <c r="J71" s="313"/>
      <c r="K71" s="313"/>
      <c r="L71" s="313"/>
      <c r="M71" s="313"/>
      <c r="N71" s="313"/>
      <c r="O71" s="313"/>
      <c r="P71" s="313"/>
      <c r="Q71" s="313"/>
      <c r="R71" s="313">
        <v>0</v>
      </c>
      <c r="S71" s="271"/>
      <c r="T71" s="259"/>
    </row>
    <row r="72" spans="1:20" s="260" customFormat="1" x14ac:dyDescent="0.3">
      <c r="A72" s="275"/>
      <c r="B72" s="268" t="s">
        <v>21</v>
      </c>
      <c r="C72" s="313"/>
      <c r="D72" s="313"/>
      <c r="E72" s="313"/>
      <c r="F72" s="313">
        <f>SUM(F59:F71)</f>
        <v>250000</v>
      </c>
      <c r="G72" s="313"/>
      <c r="H72" s="313">
        <f>SUM(H59:H71)</f>
        <v>81915</v>
      </c>
      <c r="I72" s="313"/>
      <c r="J72" s="313"/>
      <c r="K72" s="313"/>
      <c r="L72" s="313"/>
      <c r="M72" s="313"/>
      <c r="N72" s="313"/>
      <c r="O72" s="313"/>
      <c r="P72" s="313"/>
      <c r="Q72" s="313"/>
      <c r="R72" s="313">
        <f>SUM(R59:R71)</f>
        <v>74274</v>
      </c>
      <c r="S72" s="271"/>
      <c r="T72" s="259"/>
    </row>
    <row r="73" spans="1:20" x14ac:dyDescent="0.3">
      <c r="A73" s="243"/>
      <c r="B73" s="315"/>
      <c r="C73" s="316"/>
      <c r="D73" s="316"/>
      <c r="E73" s="316"/>
      <c r="F73" s="316"/>
      <c r="G73" s="316"/>
      <c r="H73" s="316"/>
      <c r="I73" s="316"/>
      <c r="J73" s="316"/>
      <c r="K73" s="316"/>
      <c r="L73" s="316"/>
      <c r="M73" s="316"/>
      <c r="N73" s="316"/>
      <c r="O73" s="316"/>
      <c r="P73" s="316"/>
      <c r="Q73" s="316"/>
      <c r="R73" s="317"/>
      <c r="S73" s="246"/>
      <c r="T73" s="241"/>
    </row>
    <row r="74" spans="1:20" x14ac:dyDescent="0.3">
      <c r="A74" s="243"/>
      <c r="B74" s="245"/>
      <c r="C74" s="245"/>
      <c r="D74" s="245"/>
      <c r="E74" s="245"/>
      <c r="F74" s="245"/>
      <c r="G74" s="245"/>
      <c r="H74" s="245"/>
      <c r="I74" s="245"/>
      <c r="J74" s="245"/>
      <c r="K74" s="245"/>
      <c r="L74" s="245"/>
      <c r="M74" s="245"/>
      <c r="N74" s="245"/>
      <c r="O74" s="245"/>
      <c r="P74" s="245"/>
      <c r="Q74" s="245"/>
      <c r="R74" s="245"/>
      <c r="S74" s="246"/>
      <c r="T74" s="241"/>
    </row>
    <row r="75" spans="1:20" x14ac:dyDescent="0.3">
      <c r="A75" s="424"/>
      <c r="B75" s="434" t="s">
        <v>22</v>
      </c>
      <c r="C75" s="434"/>
      <c r="D75" s="435"/>
      <c r="E75" s="435"/>
      <c r="F75" s="435"/>
      <c r="G75" s="435"/>
      <c r="H75" s="436" t="s">
        <v>77</v>
      </c>
      <c r="I75" s="435"/>
      <c r="J75" s="437">
        <f>+P197</f>
        <v>43159</v>
      </c>
      <c r="K75" s="435"/>
      <c r="L75" s="435"/>
      <c r="M75" s="435"/>
      <c r="N75" s="435"/>
      <c r="O75" s="435"/>
      <c r="P75" s="435" t="s">
        <v>87</v>
      </c>
      <c r="Q75" s="435"/>
      <c r="R75" s="435" t="s">
        <v>93</v>
      </c>
      <c r="S75" s="426"/>
      <c r="T75" s="241"/>
    </row>
    <row r="76" spans="1:20" s="260" customFormat="1" x14ac:dyDescent="0.3">
      <c r="A76" s="255"/>
      <c r="B76" s="302" t="s">
        <v>23</v>
      </c>
      <c r="C76" s="302"/>
      <c r="D76" s="302"/>
      <c r="E76" s="302"/>
      <c r="F76" s="302"/>
      <c r="G76" s="302"/>
      <c r="H76" s="302"/>
      <c r="I76" s="302"/>
      <c r="J76" s="302"/>
      <c r="K76" s="302"/>
      <c r="L76" s="302"/>
      <c r="M76" s="302"/>
      <c r="N76" s="302"/>
      <c r="O76" s="302"/>
      <c r="P76" s="327">
        <v>0</v>
      </c>
      <c r="Q76" s="302"/>
      <c r="R76" s="433">
        <v>0</v>
      </c>
      <c r="S76" s="258"/>
      <c r="T76" s="259"/>
    </row>
    <row r="77" spans="1:20" s="260" customFormat="1" x14ac:dyDescent="0.3">
      <c r="A77" s="275"/>
      <c r="B77" s="268" t="s">
        <v>248</v>
      </c>
      <c r="C77" s="268"/>
      <c r="D77" s="293"/>
      <c r="E77" s="293"/>
      <c r="F77" s="293"/>
      <c r="G77" s="320"/>
      <c r="H77" s="293"/>
      <c r="I77" s="268"/>
      <c r="J77" s="321"/>
      <c r="K77" s="268"/>
      <c r="L77" s="268"/>
      <c r="M77" s="268"/>
      <c r="N77" s="268"/>
      <c r="O77" s="268"/>
      <c r="P77" s="313">
        <f>-N70</f>
        <v>0</v>
      </c>
      <c r="Q77" s="268"/>
      <c r="R77" s="314"/>
      <c r="S77" s="271"/>
      <c r="T77" s="259"/>
    </row>
    <row r="78" spans="1:20" s="260" customFormat="1" x14ac:dyDescent="0.3">
      <c r="A78" s="275"/>
      <c r="B78" s="268" t="s">
        <v>249</v>
      </c>
      <c r="C78" s="268"/>
      <c r="D78" s="293"/>
      <c r="E78" s="293"/>
      <c r="F78" s="293"/>
      <c r="G78" s="320"/>
      <c r="H78" s="293"/>
      <c r="I78" s="268"/>
      <c r="J78" s="321"/>
      <c r="K78" s="268"/>
      <c r="L78" s="268"/>
      <c r="M78" s="268"/>
      <c r="N78" s="268"/>
      <c r="O78" s="268"/>
      <c r="P78" s="313">
        <v>0</v>
      </c>
      <c r="Q78" s="268"/>
      <c r="R78" s="314"/>
      <c r="S78" s="271"/>
      <c r="T78" s="259"/>
    </row>
    <row r="79" spans="1:20" s="260" customFormat="1" x14ac:dyDescent="0.3">
      <c r="A79" s="275"/>
      <c r="B79" s="268" t="s">
        <v>24</v>
      </c>
      <c r="C79" s="268"/>
      <c r="D79" s="293"/>
      <c r="E79" s="293"/>
      <c r="F79" s="293"/>
      <c r="G79" s="320"/>
      <c r="H79" s="293"/>
      <c r="I79" s="268"/>
      <c r="J79" s="321"/>
      <c r="K79" s="268"/>
      <c r="L79" s="268"/>
      <c r="M79" s="268"/>
      <c r="N79" s="268"/>
      <c r="O79" s="268"/>
      <c r="P79" s="313">
        <f>+J56+L56+P56</f>
        <v>7641</v>
      </c>
      <c r="Q79" s="268"/>
      <c r="R79" s="314"/>
      <c r="S79" s="271"/>
      <c r="T79" s="259"/>
    </row>
    <row r="80" spans="1:20" s="260" customFormat="1" x14ac:dyDescent="0.3">
      <c r="A80" s="275"/>
      <c r="B80" s="268" t="s">
        <v>135</v>
      </c>
      <c r="C80" s="268"/>
      <c r="D80" s="293"/>
      <c r="E80" s="293"/>
      <c r="F80" s="293"/>
      <c r="G80" s="320"/>
      <c r="H80" s="293"/>
      <c r="I80" s="268"/>
      <c r="J80" s="321"/>
      <c r="K80" s="268"/>
      <c r="L80" s="268"/>
      <c r="M80" s="268"/>
      <c r="N80" s="268"/>
      <c r="O80" s="268"/>
      <c r="P80" s="313"/>
      <c r="Q80" s="268"/>
      <c r="R80" s="314">
        <f>1055-136-4</f>
        <v>915</v>
      </c>
      <c r="S80" s="271"/>
      <c r="T80" s="259"/>
    </row>
    <row r="81" spans="1:20" s="260" customFormat="1" x14ac:dyDescent="0.3">
      <c r="A81" s="275"/>
      <c r="B81" s="268" t="s">
        <v>133</v>
      </c>
      <c r="C81" s="268"/>
      <c r="D81" s="293"/>
      <c r="E81" s="293"/>
      <c r="F81" s="293"/>
      <c r="G81" s="320"/>
      <c r="H81" s="293"/>
      <c r="I81" s="268"/>
      <c r="J81" s="321"/>
      <c r="K81" s="268"/>
      <c r="L81" s="268"/>
      <c r="M81" s="268"/>
      <c r="N81" s="268"/>
      <c r="O81" s="268"/>
      <c r="P81" s="313"/>
      <c r="Q81" s="268"/>
      <c r="R81" s="314">
        <v>23</v>
      </c>
      <c r="S81" s="271"/>
      <c r="T81" s="259"/>
    </row>
    <row r="82" spans="1:20" s="260" customFormat="1" x14ac:dyDescent="0.3">
      <c r="A82" s="275"/>
      <c r="B82" s="268" t="s">
        <v>134</v>
      </c>
      <c r="C82" s="268"/>
      <c r="D82" s="293"/>
      <c r="E82" s="293"/>
      <c r="F82" s="293"/>
      <c r="G82" s="320"/>
      <c r="H82" s="293"/>
      <c r="I82" s="268"/>
      <c r="J82" s="321"/>
      <c r="K82" s="268"/>
      <c r="L82" s="268"/>
      <c r="M82" s="268"/>
      <c r="N82" s="268"/>
      <c r="O82" s="268"/>
      <c r="P82" s="313"/>
      <c r="Q82" s="268"/>
      <c r="R82" s="314">
        <v>13</v>
      </c>
      <c r="S82" s="271"/>
      <c r="T82" s="259"/>
    </row>
    <row r="83" spans="1:20" s="260" customFormat="1" x14ac:dyDescent="0.3">
      <c r="A83" s="275"/>
      <c r="B83" s="268" t="s">
        <v>143</v>
      </c>
      <c r="C83" s="268"/>
      <c r="D83" s="293"/>
      <c r="E83" s="293"/>
      <c r="F83" s="293"/>
      <c r="G83" s="320"/>
      <c r="H83" s="293"/>
      <c r="I83" s="268"/>
      <c r="J83" s="321"/>
      <c r="K83" s="268"/>
      <c r="L83" s="268"/>
      <c r="M83" s="268"/>
      <c r="N83" s="268"/>
      <c r="O83" s="268"/>
      <c r="P83" s="313"/>
      <c r="Q83" s="268"/>
      <c r="R83" s="314">
        <v>0</v>
      </c>
      <c r="S83" s="271"/>
      <c r="T83" s="259"/>
    </row>
    <row r="84" spans="1:20" s="260" customFormat="1" x14ac:dyDescent="0.3">
      <c r="A84" s="275"/>
      <c r="B84" s="268" t="s">
        <v>145</v>
      </c>
      <c r="C84" s="268"/>
      <c r="D84" s="293"/>
      <c r="E84" s="293"/>
      <c r="F84" s="293"/>
      <c r="G84" s="320"/>
      <c r="H84" s="293"/>
      <c r="I84" s="268"/>
      <c r="J84" s="321"/>
      <c r="K84" s="268"/>
      <c r="L84" s="268"/>
      <c r="M84" s="268"/>
      <c r="N84" s="268"/>
      <c r="O84" s="268"/>
      <c r="P84" s="313"/>
      <c r="Q84" s="268"/>
      <c r="R84" s="314">
        <v>107</v>
      </c>
      <c r="S84" s="271"/>
      <c r="T84" s="259"/>
    </row>
    <row r="85" spans="1:20" s="260" customFormat="1" x14ac:dyDescent="0.3">
      <c r="A85" s="275"/>
      <c r="B85" s="268" t="s">
        <v>167</v>
      </c>
      <c r="C85" s="268"/>
      <c r="D85" s="293"/>
      <c r="E85" s="293"/>
      <c r="F85" s="293"/>
      <c r="G85" s="320"/>
      <c r="H85" s="293"/>
      <c r="I85" s="268"/>
      <c r="J85" s="321"/>
      <c r="K85" s="268"/>
      <c r="L85" s="268"/>
      <c r="M85" s="268"/>
      <c r="N85" s="268"/>
      <c r="O85" s="268"/>
      <c r="P85" s="313"/>
      <c r="Q85" s="268"/>
      <c r="R85" s="314">
        <v>0</v>
      </c>
      <c r="S85" s="271"/>
      <c r="T85" s="259"/>
    </row>
    <row r="86" spans="1:20" s="260" customFormat="1" x14ac:dyDescent="0.3">
      <c r="A86" s="275"/>
      <c r="B86" s="268" t="s">
        <v>168</v>
      </c>
      <c r="C86" s="268"/>
      <c r="D86" s="293"/>
      <c r="E86" s="293"/>
      <c r="F86" s="293"/>
      <c r="G86" s="320"/>
      <c r="H86" s="293"/>
      <c r="I86" s="268"/>
      <c r="J86" s="321"/>
      <c r="K86" s="268"/>
      <c r="L86" s="268"/>
      <c r="M86" s="268"/>
      <c r="N86" s="268"/>
      <c r="O86" s="268"/>
      <c r="P86" s="313"/>
      <c r="Q86" s="268"/>
      <c r="R86" s="314">
        <v>0</v>
      </c>
      <c r="S86" s="271"/>
      <c r="T86" s="259"/>
    </row>
    <row r="87" spans="1:20" s="260" customFormat="1" x14ac:dyDescent="0.3">
      <c r="A87" s="275"/>
      <c r="B87" s="268" t="s">
        <v>169</v>
      </c>
      <c r="C87" s="268"/>
      <c r="D87" s="268"/>
      <c r="E87" s="268"/>
      <c r="F87" s="268"/>
      <c r="G87" s="268"/>
      <c r="H87" s="268"/>
      <c r="I87" s="268"/>
      <c r="J87" s="268"/>
      <c r="K87" s="268"/>
      <c r="L87" s="268"/>
      <c r="M87" s="268"/>
      <c r="N87" s="268"/>
      <c r="O87" s="268"/>
      <c r="P87" s="313"/>
      <c r="Q87" s="268"/>
      <c r="R87" s="314">
        <v>0</v>
      </c>
      <c r="S87" s="271"/>
      <c r="T87" s="259"/>
    </row>
    <row r="88" spans="1:20" s="260" customFormat="1" x14ac:dyDescent="0.3">
      <c r="A88" s="275"/>
      <c r="B88" s="268" t="s">
        <v>227</v>
      </c>
      <c r="C88" s="268"/>
      <c r="D88" s="268"/>
      <c r="E88" s="268"/>
      <c r="F88" s="268"/>
      <c r="G88" s="268"/>
      <c r="H88" s="268"/>
      <c r="I88" s="268"/>
      <c r="J88" s="268"/>
      <c r="K88" s="268"/>
      <c r="L88" s="268"/>
      <c r="M88" s="268"/>
      <c r="N88" s="268"/>
      <c r="O88" s="268"/>
      <c r="P88" s="313"/>
      <c r="Q88" s="268"/>
      <c r="R88" s="314">
        <v>0</v>
      </c>
      <c r="S88" s="271"/>
      <c r="T88" s="259"/>
    </row>
    <row r="89" spans="1:20" s="260" customFormat="1" x14ac:dyDescent="0.3">
      <c r="A89" s="275"/>
      <c r="B89" s="268" t="s">
        <v>25</v>
      </c>
      <c r="C89" s="268"/>
      <c r="D89" s="268"/>
      <c r="E89" s="268"/>
      <c r="F89" s="268"/>
      <c r="G89" s="268"/>
      <c r="H89" s="268"/>
      <c r="I89" s="268"/>
      <c r="J89" s="268"/>
      <c r="K89" s="268"/>
      <c r="L89" s="268"/>
      <c r="M89" s="268"/>
      <c r="N89" s="268"/>
      <c r="O89" s="268"/>
      <c r="P89" s="313">
        <f>SUM(P76:P88)</f>
        <v>7641</v>
      </c>
      <c r="Q89" s="268"/>
      <c r="R89" s="313">
        <f>SUM(R76:R88)</f>
        <v>1058</v>
      </c>
      <c r="S89" s="271"/>
      <c r="T89" s="259"/>
    </row>
    <row r="90" spans="1:20" s="260" customFormat="1" x14ac:dyDescent="0.3">
      <c r="A90" s="275"/>
      <c r="B90" s="268" t="s">
        <v>26</v>
      </c>
      <c r="C90" s="268"/>
      <c r="D90" s="268"/>
      <c r="E90" s="268"/>
      <c r="F90" s="268"/>
      <c r="G90" s="268"/>
      <c r="H90" s="268"/>
      <c r="I90" s="268"/>
      <c r="J90" s="268"/>
      <c r="K90" s="268"/>
      <c r="L90" s="268"/>
      <c r="M90" s="268"/>
      <c r="N90" s="268"/>
      <c r="O90" s="268"/>
      <c r="P90" s="313">
        <f>-R90</f>
        <v>0</v>
      </c>
      <c r="Q90" s="268"/>
      <c r="R90" s="314">
        <v>0</v>
      </c>
      <c r="S90" s="271"/>
      <c r="T90" s="259"/>
    </row>
    <row r="91" spans="1:20" s="260" customFormat="1" x14ac:dyDescent="0.3">
      <c r="A91" s="275"/>
      <c r="B91" s="268" t="s">
        <v>150</v>
      </c>
      <c r="C91" s="268"/>
      <c r="D91" s="268"/>
      <c r="E91" s="268"/>
      <c r="F91" s="268"/>
      <c r="G91" s="268"/>
      <c r="H91" s="268"/>
      <c r="I91" s="268"/>
      <c r="J91" s="268"/>
      <c r="K91" s="268"/>
      <c r="L91" s="268"/>
      <c r="M91" s="268"/>
      <c r="N91" s="268"/>
      <c r="O91" s="268"/>
      <c r="P91" s="313"/>
      <c r="Q91" s="268"/>
      <c r="R91" s="314">
        <v>0</v>
      </c>
      <c r="S91" s="271"/>
      <c r="T91" s="259"/>
    </row>
    <row r="92" spans="1:20" s="260" customFormat="1" x14ac:dyDescent="0.3">
      <c r="A92" s="275"/>
      <c r="B92" s="268" t="s">
        <v>27</v>
      </c>
      <c r="C92" s="268"/>
      <c r="D92" s="268"/>
      <c r="E92" s="268"/>
      <c r="F92" s="268"/>
      <c r="G92" s="268"/>
      <c r="H92" s="268"/>
      <c r="I92" s="268"/>
      <c r="J92" s="268"/>
      <c r="K92" s="268"/>
      <c r="L92" s="268"/>
      <c r="M92" s="268"/>
      <c r="N92" s="268"/>
      <c r="O92" s="268"/>
      <c r="P92" s="313">
        <f>P89+P90</f>
        <v>7641</v>
      </c>
      <c r="Q92" s="268"/>
      <c r="R92" s="313">
        <f>R89+R90+R91</f>
        <v>1058</v>
      </c>
      <c r="S92" s="271"/>
      <c r="T92" s="259"/>
    </row>
    <row r="93" spans="1:20" x14ac:dyDescent="0.3">
      <c r="A93" s="287"/>
      <c r="B93" s="417" t="s">
        <v>28</v>
      </c>
      <c r="C93" s="288"/>
      <c r="D93" s="288"/>
      <c r="E93" s="288"/>
      <c r="F93" s="288"/>
      <c r="G93" s="288"/>
      <c r="H93" s="288"/>
      <c r="I93" s="288"/>
      <c r="J93" s="288"/>
      <c r="K93" s="288"/>
      <c r="L93" s="288"/>
      <c r="M93" s="288"/>
      <c r="N93" s="288"/>
      <c r="O93" s="288"/>
      <c r="P93" s="322"/>
      <c r="Q93" s="323"/>
      <c r="R93" s="324"/>
      <c r="S93" s="289"/>
      <c r="T93" s="241"/>
    </row>
    <row r="94" spans="1:20" s="260" customFormat="1" x14ac:dyDescent="0.3">
      <c r="A94" s="275">
        <v>1</v>
      </c>
      <c r="B94" s="268" t="s">
        <v>180</v>
      </c>
      <c r="C94" s="268"/>
      <c r="D94" s="268"/>
      <c r="E94" s="268"/>
      <c r="F94" s="268"/>
      <c r="G94" s="268"/>
      <c r="H94" s="268"/>
      <c r="I94" s="268"/>
      <c r="J94" s="268"/>
      <c r="K94" s="268"/>
      <c r="L94" s="268"/>
      <c r="M94" s="268"/>
      <c r="N94" s="268"/>
      <c r="O94" s="268"/>
      <c r="P94" s="313"/>
      <c r="Q94" s="268"/>
      <c r="R94" s="314">
        <v>0</v>
      </c>
      <c r="S94" s="271"/>
      <c r="T94" s="259"/>
    </row>
    <row r="95" spans="1:20" s="260" customFormat="1" x14ac:dyDescent="0.3">
      <c r="A95" s="275">
        <v>2</v>
      </c>
      <c r="B95" s="268" t="s">
        <v>214</v>
      </c>
      <c r="C95" s="268"/>
      <c r="D95" s="268"/>
      <c r="E95" s="268"/>
      <c r="F95" s="268"/>
      <c r="G95" s="268"/>
      <c r="H95" s="268"/>
      <c r="I95" s="268"/>
      <c r="J95" s="268"/>
      <c r="K95" s="268"/>
      <c r="L95" s="268"/>
      <c r="M95" s="268"/>
      <c r="N95" s="268"/>
      <c r="O95" s="268"/>
      <c r="P95" s="268"/>
      <c r="Q95" s="268"/>
      <c r="R95" s="314">
        <v>-3</v>
      </c>
      <c r="S95" s="271"/>
      <c r="T95" s="259"/>
    </row>
    <row r="96" spans="1:20" s="260" customFormat="1" x14ac:dyDescent="0.3">
      <c r="A96" s="275">
        <v>3</v>
      </c>
      <c r="B96" s="268" t="s">
        <v>267</v>
      </c>
      <c r="C96" s="268"/>
      <c r="D96" s="268"/>
      <c r="E96" s="268"/>
      <c r="F96" s="268"/>
      <c r="G96" s="268"/>
      <c r="H96" s="268"/>
      <c r="I96" s="268"/>
      <c r="J96" s="268"/>
      <c r="K96" s="268"/>
      <c r="L96" s="268"/>
      <c r="M96" s="268"/>
      <c r="N96" s="268"/>
      <c r="O96" s="268"/>
      <c r="P96" s="268"/>
      <c r="Q96" s="268"/>
      <c r="R96" s="314">
        <f>-31-4-3</f>
        <v>-38</v>
      </c>
      <c r="S96" s="271"/>
      <c r="T96" s="259"/>
    </row>
    <row r="97" spans="1:21" s="260" customFormat="1" x14ac:dyDescent="0.3">
      <c r="A97" s="275">
        <v>4</v>
      </c>
      <c r="B97" s="268" t="s">
        <v>96</v>
      </c>
      <c r="C97" s="268"/>
      <c r="D97" s="268"/>
      <c r="E97" s="268"/>
      <c r="F97" s="268"/>
      <c r="G97" s="268"/>
      <c r="H97" s="268"/>
      <c r="I97" s="268"/>
      <c r="J97" s="268"/>
      <c r="K97" s="268"/>
      <c r="L97" s="268"/>
      <c r="M97" s="268"/>
      <c r="N97" s="268"/>
      <c r="O97" s="268"/>
      <c r="P97" s="268"/>
      <c r="Q97" s="268"/>
      <c r="R97" s="314">
        <v>-28</v>
      </c>
      <c r="S97" s="271"/>
      <c r="T97" s="259"/>
    </row>
    <row r="98" spans="1:21" s="260" customFormat="1" x14ac:dyDescent="0.3">
      <c r="A98" s="275">
        <v>5</v>
      </c>
      <c r="B98" s="268" t="s">
        <v>157</v>
      </c>
      <c r="C98" s="268"/>
      <c r="D98" s="268"/>
      <c r="E98" s="268"/>
      <c r="F98" s="268"/>
      <c r="G98" s="268"/>
      <c r="H98" s="268"/>
      <c r="I98" s="268"/>
      <c r="J98" s="268"/>
      <c r="K98" s="268"/>
      <c r="L98" s="268"/>
      <c r="M98" s="268"/>
      <c r="N98" s="268"/>
      <c r="O98" s="268"/>
      <c r="P98" s="268"/>
      <c r="Q98" s="268"/>
      <c r="R98" s="314">
        <v>-162</v>
      </c>
      <c r="S98" s="271"/>
      <c r="T98" s="259"/>
      <c r="U98" s="325"/>
    </row>
    <row r="99" spans="1:21" s="260" customFormat="1" x14ac:dyDescent="0.3">
      <c r="A99" s="275">
        <v>6</v>
      </c>
      <c r="B99" s="268" t="s">
        <v>207</v>
      </c>
      <c r="C99" s="268"/>
      <c r="D99" s="268"/>
      <c r="E99" s="268"/>
      <c r="F99" s="268"/>
      <c r="G99" s="268"/>
      <c r="H99" s="268"/>
      <c r="I99" s="268"/>
      <c r="J99" s="268"/>
      <c r="K99" s="268"/>
      <c r="L99" s="268"/>
      <c r="M99" s="268"/>
      <c r="N99" s="268"/>
      <c r="O99" s="268"/>
      <c r="P99" s="268"/>
      <c r="Q99" s="268"/>
      <c r="R99" s="314">
        <v>-84</v>
      </c>
      <c r="S99" s="271"/>
      <c r="T99" s="259"/>
      <c r="U99" s="325"/>
    </row>
    <row r="100" spans="1:21" s="260" customFormat="1" x14ac:dyDescent="0.3">
      <c r="A100" s="275">
        <v>7</v>
      </c>
      <c r="B100" s="268" t="s">
        <v>208</v>
      </c>
      <c r="C100" s="268"/>
      <c r="D100" s="268"/>
      <c r="E100" s="268"/>
      <c r="F100" s="268"/>
      <c r="G100" s="268"/>
      <c r="H100" s="268"/>
      <c r="I100" s="268"/>
      <c r="J100" s="268"/>
      <c r="K100" s="268"/>
      <c r="L100" s="268"/>
      <c r="M100" s="268"/>
      <c r="N100" s="268"/>
      <c r="O100" s="268"/>
      <c r="P100" s="268"/>
      <c r="Q100" s="268"/>
      <c r="R100" s="314">
        <v>-45</v>
      </c>
      <c r="S100" s="271"/>
      <c r="T100" s="259"/>
      <c r="U100" s="325"/>
    </row>
    <row r="101" spans="1:21" s="260" customFormat="1" x14ac:dyDescent="0.3">
      <c r="A101" s="275">
        <v>8</v>
      </c>
      <c r="B101" s="268" t="s">
        <v>158</v>
      </c>
      <c r="C101" s="268"/>
      <c r="D101" s="268"/>
      <c r="E101" s="268"/>
      <c r="F101" s="268"/>
      <c r="G101" s="268"/>
      <c r="H101" s="268"/>
      <c r="I101" s="268"/>
      <c r="J101" s="268"/>
      <c r="K101" s="268"/>
      <c r="L101" s="268"/>
      <c r="M101" s="268"/>
      <c r="N101" s="268"/>
      <c r="O101" s="268"/>
      <c r="P101" s="268"/>
      <c r="Q101" s="268"/>
      <c r="R101" s="314">
        <v>0</v>
      </c>
      <c r="S101" s="271"/>
      <c r="T101" s="259"/>
      <c r="U101" s="325"/>
    </row>
    <row r="102" spans="1:21" s="260" customFormat="1" x14ac:dyDescent="0.3">
      <c r="A102" s="275">
        <v>9</v>
      </c>
      <c r="B102" s="268" t="s">
        <v>37</v>
      </c>
      <c r="C102" s="268"/>
      <c r="D102" s="268"/>
      <c r="E102" s="268"/>
      <c r="F102" s="268"/>
      <c r="G102" s="268"/>
      <c r="H102" s="268"/>
      <c r="I102" s="268"/>
      <c r="J102" s="268"/>
      <c r="K102" s="268"/>
      <c r="L102" s="268"/>
      <c r="M102" s="268"/>
      <c r="N102" s="268"/>
      <c r="O102" s="268"/>
      <c r="P102" s="313">
        <f>-R102</f>
        <v>0</v>
      </c>
      <c r="Q102" s="268"/>
      <c r="R102" s="314">
        <v>0</v>
      </c>
      <c r="S102" s="271"/>
      <c r="T102" s="259"/>
    </row>
    <row r="103" spans="1:21" s="260" customFormat="1" x14ac:dyDescent="0.3">
      <c r="A103" s="275">
        <v>10</v>
      </c>
      <c r="B103" s="268" t="s">
        <v>101</v>
      </c>
      <c r="C103" s="268"/>
      <c r="D103" s="268"/>
      <c r="E103" s="268"/>
      <c r="F103" s="268"/>
      <c r="G103" s="268"/>
      <c r="H103" s="268"/>
      <c r="I103" s="268"/>
      <c r="J103" s="268"/>
      <c r="K103" s="268"/>
      <c r="L103" s="268"/>
      <c r="M103" s="268"/>
      <c r="N103" s="268"/>
      <c r="O103" s="268"/>
      <c r="P103" s="268"/>
      <c r="Q103" s="268"/>
      <c r="R103" s="314">
        <v>0</v>
      </c>
      <c r="S103" s="271"/>
      <c r="T103" s="259"/>
    </row>
    <row r="104" spans="1:21" s="260" customFormat="1" x14ac:dyDescent="0.3">
      <c r="A104" s="275">
        <v>11</v>
      </c>
      <c r="B104" s="268" t="s">
        <v>29</v>
      </c>
      <c r="C104" s="268"/>
      <c r="D104" s="268"/>
      <c r="E104" s="268"/>
      <c r="F104" s="268"/>
      <c r="G104" s="268"/>
      <c r="H104" s="268"/>
      <c r="I104" s="268"/>
      <c r="J104" s="268"/>
      <c r="K104" s="268"/>
      <c r="L104" s="268"/>
      <c r="M104" s="268"/>
      <c r="N104" s="268"/>
      <c r="O104" s="268"/>
      <c r="P104" s="268"/>
      <c r="Q104" s="268"/>
      <c r="R104" s="314">
        <v>-20</v>
      </c>
      <c r="S104" s="271"/>
      <c r="T104" s="259"/>
    </row>
    <row r="105" spans="1:21" s="260" customFormat="1" x14ac:dyDescent="0.3">
      <c r="A105" s="275">
        <v>12</v>
      </c>
      <c r="B105" s="268" t="s">
        <v>138</v>
      </c>
      <c r="C105" s="268"/>
      <c r="D105" s="268"/>
      <c r="E105" s="268"/>
      <c r="F105" s="268"/>
      <c r="G105" s="268"/>
      <c r="H105" s="268"/>
      <c r="I105" s="268"/>
      <c r="J105" s="268"/>
      <c r="K105" s="268"/>
      <c r="L105" s="268"/>
      <c r="M105" s="268"/>
      <c r="N105" s="268"/>
      <c r="O105" s="268"/>
      <c r="P105" s="268"/>
      <c r="Q105" s="268"/>
      <c r="R105" s="314">
        <v>0</v>
      </c>
      <c r="S105" s="271"/>
      <c r="T105" s="259"/>
    </row>
    <row r="106" spans="1:21" s="260" customFormat="1" x14ac:dyDescent="0.3">
      <c r="A106" s="275">
        <v>13</v>
      </c>
      <c r="B106" s="268" t="s">
        <v>209</v>
      </c>
      <c r="C106" s="268"/>
      <c r="D106" s="268"/>
      <c r="E106" s="268"/>
      <c r="F106" s="268"/>
      <c r="G106" s="268"/>
      <c r="H106" s="268"/>
      <c r="I106" s="268"/>
      <c r="J106" s="268"/>
      <c r="K106" s="268"/>
      <c r="L106" s="268"/>
      <c r="M106" s="268"/>
      <c r="N106" s="268"/>
      <c r="O106" s="268"/>
      <c r="P106" s="268"/>
      <c r="Q106" s="268"/>
      <c r="R106" s="314">
        <v>-41</v>
      </c>
      <c r="S106" s="271"/>
      <c r="T106" s="259"/>
    </row>
    <row r="107" spans="1:21" s="260" customFormat="1" x14ac:dyDescent="0.3">
      <c r="A107" s="275">
        <v>14</v>
      </c>
      <c r="B107" s="268" t="s">
        <v>159</v>
      </c>
      <c r="C107" s="268"/>
      <c r="D107" s="268"/>
      <c r="E107" s="268"/>
      <c r="F107" s="268"/>
      <c r="G107" s="268"/>
      <c r="H107" s="268"/>
      <c r="I107" s="268"/>
      <c r="J107" s="268"/>
      <c r="K107" s="268"/>
      <c r="L107" s="268"/>
      <c r="M107" s="268"/>
      <c r="N107" s="268"/>
      <c r="O107" s="268"/>
      <c r="P107" s="268"/>
      <c r="Q107" s="268"/>
      <c r="R107" s="314">
        <v>0</v>
      </c>
      <c r="S107" s="271"/>
      <c r="T107" s="259"/>
    </row>
    <row r="108" spans="1:21" s="260" customFormat="1" x14ac:dyDescent="0.3">
      <c r="A108" s="275">
        <v>15</v>
      </c>
      <c r="B108" s="268" t="s">
        <v>237</v>
      </c>
      <c r="C108" s="268"/>
      <c r="D108" s="268"/>
      <c r="E108" s="268"/>
      <c r="F108" s="268"/>
      <c r="G108" s="268"/>
      <c r="H108" s="268"/>
      <c r="I108" s="268"/>
      <c r="J108" s="268"/>
      <c r="K108" s="268"/>
      <c r="L108" s="268"/>
      <c r="M108" s="268"/>
      <c r="N108" s="268"/>
      <c r="O108" s="268"/>
      <c r="P108" s="268"/>
      <c r="Q108" s="268"/>
      <c r="R108" s="314">
        <v>-30</v>
      </c>
      <c r="S108" s="271"/>
      <c r="T108" s="259"/>
    </row>
    <row r="109" spans="1:21" s="260" customFormat="1" x14ac:dyDescent="0.3">
      <c r="A109" s="275">
        <v>16</v>
      </c>
      <c r="B109" s="268" t="s">
        <v>170</v>
      </c>
      <c r="C109" s="268"/>
      <c r="D109" s="268"/>
      <c r="E109" s="268"/>
      <c r="F109" s="268"/>
      <c r="G109" s="268"/>
      <c r="H109" s="268"/>
      <c r="I109" s="268"/>
      <c r="J109" s="268"/>
      <c r="K109" s="268"/>
      <c r="L109" s="268"/>
      <c r="M109" s="268"/>
      <c r="N109" s="268"/>
      <c r="O109" s="268"/>
      <c r="P109" s="268"/>
      <c r="Q109" s="268"/>
      <c r="R109" s="314">
        <f>-8-158</f>
        <v>-166</v>
      </c>
      <c r="S109" s="271"/>
      <c r="T109" s="259"/>
    </row>
    <row r="110" spans="1:21" s="260" customFormat="1" x14ac:dyDescent="0.3">
      <c r="A110" s="275">
        <v>17</v>
      </c>
      <c r="B110" s="268" t="s">
        <v>175</v>
      </c>
      <c r="C110" s="268"/>
      <c r="D110" s="268"/>
      <c r="E110" s="268"/>
      <c r="F110" s="268"/>
      <c r="G110" s="268"/>
      <c r="H110" s="268"/>
      <c r="I110" s="268"/>
      <c r="J110" s="268"/>
      <c r="K110" s="268"/>
      <c r="L110" s="268"/>
      <c r="M110" s="268"/>
      <c r="N110" s="268"/>
      <c r="O110" s="268"/>
      <c r="P110" s="268"/>
      <c r="Q110" s="268"/>
      <c r="R110" s="314">
        <f>-R92-SUM(R94:R109)</f>
        <v>-441</v>
      </c>
      <c r="S110" s="271"/>
      <c r="T110" s="259"/>
    </row>
    <row r="111" spans="1:21" s="260" customFormat="1" x14ac:dyDescent="0.3">
      <c r="A111" s="275">
        <v>18</v>
      </c>
      <c r="B111" s="268" t="s">
        <v>176</v>
      </c>
      <c r="C111" s="268"/>
      <c r="D111" s="268"/>
      <c r="E111" s="268"/>
      <c r="F111" s="268"/>
      <c r="G111" s="268"/>
      <c r="H111" s="268"/>
      <c r="I111" s="268"/>
      <c r="J111" s="268"/>
      <c r="K111" s="268"/>
      <c r="L111" s="268"/>
      <c r="M111" s="268"/>
      <c r="N111" s="268"/>
      <c r="O111" s="268"/>
      <c r="P111" s="313">
        <f>-R111</f>
        <v>0</v>
      </c>
      <c r="Q111" s="268"/>
      <c r="R111" s="314">
        <v>0</v>
      </c>
      <c r="S111" s="271"/>
      <c r="T111" s="259"/>
    </row>
    <row r="112" spans="1:21" x14ac:dyDescent="0.3">
      <c r="A112" s="287"/>
      <c r="B112" s="417" t="s">
        <v>30</v>
      </c>
      <c r="C112" s="288"/>
      <c r="D112" s="288"/>
      <c r="E112" s="288"/>
      <c r="F112" s="288"/>
      <c r="G112" s="288"/>
      <c r="H112" s="288"/>
      <c r="I112" s="288"/>
      <c r="J112" s="288"/>
      <c r="K112" s="288"/>
      <c r="L112" s="288"/>
      <c r="M112" s="288"/>
      <c r="N112" s="288"/>
      <c r="O112" s="288"/>
      <c r="P112" s="323"/>
      <c r="Q112" s="323"/>
      <c r="R112" s="326"/>
      <c r="S112" s="289"/>
      <c r="T112" s="241"/>
    </row>
    <row r="113" spans="1:20" s="260" customFormat="1" x14ac:dyDescent="0.3">
      <c r="A113" s="275"/>
      <c r="B113" s="268" t="s">
        <v>238</v>
      </c>
      <c r="C113" s="268"/>
      <c r="D113" s="268"/>
      <c r="E113" s="268"/>
      <c r="F113" s="268"/>
      <c r="G113" s="268"/>
      <c r="H113" s="268"/>
      <c r="I113" s="268"/>
      <c r="J113" s="268"/>
      <c r="K113" s="268"/>
      <c r="L113" s="268"/>
      <c r="M113" s="268"/>
      <c r="N113" s="268"/>
      <c r="O113" s="268"/>
      <c r="P113" s="313">
        <f>-P179</f>
        <v>0</v>
      </c>
      <c r="Q113" s="313"/>
      <c r="R113" s="314"/>
      <c r="S113" s="271"/>
      <c r="T113" s="259"/>
    </row>
    <row r="114" spans="1:20" s="260" customFormat="1" x14ac:dyDescent="0.3">
      <c r="A114" s="275"/>
      <c r="B114" s="268" t="s">
        <v>239</v>
      </c>
      <c r="C114" s="268"/>
      <c r="D114" s="268"/>
      <c r="E114" s="268"/>
      <c r="F114" s="268"/>
      <c r="G114" s="268"/>
      <c r="H114" s="268"/>
      <c r="I114" s="268"/>
      <c r="J114" s="268"/>
      <c r="K114" s="268"/>
      <c r="L114" s="268"/>
      <c r="M114" s="268"/>
      <c r="N114" s="268"/>
      <c r="O114" s="268"/>
      <c r="P114" s="313">
        <f>-O179</f>
        <v>0</v>
      </c>
      <c r="Q114" s="313"/>
      <c r="R114" s="314"/>
      <c r="S114" s="271"/>
      <c r="T114" s="259"/>
    </row>
    <row r="115" spans="1:20" s="260" customFormat="1" x14ac:dyDescent="0.3">
      <c r="A115" s="275"/>
      <c r="B115" s="268" t="s">
        <v>160</v>
      </c>
      <c r="C115" s="268"/>
      <c r="D115" s="268"/>
      <c r="E115" s="268"/>
      <c r="F115" s="268"/>
      <c r="G115" s="268"/>
      <c r="H115" s="268"/>
      <c r="I115" s="268"/>
      <c r="J115" s="268"/>
      <c r="K115" s="268"/>
      <c r="L115" s="268"/>
      <c r="M115" s="268"/>
      <c r="N115" s="268"/>
      <c r="O115" s="268"/>
      <c r="P115" s="313">
        <v>-7641</v>
      </c>
      <c r="Q115" s="313"/>
      <c r="R115" s="314"/>
      <c r="S115" s="271"/>
      <c r="T115" s="259"/>
    </row>
    <row r="116" spans="1:20" s="260" customFormat="1" x14ac:dyDescent="0.3">
      <c r="A116" s="275"/>
      <c r="B116" s="268" t="s">
        <v>189</v>
      </c>
      <c r="C116" s="268"/>
      <c r="D116" s="268"/>
      <c r="E116" s="268"/>
      <c r="F116" s="268"/>
      <c r="G116" s="268"/>
      <c r="H116" s="268"/>
      <c r="I116" s="268"/>
      <c r="J116" s="268"/>
      <c r="K116" s="268"/>
      <c r="L116" s="268"/>
      <c r="M116" s="268"/>
      <c r="N116" s="268"/>
      <c r="O116" s="268"/>
      <c r="P116" s="313">
        <v>0</v>
      </c>
      <c r="Q116" s="313"/>
      <c r="R116" s="314"/>
      <c r="S116" s="271"/>
      <c r="T116" s="259"/>
    </row>
    <row r="117" spans="1:20" s="260" customFormat="1" x14ac:dyDescent="0.3">
      <c r="A117" s="275"/>
      <c r="B117" s="268" t="s">
        <v>190</v>
      </c>
      <c r="C117" s="268"/>
      <c r="D117" s="268"/>
      <c r="E117" s="268"/>
      <c r="F117" s="268"/>
      <c r="G117" s="268"/>
      <c r="H117" s="268"/>
      <c r="I117" s="268"/>
      <c r="J117" s="268"/>
      <c r="K117" s="268"/>
      <c r="L117" s="268"/>
      <c r="M117" s="268"/>
      <c r="N117" s="268"/>
      <c r="O117" s="268"/>
      <c r="P117" s="313">
        <v>0</v>
      </c>
      <c r="Q117" s="313"/>
      <c r="R117" s="314"/>
      <c r="S117" s="271"/>
      <c r="T117" s="259"/>
    </row>
    <row r="118" spans="1:20" s="260" customFormat="1" x14ac:dyDescent="0.3">
      <c r="A118" s="275"/>
      <c r="B118" s="268" t="s">
        <v>191</v>
      </c>
      <c r="C118" s="268"/>
      <c r="D118" s="268"/>
      <c r="E118" s="268"/>
      <c r="F118" s="268"/>
      <c r="G118" s="268"/>
      <c r="H118" s="268"/>
      <c r="I118" s="268"/>
      <c r="J118" s="268"/>
      <c r="K118" s="268"/>
      <c r="L118" s="268"/>
      <c r="M118" s="268"/>
      <c r="N118" s="268"/>
      <c r="O118" s="268"/>
      <c r="P118" s="313">
        <v>0</v>
      </c>
      <c r="Q118" s="313"/>
      <c r="R118" s="314"/>
      <c r="S118" s="271"/>
      <c r="T118" s="259"/>
    </row>
    <row r="119" spans="1:20" s="260" customFormat="1" x14ac:dyDescent="0.3">
      <c r="A119" s="275"/>
      <c r="B119" s="268" t="s">
        <v>31</v>
      </c>
      <c r="C119" s="268"/>
      <c r="D119" s="268"/>
      <c r="E119" s="268"/>
      <c r="F119" s="268"/>
      <c r="G119" s="268"/>
      <c r="H119" s="268"/>
      <c r="I119" s="268"/>
      <c r="J119" s="268"/>
      <c r="K119" s="268"/>
      <c r="L119" s="268"/>
      <c r="M119" s="268"/>
      <c r="N119" s="268"/>
      <c r="O119" s="268"/>
      <c r="P119" s="313">
        <f>SUM(P113:P118)</f>
        <v>-7641</v>
      </c>
      <c r="Q119" s="313"/>
      <c r="R119" s="313">
        <f>SUM(R93:R118)</f>
        <v>-1058</v>
      </c>
      <c r="S119" s="271"/>
      <c r="T119" s="259"/>
    </row>
    <row r="120" spans="1:20" s="260" customFormat="1" x14ac:dyDescent="0.3">
      <c r="A120" s="275"/>
      <c r="B120" s="268" t="s">
        <v>32</v>
      </c>
      <c r="C120" s="268"/>
      <c r="D120" s="268"/>
      <c r="E120" s="268"/>
      <c r="F120" s="268"/>
      <c r="G120" s="268"/>
      <c r="H120" s="268"/>
      <c r="I120" s="268"/>
      <c r="J120" s="268"/>
      <c r="K120" s="268"/>
      <c r="L120" s="268"/>
      <c r="M120" s="268"/>
      <c r="N120" s="268"/>
      <c r="O120" s="268"/>
      <c r="P120" s="313">
        <f>P92+P119+P102+P111</f>
        <v>0</v>
      </c>
      <c r="Q120" s="313"/>
      <c r="R120" s="313">
        <f>R92+R119</f>
        <v>0</v>
      </c>
      <c r="S120" s="271"/>
      <c r="T120" s="259"/>
    </row>
    <row r="121" spans="1:20" s="260" customFormat="1" x14ac:dyDescent="0.3">
      <c r="A121" s="255"/>
      <c r="B121" s="302"/>
      <c r="C121" s="302"/>
      <c r="D121" s="302"/>
      <c r="E121" s="302"/>
      <c r="F121" s="302"/>
      <c r="G121" s="302"/>
      <c r="H121" s="302"/>
      <c r="I121" s="302"/>
      <c r="J121" s="302"/>
      <c r="K121" s="302"/>
      <c r="L121" s="302"/>
      <c r="M121" s="302"/>
      <c r="N121" s="302"/>
      <c r="O121" s="302"/>
      <c r="P121" s="327"/>
      <c r="Q121" s="327"/>
      <c r="R121" s="327"/>
      <c r="S121" s="258"/>
      <c r="T121" s="259"/>
    </row>
    <row r="122" spans="1:20" s="260" customFormat="1" x14ac:dyDescent="0.3">
      <c r="A122" s="255"/>
      <c r="B122" s="256"/>
      <c r="C122" s="256"/>
      <c r="D122" s="256"/>
      <c r="E122" s="256"/>
      <c r="F122" s="256"/>
      <c r="G122" s="256"/>
      <c r="H122" s="256"/>
      <c r="I122" s="256"/>
      <c r="J122" s="256"/>
      <c r="K122" s="256"/>
      <c r="L122" s="256"/>
      <c r="M122" s="256"/>
      <c r="N122" s="256"/>
      <c r="O122" s="256"/>
      <c r="P122" s="256"/>
      <c r="Q122" s="256"/>
      <c r="R122" s="328"/>
      <c r="S122" s="258"/>
      <c r="T122" s="259"/>
    </row>
    <row r="123" spans="1:20" s="260" customFormat="1" ht="18.600000000000001" thickBot="1" x14ac:dyDescent="0.4">
      <c r="A123" s="307"/>
      <c r="B123" s="308" t="str">
        <f>B52</f>
        <v>PM21 INVESTOR REPORT QUARTER ENDING FEBRUARY 2018</v>
      </c>
      <c r="C123" s="309"/>
      <c r="D123" s="309"/>
      <c r="E123" s="309"/>
      <c r="F123" s="309"/>
      <c r="G123" s="309"/>
      <c r="H123" s="309"/>
      <c r="I123" s="309"/>
      <c r="J123" s="309"/>
      <c r="K123" s="309"/>
      <c r="L123" s="309"/>
      <c r="M123" s="309"/>
      <c r="N123" s="309"/>
      <c r="O123" s="309"/>
      <c r="P123" s="309"/>
      <c r="Q123" s="309"/>
      <c r="R123" s="329"/>
      <c r="S123" s="311"/>
      <c r="T123" s="259"/>
    </row>
    <row r="124" spans="1:20" x14ac:dyDescent="0.3">
      <c r="A124" s="438"/>
      <c r="B124" s="439" t="s">
        <v>33</v>
      </c>
      <c r="C124" s="440"/>
      <c r="D124" s="440"/>
      <c r="E124" s="440"/>
      <c r="F124" s="440"/>
      <c r="G124" s="440"/>
      <c r="H124" s="440"/>
      <c r="I124" s="440"/>
      <c r="J124" s="440"/>
      <c r="K124" s="440"/>
      <c r="L124" s="440"/>
      <c r="M124" s="440"/>
      <c r="N124" s="440"/>
      <c r="O124" s="440"/>
      <c r="P124" s="440"/>
      <c r="Q124" s="440"/>
      <c r="R124" s="441"/>
      <c r="S124" s="442"/>
      <c r="T124" s="241"/>
    </row>
    <row r="125" spans="1:20" x14ac:dyDescent="0.3">
      <c r="A125" s="243"/>
      <c r="B125" s="330"/>
      <c r="C125" s="245"/>
      <c r="D125" s="245"/>
      <c r="E125" s="245"/>
      <c r="F125" s="245"/>
      <c r="G125" s="245"/>
      <c r="H125" s="245"/>
      <c r="I125" s="245"/>
      <c r="J125" s="245"/>
      <c r="K125" s="245"/>
      <c r="L125" s="245"/>
      <c r="M125" s="245"/>
      <c r="N125" s="245"/>
      <c r="O125" s="245"/>
      <c r="P125" s="245"/>
      <c r="Q125" s="245"/>
      <c r="R125" s="312"/>
      <c r="S125" s="246"/>
      <c r="T125" s="241"/>
    </row>
    <row r="126" spans="1:20" x14ac:dyDescent="0.3">
      <c r="A126" s="243"/>
      <c r="B126" s="418" t="s">
        <v>34</v>
      </c>
      <c r="C126" s="245"/>
      <c r="D126" s="245"/>
      <c r="E126" s="245"/>
      <c r="F126" s="245"/>
      <c r="G126" s="245"/>
      <c r="H126" s="245"/>
      <c r="I126" s="245"/>
      <c r="J126" s="245"/>
      <c r="K126" s="245"/>
      <c r="L126" s="245"/>
      <c r="M126" s="245"/>
      <c r="N126" s="245"/>
      <c r="O126" s="245"/>
      <c r="P126" s="245"/>
      <c r="Q126" s="245"/>
      <c r="R126" s="312"/>
      <c r="S126" s="246"/>
      <c r="T126" s="241"/>
    </row>
    <row r="127" spans="1:20" s="260" customFormat="1" x14ac:dyDescent="0.3">
      <c r="A127" s="275"/>
      <c r="B127" s="268" t="s">
        <v>35</v>
      </c>
      <c r="C127" s="268"/>
      <c r="D127" s="268"/>
      <c r="E127" s="268"/>
      <c r="F127" s="268"/>
      <c r="G127" s="268"/>
      <c r="H127" s="268"/>
      <c r="I127" s="268"/>
      <c r="J127" s="268"/>
      <c r="K127" s="268"/>
      <c r="L127" s="268"/>
      <c r="M127" s="268"/>
      <c r="N127" s="268"/>
      <c r="O127" s="268"/>
      <c r="P127" s="268"/>
      <c r="Q127" s="268"/>
      <c r="R127" s="314">
        <f>+R28*0.025</f>
        <v>6250</v>
      </c>
      <c r="S127" s="271"/>
      <c r="T127" s="259"/>
    </row>
    <row r="128" spans="1:20" s="260" customFormat="1" x14ac:dyDescent="0.3">
      <c r="A128" s="275"/>
      <c r="B128" s="268" t="s">
        <v>36</v>
      </c>
      <c r="C128" s="268"/>
      <c r="D128" s="268"/>
      <c r="E128" s="268"/>
      <c r="F128" s="268"/>
      <c r="G128" s="268"/>
      <c r="H128" s="268"/>
      <c r="I128" s="268"/>
      <c r="J128" s="268"/>
      <c r="K128" s="268"/>
      <c r="L128" s="268"/>
      <c r="M128" s="268"/>
      <c r="N128" s="268"/>
      <c r="O128" s="268"/>
      <c r="P128" s="268"/>
      <c r="Q128" s="268"/>
      <c r="R128" s="314">
        <v>0</v>
      </c>
      <c r="S128" s="271"/>
      <c r="T128" s="259"/>
    </row>
    <row r="129" spans="1:21" s="260" customFormat="1" x14ac:dyDescent="0.3">
      <c r="A129" s="275"/>
      <c r="B129" s="268" t="s">
        <v>172</v>
      </c>
      <c r="C129" s="268"/>
      <c r="D129" s="268"/>
      <c r="E129" s="268"/>
      <c r="F129" s="268"/>
      <c r="G129" s="268"/>
      <c r="H129" s="268"/>
      <c r="I129" s="268"/>
      <c r="J129" s="268"/>
      <c r="K129" s="268"/>
      <c r="L129" s="268"/>
      <c r="M129" s="268"/>
      <c r="N129" s="268"/>
      <c r="O129" s="268"/>
      <c r="P129" s="268"/>
      <c r="Q129" s="268"/>
      <c r="R129" s="314">
        <f>R127-R130</f>
        <v>4550.6592545000003</v>
      </c>
      <c r="S129" s="271"/>
      <c r="T129" s="259"/>
    </row>
    <row r="130" spans="1:21" s="260" customFormat="1" x14ac:dyDescent="0.3">
      <c r="A130" s="275"/>
      <c r="B130" s="268" t="s">
        <v>240</v>
      </c>
      <c r="C130" s="268"/>
      <c r="D130" s="268"/>
      <c r="E130" s="268"/>
      <c r="F130" s="268"/>
      <c r="G130" s="268"/>
      <c r="H130" s="268"/>
      <c r="I130" s="268"/>
      <c r="J130" s="268"/>
      <c r="K130" s="268"/>
      <c r="L130" s="268"/>
      <c r="M130" s="268"/>
      <c r="N130" s="268"/>
      <c r="O130" s="268"/>
      <c r="P130" s="268"/>
      <c r="Q130" s="268"/>
      <c r="R130" s="314">
        <f>SUM(D30:H30)*0.025</f>
        <v>1699.3407455000001</v>
      </c>
      <c r="S130" s="271"/>
      <c r="T130" s="259"/>
    </row>
    <row r="131" spans="1:21" s="260" customFormat="1" x14ac:dyDescent="0.3">
      <c r="A131" s="275"/>
      <c r="B131" s="268" t="s">
        <v>108</v>
      </c>
      <c r="C131" s="268"/>
      <c r="D131" s="268"/>
      <c r="E131" s="268"/>
      <c r="F131" s="268"/>
      <c r="G131" s="268"/>
      <c r="H131" s="268"/>
      <c r="I131" s="268"/>
      <c r="J131" s="268"/>
      <c r="K131" s="268"/>
      <c r="L131" s="268"/>
      <c r="M131" s="268"/>
      <c r="N131" s="268"/>
      <c r="O131" s="268"/>
      <c r="P131" s="268"/>
      <c r="Q131" s="268"/>
      <c r="R131" s="314"/>
      <c r="S131" s="271"/>
      <c r="T131" s="259"/>
    </row>
    <row r="132" spans="1:21" s="260" customFormat="1" x14ac:dyDescent="0.3">
      <c r="A132" s="275"/>
      <c r="B132" s="268" t="s">
        <v>157</v>
      </c>
      <c r="C132" s="268"/>
      <c r="D132" s="268"/>
      <c r="E132" s="268"/>
      <c r="F132" s="268"/>
      <c r="G132" s="268"/>
      <c r="H132" s="268"/>
      <c r="I132" s="268"/>
      <c r="J132" s="268"/>
      <c r="K132" s="268"/>
      <c r="L132" s="268"/>
      <c r="M132" s="268"/>
      <c r="N132" s="268"/>
      <c r="O132" s="268"/>
      <c r="P132" s="268"/>
      <c r="Q132" s="268"/>
      <c r="R132" s="314">
        <v>0</v>
      </c>
      <c r="S132" s="271"/>
      <c r="T132" s="259"/>
    </row>
    <row r="133" spans="1:21" s="260" customFormat="1" x14ac:dyDescent="0.3">
      <c r="A133" s="275"/>
      <c r="B133" s="268" t="s">
        <v>207</v>
      </c>
      <c r="C133" s="268"/>
      <c r="D133" s="268"/>
      <c r="E133" s="268"/>
      <c r="F133" s="268"/>
      <c r="G133" s="268"/>
      <c r="H133" s="268"/>
      <c r="I133" s="268"/>
      <c r="J133" s="268"/>
      <c r="K133" s="268"/>
      <c r="L133" s="268"/>
      <c r="M133" s="268"/>
      <c r="N133" s="268"/>
      <c r="O133" s="268"/>
      <c r="P133" s="268"/>
      <c r="Q133" s="268"/>
      <c r="R133" s="314">
        <v>0</v>
      </c>
      <c r="S133" s="271"/>
      <c r="T133" s="259"/>
    </row>
    <row r="134" spans="1:21" s="260" customFormat="1" x14ac:dyDescent="0.3">
      <c r="A134" s="275"/>
      <c r="B134" s="268" t="s">
        <v>208</v>
      </c>
      <c r="C134" s="268"/>
      <c r="D134" s="268"/>
      <c r="E134" s="268"/>
      <c r="F134" s="268"/>
      <c r="G134" s="268"/>
      <c r="H134" s="268"/>
      <c r="I134" s="268"/>
      <c r="J134" s="268"/>
      <c r="K134" s="268"/>
      <c r="L134" s="268"/>
      <c r="M134" s="268"/>
      <c r="N134" s="268"/>
      <c r="O134" s="268"/>
      <c r="P134" s="268"/>
      <c r="Q134" s="268"/>
      <c r="R134" s="314">
        <v>0</v>
      </c>
      <c r="S134" s="271"/>
      <c r="T134" s="259"/>
    </row>
    <row r="135" spans="1:21" s="260" customFormat="1" x14ac:dyDescent="0.3">
      <c r="A135" s="275"/>
      <c r="B135" s="268" t="s">
        <v>37</v>
      </c>
      <c r="C135" s="268"/>
      <c r="D135" s="268"/>
      <c r="E135" s="268"/>
      <c r="F135" s="268"/>
      <c r="G135" s="268"/>
      <c r="H135" s="268"/>
      <c r="I135" s="268"/>
      <c r="J135" s="268"/>
      <c r="K135" s="268"/>
      <c r="L135" s="268"/>
      <c r="M135" s="268"/>
      <c r="N135" s="268"/>
      <c r="O135" s="268"/>
      <c r="P135" s="268"/>
      <c r="Q135" s="268"/>
      <c r="R135" s="314">
        <v>0</v>
      </c>
      <c r="S135" s="271"/>
      <c r="T135" s="259"/>
    </row>
    <row r="136" spans="1:21" s="260" customFormat="1" x14ac:dyDescent="0.3">
      <c r="A136" s="275"/>
      <c r="B136" s="268" t="s">
        <v>102</v>
      </c>
      <c r="C136" s="268"/>
      <c r="D136" s="268"/>
      <c r="E136" s="268"/>
      <c r="F136" s="268"/>
      <c r="G136" s="268"/>
      <c r="H136" s="268"/>
      <c r="I136" s="268"/>
      <c r="J136" s="268"/>
      <c r="K136" s="268"/>
      <c r="L136" s="268"/>
      <c r="M136" s="268"/>
      <c r="N136" s="268"/>
      <c r="O136" s="268"/>
      <c r="P136" s="268"/>
      <c r="Q136" s="268"/>
      <c r="R136" s="314">
        <v>0</v>
      </c>
      <c r="S136" s="271"/>
      <c r="T136" s="259"/>
    </row>
    <row r="137" spans="1:21" s="260" customFormat="1" x14ac:dyDescent="0.3">
      <c r="A137" s="275"/>
      <c r="B137" s="268" t="s">
        <v>228</v>
      </c>
      <c r="C137" s="268"/>
      <c r="D137" s="268"/>
      <c r="E137" s="268"/>
      <c r="F137" s="268"/>
      <c r="G137" s="268"/>
      <c r="H137" s="268"/>
      <c r="I137" s="268"/>
      <c r="J137" s="268"/>
      <c r="K137" s="268"/>
      <c r="L137" s="268"/>
      <c r="M137" s="268"/>
      <c r="N137" s="268"/>
      <c r="O137" s="268"/>
      <c r="P137" s="268"/>
      <c r="Q137" s="268"/>
      <c r="R137" s="314">
        <v>0</v>
      </c>
      <c r="S137" s="271"/>
      <c r="T137" s="259"/>
      <c r="U137" s="325"/>
    </row>
    <row r="138" spans="1:21" s="260" customFormat="1" x14ac:dyDescent="0.3">
      <c r="A138" s="275"/>
      <c r="B138" s="268" t="s">
        <v>38</v>
      </c>
      <c r="C138" s="268"/>
      <c r="D138" s="268"/>
      <c r="E138" s="268"/>
      <c r="F138" s="268"/>
      <c r="G138" s="268"/>
      <c r="H138" s="268"/>
      <c r="I138" s="268"/>
      <c r="J138" s="268"/>
      <c r="K138" s="268"/>
      <c r="L138" s="268"/>
      <c r="M138" s="268"/>
      <c r="N138" s="268"/>
      <c r="O138" s="268"/>
      <c r="P138" s="268"/>
      <c r="Q138" s="268"/>
      <c r="R138" s="314">
        <f>SUM(R128:R137)</f>
        <v>6250</v>
      </c>
      <c r="S138" s="271"/>
      <c r="T138" s="259"/>
    </row>
    <row r="139" spans="1:21" x14ac:dyDescent="0.3">
      <c r="A139" s="243"/>
      <c r="B139" s="315"/>
      <c r="C139" s="315"/>
      <c r="D139" s="315"/>
      <c r="E139" s="315"/>
      <c r="F139" s="315"/>
      <c r="G139" s="315"/>
      <c r="H139" s="315"/>
      <c r="I139" s="315"/>
      <c r="J139" s="315"/>
      <c r="K139" s="315"/>
      <c r="L139" s="315"/>
      <c r="M139" s="315"/>
      <c r="N139" s="315"/>
      <c r="O139" s="315"/>
      <c r="P139" s="315"/>
      <c r="Q139" s="315"/>
      <c r="R139" s="331"/>
      <c r="S139" s="246"/>
      <c r="T139" s="241"/>
    </row>
    <row r="140" spans="1:21" x14ac:dyDescent="0.3">
      <c r="A140" s="243"/>
      <c r="B140" s="418" t="s">
        <v>222</v>
      </c>
      <c r="C140" s="245"/>
      <c r="D140" s="245"/>
      <c r="E140" s="245"/>
      <c r="F140" s="245"/>
      <c r="G140" s="245"/>
      <c r="H140" s="245"/>
      <c r="I140" s="245"/>
      <c r="J140" s="245"/>
      <c r="K140" s="245"/>
      <c r="L140" s="245"/>
      <c r="M140" s="245"/>
      <c r="N140" s="245"/>
      <c r="O140" s="245"/>
      <c r="P140" s="245"/>
      <c r="Q140" s="245"/>
      <c r="R140" s="312"/>
      <c r="S140" s="246"/>
      <c r="T140" s="241"/>
    </row>
    <row r="141" spans="1:21" s="260" customFormat="1" x14ac:dyDescent="0.3">
      <c r="A141" s="275"/>
      <c r="B141" s="268" t="s">
        <v>256</v>
      </c>
      <c r="C141" s="268"/>
      <c r="D141" s="268"/>
      <c r="E141" s="268"/>
      <c r="F141" s="268"/>
      <c r="G141" s="268"/>
      <c r="H141" s="268"/>
      <c r="I141" s="268"/>
      <c r="J141" s="268"/>
      <c r="K141" s="268"/>
      <c r="L141" s="268"/>
      <c r="M141" s="268"/>
      <c r="N141" s="268"/>
      <c r="O141" s="268"/>
      <c r="P141" s="268"/>
      <c r="Q141" s="268"/>
      <c r="R141" s="314">
        <v>0</v>
      </c>
      <c r="S141" s="271"/>
      <c r="T141" s="259"/>
    </row>
    <row r="142" spans="1:21" s="260" customFormat="1" x14ac:dyDescent="0.3">
      <c r="A142" s="275"/>
      <c r="B142" s="268" t="s">
        <v>210</v>
      </c>
      <c r="C142" s="268"/>
      <c r="D142" s="268"/>
      <c r="E142" s="268"/>
      <c r="F142" s="268"/>
      <c r="G142" s="268"/>
      <c r="H142" s="268"/>
      <c r="I142" s="268"/>
      <c r="J142" s="268"/>
      <c r="K142" s="268"/>
      <c r="L142" s="268"/>
      <c r="M142" s="268"/>
      <c r="N142" s="268"/>
      <c r="O142" s="268"/>
      <c r="P142" s="268"/>
      <c r="Q142" s="268"/>
      <c r="R142" s="314">
        <f>+J69</f>
        <v>0</v>
      </c>
      <c r="S142" s="271"/>
      <c r="T142" s="259"/>
    </row>
    <row r="143" spans="1:21" s="260" customFormat="1" x14ac:dyDescent="0.3">
      <c r="A143" s="275"/>
      <c r="B143" s="268" t="s">
        <v>224</v>
      </c>
      <c r="C143" s="268"/>
      <c r="D143" s="268"/>
      <c r="E143" s="268"/>
      <c r="F143" s="268"/>
      <c r="G143" s="268"/>
      <c r="H143" s="268"/>
      <c r="I143" s="268"/>
      <c r="J143" s="268"/>
      <c r="K143" s="268"/>
      <c r="L143" s="268"/>
      <c r="M143" s="268"/>
      <c r="N143" s="268"/>
      <c r="O143" s="268"/>
      <c r="P143" s="268"/>
      <c r="Q143" s="268"/>
      <c r="R143" s="314">
        <f>R141+R142</f>
        <v>0</v>
      </c>
      <c r="S143" s="271"/>
      <c r="T143" s="259"/>
    </row>
    <row r="144" spans="1:21" x14ac:dyDescent="0.3">
      <c r="A144" s="243"/>
      <c r="B144" s="332"/>
      <c r="C144" s="332"/>
      <c r="D144" s="332"/>
      <c r="E144" s="332"/>
      <c r="F144" s="332"/>
      <c r="G144" s="332"/>
      <c r="H144" s="332"/>
      <c r="I144" s="332"/>
      <c r="J144" s="332"/>
      <c r="K144" s="332"/>
      <c r="L144" s="332"/>
      <c r="M144" s="332"/>
      <c r="N144" s="332"/>
      <c r="O144" s="332"/>
      <c r="P144" s="332"/>
      <c r="Q144" s="332"/>
      <c r="R144" s="333"/>
      <c r="S144" s="246"/>
      <c r="T144" s="241"/>
    </row>
    <row r="145" spans="1:252" x14ac:dyDescent="0.3">
      <c r="A145" s="243"/>
      <c r="B145" s="418" t="s">
        <v>241</v>
      </c>
      <c r="C145" s="332"/>
      <c r="D145" s="332"/>
      <c r="E145" s="332"/>
      <c r="F145" s="332"/>
      <c r="G145" s="332"/>
      <c r="H145" s="332"/>
      <c r="I145" s="332"/>
      <c r="J145" s="332"/>
      <c r="K145" s="332"/>
      <c r="L145" s="332"/>
      <c r="M145" s="332"/>
      <c r="N145" s="332"/>
      <c r="O145" s="332"/>
      <c r="P145" s="332"/>
      <c r="Q145" s="332"/>
      <c r="R145" s="333"/>
      <c r="S145" s="246"/>
      <c r="T145" s="241"/>
    </row>
    <row r="146" spans="1:252" s="260" customFormat="1" x14ac:dyDescent="0.3">
      <c r="A146" s="334"/>
      <c r="B146" s="335" t="s">
        <v>255</v>
      </c>
      <c r="C146" s="335"/>
      <c r="D146" s="335"/>
      <c r="E146" s="335"/>
      <c r="F146" s="335"/>
      <c r="G146" s="335"/>
      <c r="H146" s="335"/>
      <c r="I146" s="335"/>
      <c r="J146" s="335"/>
      <c r="K146" s="335"/>
      <c r="L146" s="335"/>
      <c r="M146" s="335"/>
      <c r="N146" s="335"/>
      <c r="O146" s="335"/>
      <c r="P146" s="335"/>
      <c r="Q146" s="335"/>
      <c r="R146" s="336">
        <v>0</v>
      </c>
      <c r="S146" s="337"/>
      <c r="T146" s="259"/>
    </row>
    <row r="147" spans="1:252" s="260" customFormat="1" x14ac:dyDescent="0.3">
      <c r="A147" s="334"/>
      <c r="B147" s="335" t="s">
        <v>243</v>
      </c>
      <c r="C147" s="335"/>
      <c r="D147" s="335"/>
      <c r="E147" s="335"/>
      <c r="F147" s="335"/>
      <c r="G147" s="335"/>
      <c r="H147" s="335"/>
      <c r="I147" s="335"/>
      <c r="J147" s="335"/>
      <c r="K147" s="335"/>
      <c r="L147" s="335"/>
      <c r="M147" s="335"/>
      <c r="N147" s="335"/>
      <c r="O147" s="335"/>
      <c r="P147" s="335"/>
      <c r="Q147" s="335"/>
      <c r="R147" s="336">
        <f>P78</f>
        <v>0</v>
      </c>
      <c r="S147" s="337"/>
      <c r="T147" s="259"/>
    </row>
    <row r="148" spans="1:252" s="260" customFormat="1" x14ac:dyDescent="0.3">
      <c r="A148" s="334"/>
      <c r="B148" s="335" t="s">
        <v>244</v>
      </c>
      <c r="C148" s="335"/>
      <c r="D148" s="335"/>
      <c r="E148" s="335"/>
      <c r="F148" s="335"/>
      <c r="G148" s="335"/>
      <c r="H148" s="335"/>
      <c r="I148" s="335"/>
      <c r="J148" s="335"/>
      <c r="K148" s="335"/>
      <c r="L148" s="335"/>
      <c r="M148" s="335"/>
      <c r="N148" s="335"/>
      <c r="O148" s="335"/>
      <c r="P148" s="335"/>
      <c r="Q148" s="335"/>
      <c r="R148" s="336">
        <v>0</v>
      </c>
      <c r="S148" s="337"/>
      <c r="T148" s="259"/>
    </row>
    <row r="149" spans="1:252" s="260" customFormat="1" x14ac:dyDescent="0.3">
      <c r="A149" s="334"/>
      <c r="B149" s="335" t="s">
        <v>245</v>
      </c>
      <c r="C149" s="335"/>
      <c r="D149" s="335"/>
      <c r="E149" s="335"/>
      <c r="F149" s="335"/>
      <c r="G149" s="335"/>
      <c r="H149" s="335"/>
      <c r="I149" s="335"/>
      <c r="J149" s="335"/>
      <c r="K149" s="335"/>
      <c r="L149" s="335"/>
      <c r="M149" s="335"/>
      <c r="N149" s="335"/>
      <c r="O149" s="335"/>
      <c r="P149" s="335"/>
      <c r="Q149" s="335"/>
      <c r="R149" s="336">
        <f>R146+R147+R148</f>
        <v>0</v>
      </c>
      <c r="S149" s="337"/>
      <c r="T149" s="259"/>
    </row>
    <row r="150" spans="1:252" x14ac:dyDescent="0.3">
      <c r="A150" s="243"/>
      <c r="B150" s="315"/>
      <c r="C150" s="315"/>
      <c r="D150" s="315"/>
      <c r="E150" s="315"/>
      <c r="F150" s="315"/>
      <c r="G150" s="315"/>
      <c r="H150" s="315"/>
      <c r="I150" s="315"/>
      <c r="J150" s="315"/>
      <c r="K150" s="315"/>
      <c r="L150" s="315"/>
      <c r="M150" s="315"/>
      <c r="N150" s="315"/>
      <c r="O150" s="315"/>
      <c r="P150" s="315"/>
      <c r="Q150" s="315"/>
      <c r="R150" s="331"/>
      <c r="S150" s="246"/>
      <c r="T150" s="241"/>
    </row>
    <row r="151" spans="1:252" x14ac:dyDescent="0.3">
      <c r="A151" s="243"/>
      <c r="B151" s="418" t="s">
        <v>39</v>
      </c>
      <c r="C151" s="245"/>
      <c r="D151" s="245"/>
      <c r="E151" s="245"/>
      <c r="F151" s="245"/>
      <c r="G151" s="245"/>
      <c r="H151" s="245"/>
      <c r="I151" s="245"/>
      <c r="J151" s="245"/>
      <c r="K151" s="245"/>
      <c r="L151" s="245"/>
      <c r="M151" s="245"/>
      <c r="N151" s="245"/>
      <c r="O151" s="245"/>
      <c r="P151" s="245"/>
      <c r="Q151" s="245"/>
      <c r="R151" s="338"/>
      <c r="S151" s="246"/>
      <c r="T151" s="241"/>
    </row>
    <row r="152" spans="1:252" s="260" customFormat="1" x14ac:dyDescent="0.3">
      <c r="A152" s="275"/>
      <c r="B152" s="268" t="s">
        <v>40</v>
      </c>
      <c r="C152" s="268"/>
      <c r="D152" s="268"/>
      <c r="E152" s="268"/>
      <c r="F152" s="268"/>
      <c r="G152" s="268"/>
      <c r="H152" s="268"/>
      <c r="I152" s="268"/>
      <c r="J152" s="268"/>
      <c r="K152" s="268"/>
      <c r="L152" s="268"/>
      <c r="M152" s="268"/>
      <c r="N152" s="268"/>
      <c r="O152" s="268"/>
      <c r="P152" s="268"/>
      <c r="Q152" s="268"/>
      <c r="R152" s="314">
        <v>0</v>
      </c>
      <c r="S152" s="271"/>
      <c r="T152" s="259"/>
    </row>
    <row r="153" spans="1:252" s="260" customFormat="1" x14ac:dyDescent="0.3">
      <c r="A153" s="275"/>
      <c r="B153" s="268" t="s">
        <v>41</v>
      </c>
      <c r="C153" s="268"/>
      <c r="D153" s="268"/>
      <c r="E153" s="268"/>
      <c r="F153" s="268"/>
      <c r="G153" s="268"/>
      <c r="H153" s="268"/>
      <c r="I153" s="268"/>
      <c r="J153" s="268"/>
      <c r="K153" s="268"/>
      <c r="L153" s="268"/>
      <c r="M153" s="268"/>
      <c r="N153" s="268"/>
      <c r="O153" s="268"/>
      <c r="P153" s="268"/>
      <c r="Q153" s="268"/>
      <c r="R153" s="314">
        <v>0</v>
      </c>
      <c r="S153" s="271"/>
      <c r="T153" s="259"/>
    </row>
    <row r="154" spans="1:252" s="260" customFormat="1" x14ac:dyDescent="0.3">
      <c r="A154" s="275"/>
      <c r="B154" s="268" t="s">
        <v>42</v>
      </c>
      <c r="C154" s="268"/>
      <c r="D154" s="268"/>
      <c r="E154" s="268"/>
      <c r="F154" s="268"/>
      <c r="G154" s="268"/>
      <c r="H154" s="268"/>
      <c r="I154" s="268"/>
      <c r="J154" s="268"/>
      <c r="K154" s="268"/>
      <c r="L154" s="268"/>
      <c r="M154" s="268"/>
      <c r="N154" s="268"/>
      <c r="O154" s="268"/>
      <c r="P154" s="268"/>
      <c r="Q154" s="268"/>
      <c r="R154" s="314">
        <f>R153+R152</f>
        <v>0</v>
      </c>
      <c r="S154" s="271"/>
      <c r="T154" s="259"/>
    </row>
    <row r="155" spans="1:252" s="260" customFormat="1" x14ac:dyDescent="0.3">
      <c r="A155" s="275"/>
      <c r="B155" s="268" t="s">
        <v>179</v>
      </c>
      <c r="C155" s="268"/>
      <c r="D155" s="268"/>
      <c r="E155" s="268"/>
      <c r="F155" s="268"/>
      <c r="G155" s="268"/>
      <c r="H155" s="268"/>
      <c r="I155" s="268"/>
      <c r="J155" s="268"/>
      <c r="K155" s="268"/>
      <c r="L155" s="268"/>
      <c r="M155" s="268"/>
      <c r="N155" s="268"/>
      <c r="O155" s="268"/>
      <c r="P155" s="268"/>
      <c r="Q155" s="268"/>
      <c r="R155" s="314">
        <f>R102</f>
        <v>0</v>
      </c>
      <c r="S155" s="271"/>
      <c r="T155" s="259"/>
    </row>
    <row r="156" spans="1:252" s="260" customFormat="1" x14ac:dyDescent="0.3">
      <c r="A156" s="275"/>
      <c r="B156" s="268" t="s">
        <v>43</v>
      </c>
      <c r="C156" s="268"/>
      <c r="D156" s="268"/>
      <c r="E156" s="268"/>
      <c r="F156" s="268"/>
      <c r="G156" s="268"/>
      <c r="H156" s="268"/>
      <c r="I156" s="268"/>
      <c r="J156" s="268"/>
      <c r="K156" s="268"/>
      <c r="L156" s="268"/>
      <c r="M156" s="268"/>
      <c r="N156" s="268"/>
      <c r="O156" s="268"/>
      <c r="P156" s="268"/>
      <c r="Q156" s="268"/>
      <c r="R156" s="314">
        <f>R154+R155</f>
        <v>0</v>
      </c>
      <c r="S156" s="271"/>
      <c r="T156" s="259"/>
    </row>
    <row r="157" spans="1:252" s="260" customFormat="1" x14ac:dyDescent="0.3">
      <c r="A157" s="275"/>
      <c r="B157" s="268" t="s">
        <v>150</v>
      </c>
      <c r="C157" s="268"/>
      <c r="D157" s="268"/>
      <c r="E157" s="268"/>
      <c r="F157" s="268"/>
      <c r="G157" s="268"/>
      <c r="H157" s="268"/>
      <c r="I157" s="268"/>
      <c r="J157" s="268"/>
      <c r="K157" s="268"/>
      <c r="L157" s="268"/>
      <c r="M157" s="268"/>
      <c r="N157" s="268"/>
      <c r="O157" s="268"/>
      <c r="P157" s="268"/>
      <c r="Q157" s="268"/>
      <c r="R157" s="314">
        <f>-R91</f>
        <v>0</v>
      </c>
      <c r="S157" s="271"/>
      <c r="T157" s="259"/>
    </row>
    <row r="158" spans="1:252" ht="16.2" thickBot="1" x14ac:dyDescent="0.35">
      <c r="A158" s="243"/>
      <c r="B158" s="315"/>
      <c r="C158" s="315"/>
      <c r="D158" s="315"/>
      <c r="E158" s="315"/>
      <c r="F158" s="315"/>
      <c r="G158" s="315"/>
      <c r="H158" s="315"/>
      <c r="I158" s="315"/>
      <c r="J158" s="315"/>
      <c r="K158" s="315"/>
      <c r="L158" s="315"/>
      <c r="M158" s="315"/>
      <c r="N158" s="315"/>
      <c r="O158" s="315"/>
      <c r="P158" s="315"/>
      <c r="Q158" s="315"/>
      <c r="R158" s="331"/>
      <c r="S158" s="246"/>
      <c r="T158" s="241"/>
    </row>
    <row r="159" spans="1:252" x14ac:dyDescent="0.3">
      <c r="A159" s="237"/>
      <c r="B159" s="239"/>
      <c r="C159" s="239"/>
      <c r="D159" s="239"/>
      <c r="E159" s="239"/>
      <c r="F159" s="239"/>
      <c r="G159" s="239"/>
      <c r="H159" s="239"/>
      <c r="I159" s="239"/>
      <c r="J159" s="239"/>
      <c r="K159" s="239"/>
      <c r="L159" s="239"/>
      <c r="M159" s="239"/>
      <c r="N159" s="239"/>
      <c r="O159" s="239"/>
      <c r="P159" s="239"/>
      <c r="Q159" s="239"/>
      <c r="R159" s="339"/>
      <c r="S159" s="240"/>
      <c r="T159" s="241"/>
    </row>
    <row r="160" spans="1:252" s="341" customFormat="1" x14ac:dyDescent="0.3">
      <c r="A160" s="243"/>
      <c r="B160" s="418" t="s">
        <v>223</v>
      </c>
      <c r="C160" s="315"/>
      <c r="D160" s="315"/>
      <c r="E160" s="315"/>
      <c r="F160" s="315"/>
      <c r="G160" s="315"/>
      <c r="H160" s="315"/>
      <c r="I160" s="315"/>
      <c r="J160" s="315"/>
      <c r="K160" s="315"/>
      <c r="L160" s="315"/>
      <c r="M160" s="315"/>
      <c r="N160" s="315"/>
      <c r="O160" s="315"/>
      <c r="P160" s="315"/>
      <c r="Q160" s="315"/>
      <c r="R160" s="340"/>
      <c r="S160" s="246"/>
      <c r="T160" s="241"/>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c r="EI160" s="242"/>
      <c r="EJ160" s="242"/>
      <c r="EK160" s="242"/>
      <c r="EL160" s="242"/>
      <c r="EM160" s="242"/>
      <c r="EN160" s="242"/>
      <c r="EO160" s="242"/>
      <c r="EP160" s="242"/>
      <c r="EQ160" s="242"/>
      <c r="ER160" s="242"/>
      <c r="ES160" s="242"/>
      <c r="ET160" s="242"/>
      <c r="EU160" s="242"/>
      <c r="EV160" s="242"/>
      <c r="EW160" s="242"/>
      <c r="EX160" s="242"/>
      <c r="EY160" s="242"/>
      <c r="EZ160" s="242"/>
      <c r="FA160" s="242"/>
      <c r="FB160" s="242"/>
      <c r="FC160" s="242"/>
      <c r="FD160" s="242"/>
      <c r="FE160" s="242"/>
      <c r="FF160" s="242"/>
      <c r="FG160" s="242"/>
      <c r="FH160" s="242"/>
      <c r="FI160" s="242"/>
      <c r="FJ160" s="242"/>
      <c r="FK160" s="242"/>
      <c r="FL160" s="242"/>
      <c r="FM160" s="242"/>
      <c r="FN160" s="242"/>
      <c r="FO160" s="242"/>
      <c r="FP160" s="242"/>
      <c r="FQ160" s="242"/>
      <c r="FR160" s="242"/>
      <c r="FS160" s="242"/>
      <c r="FT160" s="242"/>
      <c r="FU160" s="242"/>
      <c r="FV160" s="242"/>
      <c r="FW160" s="242"/>
      <c r="FX160" s="242"/>
      <c r="FY160" s="242"/>
      <c r="FZ160" s="242"/>
      <c r="GA160" s="242"/>
      <c r="GB160" s="242"/>
      <c r="GC160" s="242"/>
      <c r="GD160" s="242"/>
      <c r="GE160" s="242"/>
      <c r="GF160" s="242"/>
      <c r="GG160" s="242"/>
      <c r="GH160" s="242"/>
      <c r="GI160" s="242"/>
      <c r="GJ160" s="242"/>
      <c r="GK160" s="242"/>
      <c r="GL160" s="242"/>
      <c r="GM160" s="242"/>
      <c r="GN160" s="242"/>
      <c r="GO160" s="242"/>
      <c r="GP160" s="242"/>
      <c r="GQ160" s="242"/>
      <c r="GR160" s="242"/>
      <c r="GS160" s="242"/>
      <c r="GT160" s="242"/>
      <c r="GU160" s="242"/>
      <c r="GV160" s="242"/>
      <c r="GW160" s="242"/>
      <c r="GX160" s="242"/>
      <c r="GY160" s="242"/>
      <c r="GZ160" s="242"/>
      <c r="HA160" s="242"/>
      <c r="HB160" s="242"/>
      <c r="HC160" s="242"/>
      <c r="HD160" s="242"/>
      <c r="HE160" s="242"/>
      <c r="HF160" s="242"/>
      <c r="HG160" s="242"/>
      <c r="HH160" s="242"/>
      <c r="HI160" s="242"/>
      <c r="HJ160" s="242"/>
      <c r="HK160" s="242"/>
      <c r="HL160" s="242"/>
      <c r="HM160" s="242"/>
      <c r="HN160" s="242"/>
      <c r="HO160" s="242"/>
      <c r="HP160" s="242"/>
      <c r="HQ160" s="242"/>
      <c r="HR160" s="242"/>
      <c r="HS160" s="242"/>
      <c r="HT160" s="242"/>
      <c r="HU160" s="242"/>
      <c r="HV160" s="242"/>
      <c r="HW160" s="242"/>
      <c r="HX160" s="242"/>
      <c r="HY160" s="242"/>
      <c r="HZ160" s="242"/>
      <c r="IA160" s="242"/>
      <c r="IB160" s="242"/>
      <c r="IC160" s="242"/>
      <c r="ID160" s="242"/>
      <c r="IE160" s="242"/>
      <c r="IF160" s="242"/>
      <c r="IG160" s="242"/>
      <c r="IH160" s="242"/>
      <c r="II160" s="242"/>
      <c r="IJ160" s="242"/>
      <c r="IK160" s="242"/>
      <c r="IL160" s="242"/>
      <c r="IM160" s="242"/>
      <c r="IN160" s="242"/>
      <c r="IO160" s="242"/>
      <c r="IP160" s="242"/>
      <c r="IQ160" s="242"/>
      <c r="IR160" s="242"/>
    </row>
    <row r="161" spans="1:252" s="342" customFormat="1" x14ac:dyDescent="0.3">
      <c r="A161" s="275"/>
      <c r="B161" s="268" t="s">
        <v>141</v>
      </c>
      <c r="C161" s="268"/>
      <c r="D161" s="268"/>
      <c r="E161" s="268"/>
      <c r="F161" s="268"/>
      <c r="G161" s="268"/>
      <c r="H161" s="268"/>
      <c r="I161" s="268"/>
      <c r="J161" s="268"/>
      <c r="K161" s="268"/>
      <c r="L161" s="268"/>
      <c r="M161" s="268"/>
      <c r="N161" s="268"/>
      <c r="O161" s="268"/>
      <c r="P161" s="268"/>
      <c r="Q161" s="268"/>
      <c r="R161" s="314">
        <f>+'Nov 17'!R164</f>
        <v>705</v>
      </c>
      <c r="S161" s="271"/>
      <c r="T161" s="259"/>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60"/>
      <c r="BS161" s="260"/>
      <c r="BT161" s="260"/>
      <c r="BU161" s="260"/>
      <c r="BV161" s="260"/>
      <c r="BW161" s="260"/>
      <c r="BX161" s="260"/>
      <c r="BY161" s="260"/>
      <c r="BZ161" s="260"/>
      <c r="CA161" s="260"/>
      <c r="CB161" s="260"/>
      <c r="CC161" s="260"/>
      <c r="CD161" s="260"/>
      <c r="CE161" s="260"/>
      <c r="CF161" s="260"/>
      <c r="CG161" s="260"/>
      <c r="CH161" s="260"/>
      <c r="CI161" s="260"/>
      <c r="CJ161" s="260"/>
      <c r="CK161" s="260"/>
      <c r="CL161" s="260"/>
      <c r="CM161" s="260"/>
      <c r="CN161" s="260"/>
      <c r="CO161" s="260"/>
      <c r="CP161" s="260"/>
      <c r="CQ161" s="260"/>
      <c r="CR161" s="260"/>
      <c r="CS161" s="260"/>
      <c r="CT161" s="260"/>
      <c r="CU161" s="260"/>
      <c r="CV161" s="260"/>
      <c r="CW161" s="260"/>
      <c r="CX161" s="260"/>
      <c r="CY161" s="260"/>
      <c r="CZ161" s="260"/>
      <c r="DA161" s="260"/>
      <c r="DB161" s="260"/>
      <c r="DC161" s="260"/>
      <c r="DD161" s="260"/>
      <c r="DE161" s="260"/>
      <c r="DF161" s="260"/>
      <c r="DG161" s="260"/>
      <c r="DH161" s="260"/>
      <c r="DI161" s="260"/>
      <c r="DJ161" s="260"/>
      <c r="DK161" s="260"/>
      <c r="DL161" s="260"/>
      <c r="DM161" s="260"/>
      <c r="DN161" s="260"/>
      <c r="DO161" s="260"/>
      <c r="DP161" s="260"/>
      <c r="DQ161" s="260"/>
      <c r="DR161" s="260"/>
      <c r="DS161" s="260"/>
      <c r="DT161" s="260"/>
      <c r="DU161" s="260"/>
      <c r="DV161" s="260"/>
      <c r="DW161" s="260"/>
      <c r="DX161" s="260"/>
      <c r="DY161" s="260"/>
      <c r="DZ161" s="260"/>
      <c r="EA161" s="260"/>
      <c r="EB161" s="260"/>
      <c r="EC161" s="260"/>
      <c r="ED161" s="260"/>
      <c r="EE161" s="260"/>
      <c r="EF161" s="260"/>
      <c r="EG161" s="260"/>
      <c r="EH161" s="260"/>
      <c r="EI161" s="260"/>
      <c r="EJ161" s="260"/>
      <c r="EK161" s="260"/>
      <c r="EL161" s="260"/>
      <c r="EM161" s="260"/>
      <c r="EN161" s="260"/>
      <c r="EO161" s="260"/>
      <c r="EP161" s="260"/>
      <c r="EQ161" s="260"/>
      <c r="ER161" s="260"/>
      <c r="ES161" s="260"/>
      <c r="ET161" s="260"/>
      <c r="EU161" s="260"/>
      <c r="EV161" s="260"/>
      <c r="EW161" s="260"/>
      <c r="EX161" s="260"/>
      <c r="EY161" s="260"/>
      <c r="EZ161" s="260"/>
      <c r="FA161" s="260"/>
      <c r="FB161" s="260"/>
      <c r="FC161" s="260"/>
      <c r="FD161" s="260"/>
      <c r="FE161" s="260"/>
      <c r="FF161" s="260"/>
      <c r="FG161" s="260"/>
      <c r="FH161" s="260"/>
      <c r="FI161" s="260"/>
      <c r="FJ161" s="260"/>
      <c r="FK161" s="260"/>
      <c r="FL161" s="260"/>
      <c r="FM161" s="260"/>
      <c r="FN161" s="260"/>
      <c r="FO161" s="260"/>
      <c r="FP161" s="260"/>
      <c r="FQ161" s="260"/>
      <c r="FR161" s="260"/>
      <c r="FS161" s="260"/>
      <c r="FT161" s="260"/>
      <c r="FU161" s="260"/>
      <c r="FV161" s="260"/>
      <c r="FW161" s="260"/>
      <c r="FX161" s="260"/>
      <c r="FY161" s="260"/>
      <c r="FZ161" s="260"/>
      <c r="GA161" s="260"/>
      <c r="GB161" s="260"/>
      <c r="GC161" s="260"/>
      <c r="GD161" s="260"/>
      <c r="GE161" s="260"/>
      <c r="GF161" s="260"/>
      <c r="GG161" s="260"/>
      <c r="GH161" s="260"/>
      <c r="GI161" s="260"/>
      <c r="GJ161" s="260"/>
      <c r="GK161" s="260"/>
      <c r="GL161" s="260"/>
      <c r="GM161" s="260"/>
      <c r="GN161" s="260"/>
      <c r="GO161" s="260"/>
      <c r="GP161" s="260"/>
      <c r="GQ161" s="260"/>
      <c r="GR161" s="260"/>
      <c r="GS161" s="260"/>
      <c r="GT161" s="260"/>
      <c r="GU161" s="260"/>
      <c r="GV161" s="260"/>
      <c r="GW161" s="260"/>
      <c r="GX161" s="260"/>
      <c r="GY161" s="260"/>
      <c r="GZ161" s="260"/>
      <c r="HA161" s="260"/>
      <c r="HB161" s="260"/>
      <c r="HC161" s="260"/>
      <c r="HD161" s="260"/>
      <c r="HE161" s="260"/>
      <c r="HF161" s="260"/>
      <c r="HG161" s="260"/>
      <c r="HH161" s="260"/>
      <c r="HI161" s="260"/>
      <c r="HJ161" s="260"/>
      <c r="HK161" s="260"/>
      <c r="HL161" s="260"/>
      <c r="HM161" s="260"/>
      <c r="HN161" s="260"/>
      <c r="HO161" s="260"/>
      <c r="HP161" s="260"/>
      <c r="HQ161" s="260"/>
      <c r="HR161" s="260"/>
      <c r="HS161" s="260"/>
      <c r="HT161" s="260"/>
      <c r="HU161" s="260"/>
      <c r="HV161" s="260"/>
      <c r="HW161" s="260"/>
      <c r="HX161" s="260"/>
      <c r="HY161" s="260"/>
      <c r="HZ161" s="260"/>
      <c r="IA161" s="260"/>
      <c r="IB161" s="260"/>
      <c r="IC161" s="260"/>
      <c r="ID161" s="260"/>
      <c r="IE161" s="260"/>
      <c r="IF161" s="260"/>
      <c r="IG161" s="260"/>
      <c r="IH161" s="260"/>
      <c r="II161" s="260"/>
      <c r="IJ161" s="260"/>
      <c r="IK161" s="260"/>
      <c r="IL161" s="260"/>
      <c r="IM161" s="260"/>
      <c r="IN161" s="260"/>
      <c r="IO161" s="260"/>
      <c r="IP161" s="260"/>
      <c r="IQ161" s="260"/>
      <c r="IR161" s="260"/>
    </row>
    <row r="162" spans="1:252" s="342" customFormat="1" x14ac:dyDescent="0.3">
      <c r="A162" s="275"/>
      <c r="B162" s="268" t="s">
        <v>268</v>
      </c>
      <c r="C162" s="268"/>
      <c r="D162" s="268"/>
      <c r="E162" s="268"/>
      <c r="F162" s="268"/>
      <c r="G162" s="268"/>
      <c r="H162" s="268"/>
      <c r="I162" s="268"/>
      <c r="J162" s="268"/>
      <c r="K162" s="268"/>
      <c r="L162" s="268"/>
      <c r="M162" s="268"/>
      <c r="N162" s="268"/>
      <c r="O162" s="268"/>
      <c r="P162" s="268"/>
      <c r="Q162" s="268"/>
      <c r="R162" s="314">
        <v>0</v>
      </c>
      <c r="S162" s="271"/>
      <c r="T162" s="259"/>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c r="AX162" s="260"/>
      <c r="AY162" s="260"/>
      <c r="AZ162" s="260"/>
      <c r="BA162" s="260"/>
      <c r="BB162" s="260"/>
      <c r="BC162" s="260"/>
      <c r="BD162" s="260"/>
      <c r="BE162" s="260"/>
      <c r="BF162" s="260"/>
      <c r="BG162" s="260"/>
      <c r="BH162" s="260"/>
      <c r="BI162" s="260"/>
      <c r="BJ162" s="260"/>
      <c r="BK162" s="260"/>
      <c r="BL162" s="260"/>
      <c r="BM162" s="260"/>
      <c r="BN162" s="260"/>
      <c r="BO162" s="260"/>
      <c r="BP162" s="260"/>
      <c r="BQ162" s="260"/>
      <c r="BR162" s="260"/>
      <c r="BS162" s="260"/>
      <c r="BT162" s="260"/>
      <c r="BU162" s="260"/>
      <c r="BV162" s="260"/>
      <c r="BW162" s="260"/>
      <c r="BX162" s="260"/>
      <c r="BY162" s="260"/>
      <c r="BZ162" s="260"/>
      <c r="CA162" s="260"/>
      <c r="CB162" s="260"/>
      <c r="CC162" s="260"/>
      <c r="CD162" s="260"/>
      <c r="CE162" s="260"/>
      <c r="CF162" s="260"/>
      <c r="CG162" s="260"/>
      <c r="CH162" s="260"/>
      <c r="CI162" s="260"/>
      <c r="CJ162" s="260"/>
      <c r="CK162" s="260"/>
      <c r="CL162" s="260"/>
      <c r="CM162" s="260"/>
      <c r="CN162" s="260"/>
      <c r="CO162" s="260"/>
      <c r="CP162" s="260"/>
      <c r="CQ162" s="260"/>
      <c r="CR162" s="260"/>
      <c r="CS162" s="260"/>
      <c r="CT162" s="260"/>
      <c r="CU162" s="260"/>
      <c r="CV162" s="260"/>
      <c r="CW162" s="260"/>
      <c r="CX162" s="260"/>
      <c r="CY162" s="260"/>
      <c r="CZ162" s="260"/>
      <c r="DA162" s="260"/>
      <c r="DB162" s="260"/>
      <c r="DC162" s="260"/>
      <c r="DD162" s="260"/>
      <c r="DE162" s="260"/>
      <c r="DF162" s="260"/>
      <c r="DG162" s="260"/>
      <c r="DH162" s="260"/>
      <c r="DI162" s="260"/>
      <c r="DJ162" s="260"/>
      <c r="DK162" s="260"/>
      <c r="DL162" s="260"/>
      <c r="DM162" s="260"/>
      <c r="DN162" s="260"/>
      <c r="DO162" s="260"/>
      <c r="DP162" s="260"/>
      <c r="DQ162" s="260"/>
      <c r="DR162" s="260"/>
      <c r="DS162" s="260"/>
      <c r="DT162" s="260"/>
      <c r="DU162" s="260"/>
      <c r="DV162" s="260"/>
      <c r="DW162" s="260"/>
      <c r="DX162" s="260"/>
      <c r="DY162" s="260"/>
      <c r="DZ162" s="260"/>
      <c r="EA162" s="260"/>
      <c r="EB162" s="260"/>
      <c r="EC162" s="260"/>
      <c r="ED162" s="260"/>
      <c r="EE162" s="260"/>
      <c r="EF162" s="260"/>
      <c r="EG162" s="260"/>
      <c r="EH162" s="260"/>
      <c r="EI162" s="260"/>
      <c r="EJ162" s="260"/>
      <c r="EK162" s="260"/>
      <c r="EL162" s="260"/>
      <c r="EM162" s="260"/>
      <c r="EN162" s="260"/>
      <c r="EO162" s="260"/>
      <c r="EP162" s="260"/>
      <c r="EQ162" s="260"/>
      <c r="ER162" s="260"/>
      <c r="ES162" s="260"/>
      <c r="ET162" s="260"/>
      <c r="EU162" s="260"/>
      <c r="EV162" s="260"/>
      <c r="EW162" s="260"/>
      <c r="EX162" s="260"/>
      <c r="EY162" s="260"/>
      <c r="EZ162" s="260"/>
      <c r="FA162" s="260"/>
      <c r="FB162" s="260"/>
      <c r="FC162" s="260"/>
      <c r="FD162" s="260"/>
      <c r="FE162" s="260"/>
      <c r="FF162" s="260"/>
      <c r="FG162" s="260"/>
      <c r="FH162" s="260"/>
      <c r="FI162" s="260"/>
      <c r="FJ162" s="260"/>
      <c r="FK162" s="260"/>
      <c r="FL162" s="260"/>
      <c r="FM162" s="260"/>
      <c r="FN162" s="260"/>
      <c r="FO162" s="260"/>
      <c r="FP162" s="260"/>
      <c r="FQ162" s="260"/>
      <c r="FR162" s="260"/>
      <c r="FS162" s="260"/>
      <c r="FT162" s="260"/>
      <c r="FU162" s="260"/>
      <c r="FV162" s="260"/>
      <c r="FW162" s="260"/>
      <c r="FX162" s="260"/>
      <c r="FY162" s="260"/>
      <c r="FZ162" s="260"/>
      <c r="GA162" s="260"/>
      <c r="GB162" s="260"/>
      <c r="GC162" s="260"/>
      <c r="GD162" s="260"/>
      <c r="GE162" s="260"/>
      <c r="GF162" s="260"/>
      <c r="GG162" s="260"/>
      <c r="GH162" s="260"/>
      <c r="GI162" s="260"/>
      <c r="GJ162" s="260"/>
      <c r="GK162" s="260"/>
      <c r="GL162" s="260"/>
      <c r="GM162" s="260"/>
      <c r="GN162" s="260"/>
      <c r="GO162" s="260"/>
      <c r="GP162" s="260"/>
      <c r="GQ162" s="260"/>
      <c r="GR162" s="260"/>
      <c r="GS162" s="260"/>
      <c r="GT162" s="260"/>
      <c r="GU162" s="260"/>
      <c r="GV162" s="260"/>
      <c r="GW162" s="260"/>
      <c r="GX162" s="260"/>
      <c r="GY162" s="260"/>
      <c r="GZ162" s="260"/>
      <c r="HA162" s="260"/>
      <c r="HB162" s="260"/>
      <c r="HC162" s="260"/>
      <c r="HD162" s="260"/>
      <c r="HE162" s="260"/>
      <c r="HF162" s="260"/>
      <c r="HG162" s="260"/>
      <c r="HH162" s="260"/>
      <c r="HI162" s="260"/>
      <c r="HJ162" s="260"/>
      <c r="HK162" s="260"/>
      <c r="HL162" s="260"/>
      <c r="HM162" s="260"/>
      <c r="HN162" s="260"/>
      <c r="HO162" s="260"/>
      <c r="HP162" s="260"/>
      <c r="HQ162" s="260"/>
      <c r="HR162" s="260"/>
      <c r="HS162" s="260"/>
      <c r="HT162" s="260"/>
      <c r="HU162" s="260"/>
      <c r="HV162" s="260"/>
      <c r="HW162" s="260"/>
      <c r="HX162" s="260"/>
      <c r="HY162" s="260"/>
      <c r="HZ162" s="260"/>
      <c r="IA162" s="260"/>
      <c r="IB162" s="260"/>
      <c r="IC162" s="260"/>
      <c r="ID162" s="260"/>
      <c r="IE162" s="260"/>
      <c r="IF162" s="260"/>
      <c r="IG162" s="260"/>
      <c r="IH162" s="260"/>
      <c r="II162" s="260"/>
      <c r="IJ162" s="260"/>
      <c r="IK162" s="260"/>
      <c r="IL162" s="260"/>
      <c r="IM162" s="260"/>
      <c r="IN162" s="260"/>
      <c r="IO162" s="260"/>
      <c r="IP162" s="260"/>
      <c r="IQ162" s="260"/>
      <c r="IR162" s="260"/>
    </row>
    <row r="163" spans="1:252" s="342" customFormat="1" x14ac:dyDescent="0.3">
      <c r="A163" s="275"/>
      <c r="B163" s="268" t="s">
        <v>144</v>
      </c>
      <c r="C163" s="268"/>
      <c r="D163" s="268"/>
      <c r="E163" s="268"/>
      <c r="F163" s="268"/>
      <c r="G163" s="268"/>
      <c r="H163" s="268"/>
      <c r="I163" s="268"/>
      <c r="J163" s="268"/>
      <c r="K163" s="268"/>
      <c r="L163" s="268"/>
      <c r="M163" s="268"/>
      <c r="N163" s="268"/>
      <c r="O163" s="268"/>
      <c r="P163" s="268"/>
      <c r="Q163" s="268"/>
      <c r="R163" s="314">
        <f>R84</f>
        <v>107</v>
      </c>
      <c r="S163" s="271"/>
      <c r="T163" s="259"/>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0"/>
      <c r="CE163" s="260"/>
      <c r="CF163" s="260"/>
      <c r="CG163" s="260"/>
      <c r="CH163" s="260"/>
      <c r="CI163" s="260"/>
      <c r="CJ163" s="260"/>
      <c r="CK163" s="260"/>
      <c r="CL163" s="260"/>
      <c r="CM163" s="260"/>
      <c r="CN163" s="260"/>
      <c r="CO163" s="260"/>
      <c r="CP163" s="260"/>
      <c r="CQ163" s="260"/>
      <c r="CR163" s="260"/>
      <c r="CS163" s="260"/>
      <c r="CT163" s="260"/>
      <c r="CU163" s="260"/>
      <c r="CV163" s="260"/>
      <c r="CW163" s="260"/>
      <c r="CX163" s="260"/>
      <c r="CY163" s="260"/>
      <c r="CZ163" s="260"/>
      <c r="DA163" s="260"/>
      <c r="DB163" s="260"/>
      <c r="DC163" s="260"/>
      <c r="DD163" s="260"/>
      <c r="DE163" s="260"/>
      <c r="DF163" s="260"/>
      <c r="DG163" s="260"/>
      <c r="DH163" s="260"/>
      <c r="DI163" s="260"/>
      <c r="DJ163" s="260"/>
      <c r="DK163" s="260"/>
      <c r="DL163" s="260"/>
      <c r="DM163" s="260"/>
      <c r="DN163" s="260"/>
      <c r="DO163" s="260"/>
      <c r="DP163" s="260"/>
      <c r="DQ163" s="260"/>
      <c r="DR163" s="260"/>
      <c r="DS163" s="260"/>
      <c r="DT163" s="260"/>
      <c r="DU163" s="260"/>
      <c r="DV163" s="260"/>
      <c r="DW163" s="260"/>
      <c r="DX163" s="260"/>
      <c r="DY163" s="260"/>
      <c r="DZ163" s="260"/>
      <c r="EA163" s="260"/>
      <c r="EB163" s="260"/>
      <c r="EC163" s="260"/>
      <c r="ED163" s="260"/>
      <c r="EE163" s="260"/>
      <c r="EF163" s="260"/>
      <c r="EG163" s="260"/>
      <c r="EH163" s="260"/>
      <c r="EI163" s="260"/>
      <c r="EJ163" s="260"/>
      <c r="EK163" s="260"/>
      <c r="EL163" s="260"/>
      <c r="EM163" s="260"/>
      <c r="EN163" s="260"/>
      <c r="EO163" s="260"/>
      <c r="EP163" s="260"/>
      <c r="EQ163" s="260"/>
      <c r="ER163" s="260"/>
      <c r="ES163" s="260"/>
      <c r="ET163" s="260"/>
      <c r="EU163" s="260"/>
      <c r="EV163" s="260"/>
      <c r="EW163" s="260"/>
      <c r="EX163" s="260"/>
      <c r="EY163" s="260"/>
      <c r="EZ163" s="260"/>
      <c r="FA163" s="260"/>
      <c r="FB163" s="260"/>
      <c r="FC163" s="260"/>
      <c r="FD163" s="260"/>
      <c r="FE163" s="260"/>
      <c r="FF163" s="260"/>
      <c r="FG163" s="260"/>
      <c r="FH163" s="260"/>
      <c r="FI163" s="260"/>
      <c r="FJ163" s="260"/>
      <c r="FK163" s="260"/>
      <c r="FL163" s="260"/>
      <c r="FM163" s="260"/>
      <c r="FN163" s="260"/>
      <c r="FO163" s="260"/>
      <c r="FP163" s="260"/>
      <c r="FQ163" s="260"/>
      <c r="FR163" s="260"/>
      <c r="FS163" s="260"/>
      <c r="FT163" s="260"/>
      <c r="FU163" s="260"/>
      <c r="FV163" s="260"/>
      <c r="FW163" s="260"/>
      <c r="FX163" s="260"/>
      <c r="FY163" s="260"/>
      <c r="FZ163" s="260"/>
      <c r="GA163" s="260"/>
      <c r="GB163" s="260"/>
      <c r="GC163" s="260"/>
      <c r="GD163" s="260"/>
      <c r="GE163" s="260"/>
      <c r="GF163" s="260"/>
      <c r="GG163" s="260"/>
      <c r="GH163" s="260"/>
      <c r="GI163" s="260"/>
      <c r="GJ163" s="260"/>
      <c r="GK163" s="260"/>
      <c r="GL163" s="260"/>
      <c r="GM163" s="260"/>
      <c r="GN163" s="260"/>
      <c r="GO163" s="260"/>
      <c r="GP163" s="260"/>
      <c r="GQ163" s="260"/>
      <c r="GR163" s="260"/>
      <c r="GS163" s="260"/>
      <c r="GT163" s="260"/>
      <c r="GU163" s="260"/>
      <c r="GV163" s="260"/>
      <c r="GW163" s="260"/>
      <c r="GX163" s="260"/>
      <c r="GY163" s="260"/>
      <c r="GZ163" s="260"/>
      <c r="HA163" s="260"/>
      <c r="HB163" s="260"/>
      <c r="HC163" s="260"/>
      <c r="HD163" s="260"/>
      <c r="HE163" s="260"/>
      <c r="HF163" s="260"/>
      <c r="HG163" s="260"/>
      <c r="HH163" s="260"/>
      <c r="HI163" s="260"/>
      <c r="HJ163" s="260"/>
      <c r="HK163" s="260"/>
      <c r="HL163" s="260"/>
      <c r="HM163" s="260"/>
      <c r="HN163" s="260"/>
      <c r="HO163" s="260"/>
      <c r="HP163" s="260"/>
      <c r="HQ163" s="260"/>
      <c r="HR163" s="260"/>
      <c r="HS163" s="260"/>
      <c r="HT163" s="260"/>
      <c r="HU163" s="260"/>
      <c r="HV163" s="260"/>
      <c r="HW163" s="260"/>
      <c r="HX163" s="260"/>
      <c r="HY163" s="260"/>
      <c r="HZ163" s="260"/>
      <c r="IA163" s="260"/>
      <c r="IB163" s="260"/>
      <c r="IC163" s="260"/>
      <c r="ID163" s="260"/>
      <c r="IE163" s="260"/>
      <c r="IF163" s="260"/>
      <c r="IG163" s="260"/>
      <c r="IH163" s="260"/>
      <c r="II163" s="260"/>
      <c r="IJ163" s="260"/>
      <c r="IK163" s="260"/>
      <c r="IL163" s="260"/>
      <c r="IM163" s="260"/>
      <c r="IN163" s="260"/>
      <c r="IO163" s="260"/>
      <c r="IP163" s="260"/>
      <c r="IQ163" s="260"/>
      <c r="IR163" s="260"/>
    </row>
    <row r="164" spans="1:252" s="342" customFormat="1" x14ac:dyDescent="0.3">
      <c r="A164" s="275"/>
      <c r="B164" s="268" t="s">
        <v>142</v>
      </c>
      <c r="C164" s="268"/>
      <c r="D164" s="268"/>
      <c r="E164" s="268"/>
      <c r="F164" s="268"/>
      <c r="G164" s="268"/>
      <c r="H164" s="268"/>
      <c r="I164" s="268"/>
      <c r="J164" s="268"/>
      <c r="K164" s="268"/>
      <c r="L164" s="268"/>
      <c r="M164" s="268"/>
      <c r="N164" s="268"/>
      <c r="O164" s="268"/>
      <c r="P164" s="268"/>
      <c r="Q164" s="268"/>
      <c r="R164" s="314">
        <f>+R161+R162-R163</f>
        <v>598</v>
      </c>
      <c r="S164" s="271"/>
      <c r="T164" s="259"/>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0"/>
      <c r="BW164" s="260"/>
      <c r="BX164" s="260"/>
      <c r="BY164" s="260"/>
      <c r="BZ164" s="260"/>
      <c r="CA164" s="260"/>
      <c r="CB164" s="260"/>
      <c r="CC164" s="260"/>
      <c r="CD164" s="260"/>
      <c r="CE164" s="260"/>
      <c r="CF164" s="260"/>
      <c r="CG164" s="260"/>
      <c r="CH164" s="260"/>
      <c r="CI164" s="260"/>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0"/>
      <c r="DF164" s="260"/>
      <c r="DG164" s="260"/>
      <c r="DH164" s="260"/>
      <c r="DI164" s="260"/>
      <c r="DJ164" s="260"/>
      <c r="DK164" s="260"/>
      <c r="DL164" s="260"/>
      <c r="DM164" s="260"/>
      <c r="DN164" s="260"/>
      <c r="DO164" s="260"/>
      <c r="DP164" s="260"/>
      <c r="DQ164" s="260"/>
      <c r="DR164" s="260"/>
      <c r="DS164" s="260"/>
      <c r="DT164" s="260"/>
      <c r="DU164" s="260"/>
      <c r="DV164" s="260"/>
      <c r="DW164" s="260"/>
      <c r="DX164" s="260"/>
      <c r="DY164" s="260"/>
      <c r="DZ164" s="260"/>
      <c r="EA164" s="260"/>
      <c r="EB164" s="260"/>
      <c r="EC164" s="260"/>
      <c r="ED164" s="260"/>
      <c r="EE164" s="260"/>
      <c r="EF164" s="260"/>
      <c r="EG164" s="260"/>
      <c r="EH164" s="260"/>
      <c r="EI164" s="260"/>
      <c r="EJ164" s="260"/>
      <c r="EK164" s="260"/>
      <c r="EL164" s="260"/>
      <c r="EM164" s="260"/>
      <c r="EN164" s="260"/>
      <c r="EO164" s="260"/>
      <c r="EP164" s="260"/>
      <c r="EQ164" s="260"/>
      <c r="ER164" s="260"/>
      <c r="ES164" s="260"/>
      <c r="ET164" s="260"/>
      <c r="EU164" s="260"/>
      <c r="EV164" s="260"/>
      <c r="EW164" s="260"/>
      <c r="EX164" s="260"/>
      <c r="EY164" s="260"/>
      <c r="EZ164" s="260"/>
      <c r="FA164" s="260"/>
      <c r="FB164" s="260"/>
      <c r="FC164" s="260"/>
      <c r="FD164" s="260"/>
      <c r="FE164" s="260"/>
      <c r="FF164" s="260"/>
      <c r="FG164" s="260"/>
      <c r="FH164" s="260"/>
      <c r="FI164" s="260"/>
      <c r="FJ164" s="260"/>
      <c r="FK164" s="260"/>
      <c r="FL164" s="260"/>
      <c r="FM164" s="260"/>
      <c r="FN164" s="260"/>
      <c r="FO164" s="260"/>
      <c r="FP164" s="260"/>
      <c r="FQ164" s="260"/>
      <c r="FR164" s="260"/>
      <c r="FS164" s="260"/>
      <c r="FT164" s="260"/>
      <c r="FU164" s="260"/>
      <c r="FV164" s="260"/>
      <c r="FW164" s="260"/>
      <c r="FX164" s="260"/>
      <c r="FY164" s="260"/>
      <c r="FZ164" s="260"/>
      <c r="GA164" s="260"/>
      <c r="GB164" s="260"/>
      <c r="GC164" s="260"/>
      <c r="GD164" s="260"/>
      <c r="GE164" s="260"/>
      <c r="GF164" s="260"/>
      <c r="GG164" s="260"/>
      <c r="GH164" s="260"/>
      <c r="GI164" s="260"/>
      <c r="GJ164" s="260"/>
      <c r="GK164" s="260"/>
      <c r="GL164" s="260"/>
      <c r="GM164" s="260"/>
      <c r="GN164" s="260"/>
      <c r="GO164" s="260"/>
      <c r="GP164" s="260"/>
      <c r="GQ164" s="260"/>
      <c r="GR164" s="260"/>
      <c r="GS164" s="260"/>
      <c r="GT164" s="260"/>
      <c r="GU164" s="260"/>
      <c r="GV164" s="260"/>
      <c r="GW164" s="260"/>
      <c r="GX164" s="260"/>
      <c r="GY164" s="260"/>
      <c r="GZ164" s="260"/>
      <c r="HA164" s="260"/>
      <c r="HB164" s="260"/>
      <c r="HC164" s="260"/>
      <c r="HD164" s="260"/>
      <c r="HE164" s="260"/>
      <c r="HF164" s="260"/>
      <c r="HG164" s="260"/>
      <c r="HH164" s="260"/>
      <c r="HI164" s="260"/>
      <c r="HJ164" s="260"/>
      <c r="HK164" s="260"/>
      <c r="HL164" s="260"/>
      <c r="HM164" s="260"/>
      <c r="HN164" s="260"/>
      <c r="HO164" s="260"/>
      <c r="HP164" s="260"/>
      <c r="HQ164" s="260"/>
      <c r="HR164" s="260"/>
      <c r="HS164" s="260"/>
      <c r="HT164" s="260"/>
      <c r="HU164" s="260"/>
      <c r="HV164" s="260"/>
      <c r="HW164" s="260"/>
      <c r="HX164" s="260"/>
      <c r="HY164" s="260"/>
      <c r="HZ164" s="260"/>
      <c r="IA164" s="260"/>
      <c r="IB164" s="260"/>
      <c r="IC164" s="260"/>
      <c r="ID164" s="260"/>
      <c r="IE164" s="260"/>
      <c r="IF164" s="260"/>
      <c r="IG164" s="260"/>
      <c r="IH164" s="260"/>
      <c r="II164" s="260"/>
      <c r="IJ164" s="260"/>
      <c r="IK164" s="260"/>
      <c r="IL164" s="260"/>
      <c r="IM164" s="260"/>
      <c r="IN164" s="260"/>
      <c r="IO164" s="260"/>
      <c r="IP164" s="260"/>
      <c r="IQ164" s="260"/>
      <c r="IR164" s="260"/>
    </row>
    <row r="165" spans="1:252" s="344" customFormat="1" ht="16.2" thickBot="1" x14ac:dyDescent="0.35">
      <c r="A165" s="343"/>
      <c r="B165" s="315"/>
      <c r="C165" s="315"/>
      <c r="D165" s="315"/>
      <c r="E165" s="315"/>
      <c r="F165" s="315"/>
      <c r="G165" s="315"/>
      <c r="H165" s="315"/>
      <c r="I165" s="315"/>
      <c r="J165" s="315"/>
      <c r="K165" s="315"/>
      <c r="L165" s="315"/>
      <c r="M165" s="315"/>
      <c r="N165" s="315"/>
      <c r="O165" s="315"/>
      <c r="P165" s="315"/>
      <c r="Q165" s="315"/>
      <c r="R165" s="331"/>
      <c r="S165" s="246"/>
      <c r="T165" s="241"/>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42"/>
      <c r="BD165" s="242"/>
      <c r="BE165" s="242"/>
      <c r="BF165" s="242"/>
      <c r="BG165" s="242"/>
      <c r="BH165" s="242"/>
      <c r="BI165" s="242"/>
      <c r="BJ165" s="242"/>
      <c r="BK165" s="242"/>
      <c r="BL165" s="242"/>
      <c r="BM165" s="242"/>
      <c r="BN165" s="242"/>
      <c r="BO165" s="242"/>
      <c r="BP165" s="242"/>
      <c r="BQ165" s="242"/>
      <c r="BR165" s="242"/>
      <c r="BS165" s="242"/>
      <c r="BT165" s="242"/>
      <c r="BU165" s="242"/>
      <c r="BV165" s="242"/>
      <c r="BW165" s="242"/>
      <c r="BX165" s="242"/>
      <c r="BY165" s="242"/>
      <c r="BZ165" s="242"/>
      <c r="CA165" s="242"/>
      <c r="CB165" s="242"/>
      <c r="CC165" s="242"/>
      <c r="CD165" s="242"/>
      <c r="CE165" s="242"/>
      <c r="CF165" s="242"/>
      <c r="CG165" s="242"/>
      <c r="CH165" s="242"/>
      <c r="CI165" s="242"/>
      <c r="CJ165" s="242"/>
      <c r="CK165" s="242"/>
      <c r="CL165" s="242"/>
      <c r="CM165" s="242"/>
      <c r="CN165" s="242"/>
      <c r="CO165" s="242"/>
      <c r="CP165" s="242"/>
      <c r="CQ165" s="242"/>
      <c r="CR165" s="242"/>
      <c r="CS165" s="242"/>
      <c r="CT165" s="242"/>
      <c r="CU165" s="242"/>
      <c r="CV165" s="242"/>
      <c r="CW165" s="242"/>
      <c r="CX165" s="242"/>
      <c r="CY165" s="242"/>
      <c r="CZ165" s="242"/>
      <c r="DA165" s="242"/>
      <c r="DB165" s="242"/>
      <c r="DC165" s="242"/>
      <c r="DD165" s="242"/>
      <c r="DE165" s="242"/>
      <c r="DF165" s="242"/>
      <c r="DG165" s="242"/>
      <c r="DH165" s="242"/>
      <c r="DI165" s="242"/>
      <c r="DJ165" s="242"/>
      <c r="DK165" s="242"/>
      <c r="DL165" s="242"/>
      <c r="DM165" s="242"/>
      <c r="DN165" s="242"/>
      <c r="DO165" s="242"/>
      <c r="DP165" s="242"/>
      <c r="DQ165" s="242"/>
      <c r="DR165" s="242"/>
      <c r="DS165" s="242"/>
      <c r="DT165" s="242"/>
      <c r="DU165" s="242"/>
      <c r="DV165" s="242"/>
      <c r="DW165" s="242"/>
      <c r="DX165" s="242"/>
      <c r="DY165" s="242"/>
      <c r="DZ165" s="242"/>
      <c r="EA165" s="242"/>
      <c r="EB165" s="242"/>
      <c r="EC165" s="242"/>
      <c r="ED165" s="242"/>
      <c r="EE165" s="242"/>
      <c r="EF165" s="242"/>
      <c r="EG165" s="242"/>
      <c r="EH165" s="242"/>
      <c r="EI165" s="242"/>
      <c r="EJ165" s="242"/>
      <c r="EK165" s="242"/>
      <c r="EL165" s="242"/>
      <c r="EM165" s="242"/>
      <c r="EN165" s="242"/>
      <c r="EO165" s="242"/>
      <c r="EP165" s="242"/>
      <c r="EQ165" s="242"/>
      <c r="ER165" s="242"/>
      <c r="ES165" s="242"/>
      <c r="ET165" s="242"/>
      <c r="EU165" s="242"/>
      <c r="EV165" s="242"/>
      <c r="EW165" s="242"/>
      <c r="EX165" s="242"/>
      <c r="EY165" s="242"/>
      <c r="EZ165" s="242"/>
      <c r="FA165" s="242"/>
      <c r="FB165" s="242"/>
      <c r="FC165" s="242"/>
      <c r="FD165" s="242"/>
      <c r="FE165" s="242"/>
      <c r="FF165" s="242"/>
      <c r="FG165" s="242"/>
      <c r="FH165" s="242"/>
      <c r="FI165" s="242"/>
      <c r="FJ165" s="242"/>
      <c r="FK165" s="242"/>
      <c r="FL165" s="242"/>
      <c r="FM165" s="242"/>
      <c r="FN165" s="242"/>
      <c r="FO165" s="242"/>
      <c r="FP165" s="242"/>
      <c r="FQ165" s="242"/>
      <c r="FR165" s="242"/>
      <c r="FS165" s="242"/>
      <c r="FT165" s="242"/>
      <c r="FU165" s="242"/>
      <c r="FV165" s="242"/>
      <c r="FW165" s="242"/>
      <c r="FX165" s="242"/>
      <c r="FY165" s="242"/>
      <c r="FZ165" s="242"/>
      <c r="GA165" s="242"/>
      <c r="GB165" s="242"/>
      <c r="GC165" s="242"/>
      <c r="GD165" s="242"/>
      <c r="GE165" s="242"/>
      <c r="GF165" s="242"/>
      <c r="GG165" s="242"/>
      <c r="GH165" s="242"/>
      <c r="GI165" s="242"/>
      <c r="GJ165" s="242"/>
      <c r="GK165" s="242"/>
      <c r="GL165" s="242"/>
      <c r="GM165" s="242"/>
      <c r="GN165" s="242"/>
      <c r="GO165" s="242"/>
      <c r="GP165" s="242"/>
      <c r="GQ165" s="242"/>
      <c r="GR165" s="242"/>
      <c r="GS165" s="242"/>
      <c r="GT165" s="242"/>
      <c r="GU165" s="242"/>
      <c r="GV165" s="242"/>
      <c r="GW165" s="242"/>
      <c r="GX165" s="242"/>
      <c r="GY165" s="242"/>
      <c r="GZ165" s="242"/>
      <c r="HA165" s="242"/>
      <c r="HB165" s="242"/>
      <c r="HC165" s="242"/>
      <c r="HD165" s="242"/>
      <c r="HE165" s="242"/>
      <c r="HF165" s="242"/>
      <c r="HG165" s="242"/>
      <c r="HH165" s="242"/>
      <c r="HI165" s="242"/>
      <c r="HJ165" s="242"/>
      <c r="HK165" s="242"/>
      <c r="HL165" s="242"/>
      <c r="HM165" s="242"/>
      <c r="HN165" s="242"/>
      <c r="HO165" s="242"/>
      <c r="HP165" s="242"/>
      <c r="HQ165" s="242"/>
      <c r="HR165" s="242"/>
      <c r="HS165" s="242"/>
      <c r="HT165" s="242"/>
      <c r="HU165" s="242"/>
      <c r="HV165" s="242"/>
      <c r="HW165" s="242"/>
      <c r="HX165" s="242"/>
      <c r="HY165" s="242"/>
      <c r="HZ165" s="242"/>
      <c r="IA165" s="242"/>
      <c r="IB165" s="242"/>
      <c r="IC165" s="242"/>
      <c r="ID165" s="242"/>
      <c r="IE165" s="242"/>
      <c r="IF165" s="242"/>
      <c r="IG165" s="242"/>
      <c r="IH165" s="242"/>
      <c r="II165" s="242"/>
      <c r="IJ165" s="242"/>
      <c r="IK165" s="242"/>
      <c r="IL165" s="242"/>
      <c r="IM165" s="242"/>
      <c r="IN165" s="242"/>
      <c r="IO165" s="242"/>
      <c r="IP165" s="242"/>
      <c r="IQ165" s="242"/>
      <c r="IR165" s="242"/>
    </row>
    <row r="166" spans="1:252" s="345" customFormat="1" x14ac:dyDescent="0.3">
      <c r="A166" s="237"/>
      <c r="B166" s="239"/>
      <c r="C166" s="239"/>
      <c r="D166" s="239"/>
      <c r="E166" s="239"/>
      <c r="F166" s="239"/>
      <c r="G166" s="239"/>
      <c r="H166" s="239"/>
      <c r="I166" s="239"/>
      <c r="J166" s="239"/>
      <c r="K166" s="239"/>
      <c r="L166" s="239"/>
      <c r="M166" s="239"/>
      <c r="N166" s="239"/>
      <c r="O166" s="239"/>
      <c r="P166" s="239"/>
      <c r="Q166" s="239"/>
      <c r="R166" s="339"/>
      <c r="S166" s="240"/>
      <c r="T166" s="241"/>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c r="AV166" s="242"/>
      <c r="AW166" s="242"/>
      <c r="AX166" s="242"/>
      <c r="AY166" s="242"/>
      <c r="AZ166" s="242"/>
      <c r="BA166" s="242"/>
      <c r="BB166" s="242"/>
      <c r="BC166" s="242"/>
      <c r="BD166" s="242"/>
      <c r="BE166" s="242"/>
      <c r="BF166" s="242"/>
      <c r="BG166" s="242"/>
      <c r="BH166" s="242"/>
      <c r="BI166" s="242"/>
      <c r="BJ166" s="242"/>
      <c r="BK166" s="242"/>
      <c r="BL166" s="242"/>
      <c r="BM166" s="242"/>
      <c r="BN166" s="242"/>
      <c r="BO166" s="242"/>
      <c r="BP166" s="242"/>
      <c r="BQ166" s="242"/>
      <c r="BR166" s="242"/>
      <c r="BS166" s="242"/>
      <c r="BT166" s="242"/>
      <c r="BU166" s="242"/>
      <c r="BV166" s="242"/>
      <c r="BW166" s="242"/>
      <c r="BX166" s="242"/>
      <c r="BY166" s="242"/>
      <c r="BZ166" s="242"/>
      <c r="CA166" s="242"/>
      <c r="CB166" s="242"/>
      <c r="CC166" s="242"/>
      <c r="CD166" s="242"/>
      <c r="CE166" s="242"/>
      <c r="CF166" s="242"/>
      <c r="CG166" s="242"/>
      <c r="CH166" s="242"/>
      <c r="CI166" s="242"/>
      <c r="CJ166" s="242"/>
      <c r="CK166" s="242"/>
      <c r="CL166" s="242"/>
      <c r="CM166" s="242"/>
      <c r="CN166" s="242"/>
      <c r="CO166" s="242"/>
      <c r="CP166" s="242"/>
      <c r="CQ166" s="242"/>
      <c r="CR166" s="242"/>
      <c r="CS166" s="242"/>
      <c r="CT166" s="242"/>
      <c r="CU166" s="242"/>
      <c r="CV166" s="242"/>
      <c r="CW166" s="242"/>
      <c r="CX166" s="242"/>
      <c r="CY166" s="242"/>
      <c r="CZ166" s="242"/>
      <c r="DA166" s="242"/>
      <c r="DB166" s="242"/>
      <c r="DC166" s="242"/>
      <c r="DD166" s="242"/>
      <c r="DE166" s="242"/>
      <c r="DF166" s="242"/>
      <c r="DG166" s="242"/>
      <c r="DH166" s="242"/>
      <c r="DI166" s="242"/>
      <c r="DJ166" s="242"/>
      <c r="DK166" s="242"/>
      <c r="DL166" s="242"/>
      <c r="DM166" s="242"/>
      <c r="DN166" s="242"/>
      <c r="DO166" s="242"/>
      <c r="DP166" s="242"/>
      <c r="DQ166" s="242"/>
      <c r="DR166" s="242"/>
      <c r="DS166" s="242"/>
      <c r="DT166" s="242"/>
      <c r="DU166" s="242"/>
      <c r="DV166" s="242"/>
      <c r="DW166" s="242"/>
      <c r="DX166" s="242"/>
      <c r="DY166" s="242"/>
      <c r="DZ166" s="242"/>
      <c r="EA166" s="242"/>
      <c r="EB166" s="242"/>
      <c r="EC166" s="242"/>
      <c r="ED166" s="242"/>
      <c r="EE166" s="242"/>
      <c r="EF166" s="242"/>
      <c r="EG166" s="242"/>
      <c r="EH166" s="242"/>
      <c r="EI166" s="242"/>
      <c r="EJ166" s="242"/>
      <c r="EK166" s="242"/>
      <c r="EL166" s="242"/>
      <c r="EM166" s="242"/>
      <c r="EN166" s="242"/>
      <c r="EO166" s="242"/>
      <c r="EP166" s="242"/>
      <c r="EQ166" s="242"/>
      <c r="ER166" s="242"/>
      <c r="ES166" s="242"/>
      <c r="ET166" s="242"/>
      <c r="EU166" s="242"/>
      <c r="EV166" s="242"/>
      <c r="EW166" s="242"/>
      <c r="EX166" s="242"/>
      <c r="EY166" s="242"/>
      <c r="EZ166" s="242"/>
      <c r="FA166" s="242"/>
      <c r="FB166" s="242"/>
      <c r="FC166" s="242"/>
      <c r="FD166" s="242"/>
      <c r="FE166" s="242"/>
      <c r="FF166" s="242"/>
      <c r="FG166" s="242"/>
      <c r="FH166" s="242"/>
      <c r="FI166" s="242"/>
      <c r="FJ166" s="242"/>
      <c r="FK166" s="242"/>
      <c r="FL166" s="242"/>
      <c r="FM166" s="242"/>
      <c r="FN166" s="242"/>
      <c r="FO166" s="242"/>
      <c r="FP166" s="242"/>
      <c r="FQ166" s="242"/>
      <c r="FR166" s="242"/>
      <c r="FS166" s="242"/>
      <c r="FT166" s="242"/>
      <c r="FU166" s="242"/>
      <c r="FV166" s="242"/>
      <c r="FW166" s="242"/>
      <c r="FX166" s="242"/>
      <c r="FY166" s="242"/>
      <c r="FZ166" s="242"/>
      <c r="GA166" s="242"/>
      <c r="GB166" s="242"/>
      <c r="GC166" s="242"/>
      <c r="GD166" s="242"/>
      <c r="GE166" s="242"/>
      <c r="GF166" s="242"/>
      <c r="GG166" s="242"/>
      <c r="GH166" s="242"/>
      <c r="GI166" s="242"/>
      <c r="GJ166" s="242"/>
      <c r="GK166" s="242"/>
      <c r="GL166" s="242"/>
      <c r="GM166" s="242"/>
      <c r="GN166" s="242"/>
      <c r="GO166" s="242"/>
      <c r="GP166" s="242"/>
      <c r="GQ166" s="242"/>
      <c r="GR166" s="242"/>
      <c r="GS166" s="242"/>
      <c r="GT166" s="242"/>
      <c r="GU166" s="242"/>
      <c r="GV166" s="242"/>
      <c r="GW166" s="242"/>
      <c r="GX166" s="242"/>
      <c r="GY166" s="242"/>
      <c r="GZ166" s="242"/>
      <c r="HA166" s="242"/>
      <c r="HB166" s="242"/>
      <c r="HC166" s="242"/>
      <c r="HD166" s="242"/>
      <c r="HE166" s="242"/>
      <c r="HF166" s="242"/>
      <c r="HG166" s="242"/>
      <c r="HH166" s="242"/>
      <c r="HI166" s="242"/>
      <c r="HJ166" s="242"/>
      <c r="HK166" s="242"/>
      <c r="HL166" s="242"/>
      <c r="HM166" s="242"/>
      <c r="HN166" s="242"/>
      <c r="HO166" s="242"/>
      <c r="HP166" s="242"/>
      <c r="HQ166" s="242"/>
      <c r="HR166" s="242"/>
      <c r="HS166" s="242"/>
      <c r="HT166" s="242"/>
      <c r="HU166" s="242"/>
      <c r="HV166" s="242"/>
      <c r="HW166" s="242"/>
      <c r="HX166" s="242"/>
      <c r="HY166" s="242"/>
      <c r="HZ166" s="242"/>
      <c r="IA166" s="242"/>
      <c r="IB166" s="242"/>
      <c r="IC166" s="242"/>
      <c r="ID166" s="242"/>
      <c r="IE166" s="242"/>
      <c r="IF166" s="242"/>
      <c r="IG166" s="242"/>
      <c r="IH166" s="242"/>
      <c r="II166" s="242"/>
      <c r="IJ166" s="242"/>
      <c r="IK166" s="242"/>
      <c r="IL166" s="242"/>
      <c r="IM166" s="242"/>
      <c r="IN166" s="242"/>
      <c r="IO166" s="242"/>
      <c r="IP166" s="242"/>
      <c r="IQ166" s="242"/>
      <c r="IR166" s="242"/>
    </row>
    <row r="167" spans="1:252" x14ac:dyDescent="0.3">
      <c r="A167" s="243"/>
      <c r="B167" s="418" t="s">
        <v>44</v>
      </c>
      <c r="C167" s="245"/>
      <c r="D167" s="245"/>
      <c r="E167" s="245"/>
      <c r="F167" s="245"/>
      <c r="G167" s="245"/>
      <c r="H167" s="245"/>
      <c r="I167" s="245"/>
      <c r="J167" s="245"/>
      <c r="K167" s="245"/>
      <c r="L167" s="245"/>
      <c r="M167" s="245"/>
      <c r="N167" s="245"/>
      <c r="O167" s="245"/>
      <c r="P167" s="245"/>
      <c r="Q167" s="245"/>
      <c r="R167" s="312"/>
      <c r="S167" s="246"/>
      <c r="T167" s="241"/>
    </row>
    <row r="168" spans="1:252" x14ac:dyDescent="0.3">
      <c r="A168" s="243"/>
      <c r="B168" s="330"/>
      <c r="C168" s="245"/>
      <c r="D168" s="245"/>
      <c r="E168" s="245"/>
      <c r="F168" s="245"/>
      <c r="G168" s="245"/>
      <c r="H168" s="245"/>
      <c r="I168" s="245"/>
      <c r="J168" s="245"/>
      <c r="K168" s="245"/>
      <c r="L168" s="245"/>
      <c r="M168" s="245"/>
      <c r="N168" s="245"/>
      <c r="O168" s="245"/>
      <c r="P168" s="245"/>
      <c r="Q168" s="245"/>
      <c r="R168" s="312"/>
      <c r="S168" s="246"/>
      <c r="T168" s="241"/>
    </row>
    <row r="169" spans="1:252" s="260" customFormat="1" x14ac:dyDescent="0.3">
      <c r="A169" s="275"/>
      <c r="B169" s="268" t="s">
        <v>177</v>
      </c>
      <c r="C169" s="268"/>
      <c r="D169" s="268"/>
      <c r="E169" s="268"/>
      <c r="F169" s="268"/>
      <c r="G169" s="268"/>
      <c r="H169" s="268"/>
      <c r="I169" s="268"/>
      <c r="J169" s="268"/>
      <c r="K169" s="268"/>
      <c r="L169" s="268"/>
      <c r="M169" s="268"/>
      <c r="N169" s="268"/>
      <c r="O169" s="268"/>
      <c r="P169" s="268"/>
      <c r="Q169" s="268"/>
      <c r="R169" s="314">
        <f>+R59</f>
        <v>74274</v>
      </c>
      <c r="S169" s="271"/>
      <c r="T169" s="259"/>
    </row>
    <row r="170" spans="1:252" s="260" customFormat="1" x14ac:dyDescent="0.3">
      <c r="A170" s="275"/>
      <c r="B170" s="268" t="s">
        <v>178</v>
      </c>
      <c r="C170" s="268"/>
      <c r="D170" s="268"/>
      <c r="E170" s="268"/>
      <c r="F170" s="268"/>
      <c r="G170" s="268"/>
      <c r="H170" s="268"/>
      <c r="I170" s="268"/>
      <c r="J170" s="268"/>
      <c r="K170" s="268"/>
      <c r="L170" s="268"/>
      <c r="M170" s="268"/>
      <c r="N170" s="268"/>
      <c r="O170" s="268"/>
      <c r="P170" s="268"/>
      <c r="Q170" s="268"/>
      <c r="R170" s="314">
        <f>+R69</f>
        <v>0</v>
      </c>
      <c r="S170" s="271"/>
      <c r="T170" s="259"/>
    </row>
    <row r="171" spans="1:252" s="260" customFormat="1" x14ac:dyDescent="0.3">
      <c r="A171" s="275"/>
      <c r="B171" s="268" t="s">
        <v>246</v>
      </c>
      <c r="C171" s="268"/>
      <c r="D171" s="268"/>
      <c r="E171" s="268"/>
      <c r="F171" s="268"/>
      <c r="G171" s="268"/>
      <c r="H171" s="268"/>
      <c r="I171" s="268"/>
      <c r="J171" s="268"/>
      <c r="K171" s="268"/>
      <c r="L171" s="268"/>
      <c r="M171" s="268"/>
      <c r="N171" s="268"/>
      <c r="O171" s="268"/>
      <c r="P171" s="268"/>
      <c r="Q171" s="268"/>
      <c r="R171" s="314">
        <f>+R70</f>
        <v>0</v>
      </c>
      <c r="S171" s="271"/>
      <c r="T171" s="259"/>
    </row>
    <row r="172" spans="1:252" s="260" customFormat="1" x14ac:dyDescent="0.3">
      <c r="A172" s="275"/>
      <c r="B172" s="268" t="s">
        <v>126</v>
      </c>
      <c r="C172" s="268"/>
      <c r="D172" s="268"/>
      <c r="E172" s="268"/>
      <c r="F172" s="268"/>
      <c r="G172" s="268"/>
      <c r="H172" s="268"/>
      <c r="I172" s="268"/>
      <c r="J172" s="268"/>
      <c r="K172" s="268"/>
      <c r="L172" s="268"/>
      <c r="M172" s="268"/>
      <c r="N172" s="268"/>
      <c r="O172" s="268"/>
      <c r="P172" s="268"/>
      <c r="Q172" s="268"/>
      <c r="R172" s="314">
        <f>+R169+R170+R171</f>
        <v>74274</v>
      </c>
      <c r="S172" s="271"/>
      <c r="T172" s="259"/>
    </row>
    <row r="173" spans="1:252" s="260" customFormat="1" x14ac:dyDescent="0.3">
      <c r="A173" s="275"/>
      <c r="B173" s="268" t="s">
        <v>45</v>
      </c>
      <c r="C173" s="268"/>
      <c r="D173" s="268"/>
      <c r="E173" s="268"/>
      <c r="F173" s="268"/>
      <c r="G173" s="268"/>
      <c r="H173" s="268"/>
      <c r="I173" s="268"/>
      <c r="J173" s="268"/>
      <c r="K173" s="268"/>
      <c r="L173" s="268"/>
      <c r="M173" s="268"/>
      <c r="N173" s="268"/>
      <c r="O173" s="268"/>
      <c r="P173" s="268"/>
      <c r="Q173" s="268"/>
      <c r="R173" s="314">
        <f>R72</f>
        <v>74274</v>
      </c>
      <c r="S173" s="271"/>
      <c r="T173" s="259"/>
    </row>
    <row r="174" spans="1:252" ht="16.2" thickBot="1" x14ac:dyDescent="0.35">
      <c r="A174" s="243"/>
      <c r="B174" s="315"/>
      <c r="C174" s="315"/>
      <c r="D174" s="315"/>
      <c r="E174" s="315"/>
      <c r="F174" s="315"/>
      <c r="G174" s="315"/>
      <c r="H174" s="315"/>
      <c r="I174" s="315"/>
      <c r="J174" s="315"/>
      <c r="K174" s="315"/>
      <c r="L174" s="315"/>
      <c r="M174" s="315"/>
      <c r="N174" s="315"/>
      <c r="O174" s="315"/>
      <c r="P174" s="315"/>
      <c r="Q174" s="315"/>
      <c r="R174" s="331"/>
      <c r="S174" s="246"/>
      <c r="T174" s="241"/>
    </row>
    <row r="175" spans="1:252" x14ac:dyDescent="0.3">
      <c r="A175" s="237"/>
      <c r="B175" s="239"/>
      <c r="C175" s="239"/>
      <c r="D175" s="239"/>
      <c r="E175" s="239"/>
      <c r="F175" s="239"/>
      <c r="G175" s="239"/>
      <c r="H175" s="239"/>
      <c r="I175" s="239"/>
      <c r="J175" s="239"/>
      <c r="K175" s="239"/>
      <c r="L175" s="239"/>
      <c r="M175" s="239"/>
      <c r="N175" s="239"/>
      <c r="O175" s="239"/>
      <c r="P175" s="239"/>
      <c r="Q175" s="239"/>
      <c r="R175" s="339"/>
      <c r="S175" s="240"/>
      <c r="T175" s="241"/>
    </row>
    <row r="176" spans="1:252" s="409" customFormat="1" x14ac:dyDescent="0.3">
      <c r="A176" s="412"/>
      <c r="B176" s="418" t="s">
        <v>46</v>
      </c>
      <c r="C176" s="419"/>
      <c r="D176" s="420"/>
      <c r="E176" s="420"/>
      <c r="F176" s="420"/>
      <c r="G176" s="420"/>
      <c r="H176" s="420"/>
      <c r="I176" s="420"/>
      <c r="J176" s="420"/>
      <c r="K176" s="420"/>
      <c r="L176" s="420"/>
      <c r="M176" s="420"/>
      <c r="N176" s="420"/>
      <c r="O176" s="420" t="s">
        <v>82</v>
      </c>
      <c r="P176" s="420" t="s">
        <v>173</v>
      </c>
      <c r="Q176" s="248"/>
      <c r="R176" s="421" t="s">
        <v>94</v>
      </c>
      <c r="S176" s="422"/>
      <c r="T176" s="408"/>
    </row>
    <row r="177" spans="1:20" s="260" customFormat="1" x14ac:dyDescent="0.3">
      <c r="A177" s="275"/>
      <c r="B177" s="268" t="s">
        <v>47</v>
      </c>
      <c r="C177" s="268"/>
      <c r="D177" s="268"/>
      <c r="E177" s="268"/>
      <c r="F177" s="268"/>
      <c r="G177" s="268"/>
      <c r="H177" s="268"/>
      <c r="I177" s="268"/>
      <c r="J177" s="268"/>
      <c r="K177" s="268"/>
      <c r="L177" s="268"/>
      <c r="M177" s="268"/>
      <c r="N177" s="268"/>
      <c r="O177" s="314">
        <f>+R28*0.05</f>
        <v>12500</v>
      </c>
      <c r="P177" s="293"/>
      <c r="Q177" s="268"/>
      <c r="R177" s="314"/>
      <c r="S177" s="271"/>
      <c r="T177" s="259"/>
    </row>
    <row r="178" spans="1:20" s="260" customFormat="1" x14ac:dyDescent="0.3">
      <c r="A178" s="275"/>
      <c r="B178" s="268" t="s">
        <v>48</v>
      </c>
      <c r="C178" s="268"/>
      <c r="D178" s="268"/>
      <c r="E178" s="268"/>
      <c r="F178" s="268"/>
      <c r="G178" s="268"/>
      <c r="H178" s="268"/>
      <c r="I178" s="268"/>
      <c r="J178" s="268"/>
      <c r="K178" s="268"/>
      <c r="L178" s="268"/>
      <c r="M178" s="268"/>
      <c r="N178" s="268"/>
      <c r="O178" s="314">
        <f>+'Nov 17'!O180</f>
        <v>1069</v>
      </c>
      <c r="P178" s="314">
        <f>+'Nov 17'!P180</f>
        <v>517</v>
      </c>
      <c r="Q178" s="268"/>
      <c r="R178" s="314">
        <f>O178+P178</f>
        <v>1586</v>
      </c>
      <c r="S178" s="271"/>
      <c r="T178" s="259"/>
    </row>
    <row r="179" spans="1:20" s="260" customFormat="1" x14ac:dyDescent="0.3">
      <c r="A179" s="275"/>
      <c r="B179" s="268" t="s">
        <v>49</v>
      </c>
      <c r="C179" s="268"/>
      <c r="D179" s="268"/>
      <c r="E179" s="268"/>
      <c r="F179" s="268"/>
      <c r="G179" s="268"/>
      <c r="H179" s="268"/>
      <c r="I179" s="268"/>
      <c r="J179" s="268"/>
      <c r="K179" s="268"/>
      <c r="L179" s="268"/>
      <c r="M179" s="268"/>
      <c r="N179" s="268"/>
      <c r="O179" s="313">
        <v>0</v>
      </c>
      <c r="P179" s="313">
        <v>0</v>
      </c>
      <c r="Q179" s="268"/>
      <c r="R179" s="314">
        <f>O179+P179</f>
        <v>0</v>
      </c>
      <c r="S179" s="271"/>
      <c r="T179" s="259"/>
    </row>
    <row r="180" spans="1:20" s="260" customFormat="1" x14ac:dyDescent="0.3">
      <c r="A180" s="275"/>
      <c r="B180" s="268" t="s">
        <v>50</v>
      </c>
      <c r="C180" s="268"/>
      <c r="D180" s="268"/>
      <c r="E180" s="268"/>
      <c r="F180" s="268"/>
      <c r="G180" s="268"/>
      <c r="H180" s="268"/>
      <c r="I180" s="268"/>
      <c r="J180" s="268"/>
      <c r="K180" s="268"/>
      <c r="L180" s="268"/>
      <c r="M180" s="268"/>
      <c r="N180" s="268"/>
      <c r="O180" s="314">
        <f>O178+O179</f>
        <v>1069</v>
      </c>
      <c r="P180" s="314">
        <f>P179+P178</f>
        <v>517</v>
      </c>
      <c r="Q180" s="268"/>
      <c r="R180" s="314">
        <f>O180+P180</f>
        <v>1586</v>
      </c>
      <c r="S180" s="271"/>
      <c r="T180" s="259"/>
    </row>
    <row r="181" spans="1:20" s="260" customFormat="1" x14ac:dyDescent="0.3">
      <c r="A181" s="275"/>
      <c r="B181" s="268" t="s">
        <v>51</v>
      </c>
      <c r="C181" s="268"/>
      <c r="D181" s="268"/>
      <c r="E181" s="268"/>
      <c r="F181" s="268"/>
      <c r="G181" s="268"/>
      <c r="H181" s="268"/>
      <c r="I181" s="268"/>
      <c r="J181" s="268"/>
      <c r="K181" s="268"/>
      <c r="L181" s="268"/>
      <c r="M181" s="268"/>
      <c r="N181" s="268"/>
      <c r="O181" s="314">
        <f>O177-O180-P180</f>
        <v>10914</v>
      </c>
      <c r="P181" s="293"/>
      <c r="Q181" s="268"/>
      <c r="R181" s="314"/>
      <c r="S181" s="271"/>
      <c r="T181" s="259"/>
    </row>
    <row r="182" spans="1:20" ht="16.2" thickBot="1" x14ac:dyDescent="0.35">
      <c r="A182" s="243"/>
      <c r="B182" s="315"/>
      <c r="C182" s="315"/>
      <c r="D182" s="315"/>
      <c r="E182" s="315"/>
      <c r="F182" s="315"/>
      <c r="G182" s="315"/>
      <c r="H182" s="315"/>
      <c r="I182" s="315"/>
      <c r="J182" s="315"/>
      <c r="K182" s="315"/>
      <c r="L182" s="315"/>
      <c r="M182" s="315"/>
      <c r="N182" s="315"/>
      <c r="O182" s="315"/>
      <c r="P182" s="315"/>
      <c r="Q182" s="315"/>
      <c r="R182" s="331"/>
      <c r="S182" s="246"/>
      <c r="T182" s="241"/>
    </row>
    <row r="183" spans="1:20" x14ac:dyDescent="0.3">
      <c r="A183" s="237"/>
      <c r="B183" s="239"/>
      <c r="C183" s="239"/>
      <c r="D183" s="239"/>
      <c r="E183" s="239"/>
      <c r="F183" s="239"/>
      <c r="G183" s="239"/>
      <c r="H183" s="239"/>
      <c r="I183" s="239"/>
      <c r="J183" s="239"/>
      <c r="K183" s="239"/>
      <c r="L183" s="239"/>
      <c r="M183" s="239"/>
      <c r="N183" s="239"/>
      <c r="O183" s="239"/>
      <c r="P183" s="239"/>
      <c r="Q183" s="239"/>
      <c r="R183" s="339"/>
      <c r="S183" s="240"/>
      <c r="T183" s="241"/>
    </row>
    <row r="184" spans="1:20" x14ac:dyDescent="0.3">
      <c r="A184" s="243"/>
      <c r="B184" s="418" t="s">
        <v>52</v>
      </c>
      <c r="C184" s="245"/>
      <c r="D184" s="245"/>
      <c r="E184" s="245"/>
      <c r="F184" s="245"/>
      <c r="G184" s="245"/>
      <c r="H184" s="245"/>
      <c r="I184" s="245"/>
      <c r="J184" s="245"/>
      <c r="K184" s="245"/>
      <c r="L184" s="245"/>
      <c r="M184" s="245"/>
      <c r="N184" s="245"/>
      <c r="O184" s="245"/>
      <c r="P184" s="245"/>
      <c r="Q184" s="245"/>
      <c r="R184" s="346"/>
      <c r="S184" s="246"/>
      <c r="T184" s="241"/>
    </row>
    <row r="185" spans="1:20" s="260" customFormat="1" x14ac:dyDescent="0.3">
      <c r="A185" s="275"/>
      <c r="B185" s="268" t="s">
        <v>53</v>
      </c>
      <c r="C185" s="268"/>
      <c r="D185" s="268"/>
      <c r="E185" s="268"/>
      <c r="F185" s="268"/>
      <c r="G185" s="268"/>
      <c r="H185" s="268"/>
      <c r="I185" s="268"/>
      <c r="J185" s="268"/>
      <c r="K185" s="268"/>
      <c r="L185" s="268"/>
      <c r="M185" s="268"/>
      <c r="N185" s="268"/>
      <c r="O185" s="268"/>
      <c r="P185" s="268"/>
      <c r="Q185" s="268"/>
      <c r="R185" s="347">
        <f>(R92+R94+R95+R96+R97)/-(R98)</f>
        <v>6.1049382716049383</v>
      </c>
      <c r="S185" s="271" t="s">
        <v>95</v>
      </c>
      <c r="T185" s="259"/>
    </row>
    <row r="186" spans="1:20" s="260" customFormat="1" x14ac:dyDescent="0.3">
      <c r="A186" s="275"/>
      <c r="B186" s="268" t="s">
        <v>54</v>
      </c>
      <c r="C186" s="268"/>
      <c r="D186" s="268"/>
      <c r="E186" s="268"/>
      <c r="F186" s="268"/>
      <c r="G186" s="268"/>
      <c r="H186" s="268"/>
      <c r="I186" s="268"/>
      <c r="J186" s="268"/>
      <c r="K186" s="268"/>
      <c r="L186" s="268"/>
      <c r="M186" s="268"/>
      <c r="N186" s="268"/>
      <c r="O186" s="268"/>
      <c r="P186" s="268"/>
      <c r="Q186" s="268"/>
      <c r="R186" s="348">
        <v>3.9</v>
      </c>
      <c r="S186" s="271" t="s">
        <v>95</v>
      </c>
      <c r="T186" s="259"/>
    </row>
    <row r="187" spans="1:20" s="260" customFormat="1" x14ac:dyDescent="0.3">
      <c r="A187" s="275"/>
      <c r="B187" s="268" t="s">
        <v>192</v>
      </c>
      <c r="C187" s="268"/>
      <c r="D187" s="268"/>
      <c r="E187" s="268"/>
      <c r="F187" s="268"/>
      <c r="G187" s="268"/>
      <c r="H187" s="268"/>
      <c r="I187" s="268"/>
      <c r="J187" s="268"/>
      <c r="K187" s="268"/>
      <c r="L187" s="268"/>
      <c r="M187" s="268"/>
      <c r="N187" s="268"/>
      <c r="O187" s="268"/>
      <c r="P187" s="268"/>
      <c r="Q187" s="268"/>
      <c r="R187" s="347">
        <f>(R92+R94+R95+R96+R97+R98)/-(R99)</f>
        <v>9.8452380952380949</v>
      </c>
      <c r="S187" s="271" t="s">
        <v>95</v>
      </c>
      <c r="T187" s="259"/>
    </row>
    <row r="188" spans="1:20" s="260" customFormat="1" x14ac:dyDescent="0.3">
      <c r="A188" s="275"/>
      <c r="B188" s="268" t="s">
        <v>193</v>
      </c>
      <c r="C188" s="268"/>
      <c r="D188" s="268"/>
      <c r="E188" s="268"/>
      <c r="F188" s="268"/>
      <c r="G188" s="268"/>
      <c r="H188" s="268"/>
      <c r="I188" s="268"/>
      <c r="J188" s="268"/>
      <c r="K188" s="268"/>
      <c r="L188" s="268"/>
      <c r="M188" s="268"/>
      <c r="N188" s="268"/>
      <c r="O188" s="268"/>
      <c r="P188" s="268"/>
      <c r="Q188" s="268"/>
      <c r="R188" s="348">
        <v>18.010000000000002</v>
      </c>
      <c r="S188" s="271" t="s">
        <v>95</v>
      </c>
      <c r="T188" s="259"/>
    </row>
    <row r="189" spans="1:20" s="260" customFormat="1" x14ac:dyDescent="0.3">
      <c r="A189" s="275"/>
      <c r="B189" s="268" t="s">
        <v>194</v>
      </c>
      <c r="C189" s="268"/>
      <c r="D189" s="268"/>
      <c r="E189" s="268"/>
      <c r="F189" s="268"/>
      <c r="G189" s="268"/>
      <c r="H189" s="268"/>
      <c r="I189" s="268"/>
      <c r="J189" s="268"/>
      <c r="K189" s="268"/>
      <c r="L189" s="268"/>
      <c r="M189" s="268"/>
      <c r="N189" s="268"/>
      <c r="O189" s="268"/>
      <c r="P189" s="268"/>
      <c r="Q189" s="268"/>
      <c r="R189" s="347">
        <f>(R92+R94+R95+R96+R97+R98+R99)/-(R100)</f>
        <v>16.511111111111113</v>
      </c>
      <c r="S189" s="271" t="s">
        <v>95</v>
      </c>
      <c r="T189" s="259"/>
    </row>
    <row r="190" spans="1:20" s="260" customFormat="1" x14ac:dyDescent="0.3">
      <c r="A190" s="275"/>
      <c r="B190" s="268" t="s">
        <v>195</v>
      </c>
      <c r="C190" s="268"/>
      <c r="D190" s="268"/>
      <c r="E190" s="268"/>
      <c r="F190" s="268"/>
      <c r="G190" s="268"/>
      <c r="H190" s="268"/>
      <c r="I190" s="268"/>
      <c r="J190" s="268"/>
      <c r="K190" s="268"/>
      <c r="L190" s="268"/>
      <c r="M190" s="268"/>
      <c r="N190" s="268"/>
      <c r="O190" s="268"/>
      <c r="P190" s="268"/>
      <c r="Q190" s="268"/>
      <c r="R190" s="348">
        <v>31.43</v>
      </c>
      <c r="S190" s="271" t="s">
        <v>95</v>
      </c>
      <c r="T190" s="259"/>
    </row>
    <row r="191" spans="1:20" s="260" customFormat="1" x14ac:dyDescent="0.3">
      <c r="A191" s="275"/>
      <c r="B191" s="268" t="s">
        <v>196</v>
      </c>
      <c r="C191" s="268"/>
      <c r="D191" s="268"/>
      <c r="E191" s="268"/>
      <c r="F191" s="268"/>
      <c r="G191" s="268"/>
      <c r="H191" s="268"/>
      <c r="I191" s="268"/>
      <c r="J191" s="268"/>
      <c r="K191" s="268"/>
      <c r="L191" s="268"/>
      <c r="M191" s="268"/>
      <c r="N191" s="268"/>
      <c r="O191" s="268"/>
      <c r="P191" s="268"/>
      <c r="Q191" s="268"/>
      <c r="R191" s="347">
        <f>(R92+R94+R95+R96+R97+R98+R99+R100+R101+R102+R103+R104+R105)/-(R106)</f>
        <v>16.536585365853657</v>
      </c>
      <c r="S191" s="271" t="s">
        <v>95</v>
      </c>
      <c r="T191" s="259"/>
    </row>
    <row r="192" spans="1:20" s="260" customFormat="1" x14ac:dyDescent="0.3">
      <c r="A192" s="275"/>
      <c r="B192" s="268" t="s">
        <v>197</v>
      </c>
      <c r="C192" s="268"/>
      <c r="D192" s="268"/>
      <c r="E192" s="268"/>
      <c r="F192" s="268"/>
      <c r="G192" s="268"/>
      <c r="H192" s="268"/>
      <c r="I192" s="268"/>
      <c r="J192" s="268"/>
      <c r="K192" s="268"/>
      <c r="L192" s="268"/>
      <c r="M192" s="268"/>
      <c r="N192" s="268"/>
      <c r="O192" s="268"/>
      <c r="P192" s="268"/>
      <c r="Q192" s="268"/>
      <c r="R192" s="348">
        <v>33.36</v>
      </c>
      <c r="S192" s="271" t="s">
        <v>95</v>
      </c>
      <c r="T192" s="259"/>
    </row>
    <row r="193" spans="1:20" s="260" customFormat="1" x14ac:dyDescent="0.3">
      <c r="A193" s="275"/>
      <c r="B193" s="268"/>
      <c r="C193" s="268"/>
      <c r="D193" s="268"/>
      <c r="E193" s="268"/>
      <c r="F193" s="268"/>
      <c r="G193" s="268"/>
      <c r="H193" s="268"/>
      <c r="I193" s="268"/>
      <c r="J193" s="268"/>
      <c r="K193" s="268"/>
      <c r="L193" s="268"/>
      <c r="M193" s="268"/>
      <c r="N193" s="268"/>
      <c r="O193" s="268"/>
      <c r="P193" s="268"/>
      <c r="Q193" s="268"/>
      <c r="R193" s="268"/>
      <c r="S193" s="271"/>
      <c r="T193" s="259"/>
    </row>
    <row r="194" spans="1:20" s="260" customFormat="1" x14ac:dyDescent="0.3">
      <c r="A194" s="255"/>
      <c r="B194" s="302"/>
      <c r="C194" s="302"/>
      <c r="D194" s="302"/>
      <c r="E194" s="302"/>
      <c r="F194" s="302"/>
      <c r="G194" s="302"/>
      <c r="H194" s="302"/>
      <c r="I194" s="302"/>
      <c r="J194" s="302"/>
      <c r="K194" s="302"/>
      <c r="L194" s="302"/>
      <c r="M194" s="302"/>
      <c r="N194" s="302"/>
      <c r="O194" s="302"/>
      <c r="P194" s="302"/>
      <c r="Q194" s="302"/>
      <c r="R194" s="302"/>
      <c r="S194" s="258"/>
      <c r="T194" s="259"/>
    </row>
    <row r="195" spans="1:20" s="260" customFormat="1" x14ac:dyDescent="0.3">
      <c r="A195" s="255"/>
      <c r="B195" s="256"/>
      <c r="C195" s="256"/>
      <c r="D195" s="256"/>
      <c r="E195" s="256"/>
      <c r="F195" s="256"/>
      <c r="G195" s="256"/>
      <c r="H195" s="256"/>
      <c r="I195" s="256"/>
      <c r="J195" s="256"/>
      <c r="K195" s="256"/>
      <c r="L195" s="256"/>
      <c r="M195" s="256"/>
      <c r="N195" s="256"/>
      <c r="O195" s="256"/>
      <c r="P195" s="256"/>
      <c r="Q195" s="256"/>
      <c r="R195" s="256"/>
      <c r="S195" s="258"/>
      <c r="T195" s="259"/>
    </row>
    <row r="196" spans="1:20" s="260" customFormat="1" ht="18.600000000000001" thickBot="1" x14ac:dyDescent="0.4">
      <c r="A196" s="307"/>
      <c r="B196" s="308" t="str">
        <f>B123</f>
        <v>PM21 INVESTOR REPORT QUARTER ENDING FEBRUARY 2018</v>
      </c>
      <c r="C196" s="309"/>
      <c r="D196" s="309"/>
      <c r="E196" s="309"/>
      <c r="F196" s="309"/>
      <c r="G196" s="309"/>
      <c r="H196" s="309"/>
      <c r="I196" s="309"/>
      <c r="J196" s="309"/>
      <c r="K196" s="309"/>
      <c r="L196" s="309"/>
      <c r="M196" s="309"/>
      <c r="N196" s="309"/>
      <c r="O196" s="309"/>
      <c r="P196" s="309"/>
      <c r="Q196" s="309"/>
      <c r="R196" s="309"/>
      <c r="S196" s="311"/>
      <c r="T196" s="259"/>
    </row>
    <row r="197" spans="1:20" x14ac:dyDescent="0.3">
      <c r="A197" s="438"/>
      <c r="B197" s="439" t="s">
        <v>55</v>
      </c>
      <c r="C197" s="443"/>
      <c r="D197" s="444"/>
      <c r="E197" s="444"/>
      <c r="F197" s="444"/>
      <c r="G197" s="444"/>
      <c r="H197" s="444"/>
      <c r="I197" s="444"/>
      <c r="J197" s="444"/>
      <c r="K197" s="444"/>
      <c r="L197" s="444"/>
      <c r="M197" s="444"/>
      <c r="N197" s="444"/>
      <c r="O197" s="444"/>
      <c r="P197" s="444">
        <v>43159</v>
      </c>
      <c r="Q197" s="440"/>
      <c r="R197" s="440"/>
      <c r="S197" s="442"/>
      <c r="T197" s="241"/>
    </row>
    <row r="198" spans="1:20" x14ac:dyDescent="0.3">
      <c r="A198" s="349"/>
      <c r="B198" s="350"/>
      <c r="C198" s="351"/>
      <c r="D198" s="352"/>
      <c r="E198" s="352"/>
      <c r="F198" s="352"/>
      <c r="G198" s="352"/>
      <c r="H198" s="352"/>
      <c r="I198" s="352"/>
      <c r="J198" s="352"/>
      <c r="K198" s="352"/>
      <c r="L198" s="352"/>
      <c r="M198" s="352"/>
      <c r="N198" s="352"/>
      <c r="O198" s="352"/>
      <c r="P198" s="352"/>
      <c r="Q198" s="245"/>
      <c r="R198" s="245"/>
      <c r="S198" s="246"/>
      <c r="T198" s="241"/>
    </row>
    <row r="199" spans="1:20" s="260" customFormat="1" x14ac:dyDescent="0.3">
      <c r="A199" s="275"/>
      <c r="B199" s="268" t="s">
        <v>56</v>
      </c>
      <c r="C199" s="353"/>
      <c r="D199" s="296"/>
      <c r="E199" s="296"/>
      <c r="F199" s="296"/>
      <c r="G199" s="296"/>
      <c r="H199" s="296"/>
      <c r="I199" s="296"/>
      <c r="J199" s="296"/>
      <c r="K199" s="296"/>
      <c r="L199" s="296"/>
      <c r="M199" s="296"/>
      <c r="N199" s="296"/>
      <c r="O199" s="296"/>
      <c r="P199" s="290">
        <v>4.1349999999999998E-2</v>
      </c>
      <c r="Q199" s="268"/>
      <c r="R199" s="268"/>
      <c r="S199" s="271"/>
      <c r="T199" s="259"/>
    </row>
    <row r="200" spans="1:20" s="260" customFormat="1" x14ac:dyDescent="0.3">
      <c r="A200" s="275"/>
      <c r="B200" s="268" t="s">
        <v>161</v>
      </c>
      <c r="C200" s="353"/>
      <c r="D200" s="296"/>
      <c r="E200" s="296"/>
      <c r="F200" s="296"/>
      <c r="G200" s="296"/>
      <c r="H200" s="296"/>
      <c r="I200" s="296"/>
      <c r="J200" s="296"/>
      <c r="K200" s="296"/>
      <c r="L200" s="296"/>
      <c r="M200" s="296"/>
      <c r="N200" s="296"/>
      <c r="O200" s="296"/>
      <c r="P200" s="290">
        <v>1.50706E-2</v>
      </c>
      <c r="Q200" s="268"/>
      <c r="R200" s="268"/>
      <c r="S200" s="271"/>
      <c r="T200" s="259"/>
    </row>
    <row r="201" spans="1:20" s="260" customFormat="1" x14ac:dyDescent="0.3">
      <c r="A201" s="275"/>
      <c r="B201" s="268" t="s">
        <v>57</v>
      </c>
      <c r="C201" s="353"/>
      <c r="D201" s="296"/>
      <c r="E201" s="296"/>
      <c r="F201" s="296"/>
      <c r="G201" s="296"/>
      <c r="H201" s="296"/>
      <c r="I201" s="296"/>
      <c r="J201" s="296"/>
      <c r="K201" s="296"/>
      <c r="L201" s="296"/>
      <c r="M201" s="296"/>
      <c r="N201" s="296"/>
      <c r="O201" s="296"/>
      <c r="P201" s="290">
        <f>P199-P200</f>
        <v>2.6279399999999998E-2</v>
      </c>
      <c r="Q201" s="268"/>
      <c r="R201" s="268"/>
      <c r="S201" s="271"/>
      <c r="T201" s="259"/>
    </row>
    <row r="202" spans="1:20" s="260" customFormat="1" x14ac:dyDescent="0.3">
      <c r="A202" s="275"/>
      <c r="B202" s="268" t="s">
        <v>164</v>
      </c>
      <c r="C202" s="353"/>
      <c r="D202" s="296"/>
      <c r="E202" s="296"/>
      <c r="F202" s="296"/>
      <c r="G202" s="296"/>
      <c r="H202" s="296"/>
      <c r="I202" s="296"/>
      <c r="J202" s="296"/>
      <c r="K202" s="296"/>
      <c r="L202" s="296"/>
      <c r="M202" s="296"/>
      <c r="N202" s="296"/>
      <c r="O202" s="296"/>
      <c r="P202" s="290">
        <v>4.5161899999999998E-2</v>
      </c>
      <c r="Q202" s="268"/>
      <c r="R202" s="268"/>
      <c r="S202" s="271"/>
      <c r="T202" s="259"/>
    </row>
    <row r="203" spans="1:20" s="260" customFormat="1" x14ac:dyDescent="0.3">
      <c r="A203" s="275"/>
      <c r="B203" s="268" t="s">
        <v>58</v>
      </c>
      <c r="C203" s="353"/>
      <c r="D203" s="296"/>
      <c r="E203" s="296"/>
      <c r="F203" s="296"/>
      <c r="G203" s="296"/>
      <c r="H203" s="296"/>
      <c r="I203" s="296"/>
      <c r="J203" s="296"/>
      <c r="K203" s="296"/>
      <c r="L203" s="296"/>
      <c r="M203" s="296"/>
      <c r="N203" s="296"/>
      <c r="O203" s="296"/>
      <c r="P203" s="290">
        <v>4.7989999999999998E-2</v>
      </c>
      <c r="Q203" s="268"/>
      <c r="R203" s="268"/>
      <c r="S203" s="271"/>
      <c r="T203" s="259"/>
    </row>
    <row r="204" spans="1:20" s="260" customFormat="1" x14ac:dyDescent="0.3">
      <c r="A204" s="275"/>
      <c r="B204" s="268" t="s">
        <v>162</v>
      </c>
      <c r="C204" s="353"/>
      <c r="D204" s="296"/>
      <c r="E204" s="296"/>
      <c r="F204" s="296"/>
      <c r="G204" s="296"/>
      <c r="H204" s="296"/>
      <c r="I204" s="296"/>
      <c r="J204" s="296"/>
      <c r="K204" s="296"/>
      <c r="L204" s="296"/>
      <c r="M204" s="296"/>
      <c r="N204" s="296"/>
      <c r="O204" s="296"/>
      <c r="P204" s="290">
        <f>R34</f>
        <v>1.6397561165287594E-2</v>
      </c>
      <c r="Q204" s="268"/>
      <c r="R204" s="268"/>
      <c r="S204" s="271"/>
      <c r="T204" s="259"/>
    </row>
    <row r="205" spans="1:20" s="260" customFormat="1" x14ac:dyDescent="0.3">
      <c r="A205" s="275"/>
      <c r="B205" s="268" t="s">
        <v>59</v>
      </c>
      <c r="C205" s="353"/>
      <c r="D205" s="296"/>
      <c r="E205" s="296"/>
      <c r="F205" s="296"/>
      <c r="G205" s="296"/>
      <c r="H205" s="296"/>
      <c r="I205" s="296"/>
      <c r="J205" s="296"/>
      <c r="K205" s="296"/>
      <c r="L205" s="296"/>
      <c r="M205" s="296"/>
      <c r="N205" s="296"/>
      <c r="O205" s="296"/>
      <c r="P205" s="290">
        <f>P203-P204</f>
        <v>3.1592438834712404E-2</v>
      </c>
      <c r="Q205" s="268"/>
      <c r="R205" s="268"/>
      <c r="S205" s="271"/>
      <c r="T205" s="259"/>
    </row>
    <row r="206" spans="1:20" s="260" customFormat="1" x14ac:dyDescent="0.3">
      <c r="A206" s="275"/>
      <c r="B206" s="268" t="s">
        <v>139</v>
      </c>
      <c r="C206" s="353"/>
      <c r="D206" s="296"/>
      <c r="E206" s="296"/>
      <c r="F206" s="296"/>
      <c r="G206" s="296"/>
      <c r="H206" s="296"/>
      <c r="I206" s="296"/>
      <c r="J206" s="296"/>
      <c r="K206" s="296"/>
      <c r="L206" s="296"/>
      <c r="M206" s="296"/>
      <c r="N206" s="296"/>
      <c r="O206" s="296"/>
      <c r="P206" s="290">
        <f>(+R92+R94)/H72</f>
        <v>1.2915827382042361E-2</v>
      </c>
      <c r="Q206" s="268"/>
      <c r="R206" s="268"/>
      <c r="S206" s="271"/>
      <c r="T206" s="259"/>
    </row>
    <row r="207" spans="1:20" s="260" customFormat="1" x14ac:dyDescent="0.3">
      <c r="A207" s="275"/>
      <c r="B207" s="268" t="s">
        <v>132</v>
      </c>
      <c r="C207" s="353"/>
      <c r="D207" s="296"/>
      <c r="E207" s="296"/>
      <c r="F207" s="296"/>
      <c r="G207" s="296"/>
      <c r="H207" s="296"/>
      <c r="I207" s="296"/>
      <c r="J207" s="296"/>
      <c r="K207" s="296"/>
      <c r="L207" s="296"/>
      <c r="M207" s="296"/>
      <c r="N207" s="296"/>
      <c r="O207" s="296"/>
      <c r="P207" s="354">
        <v>15507</v>
      </c>
      <c r="Q207" s="268"/>
      <c r="R207" s="268"/>
      <c r="S207" s="271"/>
      <c r="T207" s="259"/>
    </row>
    <row r="208" spans="1:20" s="260" customFormat="1" x14ac:dyDescent="0.3">
      <c r="A208" s="275"/>
      <c r="B208" s="268" t="s">
        <v>198</v>
      </c>
      <c r="C208" s="353"/>
      <c r="D208" s="296"/>
      <c r="E208" s="296"/>
      <c r="F208" s="296"/>
      <c r="G208" s="296"/>
      <c r="H208" s="296"/>
      <c r="I208" s="296"/>
      <c r="J208" s="296"/>
      <c r="K208" s="296"/>
      <c r="L208" s="296"/>
      <c r="M208" s="296"/>
      <c r="N208" s="296"/>
      <c r="O208" s="296"/>
      <c r="P208" s="354">
        <v>15507</v>
      </c>
      <c r="Q208" s="268"/>
      <c r="R208" s="268"/>
      <c r="S208" s="271"/>
      <c r="T208" s="259"/>
    </row>
    <row r="209" spans="1:20" s="260" customFormat="1" x14ac:dyDescent="0.3">
      <c r="A209" s="275"/>
      <c r="B209" s="268" t="s">
        <v>199</v>
      </c>
      <c r="C209" s="353"/>
      <c r="D209" s="296"/>
      <c r="E209" s="296"/>
      <c r="F209" s="296"/>
      <c r="G209" s="296"/>
      <c r="H209" s="296"/>
      <c r="I209" s="296"/>
      <c r="J209" s="296"/>
      <c r="K209" s="296"/>
      <c r="L209" s="296"/>
      <c r="M209" s="296"/>
      <c r="N209" s="296"/>
      <c r="O209" s="296"/>
      <c r="P209" s="354">
        <v>15507</v>
      </c>
      <c r="Q209" s="268"/>
      <c r="R209" s="268"/>
      <c r="S209" s="271"/>
      <c r="T209" s="259"/>
    </row>
    <row r="210" spans="1:20" s="260" customFormat="1" x14ac:dyDescent="0.3">
      <c r="A210" s="275"/>
      <c r="B210" s="268" t="s">
        <v>200</v>
      </c>
      <c r="C210" s="353"/>
      <c r="D210" s="296"/>
      <c r="E210" s="296"/>
      <c r="F210" s="296"/>
      <c r="G210" s="296"/>
      <c r="H210" s="296"/>
      <c r="I210" s="296"/>
      <c r="J210" s="296"/>
      <c r="K210" s="296"/>
      <c r="L210" s="296"/>
      <c r="M210" s="296"/>
      <c r="N210" s="296"/>
      <c r="O210" s="296"/>
      <c r="P210" s="354">
        <v>15507</v>
      </c>
      <c r="Q210" s="268"/>
      <c r="R210" s="268"/>
      <c r="S210" s="271"/>
      <c r="T210" s="259"/>
    </row>
    <row r="211" spans="1:20" s="260" customFormat="1" x14ac:dyDescent="0.3">
      <c r="A211" s="275"/>
      <c r="B211" s="268" t="s">
        <v>60</v>
      </c>
      <c r="C211" s="353"/>
      <c r="D211" s="296"/>
      <c r="E211" s="296"/>
      <c r="F211" s="296"/>
      <c r="G211" s="296"/>
      <c r="H211" s="296"/>
      <c r="I211" s="296"/>
      <c r="J211" s="296"/>
      <c r="K211" s="296"/>
      <c r="L211" s="296"/>
      <c r="M211" s="296"/>
      <c r="N211" s="296"/>
      <c r="O211" s="296"/>
      <c r="P211" s="294">
        <v>20.170000000000002</v>
      </c>
      <c r="Q211" s="268" t="s">
        <v>90</v>
      </c>
      <c r="R211" s="268"/>
      <c r="S211" s="271"/>
      <c r="T211" s="259"/>
    </row>
    <row r="212" spans="1:20" s="260" customFormat="1" x14ac:dyDescent="0.3">
      <c r="A212" s="275"/>
      <c r="B212" s="268" t="s">
        <v>61</v>
      </c>
      <c r="C212" s="353"/>
      <c r="D212" s="296"/>
      <c r="E212" s="296"/>
      <c r="F212" s="296"/>
      <c r="G212" s="296"/>
      <c r="H212" s="296"/>
      <c r="I212" s="296"/>
      <c r="J212" s="296"/>
      <c r="K212" s="296"/>
      <c r="L212" s="296"/>
      <c r="M212" s="296"/>
      <c r="N212" s="296"/>
      <c r="O212" s="296"/>
      <c r="P212" s="294">
        <v>16.559999999999999</v>
      </c>
      <c r="Q212" s="268" t="s">
        <v>90</v>
      </c>
      <c r="R212" s="268"/>
      <c r="S212" s="271"/>
      <c r="T212" s="259"/>
    </row>
    <row r="213" spans="1:20" s="260" customFormat="1" x14ac:dyDescent="0.3">
      <c r="A213" s="275"/>
      <c r="B213" s="268" t="s">
        <v>62</v>
      </c>
      <c r="C213" s="353"/>
      <c r="D213" s="296"/>
      <c r="E213" s="296"/>
      <c r="F213" s="296"/>
      <c r="G213" s="296"/>
      <c r="H213" s="296"/>
      <c r="I213" s="296"/>
      <c r="J213" s="296"/>
      <c r="K213" s="296"/>
      <c r="L213" s="296"/>
      <c r="M213" s="296"/>
      <c r="N213" s="296"/>
      <c r="O213" s="296"/>
      <c r="P213" s="290">
        <f>(+J56+L56+P56)/H56</f>
        <v>9.3279619117377768E-2</v>
      </c>
      <c r="Q213" s="268"/>
      <c r="R213" s="268"/>
      <c r="S213" s="271"/>
      <c r="T213" s="259"/>
    </row>
    <row r="214" spans="1:20" s="260" customFormat="1" x14ac:dyDescent="0.3">
      <c r="A214" s="275"/>
      <c r="B214" s="268" t="s">
        <v>63</v>
      </c>
      <c r="C214" s="353"/>
      <c r="D214" s="296"/>
      <c r="E214" s="296"/>
      <c r="F214" s="296"/>
      <c r="G214" s="296"/>
      <c r="H214" s="296"/>
      <c r="I214" s="296"/>
      <c r="J214" s="296"/>
      <c r="K214" s="296"/>
      <c r="L214" s="296"/>
      <c r="M214" s="296"/>
      <c r="N214" s="296"/>
      <c r="O214" s="296"/>
      <c r="P214" s="290">
        <v>0.30470000000000003</v>
      </c>
      <c r="Q214" s="268"/>
      <c r="R214" s="268"/>
      <c r="S214" s="271"/>
      <c r="T214" s="259"/>
    </row>
    <row r="215" spans="1:20" x14ac:dyDescent="0.3">
      <c r="A215" s="349"/>
      <c r="B215" s="355"/>
      <c r="C215" s="355"/>
      <c r="D215" s="315"/>
      <c r="E215" s="315"/>
      <c r="F215" s="315"/>
      <c r="G215" s="315"/>
      <c r="H215" s="315"/>
      <c r="I215" s="315"/>
      <c r="J215" s="315"/>
      <c r="K215" s="315"/>
      <c r="L215" s="315"/>
      <c r="M215" s="315"/>
      <c r="N215" s="315"/>
      <c r="O215" s="315"/>
      <c r="P215" s="331"/>
      <c r="Q215" s="315"/>
      <c r="R215" s="356"/>
      <c r="S215" s="246"/>
      <c r="T215" s="241"/>
    </row>
    <row r="216" spans="1:20" x14ac:dyDescent="0.3">
      <c r="A216" s="445"/>
      <c r="B216" s="434" t="s">
        <v>64</v>
      </c>
      <c r="C216" s="435"/>
      <c r="D216" s="435"/>
      <c r="E216" s="435"/>
      <c r="F216" s="435"/>
      <c r="G216" s="435"/>
      <c r="H216" s="435"/>
      <c r="I216" s="435"/>
      <c r="J216" s="435"/>
      <c r="K216" s="435"/>
      <c r="L216" s="435"/>
      <c r="M216" s="435"/>
      <c r="N216" s="435"/>
      <c r="O216" s="435" t="s">
        <v>83</v>
      </c>
      <c r="P216" s="451" t="s">
        <v>88</v>
      </c>
      <c r="Q216" s="428"/>
      <c r="R216" s="428"/>
      <c r="S216" s="426"/>
      <c r="T216" s="241"/>
    </row>
    <row r="217" spans="1:20" s="260" customFormat="1" x14ac:dyDescent="0.3">
      <c r="A217" s="446"/>
      <c r="B217" s="302" t="s">
        <v>65</v>
      </c>
      <c r="C217" s="327"/>
      <c r="D217" s="447"/>
      <c r="E217" s="447"/>
      <c r="F217" s="447"/>
      <c r="G217" s="447"/>
      <c r="H217" s="447"/>
      <c r="I217" s="447"/>
      <c r="J217" s="447"/>
      <c r="K217" s="447"/>
      <c r="L217" s="447"/>
      <c r="M217" s="447"/>
      <c r="N217" s="447"/>
      <c r="O217" s="447">
        <v>0</v>
      </c>
      <c r="P217" s="448">
        <v>0</v>
      </c>
      <c r="Q217" s="302"/>
      <c r="R217" s="449"/>
      <c r="S217" s="450"/>
      <c r="T217" s="259"/>
    </row>
    <row r="218" spans="1:20" s="260" customFormat="1" x14ac:dyDescent="0.3">
      <c r="A218" s="357"/>
      <c r="B218" s="268" t="s">
        <v>113</v>
      </c>
      <c r="C218" s="313"/>
      <c r="D218" s="276"/>
      <c r="E218" s="276"/>
      <c r="F218" s="276"/>
      <c r="G218" s="276"/>
      <c r="H218" s="276"/>
      <c r="I218" s="276"/>
      <c r="J218" s="276"/>
      <c r="K218" s="276"/>
      <c r="L218" s="276"/>
      <c r="M218" s="276"/>
      <c r="N218" s="276"/>
      <c r="O218" s="358">
        <f>+N270</f>
        <v>2</v>
      </c>
      <c r="P218" s="359">
        <f>+P270</f>
        <v>298</v>
      </c>
      <c r="Q218" s="268"/>
      <c r="R218" s="360"/>
      <c r="S218" s="361"/>
      <c r="T218" s="259"/>
    </row>
    <row r="219" spans="1:20" s="260" customFormat="1" x14ac:dyDescent="0.3">
      <c r="A219" s="357"/>
      <c r="B219" s="268" t="s">
        <v>66</v>
      </c>
      <c r="C219" s="313"/>
      <c r="D219" s="276"/>
      <c r="E219" s="276"/>
      <c r="F219" s="276"/>
      <c r="G219" s="276"/>
      <c r="H219" s="276"/>
      <c r="I219" s="276"/>
      <c r="J219" s="276"/>
      <c r="K219" s="276"/>
      <c r="L219" s="276"/>
      <c r="M219" s="276"/>
      <c r="N219" s="276"/>
      <c r="O219" s="358">
        <f>+N282</f>
        <v>0</v>
      </c>
      <c r="P219" s="359">
        <f>+P282</f>
        <v>0</v>
      </c>
      <c r="Q219" s="268"/>
      <c r="R219" s="360"/>
      <c r="S219" s="361"/>
      <c r="T219" s="259"/>
    </row>
    <row r="220" spans="1:20" x14ac:dyDescent="0.3">
      <c r="A220" s="362"/>
      <c r="B220" s="402" t="s">
        <v>263</v>
      </c>
      <c r="C220" s="363"/>
      <c r="D220" s="288"/>
      <c r="E220" s="288"/>
      <c r="F220" s="288"/>
      <c r="G220" s="288"/>
      <c r="H220" s="288"/>
      <c r="I220" s="288"/>
      <c r="J220" s="288"/>
      <c r="K220" s="288"/>
      <c r="L220" s="288"/>
      <c r="M220" s="288"/>
      <c r="N220" s="288"/>
      <c r="O220" s="323"/>
      <c r="P220" s="359">
        <f>+P56</f>
        <v>2910</v>
      </c>
      <c r="Q220" s="288"/>
      <c r="R220" s="364"/>
      <c r="S220" s="365"/>
      <c r="T220" s="241"/>
    </row>
    <row r="221" spans="1:20" x14ac:dyDescent="0.3">
      <c r="A221" s="362"/>
      <c r="B221" s="402" t="s">
        <v>140</v>
      </c>
      <c r="C221" s="363"/>
      <c r="D221" s="288"/>
      <c r="E221" s="288"/>
      <c r="F221" s="288"/>
      <c r="G221" s="288"/>
      <c r="H221" s="288"/>
      <c r="I221" s="288"/>
      <c r="J221" s="288"/>
      <c r="K221" s="288"/>
      <c r="L221" s="288"/>
      <c r="M221" s="288"/>
      <c r="N221" s="288"/>
      <c r="O221" s="323"/>
      <c r="P221" s="359">
        <f>-J69</f>
        <v>0</v>
      </c>
      <c r="Q221" s="288"/>
      <c r="R221" s="364"/>
      <c r="S221" s="365"/>
      <c r="T221" s="241"/>
    </row>
    <row r="222" spans="1:20" x14ac:dyDescent="0.3">
      <c r="A222" s="366"/>
      <c r="B222" s="402" t="s">
        <v>67</v>
      </c>
      <c r="C222" s="367"/>
      <c r="D222" s="288"/>
      <c r="E222" s="288"/>
      <c r="F222" s="288"/>
      <c r="G222" s="288"/>
      <c r="H222" s="288"/>
      <c r="I222" s="288"/>
      <c r="J222" s="288"/>
      <c r="K222" s="288"/>
      <c r="L222" s="288"/>
      <c r="M222" s="288"/>
      <c r="N222" s="288"/>
      <c r="O222" s="323"/>
      <c r="P222" s="368"/>
      <c r="Q222" s="288"/>
      <c r="R222" s="364"/>
      <c r="S222" s="369"/>
      <c r="T222" s="241"/>
    </row>
    <row r="223" spans="1:20" s="260" customFormat="1" x14ac:dyDescent="0.3">
      <c r="A223" s="370"/>
      <c r="B223" s="268" t="s">
        <v>68</v>
      </c>
      <c r="C223" s="268"/>
      <c r="D223" s="268"/>
      <c r="E223" s="268"/>
      <c r="F223" s="268"/>
      <c r="G223" s="268"/>
      <c r="H223" s="268"/>
      <c r="I223" s="268"/>
      <c r="J223" s="268"/>
      <c r="K223" s="268"/>
      <c r="L223" s="268"/>
      <c r="M223" s="268"/>
      <c r="N223" s="268"/>
      <c r="O223" s="276"/>
      <c r="P223" s="359">
        <f>R153</f>
        <v>0</v>
      </c>
      <c r="Q223" s="268"/>
      <c r="R223" s="360"/>
      <c r="S223" s="371"/>
      <c r="T223" s="259"/>
    </row>
    <row r="224" spans="1:20" s="260" customFormat="1" x14ac:dyDescent="0.3">
      <c r="A224" s="357"/>
      <c r="B224" s="268" t="s">
        <v>69</v>
      </c>
      <c r="C224" s="313"/>
      <c r="D224" s="268"/>
      <c r="E224" s="268"/>
      <c r="F224" s="268"/>
      <c r="G224" s="268"/>
      <c r="H224" s="268"/>
      <c r="I224" s="268"/>
      <c r="J224" s="268"/>
      <c r="K224" s="268"/>
      <c r="L224" s="268"/>
      <c r="M224" s="268"/>
      <c r="N224" s="268"/>
      <c r="O224" s="276"/>
      <c r="P224" s="359">
        <f>'Nov 17'!P224+P223</f>
        <v>0</v>
      </c>
      <c r="Q224" s="268"/>
      <c r="R224" s="360"/>
      <c r="S224" s="371"/>
      <c r="T224" s="259"/>
    </row>
    <row r="225" spans="1:20" x14ac:dyDescent="0.3">
      <c r="A225" s="366"/>
      <c r="B225" s="402" t="s">
        <v>151</v>
      </c>
      <c r="C225" s="367"/>
      <c r="D225" s="288"/>
      <c r="E225" s="288"/>
      <c r="F225" s="288"/>
      <c r="G225" s="288"/>
      <c r="H225" s="288"/>
      <c r="I225" s="288"/>
      <c r="J225" s="288"/>
      <c r="K225" s="288"/>
      <c r="L225" s="288"/>
      <c r="M225" s="288"/>
      <c r="N225" s="288"/>
      <c r="O225" s="372"/>
      <c r="P225" s="368"/>
      <c r="Q225" s="288"/>
      <c r="R225" s="364"/>
      <c r="S225" s="369"/>
      <c r="T225" s="241"/>
    </row>
    <row r="226" spans="1:20" s="260" customFormat="1" x14ac:dyDescent="0.3">
      <c r="A226" s="370"/>
      <c r="B226" s="268" t="s">
        <v>163</v>
      </c>
      <c r="C226" s="268"/>
      <c r="D226" s="268"/>
      <c r="E226" s="268"/>
      <c r="F226" s="268"/>
      <c r="G226" s="268"/>
      <c r="H226" s="268"/>
      <c r="I226" s="268"/>
      <c r="J226" s="268"/>
      <c r="K226" s="268"/>
      <c r="L226" s="268"/>
      <c r="M226" s="268"/>
      <c r="N226" s="268"/>
      <c r="O226" s="276">
        <v>0</v>
      </c>
      <c r="P226" s="359">
        <v>0</v>
      </c>
      <c r="Q226" s="268"/>
      <c r="R226" s="360"/>
      <c r="S226" s="371"/>
      <c r="T226" s="259"/>
    </row>
    <row r="227" spans="1:20" s="260" customFormat="1" x14ac:dyDescent="0.3">
      <c r="A227" s="357"/>
      <c r="B227" s="268" t="s">
        <v>70</v>
      </c>
      <c r="C227" s="293"/>
      <c r="D227" s="268"/>
      <c r="E227" s="268"/>
      <c r="F227" s="268"/>
      <c r="G227" s="268"/>
      <c r="H227" s="268"/>
      <c r="I227" s="268"/>
      <c r="J227" s="268"/>
      <c r="K227" s="268"/>
      <c r="L227" s="268"/>
      <c r="M227" s="268"/>
      <c r="N227" s="268"/>
      <c r="O227" s="268"/>
      <c r="P227" s="373">
        <v>0</v>
      </c>
      <c r="Q227" s="268"/>
      <c r="R227" s="360"/>
      <c r="S227" s="371"/>
      <c r="T227" s="259"/>
    </row>
    <row r="228" spans="1:20" s="260" customFormat="1" x14ac:dyDescent="0.3">
      <c r="A228" s="357"/>
      <c r="B228" s="268" t="s">
        <v>71</v>
      </c>
      <c r="C228" s="293"/>
      <c r="D228" s="268"/>
      <c r="E228" s="268"/>
      <c r="F228" s="268"/>
      <c r="G228" s="268"/>
      <c r="H228" s="268"/>
      <c r="I228" s="268"/>
      <c r="J228" s="268"/>
      <c r="K228" s="268"/>
      <c r="L228" s="268"/>
      <c r="M228" s="268"/>
      <c r="N228" s="268"/>
      <c r="O228" s="268"/>
      <c r="P228" s="373">
        <v>0</v>
      </c>
      <c r="Q228" s="268"/>
      <c r="R228" s="360"/>
      <c r="S228" s="371"/>
      <c r="T228" s="259"/>
    </row>
    <row r="229" spans="1:20" x14ac:dyDescent="0.3">
      <c r="A229" s="362"/>
      <c r="B229" s="402" t="s">
        <v>136</v>
      </c>
      <c r="C229" s="374"/>
      <c r="D229" s="288"/>
      <c r="E229" s="288"/>
      <c r="F229" s="288"/>
      <c r="G229" s="288"/>
      <c r="H229" s="288"/>
      <c r="I229" s="288"/>
      <c r="J229" s="288"/>
      <c r="K229" s="288"/>
      <c r="L229" s="288"/>
      <c r="M229" s="288"/>
      <c r="N229" s="288"/>
      <c r="O229" s="323"/>
      <c r="P229" s="375"/>
      <c r="Q229" s="288"/>
      <c r="R229" s="364"/>
      <c r="S229" s="369"/>
      <c r="T229" s="241"/>
    </row>
    <row r="230" spans="1:20" s="260" customFormat="1" x14ac:dyDescent="0.3">
      <c r="A230" s="357"/>
      <c r="B230" s="268" t="s">
        <v>163</v>
      </c>
      <c r="C230" s="293"/>
      <c r="D230" s="268"/>
      <c r="E230" s="268"/>
      <c r="F230" s="268"/>
      <c r="G230" s="268"/>
      <c r="H230" s="268"/>
      <c r="I230" s="268"/>
      <c r="J230" s="268"/>
      <c r="K230" s="268"/>
      <c r="L230" s="268"/>
      <c r="M230" s="268"/>
      <c r="N230" s="268"/>
      <c r="O230" s="276">
        <v>0</v>
      </c>
      <c r="P230" s="359">
        <v>0</v>
      </c>
      <c r="Q230" s="268"/>
      <c r="R230" s="360"/>
      <c r="S230" s="371"/>
      <c r="T230" s="259"/>
    </row>
    <row r="231" spans="1:20" s="260" customFormat="1" x14ac:dyDescent="0.3">
      <c r="A231" s="357"/>
      <c r="B231" s="268" t="s">
        <v>137</v>
      </c>
      <c r="C231" s="293"/>
      <c r="D231" s="268"/>
      <c r="E231" s="268"/>
      <c r="F231" s="268"/>
      <c r="G231" s="268"/>
      <c r="H231" s="268"/>
      <c r="I231" s="268"/>
      <c r="J231" s="268"/>
      <c r="K231" s="268"/>
      <c r="L231" s="268"/>
      <c r="M231" s="268"/>
      <c r="N231" s="268"/>
      <c r="O231" s="268"/>
      <c r="P231" s="373">
        <v>0</v>
      </c>
      <c r="Q231" s="268"/>
      <c r="R231" s="360"/>
      <c r="S231" s="371"/>
      <c r="T231" s="259"/>
    </row>
    <row r="232" spans="1:20" x14ac:dyDescent="0.3">
      <c r="A232" s="362"/>
      <c r="B232" s="367"/>
      <c r="C232" s="374"/>
      <c r="D232" s="288"/>
      <c r="E232" s="288"/>
      <c r="F232" s="288"/>
      <c r="G232" s="288"/>
      <c r="H232" s="288"/>
      <c r="I232" s="288"/>
      <c r="J232" s="288"/>
      <c r="K232" s="288"/>
      <c r="L232" s="288"/>
      <c r="M232" s="288"/>
      <c r="N232" s="288"/>
      <c r="O232" s="323"/>
      <c r="P232" s="375"/>
      <c r="Q232" s="288"/>
      <c r="R232" s="364"/>
      <c r="S232" s="369"/>
      <c r="T232" s="241"/>
    </row>
    <row r="233" spans="1:20" x14ac:dyDescent="0.3">
      <c r="A233" s="362"/>
      <c r="B233" s="367"/>
      <c r="C233" s="374"/>
      <c r="D233" s="288"/>
      <c r="E233" s="288"/>
      <c r="F233" s="288"/>
      <c r="G233" s="288"/>
      <c r="H233" s="288"/>
      <c r="I233" s="288"/>
      <c r="J233" s="288"/>
      <c r="K233" s="288"/>
      <c r="L233" s="288"/>
      <c r="M233" s="288"/>
      <c r="N233" s="288"/>
      <c r="O233" s="288"/>
      <c r="P233" s="376"/>
      <c r="Q233" s="288"/>
      <c r="R233" s="364"/>
      <c r="S233" s="369"/>
      <c r="T233" s="241"/>
    </row>
    <row r="234" spans="1:20" ht="18" x14ac:dyDescent="0.35">
      <c r="A234" s="362"/>
      <c r="B234" s="423" t="s">
        <v>129</v>
      </c>
      <c r="C234" s="374"/>
      <c r="D234" s="288"/>
      <c r="E234" s="288"/>
      <c r="F234" s="288"/>
      <c r="G234" s="288"/>
      <c r="H234" s="288"/>
      <c r="I234" s="288"/>
      <c r="J234" s="288"/>
      <c r="K234" s="288"/>
      <c r="L234" s="377"/>
      <c r="M234" s="288"/>
      <c r="N234" s="459" t="s">
        <v>271</v>
      </c>
      <c r="O234" s="377"/>
      <c r="P234" s="376"/>
      <c r="Q234" s="288"/>
      <c r="R234" s="364"/>
      <c r="S234" s="369"/>
      <c r="T234" s="241"/>
    </row>
    <row r="235" spans="1:20" ht="18" x14ac:dyDescent="0.35">
      <c r="A235" s="378"/>
      <c r="B235" s="379"/>
      <c r="C235" s="380"/>
      <c r="D235" s="315"/>
      <c r="E235" s="315"/>
      <c r="F235" s="315"/>
      <c r="G235" s="315"/>
      <c r="H235" s="315"/>
      <c r="I235" s="315"/>
      <c r="J235" s="315"/>
      <c r="K235" s="315"/>
      <c r="L235" s="381"/>
      <c r="M235" s="315"/>
      <c r="N235" s="315"/>
      <c r="O235" s="315"/>
      <c r="P235" s="382"/>
      <c r="Q235" s="315"/>
      <c r="R235" s="356"/>
      <c r="S235" s="383"/>
      <c r="T235" s="241"/>
    </row>
    <row r="236" spans="1:20" x14ac:dyDescent="0.3">
      <c r="A236" s="424"/>
      <c r="B236" s="434" t="s">
        <v>153</v>
      </c>
      <c r="C236" s="435"/>
      <c r="D236" s="435"/>
      <c r="E236" s="435"/>
      <c r="F236" s="435"/>
      <c r="G236" s="435"/>
      <c r="H236" s="435"/>
      <c r="I236" s="435"/>
      <c r="J236" s="435"/>
      <c r="K236" s="435"/>
      <c r="L236" s="435"/>
      <c r="M236" s="435"/>
      <c r="N236" s="451" t="s">
        <v>83</v>
      </c>
      <c r="O236" s="435" t="s">
        <v>84</v>
      </c>
      <c r="P236" s="451" t="s">
        <v>89</v>
      </c>
      <c r="Q236" s="435" t="s">
        <v>84</v>
      </c>
      <c r="R236" s="428"/>
      <c r="S236" s="452"/>
      <c r="T236" s="241"/>
    </row>
    <row r="237" spans="1:20" s="260" customFormat="1" x14ac:dyDescent="0.3">
      <c r="A237" s="255"/>
      <c r="B237" s="327" t="s">
        <v>72</v>
      </c>
      <c r="C237" s="453"/>
      <c r="D237" s="453"/>
      <c r="E237" s="453"/>
      <c r="F237" s="453"/>
      <c r="G237" s="453"/>
      <c r="H237" s="453"/>
      <c r="I237" s="453"/>
      <c r="J237" s="453"/>
      <c r="K237" s="453"/>
      <c r="L237" s="453"/>
      <c r="M237" s="453"/>
      <c r="N237" s="327">
        <f t="shared" ref="N237:N244" si="1">+N249+N261+N273</f>
        <v>508</v>
      </c>
      <c r="O237" s="454">
        <f>N237/$N$246</f>
        <v>0.99803536345776034</v>
      </c>
      <c r="P237" s="433">
        <f t="shared" ref="P237:P244" si="2">+P249+P261+P273</f>
        <v>74078</v>
      </c>
      <c r="Q237" s="454">
        <f t="shared" ref="Q237:Q244" si="3">P237/$P$246</f>
        <v>0.99736112233082908</v>
      </c>
      <c r="R237" s="449"/>
      <c r="S237" s="455"/>
      <c r="T237" s="259"/>
    </row>
    <row r="238" spans="1:20" s="260" customFormat="1" x14ac:dyDescent="0.3">
      <c r="A238" s="275"/>
      <c r="B238" s="313" t="s">
        <v>73</v>
      </c>
      <c r="C238" s="384"/>
      <c r="D238" s="384"/>
      <c r="E238" s="384"/>
      <c r="F238" s="384"/>
      <c r="G238" s="384"/>
      <c r="H238" s="384"/>
      <c r="I238" s="384"/>
      <c r="J238" s="384"/>
      <c r="K238" s="384"/>
      <c r="L238" s="384"/>
      <c r="M238" s="384"/>
      <c r="N238" s="313">
        <f t="shared" si="1"/>
        <v>0</v>
      </c>
      <c r="O238" s="385">
        <f>N238/$N$246</f>
        <v>0</v>
      </c>
      <c r="P238" s="314">
        <f t="shared" si="2"/>
        <v>0</v>
      </c>
      <c r="Q238" s="385">
        <f t="shared" si="3"/>
        <v>0</v>
      </c>
      <c r="R238" s="360"/>
      <c r="S238" s="371"/>
      <c r="T238" s="259"/>
    </row>
    <row r="239" spans="1:20" s="260" customFormat="1" x14ac:dyDescent="0.3">
      <c r="A239" s="275"/>
      <c r="B239" s="313" t="s">
        <v>74</v>
      </c>
      <c r="C239" s="384"/>
      <c r="D239" s="384"/>
      <c r="E239" s="384"/>
      <c r="F239" s="384"/>
      <c r="G239" s="384"/>
      <c r="H239" s="384"/>
      <c r="I239" s="384"/>
      <c r="J239" s="384"/>
      <c r="K239" s="384"/>
      <c r="L239" s="384"/>
      <c r="M239" s="384"/>
      <c r="N239" s="313">
        <f t="shared" si="1"/>
        <v>0</v>
      </c>
      <c r="O239" s="385">
        <f t="shared" ref="O239:O244" si="4">N239/$N$246</f>
        <v>0</v>
      </c>
      <c r="P239" s="314">
        <f t="shared" si="2"/>
        <v>0</v>
      </c>
      <c r="Q239" s="385">
        <f t="shared" si="3"/>
        <v>0</v>
      </c>
      <c r="R239" s="360"/>
      <c r="S239" s="371"/>
      <c r="T239" s="259"/>
    </row>
    <row r="240" spans="1:20" s="260" customFormat="1" x14ac:dyDescent="0.3">
      <c r="A240" s="275"/>
      <c r="B240" s="313" t="s">
        <v>119</v>
      </c>
      <c r="C240" s="384"/>
      <c r="D240" s="384"/>
      <c r="E240" s="384"/>
      <c r="F240" s="384"/>
      <c r="G240" s="384"/>
      <c r="H240" s="384"/>
      <c r="I240" s="384"/>
      <c r="J240" s="384"/>
      <c r="K240" s="384"/>
      <c r="L240" s="384"/>
      <c r="M240" s="384"/>
      <c r="N240" s="313">
        <f t="shared" si="1"/>
        <v>0</v>
      </c>
      <c r="O240" s="385">
        <f t="shared" si="4"/>
        <v>0</v>
      </c>
      <c r="P240" s="314">
        <f t="shared" si="2"/>
        <v>0</v>
      </c>
      <c r="Q240" s="385">
        <f t="shared" si="3"/>
        <v>0</v>
      </c>
      <c r="R240" s="360"/>
      <c r="S240" s="371"/>
      <c r="T240" s="259"/>
    </row>
    <row r="241" spans="1:21" s="260" customFormat="1" x14ac:dyDescent="0.3">
      <c r="A241" s="275"/>
      <c r="B241" s="313" t="s">
        <v>120</v>
      </c>
      <c r="C241" s="384"/>
      <c r="D241" s="384"/>
      <c r="E241" s="384"/>
      <c r="F241" s="384"/>
      <c r="G241" s="384"/>
      <c r="H241" s="384"/>
      <c r="I241" s="384"/>
      <c r="J241" s="384"/>
      <c r="K241" s="384"/>
      <c r="L241" s="384"/>
      <c r="M241" s="384"/>
      <c r="N241" s="313">
        <f t="shared" si="1"/>
        <v>0</v>
      </c>
      <c r="O241" s="385">
        <f t="shared" si="4"/>
        <v>0</v>
      </c>
      <c r="P241" s="314">
        <f t="shared" si="2"/>
        <v>0</v>
      </c>
      <c r="Q241" s="385">
        <f t="shared" si="3"/>
        <v>0</v>
      </c>
      <c r="R241" s="360"/>
      <c r="S241" s="371"/>
      <c r="T241" s="259"/>
    </row>
    <row r="242" spans="1:21" s="260" customFormat="1" x14ac:dyDescent="0.3">
      <c r="A242" s="275"/>
      <c r="B242" s="313" t="s">
        <v>121</v>
      </c>
      <c r="C242" s="384"/>
      <c r="D242" s="384"/>
      <c r="E242" s="384"/>
      <c r="F242" s="384"/>
      <c r="G242" s="384"/>
      <c r="H242" s="384"/>
      <c r="I242" s="384"/>
      <c r="J242" s="384"/>
      <c r="K242" s="384"/>
      <c r="L242" s="384"/>
      <c r="M242" s="384"/>
      <c r="N242" s="313">
        <f t="shared" si="1"/>
        <v>0</v>
      </c>
      <c r="O242" s="385">
        <f t="shared" si="4"/>
        <v>0</v>
      </c>
      <c r="P242" s="314">
        <f t="shared" si="2"/>
        <v>0</v>
      </c>
      <c r="Q242" s="385">
        <f t="shared" si="3"/>
        <v>0</v>
      </c>
      <c r="R242" s="360"/>
      <c r="S242" s="371"/>
      <c r="T242" s="259"/>
    </row>
    <row r="243" spans="1:21" s="260" customFormat="1" x14ac:dyDescent="0.3">
      <c r="A243" s="275"/>
      <c r="B243" s="313" t="s">
        <v>122</v>
      </c>
      <c r="C243" s="384"/>
      <c r="D243" s="384"/>
      <c r="E243" s="384"/>
      <c r="F243" s="384"/>
      <c r="G243" s="384"/>
      <c r="H243" s="384"/>
      <c r="I243" s="384"/>
      <c r="J243" s="384"/>
      <c r="K243" s="384"/>
      <c r="L243" s="384"/>
      <c r="M243" s="384"/>
      <c r="N243" s="313">
        <f t="shared" si="1"/>
        <v>1</v>
      </c>
      <c r="O243" s="385">
        <f t="shared" si="4"/>
        <v>1.9646365422396855E-3</v>
      </c>
      <c r="P243" s="314">
        <f t="shared" si="2"/>
        <v>196</v>
      </c>
      <c r="Q243" s="385">
        <f t="shared" si="3"/>
        <v>2.6388776691709079E-3</v>
      </c>
      <c r="R243" s="360"/>
      <c r="S243" s="371"/>
      <c r="T243" s="259"/>
    </row>
    <row r="244" spans="1:21" s="260" customFormat="1" x14ac:dyDescent="0.3">
      <c r="A244" s="275"/>
      <c r="B244" s="313" t="s">
        <v>123</v>
      </c>
      <c r="C244" s="384"/>
      <c r="D244" s="384"/>
      <c r="E244" s="384"/>
      <c r="F244" s="384"/>
      <c r="G244" s="384"/>
      <c r="H244" s="384"/>
      <c r="I244" s="384"/>
      <c r="J244" s="384"/>
      <c r="K244" s="384"/>
      <c r="L244" s="384"/>
      <c r="M244" s="384"/>
      <c r="N244" s="313">
        <f t="shared" si="1"/>
        <v>0</v>
      </c>
      <c r="O244" s="385">
        <f t="shared" si="4"/>
        <v>0</v>
      </c>
      <c r="P244" s="314">
        <f t="shared" si="2"/>
        <v>0</v>
      </c>
      <c r="Q244" s="385">
        <f t="shared" si="3"/>
        <v>0</v>
      </c>
      <c r="R244" s="360"/>
      <c r="S244" s="371"/>
      <c r="T244" s="259"/>
    </row>
    <row r="245" spans="1:21" s="260" customFormat="1" x14ac:dyDescent="0.3">
      <c r="A245" s="275"/>
      <c r="B245" s="313"/>
      <c r="C245" s="384"/>
      <c r="D245" s="384"/>
      <c r="E245" s="384"/>
      <c r="F245" s="384"/>
      <c r="G245" s="384"/>
      <c r="H245" s="384"/>
      <c r="I245" s="384"/>
      <c r="J245" s="384"/>
      <c r="K245" s="384"/>
      <c r="L245" s="384"/>
      <c r="M245" s="384"/>
      <c r="N245" s="313"/>
      <c r="O245" s="385"/>
      <c r="P245" s="314"/>
      <c r="Q245" s="385"/>
      <c r="R245" s="360"/>
      <c r="S245" s="371"/>
      <c r="T245" s="259"/>
    </row>
    <row r="246" spans="1:21" s="260" customFormat="1" x14ac:dyDescent="0.3">
      <c r="A246" s="275"/>
      <c r="B246" s="268" t="s">
        <v>94</v>
      </c>
      <c r="C246" s="268"/>
      <c r="D246" s="386"/>
      <c r="E246" s="386"/>
      <c r="F246" s="386"/>
      <c r="G246" s="386"/>
      <c r="H246" s="386"/>
      <c r="I246" s="386"/>
      <c r="J246" s="386"/>
      <c r="K246" s="386"/>
      <c r="L246" s="386"/>
      <c r="M246" s="386"/>
      <c r="N246" s="313">
        <f>SUM(N237:N245)</f>
        <v>509</v>
      </c>
      <c r="O246" s="385">
        <f>SUM(O237:O245)</f>
        <v>1</v>
      </c>
      <c r="P246" s="314">
        <f>SUM(P237:P245)</f>
        <v>74274</v>
      </c>
      <c r="Q246" s="385">
        <f>SUM(Q237:Q245)</f>
        <v>1</v>
      </c>
      <c r="R246" s="268"/>
      <c r="S246" s="271"/>
      <c r="T246" s="259"/>
    </row>
    <row r="247" spans="1:21" x14ac:dyDescent="0.3">
      <c r="A247" s="243"/>
      <c r="B247" s="355"/>
      <c r="C247" s="380"/>
      <c r="D247" s="315"/>
      <c r="E247" s="315"/>
      <c r="F247" s="315"/>
      <c r="G247" s="315"/>
      <c r="H247" s="315"/>
      <c r="I247" s="315"/>
      <c r="J247" s="315"/>
      <c r="K247" s="315"/>
      <c r="L247" s="315"/>
      <c r="M247" s="315"/>
      <c r="N247" s="315"/>
      <c r="O247" s="315"/>
      <c r="P247" s="382"/>
      <c r="Q247" s="315"/>
      <c r="R247" s="315"/>
      <c r="S247" s="246"/>
      <c r="T247" s="241"/>
    </row>
    <row r="248" spans="1:21" x14ac:dyDescent="0.3">
      <c r="A248" s="424"/>
      <c r="B248" s="434" t="s">
        <v>124</v>
      </c>
      <c r="C248" s="435"/>
      <c r="D248" s="435"/>
      <c r="E248" s="435"/>
      <c r="F248" s="435"/>
      <c r="G248" s="435"/>
      <c r="H248" s="435"/>
      <c r="I248" s="435"/>
      <c r="J248" s="435"/>
      <c r="K248" s="435"/>
      <c r="L248" s="435"/>
      <c r="M248" s="435"/>
      <c r="N248" s="451" t="s">
        <v>83</v>
      </c>
      <c r="O248" s="435" t="s">
        <v>84</v>
      </c>
      <c r="P248" s="451" t="s">
        <v>89</v>
      </c>
      <c r="Q248" s="435" t="s">
        <v>84</v>
      </c>
      <c r="R248" s="428"/>
      <c r="S248" s="452"/>
      <c r="T248" s="241"/>
    </row>
    <row r="249" spans="1:21" s="260" customFormat="1" x14ac:dyDescent="0.3">
      <c r="A249" s="255"/>
      <c r="B249" s="327" t="s">
        <v>72</v>
      </c>
      <c r="C249" s="453"/>
      <c r="D249" s="453"/>
      <c r="E249" s="453"/>
      <c r="F249" s="453"/>
      <c r="G249" s="453"/>
      <c r="H249" s="453"/>
      <c r="I249" s="453"/>
      <c r="J249" s="453"/>
      <c r="K249" s="453"/>
      <c r="L249" s="453"/>
      <c r="M249" s="453"/>
      <c r="N249" s="327">
        <v>507</v>
      </c>
      <c r="O249" s="454">
        <f>N249/$N$258</f>
        <v>1</v>
      </c>
      <c r="P249" s="433">
        <v>73976</v>
      </c>
      <c r="Q249" s="454">
        <f t="shared" ref="Q249:Q256" si="5">P249/$P$258</f>
        <v>1</v>
      </c>
      <c r="R249" s="449"/>
      <c r="S249" s="455"/>
      <c r="T249" s="259"/>
    </row>
    <row r="250" spans="1:21" s="260" customFormat="1" x14ac:dyDescent="0.3">
      <c r="A250" s="275"/>
      <c r="B250" s="313" t="s">
        <v>73</v>
      </c>
      <c r="C250" s="384"/>
      <c r="D250" s="384"/>
      <c r="E250" s="384"/>
      <c r="F250" s="384"/>
      <c r="G250" s="384"/>
      <c r="H250" s="384"/>
      <c r="I250" s="384"/>
      <c r="J250" s="384"/>
      <c r="K250" s="384"/>
      <c r="L250" s="384"/>
      <c r="M250" s="384"/>
      <c r="N250" s="313">
        <v>0</v>
      </c>
      <c r="O250" s="385">
        <f t="shared" ref="O250:O256" si="6">N250/$N$258</f>
        <v>0</v>
      </c>
      <c r="P250" s="314">
        <v>0</v>
      </c>
      <c r="Q250" s="385">
        <f t="shared" si="5"/>
        <v>0</v>
      </c>
      <c r="R250" s="360"/>
      <c r="S250" s="371"/>
      <c r="T250" s="259"/>
      <c r="U250" s="325"/>
    </row>
    <row r="251" spans="1:21" s="260" customFormat="1" x14ac:dyDescent="0.3">
      <c r="A251" s="275"/>
      <c r="B251" s="313" t="s">
        <v>74</v>
      </c>
      <c r="C251" s="384"/>
      <c r="D251" s="384"/>
      <c r="E251" s="384"/>
      <c r="F251" s="384"/>
      <c r="G251" s="384"/>
      <c r="H251" s="384"/>
      <c r="I251" s="384"/>
      <c r="J251" s="384"/>
      <c r="K251" s="384"/>
      <c r="L251" s="384"/>
      <c r="M251" s="384"/>
      <c r="N251" s="313">
        <v>0</v>
      </c>
      <c r="O251" s="385">
        <f t="shared" si="6"/>
        <v>0</v>
      </c>
      <c r="P251" s="314">
        <v>0</v>
      </c>
      <c r="Q251" s="385">
        <f t="shared" si="5"/>
        <v>0</v>
      </c>
      <c r="R251" s="360"/>
      <c r="S251" s="371"/>
      <c r="T251" s="259"/>
    </row>
    <row r="252" spans="1:21" s="260" customFormat="1" x14ac:dyDescent="0.3">
      <c r="A252" s="275"/>
      <c r="B252" s="313" t="s">
        <v>119</v>
      </c>
      <c r="C252" s="384"/>
      <c r="D252" s="384"/>
      <c r="E252" s="384"/>
      <c r="F252" s="384"/>
      <c r="G252" s="384"/>
      <c r="H252" s="384"/>
      <c r="I252" s="384"/>
      <c r="J252" s="384"/>
      <c r="K252" s="384"/>
      <c r="L252" s="384"/>
      <c r="M252" s="384"/>
      <c r="N252" s="313">
        <v>0</v>
      </c>
      <c r="O252" s="385">
        <f t="shared" si="6"/>
        <v>0</v>
      </c>
      <c r="P252" s="314">
        <v>0</v>
      </c>
      <c r="Q252" s="385">
        <f t="shared" si="5"/>
        <v>0</v>
      </c>
      <c r="R252" s="360"/>
      <c r="S252" s="371"/>
      <c r="T252" s="259"/>
      <c r="U252" s="325"/>
    </row>
    <row r="253" spans="1:21" s="260" customFormat="1" x14ac:dyDescent="0.3">
      <c r="A253" s="275"/>
      <c r="B253" s="313" t="s">
        <v>120</v>
      </c>
      <c r="C253" s="384"/>
      <c r="D253" s="384"/>
      <c r="E253" s="384"/>
      <c r="F253" s="384"/>
      <c r="G253" s="384"/>
      <c r="H253" s="384"/>
      <c r="I253" s="384"/>
      <c r="J253" s="384"/>
      <c r="K253" s="384"/>
      <c r="L253" s="384"/>
      <c r="M253" s="384"/>
      <c r="N253" s="313">
        <v>0</v>
      </c>
      <c r="O253" s="385">
        <f t="shared" si="6"/>
        <v>0</v>
      </c>
      <c r="P253" s="314">
        <v>0</v>
      </c>
      <c r="Q253" s="385">
        <f t="shared" si="5"/>
        <v>0</v>
      </c>
      <c r="R253" s="360"/>
      <c r="S253" s="371"/>
      <c r="T253" s="259"/>
    </row>
    <row r="254" spans="1:21" s="260" customFormat="1" x14ac:dyDescent="0.3">
      <c r="A254" s="275"/>
      <c r="B254" s="313" t="s">
        <v>121</v>
      </c>
      <c r="C254" s="384"/>
      <c r="D254" s="384"/>
      <c r="E254" s="384"/>
      <c r="F254" s="384"/>
      <c r="G254" s="384"/>
      <c r="H254" s="384"/>
      <c r="I254" s="384"/>
      <c r="J254" s="384"/>
      <c r="K254" s="384"/>
      <c r="L254" s="384"/>
      <c r="M254" s="384"/>
      <c r="N254" s="313">
        <v>0</v>
      </c>
      <c r="O254" s="385">
        <f t="shared" si="6"/>
        <v>0</v>
      </c>
      <c r="P254" s="314">
        <v>0</v>
      </c>
      <c r="Q254" s="385">
        <f t="shared" si="5"/>
        <v>0</v>
      </c>
      <c r="R254" s="360"/>
      <c r="S254" s="371"/>
      <c r="T254" s="259"/>
      <c r="U254" s="325"/>
    </row>
    <row r="255" spans="1:21" s="260" customFormat="1" x14ac:dyDescent="0.3">
      <c r="A255" s="275"/>
      <c r="B255" s="313" t="s">
        <v>122</v>
      </c>
      <c r="C255" s="384"/>
      <c r="D255" s="384"/>
      <c r="E255" s="384"/>
      <c r="F255" s="384"/>
      <c r="G255" s="384"/>
      <c r="H255" s="384"/>
      <c r="I255" s="384"/>
      <c r="J255" s="384"/>
      <c r="K255" s="384"/>
      <c r="L255" s="384"/>
      <c r="M255" s="384"/>
      <c r="N255" s="313">
        <v>0</v>
      </c>
      <c r="O255" s="385">
        <f t="shared" si="6"/>
        <v>0</v>
      </c>
      <c r="P255" s="314">
        <v>0</v>
      </c>
      <c r="Q255" s="385">
        <f t="shared" si="5"/>
        <v>0</v>
      </c>
      <c r="R255" s="360"/>
      <c r="S255" s="371"/>
      <c r="T255" s="259"/>
    </row>
    <row r="256" spans="1:21" s="260" customFormat="1" x14ac:dyDescent="0.3">
      <c r="A256" s="275"/>
      <c r="B256" s="313" t="s">
        <v>123</v>
      </c>
      <c r="C256" s="384"/>
      <c r="D256" s="384"/>
      <c r="E256" s="384"/>
      <c r="F256" s="384"/>
      <c r="G256" s="384"/>
      <c r="H256" s="384"/>
      <c r="I256" s="384"/>
      <c r="J256" s="384"/>
      <c r="K256" s="384"/>
      <c r="L256" s="384"/>
      <c r="M256" s="384"/>
      <c r="N256" s="313">
        <v>0</v>
      </c>
      <c r="O256" s="385">
        <f t="shared" si="6"/>
        <v>0</v>
      </c>
      <c r="P256" s="314">
        <v>0</v>
      </c>
      <c r="Q256" s="385">
        <f t="shared" si="5"/>
        <v>0</v>
      </c>
      <c r="R256" s="360"/>
      <c r="S256" s="371"/>
      <c r="T256" s="259"/>
      <c r="U256" s="325"/>
    </row>
    <row r="257" spans="1:20" s="260" customFormat="1" x14ac:dyDescent="0.3">
      <c r="A257" s="275"/>
      <c r="B257" s="313"/>
      <c r="C257" s="384"/>
      <c r="D257" s="384"/>
      <c r="E257" s="384"/>
      <c r="F257" s="384"/>
      <c r="G257" s="384"/>
      <c r="H257" s="384"/>
      <c r="I257" s="384"/>
      <c r="J257" s="384"/>
      <c r="K257" s="384"/>
      <c r="L257" s="384"/>
      <c r="M257" s="384"/>
      <c r="N257" s="313"/>
      <c r="O257" s="385"/>
      <c r="P257" s="314"/>
      <c r="Q257" s="385"/>
      <c r="R257" s="360"/>
      <c r="S257" s="371"/>
      <c r="T257" s="259"/>
    </row>
    <row r="258" spans="1:20" s="260" customFormat="1" x14ac:dyDescent="0.3">
      <c r="A258" s="275"/>
      <c r="B258" s="268" t="s">
        <v>94</v>
      </c>
      <c r="C258" s="268"/>
      <c r="D258" s="386"/>
      <c r="E258" s="386"/>
      <c r="F258" s="386"/>
      <c r="G258" s="386"/>
      <c r="H258" s="386"/>
      <c r="I258" s="386"/>
      <c r="J258" s="386"/>
      <c r="K258" s="386"/>
      <c r="L258" s="386"/>
      <c r="M258" s="386"/>
      <c r="N258" s="313">
        <f>SUM(N249:N257)</f>
        <v>507</v>
      </c>
      <c r="O258" s="385">
        <f>SUM(O249:O257)</f>
        <v>1</v>
      </c>
      <c r="P258" s="314">
        <f>SUM(P249:P257)</f>
        <v>73976</v>
      </c>
      <c r="Q258" s="385">
        <f>SUM(Q249:Q257)</f>
        <v>1</v>
      </c>
      <c r="R258" s="268"/>
      <c r="S258" s="271"/>
      <c r="T258" s="259"/>
    </row>
    <row r="259" spans="1:20" x14ac:dyDescent="0.3">
      <c r="A259" s="243"/>
      <c r="B259" s="315"/>
      <c r="C259" s="315"/>
      <c r="D259" s="387"/>
      <c r="E259" s="387"/>
      <c r="F259" s="387"/>
      <c r="G259" s="387"/>
      <c r="H259" s="387"/>
      <c r="I259" s="387"/>
      <c r="J259" s="387"/>
      <c r="K259" s="387"/>
      <c r="L259" s="387"/>
      <c r="M259" s="387"/>
      <c r="N259" s="316"/>
      <c r="O259" s="388"/>
      <c r="P259" s="389"/>
      <c r="Q259" s="388"/>
      <c r="R259" s="315"/>
      <c r="S259" s="246"/>
      <c r="T259" s="241"/>
    </row>
    <row r="260" spans="1:20" x14ac:dyDescent="0.3">
      <c r="A260" s="424"/>
      <c r="B260" s="434" t="s">
        <v>146</v>
      </c>
      <c r="C260" s="435"/>
      <c r="D260" s="435"/>
      <c r="E260" s="435"/>
      <c r="F260" s="435"/>
      <c r="G260" s="435"/>
      <c r="H260" s="435"/>
      <c r="I260" s="435"/>
      <c r="J260" s="435"/>
      <c r="K260" s="435"/>
      <c r="L260" s="435"/>
      <c r="M260" s="435"/>
      <c r="N260" s="451" t="s">
        <v>83</v>
      </c>
      <c r="O260" s="435" t="s">
        <v>84</v>
      </c>
      <c r="P260" s="451" t="s">
        <v>89</v>
      </c>
      <c r="Q260" s="435" t="s">
        <v>84</v>
      </c>
      <c r="R260" s="428"/>
      <c r="S260" s="426"/>
      <c r="T260" s="241"/>
    </row>
    <row r="261" spans="1:20" s="260" customFormat="1" x14ac:dyDescent="0.3">
      <c r="A261" s="255"/>
      <c r="B261" s="327" t="s">
        <v>72</v>
      </c>
      <c r="C261" s="453"/>
      <c r="D261" s="453"/>
      <c r="E261" s="453"/>
      <c r="F261" s="453"/>
      <c r="G261" s="453"/>
      <c r="H261" s="453"/>
      <c r="I261" s="453"/>
      <c r="J261" s="453"/>
      <c r="K261" s="453"/>
      <c r="L261" s="453"/>
      <c r="M261" s="453"/>
      <c r="N261" s="327">
        <v>1</v>
      </c>
      <c r="O261" s="454">
        <f>+N261/$N$270</f>
        <v>0.5</v>
      </c>
      <c r="P261" s="433">
        <v>102</v>
      </c>
      <c r="Q261" s="463">
        <f>+P261/$P$270</f>
        <v>0.34228187919463088</v>
      </c>
      <c r="R261" s="302"/>
      <c r="S261" s="258"/>
      <c r="T261" s="259"/>
    </row>
    <row r="262" spans="1:20" s="260" customFormat="1" x14ac:dyDescent="0.3">
      <c r="A262" s="275"/>
      <c r="B262" s="313" t="s">
        <v>73</v>
      </c>
      <c r="C262" s="384"/>
      <c r="D262" s="384"/>
      <c r="E262" s="384"/>
      <c r="F262" s="384"/>
      <c r="G262" s="384"/>
      <c r="H262" s="384"/>
      <c r="I262" s="384"/>
      <c r="J262" s="384"/>
      <c r="K262" s="384"/>
      <c r="L262" s="384"/>
      <c r="M262" s="384"/>
      <c r="N262" s="313">
        <v>0</v>
      </c>
      <c r="O262" s="462">
        <f t="shared" ref="O262:O268" si="7">+N262/$N$270</f>
        <v>0</v>
      </c>
      <c r="P262" s="314">
        <v>0</v>
      </c>
      <c r="Q262" s="385">
        <f t="shared" ref="Q262:Q268" si="8">+P262/$P$270</f>
        <v>0</v>
      </c>
      <c r="R262" s="268"/>
      <c r="S262" s="271"/>
      <c r="T262" s="259"/>
    </row>
    <row r="263" spans="1:20" s="260" customFormat="1" x14ac:dyDescent="0.3">
      <c r="A263" s="275"/>
      <c r="B263" s="313" t="s">
        <v>74</v>
      </c>
      <c r="C263" s="384"/>
      <c r="D263" s="384"/>
      <c r="E263" s="384"/>
      <c r="F263" s="384"/>
      <c r="G263" s="384"/>
      <c r="H263" s="384"/>
      <c r="I263" s="384"/>
      <c r="J263" s="384"/>
      <c r="K263" s="384"/>
      <c r="L263" s="384"/>
      <c r="M263" s="384"/>
      <c r="N263" s="313">
        <v>0</v>
      </c>
      <c r="O263" s="460">
        <f t="shared" si="7"/>
        <v>0</v>
      </c>
      <c r="P263" s="314">
        <v>0</v>
      </c>
      <c r="Q263" s="385">
        <f t="shared" si="8"/>
        <v>0</v>
      </c>
      <c r="R263" s="268"/>
      <c r="S263" s="271"/>
      <c r="T263" s="259"/>
    </row>
    <row r="264" spans="1:20" s="260" customFormat="1" x14ac:dyDescent="0.3">
      <c r="A264" s="275"/>
      <c r="B264" s="313" t="s">
        <v>119</v>
      </c>
      <c r="C264" s="384"/>
      <c r="D264" s="384"/>
      <c r="E264" s="384"/>
      <c r="F264" s="384"/>
      <c r="G264" s="384"/>
      <c r="H264" s="384"/>
      <c r="I264" s="384"/>
      <c r="J264" s="384"/>
      <c r="K264" s="384"/>
      <c r="L264" s="384"/>
      <c r="M264" s="384"/>
      <c r="N264" s="313">
        <v>0</v>
      </c>
      <c r="O264" s="460">
        <f t="shared" si="7"/>
        <v>0</v>
      </c>
      <c r="P264" s="314">
        <v>0</v>
      </c>
      <c r="Q264" s="385">
        <f t="shared" si="8"/>
        <v>0</v>
      </c>
      <c r="R264" s="268"/>
      <c r="S264" s="271"/>
      <c r="T264" s="259"/>
    </row>
    <row r="265" spans="1:20" s="260" customFormat="1" x14ac:dyDescent="0.3">
      <c r="A265" s="275"/>
      <c r="B265" s="313" t="s">
        <v>120</v>
      </c>
      <c r="C265" s="384"/>
      <c r="D265" s="384"/>
      <c r="E265" s="384"/>
      <c r="F265" s="384"/>
      <c r="G265" s="384"/>
      <c r="H265" s="384"/>
      <c r="I265" s="384"/>
      <c r="J265" s="384"/>
      <c r="K265" s="384"/>
      <c r="L265" s="384"/>
      <c r="M265" s="384"/>
      <c r="N265" s="313">
        <v>0</v>
      </c>
      <c r="O265" s="460">
        <f t="shared" si="7"/>
        <v>0</v>
      </c>
      <c r="P265" s="314">
        <v>0</v>
      </c>
      <c r="Q265" s="385">
        <f t="shared" si="8"/>
        <v>0</v>
      </c>
      <c r="R265" s="268"/>
      <c r="S265" s="271"/>
      <c r="T265" s="259"/>
    </row>
    <row r="266" spans="1:20" s="260" customFormat="1" x14ac:dyDescent="0.3">
      <c r="A266" s="275"/>
      <c r="B266" s="313" t="s">
        <v>121</v>
      </c>
      <c r="C266" s="384"/>
      <c r="D266" s="384"/>
      <c r="E266" s="384"/>
      <c r="F266" s="384"/>
      <c r="G266" s="384"/>
      <c r="H266" s="384"/>
      <c r="I266" s="384"/>
      <c r="J266" s="384"/>
      <c r="K266" s="384"/>
      <c r="L266" s="384"/>
      <c r="M266" s="384"/>
      <c r="N266" s="313">
        <v>0</v>
      </c>
      <c r="O266" s="460">
        <f t="shared" si="7"/>
        <v>0</v>
      </c>
      <c r="P266" s="314">
        <v>0</v>
      </c>
      <c r="Q266" s="385">
        <f t="shared" si="8"/>
        <v>0</v>
      </c>
      <c r="R266" s="268"/>
      <c r="S266" s="271"/>
      <c r="T266" s="259"/>
    </row>
    <row r="267" spans="1:20" s="260" customFormat="1" x14ac:dyDescent="0.3">
      <c r="A267" s="275"/>
      <c r="B267" s="313" t="s">
        <v>122</v>
      </c>
      <c r="C267" s="384"/>
      <c r="D267" s="384"/>
      <c r="E267" s="384"/>
      <c r="F267" s="384"/>
      <c r="G267" s="384"/>
      <c r="H267" s="384"/>
      <c r="I267" s="384"/>
      <c r="J267" s="384"/>
      <c r="K267" s="384"/>
      <c r="L267" s="384"/>
      <c r="M267" s="384"/>
      <c r="N267" s="313">
        <v>1</v>
      </c>
      <c r="O267" s="461">
        <f t="shared" si="7"/>
        <v>0.5</v>
      </c>
      <c r="P267" s="314">
        <v>196</v>
      </c>
      <c r="Q267" s="385">
        <f t="shared" si="8"/>
        <v>0.65771812080536918</v>
      </c>
      <c r="R267" s="268"/>
      <c r="S267" s="271"/>
      <c r="T267" s="259"/>
    </row>
    <row r="268" spans="1:20" s="260" customFormat="1" x14ac:dyDescent="0.3">
      <c r="A268" s="275"/>
      <c r="B268" s="313" t="s">
        <v>123</v>
      </c>
      <c r="C268" s="384"/>
      <c r="D268" s="384"/>
      <c r="E268" s="384"/>
      <c r="F268" s="384"/>
      <c r="G268" s="384"/>
      <c r="H268" s="384"/>
      <c r="I268" s="384"/>
      <c r="J268" s="384"/>
      <c r="K268" s="384"/>
      <c r="L268" s="384"/>
      <c r="M268" s="384"/>
      <c r="N268" s="313">
        <v>0</v>
      </c>
      <c r="O268" s="385">
        <f t="shared" si="7"/>
        <v>0</v>
      </c>
      <c r="P268" s="314">
        <v>0</v>
      </c>
      <c r="Q268" s="385">
        <f t="shared" si="8"/>
        <v>0</v>
      </c>
      <c r="R268" s="268"/>
      <c r="S268" s="271"/>
      <c r="T268" s="259"/>
    </row>
    <row r="269" spans="1:20" s="260" customFormat="1" x14ac:dyDescent="0.3">
      <c r="A269" s="275"/>
      <c r="B269" s="313"/>
      <c r="C269" s="384"/>
      <c r="D269" s="384"/>
      <c r="E269" s="384"/>
      <c r="F269" s="384"/>
      <c r="G269" s="384"/>
      <c r="H269" s="384"/>
      <c r="I269" s="384"/>
      <c r="J269" s="384"/>
      <c r="K269" s="384"/>
      <c r="L269" s="384"/>
      <c r="M269" s="384"/>
      <c r="N269" s="313"/>
      <c r="O269" s="385"/>
      <c r="P269" s="314"/>
      <c r="Q269" s="385"/>
      <c r="R269" s="268"/>
      <c r="S269" s="271"/>
      <c r="T269" s="259"/>
    </row>
    <row r="270" spans="1:20" s="260" customFormat="1" x14ac:dyDescent="0.3">
      <c r="A270" s="275"/>
      <c r="B270" s="268" t="s">
        <v>94</v>
      </c>
      <c r="C270" s="268"/>
      <c r="D270" s="386"/>
      <c r="E270" s="386"/>
      <c r="F270" s="386"/>
      <c r="G270" s="386"/>
      <c r="H270" s="386"/>
      <c r="I270" s="386"/>
      <c r="J270" s="386"/>
      <c r="K270" s="386"/>
      <c r="L270" s="386"/>
      <c r="M270" s="386"/>
      <c r="N270" s="313">
        <f>SUM(N261:N269)</f>
        <v>2</v>
      </c>
      <c r="O270" s="385">
        <f>SUM(O261:O269)</f>
        <v>1</v>
      </c>
      <c r="P270" s="314">
        <f>SUM(P261:P269)</f>
        <v>298</v>
      </c>
      <c r="Q270" s="385">
        <f>SUM(Q261:Q269)</f>
        <v>1</v>
      </c>
      <c r="R270" s="268"/>
      <c r="S270" s="271"/>
      <c r="T270" s="259"/>
    </row>
    <row r="271" spans="1:20" x14ac:dyDescent="0.3">
      <c r="A271" s="243"/>
      <c r="B271" s="315"/>
      <c r="C271" s="315"/>
      <c r="D271" s="387"/>
      <c r="E271" s="387"/>
      <c r="F271" s="387"/>
      <c r="G271" s="387"/>
      <c r="H271" s="387"/>
      <c r="I271" s="387"/>
      <c r="J271" s="387"/>
      <c r="K271" s="387"/>
      <c r="L271" s="387"/>
      <c r="M271" s="387"/>
      <c r="N271" s="316"/>
      <c r="O271" s="388"/>
      <c r="P271" s="389"/>
      <c r="Q271" s="388"/>
      <c r="R271" s="315"/>
      <c r="S271" s="246"/>
      <c r="T271" s="241"/>
    </row>
    <row r="272" spans="1:20" x14ac:dyDescent="0.3">
      <c r="A272" s="424"/>
      <c r="B272" s="434" t="s">
        <v>125</v>
      </c>
      <c r="C272" s="428"/>
      <c r="D272" s="457"/>
      <c r="E272" s="457"/>
      <c r="F272" s="457"/>
      <c r="G272" s="457"/>
      <c r="H272" s="457"/>
      <c r="I272" s="457"/>
      <c r="J272" s="457"/>
      <c r="K272" s="457"/>
      <c r="L272" s="457"/>
      <c r="M272" s="457"/>
      <c r="N272" s="451" t="s">
        <v>83</v>
      </c>
      <c r="O272" s="435" t="s">
        <v>84</v>
      </c>
      <c r="P272" s="451" t="s">
        <v>89</v>
      </c>
      <c r="Q272" s="435" t="s">
        <v>84</v>
      </c>
      <c r="R272" s="428"/>
      <c r="S272" s="426"/>
      <c r="T272" s="241"/>
    </row>
    <row r="273" spans="1:20" s="260" customFormat="1" x14ac:dyDescent="0.3">
      <c r="A273" s="255"/>
      <c r="B273" s="327" t="s">
        <v>72</v>
      </c>
      <c r="C273" s="302"/>
      <c r="D273" s="456"/>
      <c r="E273" s="456"/>
      <c r="F273" s="456"/>
      <c r="G273" s="456"/>
      <c r="H273" s="456"/>
      <c r="I273" s="456"/>
      <c r="J273" s="456"/>
      <c r="K273" s="456"/>
      <c r="L273" s="456"/>
      <c r="M273" s="456"/>
      <c r="N273" s="327">
        <v>0</v>
      </c>
      <c r="O273" s="454">
        <v>0</v>
      </c>
      <c r="P273" s="433">
        <v>0</v>
      </c>
      <c r="Q273" s="454">
        <v>0</v>
      </c>
      <c r="R273" s="302"/>
      <c r="S273" s="258"/>
      <c r="T273" s="259"/>
    </row>
    <row r="274" spans="1:20" s="260" customFormat="1" x14ac:dyDescent="0.3">
      <c r="A274" s="275"/>
      <c r="B274" s="313" t="s">
        <v>73</v>
      </c>
      <c r="C274" s="268"/>
      <c r="D274" s="386"/>
      <c r="E274" s="386"/>
      <c r="F274" s="386"/>
      <c r="G274" s="386"/>
      <c r="H274" s="386"/>
      <c r="I274" s="386"/>
      <c r="J274" s="386"/>
      <c r="K274" s="386"/>
      <c r="L274" s="386"/>
      <c r="M274" s="386"/>
      <c r="N274" s="313">
        <v>0</v>
      </c>
      <c r="O274" s="385">
        <v>0</v>
      </c>
      <c r="P274" s="314">
        <v>0</v>
      </c>
      <c r="Q274" s="385">
        <v>0</v>
      </c>
      <c r="R274" s="268"/>
      <c r="S274" s="271"/>
      <c r="T274" s="259"/>
    </row>
    <row r="275" spans="1:20" s="260" customFormat="1" x14ac:dyDescent="0.3">
      <c r="A275" s="275"/>
      <c r="B275" s="313" t="s">
        <v>74</v>
      </c>
      <c r="C275" s="268"/>
      <c r="D275" s="386"/>
      <c r="E275" s="386"/>
      <c r="F275" s="386"/>
      <c r="G275" s="386"/>
      <c r="H275" s="386"/>
      <c r="I275" s="386"/>
      <c r="J275" s="386"/>
      <c r="K275" s="386"/>
      <c r="L275" s="386"/>
      <c r="M275" s="386"/>
      <c r="N275" s="313">
        <v>0</v>
      </c>
      <c r="O275" s="385">
        <v>0</v>
      </c>
      <c r="P275" s="314">
        <v>0</v>
      </c>
      <c r="Q275" s="385">
        <v>0</v>
      </c>
      <c r="R275" s="268"/>
      <c r="S275" s="271"/>
      <c r="T275" s="259"/>
    </row>
    <row r="276" spans="1:20" s="260" customFormat="1" x14ac:dyDescent="0.3">
      <c r="A276" s="275"/>
      <c r="B276" s="313" t="s">
        <v>119</v>
      </c>
      <c r="C276" s="268"/>
      <c r="D276" s="386"/>
      <c r="E276" s="386"/>
      <c r="F276" s="386"/>
      <c r="G276" s="386"/>
      <c r="H276" s="386"/>
      <c r="I276" s="386"/>
      <c r="J276" s="386"/>
      <c r="K276" s="386"/>
      <c r="L276" s="386"/>
      <c r="M276" s="386"/>
      <c r="N276" s="313">
        <v>0</v>
      </c>
      <c r="O276" s="385">
        <v>0</v>
      </c>
      <c r="P276" s="314">
        <v>0</v>
      </c>
      <c r="Q276" s="385">
        <v>0</v>
      </c>
      <c r="R276" s="268"/>
      <c r="S276" s="271"/>
      <c r="T276" s="259"/>
    </row>
    <row r="277" spans="1:20" s="260" customFormat="1" x14ac:dyDescent="0.3">
      <c r="A277" s="275"/>
      <c r="B277" s="313" t="s">
        <v>120</v>
      </c>
      <c r="C277" s="268"/>
      <c r="D277" s="386"/>
      <c r="E277" s="386"/>
      <c r="F277" s="386"/>
      <c r="G277" s="386"/>
      <c r="H277" s="386"/>
      <c r="I277" s="386"/>
      <c r="J277" s="386"/>
      <c r="K277" s="386"/>
      <c r="L277" s="386"/>
      <c r="M277" s="386"/>
      <c r="N277" s="313">
        <v>0</v>
      </c>
      <c r="O277" s="385">
        <v>0</v>
      </c>
      <c r="P277" s="314">
        <v>0</v>
      </c>
      <c r="Q277" s="385">
        <v>0</v>
      </c>
      <c r="R277" s="268"/>
      <c r="S277" s="271"/>
      <c r="T277" s="259"/>
    </row>
    <row r="278" spans="1:20" s="260" customFormat="1" x14ac:dyDescent="0.3">
      <c r="A278" s="275"/>
      <c r="B278" s="313" t="s">
        <v>121</v>
      </c>
      <c r="C278" s="268"/>
      <c r="D278" s="386"/>
      <c r="E278" s="386"/>
      <c r="F278" s="386"/>
      <c r="G278" s="386"/>
      <c r="H278" s="386"/>
      <c r="I278" s="386"/>
      <c r="J278" s="386"/>
      <c r="K278" s="386"/>
      <c r="L278" s="386"/>
      <c r="M278" s="386"/>
      <c r="N278" s="313">
        <v>0</v>
      </c>
      <c r="O278" s="385">
        <v>0</v>
      </c>
      <c r="P278" s="314">
        <v>0</v>
      </c>
      <c r="Q278" s="385">
        <v>0</v>
      </c>
      <c r="R278" s="268"/>
      <c r="S278" s="271"/>
      <c r="T278" s="259"/>
    </row>
    <row r="279" spans="1:20" s="260" customFormat="1" x14ac:dyDescent="0.3">
      <c r="A279" s="275"/>
      <c r="B279" s="313" t="s">
        <v>122</v>
      </c>
      <c r="C279" s="268"/>
      <c r="D279" s="386"/>
      <c r="E279" s="386"/>
      <c r="F279" s="386"/>
      <c r="G279" s="386"/>
      <c r="H279" s="386"/>
      <c r="I279" s="386"/>
      <c r="J279" s="386"/>
      <c r="K279" s="386"/>
      <c r="L279" s="386"/>
      <c r="M279" s="386"/>
      <c r="N279" s="313">
        <v>0</v>
      </c>
      <c r="O279" s="385">
        <v>0</v>
      </c>
      <c r="P279" s="314">
        <v>0</v>
      </c>
      <c r="Q279" s="385">
        <v>0</v>
      </c>
      <c r="R279" s="268"/>
      <c r="S279" s="271"/>
      <c r="T279" s="259"/>
    </row>
    <row r="280" spans="1:20" s="260" customFormat="1" x14ac:dyDescent="0.3">
      <c r="A280" s="275"/>
      <c r="B280" s="313" t="s">
        <v>123</v>
      </c>
      <c r="C280" s="268"/>
      <c r="D280" s="386"/>
      <c r="E280" s="386"/>
      <c r="F280" s="386"/>
      <c r="G280" s="386"/>
      <c r="H280" s="386"/>
      <c r="I280" s="386"/>
      <c r="J280" s="386"/>
      <c r="K280" s="386"/>
      <c r="L280" s="386"/>
      <c r="M280" s="386"/>
      <c r="N280" s="313">
        <v>0</v>
      </c>
      <c r="O280" s="385">
        <v>0</v>
      </c>
      <c r="P280" s="314">
        <v>0</v>
      </c>
      <c r="Q280" s="385">
        <v>0</v>
      </c>
      <c r="R280" s="268"/>
      <c r="S280" s="271"/>
      <c r="T280" s="259"/>
    </row>
    <row r="281" spans="1:20" s="260" customFormat="1" x14ac:dyDescent="0.3">
      <c r="A281" s="275"/>
      <c r="B281" s="313"/>
      <c r="C281" s="268"/>
      <c r="D281" s="386"/>
      <c r="E281" s="386"/>
      <c r="F281" s="386"/>
      <c r="G281" s="386"/>
      <c r="H281" s="386"/>
      <c r="I281" s="386"/>
      <c r="J281" s="386"/>
      <c r="K281" s="386"/>
      <c r="L281" s="386"/>
      <c r="M281" s="386"/>
      <c r="N281" s="313"/>
      <c r="O281" s="385"/>
      <c r="P281" s="314"/>
      <c r="Q281" s="385"/>
      <c r="R281" s="268"/>
      <c r="S281" s="271"/>
      <c r="T281" s="259"/>
    </row>
    <row r="282" spans="1:20" s="260" customFormat="1" x14ac:dyDescent="0.3">
      <c r="A282" s="275"/>
      <c r="B282" s="268" t="s">
        <v>94</v>
      </c>
      <c r="C282" s="268"/>
      <c r="D282" s="386"/>
      <c r="E282" s="386"/>
      <c r="F282" s="386"/>
      <c r="G282" s="386"/>
      <c r="H282" s="386"/>
      <c r="I282" s="386"/>
      <c r="J282" s="386"/>
      <c r="K282" s="386"/>
      <c r="L282" s="386"/>
      <c r="M282" s="386"/>
      <c r="N282" s="313">
        <f>SUM(N273:N280)</f>
        <v>0</v>
      </c>
      <c r="O282" s="385">
        <f>SUM(O273:O280)</f>
        <v>0</v>
      </c>
      <c r="P282" s="314">
        <f>SUM(P273:P280)</f>
        <v>0</v>
      </c>
      <c r="Q282" s="385">
        <f>SUM(Q273:Q280)</f>
        <v>0</v>
      </c>
      <c r="R282" s="268"/>
      <c r="S282" s="271"/>
      <c r="T282" s="259"/>
    </row>
    <row r="283" spans="1:20" s="260" customFormat="1" x14ac:dyDescent="0.3">
      <c r="A283" s="275"/>
      <c r="B283" s="268"/>
      <c r="C283" s="268"/>
      <c r="D283" s="386"/>
      <c r="E283" s="386"/>
      <c r="F283" s="386"/>
      <c r="G283" s="386"/>
      <c r="H283" s="386"/>
      <c r="I283" s="386"/>
      <c r="J283" s="386"/>
      <c r="K283" s="386"/>
      <c r="L283" s="386"/>
      <c r="M283" s="386"/>
      <c r="N283" s="313"/>
      <c r="O283" s="385"/>
      <c r="P283" s="314"/>
      <c r="Q283" s="385"/>
      <c r="R283" s="268"/>
      <c r="S283" s="271"/>
      <c r="T283" s="259"/>
    </row>
    <row r="284" spans="1:20" s="260" customFormat="1" x14ac:dyDescent="0.3">
      <c r="A284" s="275"/>
      <c r="B284" s="272" t="s">
        <v>182</v>
      </c>
      <c r="C284" s="268"/>
      <c r="D284" s="386"/>
      <c r="E284" s="386"/>
      <c r="F284" s="386"/>
      <c r="G284" s="386"/>
      <c r="H284" s="386"/>
      <c r="I284" s="386"/>
      <c r="J284" s="386"/>
      <c r="K284" s="386"/>
      <c r="L284" s="386"/>
      <c r="M284" s="386"/>
      <c r="N284" s="390">
        <f>N282+N270+N258</f>
        <v>509</v>
      </c>
      <c r="O284" s="385"/>
      <c r="P284" s="391">
        <f>+P282+P270+P258</f>
        <v>74274</v>
      </c>
      <c r="Q284" s="385"/>
      <c r="R284" s="268"/>
      <c r="S284" s="271"/>
      <c r="T284" s="259"/>
    </row>
    <row r="285" spans="1:20" s="260" customFormat="1" x14ac:dyDescent="0.3">
      <c r="A285" s="275"/>
      <c r="B285" s="272" t="s">
        <v>247</v>
      </c>
      <c r="C285" s="272"/>
      <c r="D285" s="392"/>
      <c r="E285" s="392"/>
      <c r="F285" s="392"/>
      <c r="G285" s="392"/>
      <c r="H285" s="392"/>
      <c r="I285" s="392"/>
      <c r="J285" s="392"/>
      <c r="K285" s="392"/>
      <c r="L285" s="392"/>
      <c r="M285" s="392"/>
      <c r="N285" s="390"/>
      <c r="O285" s="393"/>
      <c r="P285" s="391">
        <f>+R171</f>
        <v>0</v>
      </c>
      <c r="Q285" s="385"/>
      <c r="R285" s="268"/>
      <c r="S285" s="271"/>
      <c r="T285" s="259"/>
    </row>
    <row r="286" spans="1:20" s="260" customFormat="1" x14ac:dyDescent="0.3">
      <c r="A286" s="275"/>
      <c r="B286" s="272" t="s">
        <v>126</v>
      </c>
      <c r="C286" s="272"/>
      <c r="D286" s="392"/>
      <c r="E286" s="392"/>
      <c r="F286" s="392"/>
      <c r="G286" s="392"/>
      <c r="H286" s="392"/>
      <c r="I286" s="392"/>
      <c r="J286" s="392"/>
      <c r="K286" s="392"/>
      <c r="L286" s="392"/>
      <c r="M286" s="392"/>
      <c r="N286" s="390"/>
      <c r="O286" s="393"/>
      <c r="P286" s="391">
        <f>+P284+P285</f>
        <v>74274</v>
      </c>
      <c r="Q286" s="385"/>
      <c r="R286" s="268"/>
      <c r="S286" s="271"/>
      <c r="T286" s="259"/>
    </row>
    <row r="287" spans="1:20" s="260" customFormat="1" x14ac:dyDescent="0.3">
      <c r="A287" s="275"/>
      <c r="B287" s="272" t="s">
        <v>181</v>
      </c>
      <c r="C287" s="268"/>
      <c r="D287" s="386"/>
      <c r="E287" s="386"/>
      <c r="F287" s="386"/>
      <c r="G287" s="386"/>
      <c r="H287" s="386"/>
      <c r="I287" s="386"/>
      <c r="J287" s="386"/>
      <c r="K287" s="386"/>
      <c r="L287" s="386"/>
      <c r="M287" s="386"/>
      <c r="N287" s="390"/>
      <c r="O287" s="385"/>
      <c r="P287" s="391">
        <f>+R72</f>
        <v>74274</v>
      </c>
      <c r="Q287" s="385"/>
      <c r="R287" s="268"/>
      <c r="S287" s="271"/>
      <c r="T287" s="259"/>
    </row>
    <row r="288" spans="1:20" s="260" customFormat="1" x14ac:dyDescent="0.3">
      <c r="A288" s="275"/>
      <c r="B288" s="272"/>
      <c r="C288" s="268"/>
      <c r="D288" s="386"/>
      <c r="E288" s="386"/>
      <c r="F288" s="386"/>
      <c r="G288" s="386"/>
      <c r="H288" s="386"/>
      <c r="I288" s="386"/>
      <c r="J288" s="386"/>
      <c r="K288" s="386"/>
      <c r="L288" s="386"/>
      <c r="M288" s="386"/>
      <c r="N288" s="390"/>
      <c r="O288" s="385"/>
      <c r="P288" s="391"/>
      <c r="Q288" s="385"/>
      <c r="R288" s="268"/>
      <c r="S288" s="271"/>
      <c r="T288" s="259"/>
    </row>
    <row r="289" spans="1:20" s="260" customFormat="1" x14ac:dyDescent="0.3">
      <c r="A289" s="275"/>
      <c r="B289" s="272" t="s">
        <v>221</v>
      </c>
      <c r="C289" s="268"/>
      <c r="D289" s="386"/>
      <c r="E289" s="386"/>
      <c r="F289" s="386"/>
      <c r="G289" s="386"/>
      <c r="H289" s="386"/>
      <c r="I289" s="386"/>
      <c r="J289" s="386"/>
      <c r="K289" s="386"/>
      <c r="L289" s="386"/>
      <c r="M289" s="386"/>
      <c r="N289" s="390"/>
      <c r="O289" s="385"/>
      <c r="P289" s="394">
        <f>(J30+R138)/R30</f>
        <v>0.16896979493818415</v>
      </c>
      <c r="Q289" s="385"/>
      <c r="R289" s="268"/>
      <c r="S289" s="271"/>
      <c r="T289" s="259"/>
    </row>
    <row r="290" spans="1:20" s="260" customFormat="1" x14ac:dyDescent="0.3">
      <c r="A290" s="255"/>
      <c r="B290" s="256"/>
      <c r="C290" s="256"/>
      <c r="D290" s="395"/>
      <c r="E290" s="395"/>
      <c r="F290" s="395"/>
      <c r="G290" s="395"/>
      <c r="H290" s="395"/>
      <c r="I290" s="395"/>
      <c r="J290" s="395"/>
      <c r="K290" s="395"/>
      <c r="L290" s="395"/>
      <c r="M290" s="395"/>
      <c r="N290" s="395"/>
      <c r="O290" s="395"/>
      <c r="P290" s="396"/>
      <c r="Q290" s="395"/>
      <c r="R290" s="256"/>
      <c r="S290" s="258"/>
      <c r="T290" s="259"/>
    </row>
    <row r="291" spans="1:20" s="260" customFormat="1" x14ac:dyDescent="0.3">
      <c r="A291" s="255"/>
      <c r="B291" s="254" t="s">
        <v>75</v>
      </c>
      <c r="C291" s="256"/>
      <c r="D291" s="397" t="s">
        <v>79</v>
      </c>
      <c r="E291" s="254"/>
      <c r="F291" s="254" t="s">
        <v>80</v>
      </c>
      <c r="G291" s="256"/>
      <c r="H291" s="254"/>
      <c r="I291" s="256"/>
      <c r="J291" s="256"/>
      <c r="K291" s="256"/>
      <c r="L291" s="256"/>
      <c r="M291" s="256"/>
      <c r="N291" s="256"/>
      <c r="O291" s="256"/>
      <c r="P291" s="256"/>
      <c r="Q291" s="256"/>
      <c r="R291" s="256"/>
      <c r="S291" s="258"/>
      <c r="T291" s="259"/>
    </row>
    <row r="292" spans="1:20" s="260" customFormat="1" x14ac:dyDescent="0.3">
      <c r="A292" s="255"/>
      <c r="B292" s="256"/>
      <c r="C292" s="256"/>
      <c r="D292" s="256"/>
      <c r="E292" s="256"/>
      <c r="F292" s="256"/>
      <c r="G292" s="256"/>
      <c r="H292" s="256"/>
      <c r="I292" s="256"/>
      <c r="J292" s="256"/>
      <c r="K292" s="256"/>
      <c r="L292" s="256"/>
      <c r="M292" s="256"/>
      <c r="N292" s="256"/>
      <c r="O292" s="256"/>
      <c r="P292" s="256"/>
      <c r="Q292" s="256"/>
      <c r="R292" s="256"/>
      <c r="S292" s="258"/>
      <c r="T292" s="259"/>
    </row>
    <row r="293" spans="1:20" s="260" customFormat="1" x14ac:dyDescent="0.3">
      <c r="A293" s="255"/>
      <c r="B293" s="254" t="s">
        <v>212</v>
      </c>
      <c r="C293" s="254"/>
      <c r="D293" s="398" t="s">
        <v>147</v>
      </c>
      <c r="E293" s="254"/>
      <c r="F293" s="458" t="s">
        <v>272</v>
      </c>
      <c r="G293" s="254"/>
      <c r="H293" s="254"/>
      <c r="I293" s="256"/>
      <c r="J293" s="256"/>
      <c r="K293" s="256"/>
      <c r="L293" s="256"/>
      <c r="M293" s="256"/>
      <c r="N293" s="256"/>
      <c r="O293" s="256"/>
      <c r="P293" s="256"/>
      <c r="Q293" s="256"/>
      <c r="R293" s="256"/>
      <c r="S293" s="258"/>
      <c r="T293" s="259"/>
    </row>
    <row r="294" spans="1:20" s="260" customFormat="1" x14ac:dyDescent="0.3">
      <c r="A294" s="255"/>
      <c r="B294" s="254" t="s">
        <v>213</v>
      </c>
      <c r="C294" s="254"/>
      <c r="D294" s="398" t="s">
        <v>114</v>
      </c>
      <c r="E294" s="254"/>
      <c r="F294" s="458" t="s">
        <v>273</v>
      </c>
      <c r="G294" s="254"/>
      <c r="H294" s="254"/>
      <c r="I294" s="256"/>
      <c r="J294" s="256"/>
      <c r="K294" s="256"/>
      <c r="L294" s="256"/>
      <c r="M294" s="256"/>
      <c r="N294" s="256"/>
      <c r="O294" s="256"/>
      <c r="P294" s="256"/>
      <c r="Q294" s="256"/>
      <c r="R294" s="256"/>
      <c r="S294" s="258"/>
      <c r="T294" s="259"/>
    </row>
    <row r="295" spans="1:20" s="260" customFormat="1" x14ac:dyDescent="0.3">
      <c r="A295" s="255"/>
      <c r="B295" s="254"/>
      <c r="C295" s="254"/>
      <c r="D295" s="256"/>
      <c r="E295" s="256"/>
      <c r="F295" s="256"/>
      <c r="G295" s="256"/>
      <c r="H295" s="256"/>
      <c r="I295" s="256"/>
      <c r="J295" s="256"/>
      <c r="K295" s="256"/>
      <c r="L295" s="256"/>
      <c r="M295" s="256"/>
      <c r="N295" s="256"/>
      <c r="O295" s="256"/>
      <c r="P295" s="256"/>
      <c r="Q295" s="256"/>
      <c r="R295" s="256"/>
      <c r="S295" s="258"/>
      <c r="T295" s="259"/>
    </row>
    <row r="296" spans="1:20" s="260" customFormat="1" x14ac:dyDescent="0.3">
      <c r="A296" s="255"/>
      <c r="B296" s="254"/>
      <c r="C296" s="254"/>
      <c r="D296" s="256"/>
      <c r="E296" s="256"/>
      <c r="F296" s="256"/>
      <c r="G296" s="256"/>
      <c r="H296" s="256"/>
      <c r="I296" s="256"/>
      <c r="J296" s="256"/>
      <c r="K296" s="256"/>
      <c r="L296" s="256"/>
      <c r="M296" s="256"/>
      <c r="N296" s="256"/>
      <c r="O296" s="256"/>
      <c r="P296" s="256"/>
      <c r="Q296" s="256"/>
      <c r="R296" s="256"/>
      <c r="S296" s="258"/>
      <c r="T296" s="259"/>
    </row>
    <row r="297" spans="1:20" s="260" customFormat="1" ht="18.600000000000001" thickBot="1" x14ac:dyDescent="0.4">
      <c r="A297" s="255"/>
      <c r="B297" s="399" t="str">
        <f>B196</f>
        <v>PM21 INVESTOR REPORT QUARTER ENDING FEBRUARY 2018</v>
      </c>
      <c r="C297" s="254"/>
      <c r="D297" s="256"/>
      <c r="E297" s="256"/>
      <c r="F297" s="256"/>
      <c r="G297" s="256"/>
      <c r="H297" s="256"/>
      <c r="I297" s="256"/>
      <c r="J297" s="256"/>
      <c r="K297" s="256"/>
      <c r="L297" s="256"/>
      <c r="M297" s="256"/>
      <c r="N297" s="256"/>
      <c r="O297" s="256"/>
      <c r="P297" s="256"/>
      <c r="Q297" s="256"/>
      <c r="R297" s="256"/>
      <c r="S297" s="311"/>
      <c r="T297" s="259"/>
    </row>
    <row r="298" spans="1:20" x14ac:dyDescent="0.3">
      <c r="A298" s="400"/>
      <c r="B298" s="400"/>
      <c r="C298" s="400"/>
      <c r="D298" s="400"/>
      <c r="E298" s="400"/>
      <c r="F298" s="400"/>
      <c r="G298" s="400"/>
      <c r="H298" s="400"/>
      <c r="I298" s="400"/>
      <c r="J298" s="400"/>
      <c r="K298" s="400"/>
      <c r="L298" s="400"/>
      <c r="M298" s="400"/>
      <c r="N298" s="400"/>
      <c r="O298" s="400"/>
      <c r="P298" s="400"/>
      <c r="Q298" s="400"/>
      <c r="R298" s="400"/>
      <c r="S298" s="400"/>
    </row>
  </sheetData>
  <hyperlinks>
    <hyperlink ref="K9" r:id="rId1"/>
    <hyperlink ref="N234"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298"/>
  <sheetViews>
    <sheetView showGridLines="0" showOutlineSymbols="0" zoomScale="70" zoomScaleNormal="70" workbookViewId="0"/>
  </sheetViews>
  <sheetFormatPr defaultColWidth="9.6328125" defaultRowHeight="15.6" x14ac:dyDescent="0.3"/>
  <cols>
    <col min="1" max="1" width="4" style="242" customWidth="1"/>
    <col min="2" max="2" width="71.1796875" style="242" customWidth="1"/>
    <col min="3" max="3" width="2.1796875" style="242" customWidth="1"/>
    <col min="4" max="4" width="16.1796875" style="242" customWidth="1"/>
    <col min="5" max="5" width="2.90625" style="242" customWidth="1"/>
    <col min="6" max="6" width="16.1796875" style="242" customWidth="1"/>
    <col min="7" max="7" width="2.1796875" style="242" customWidth="1"/>
    <col min="8" max="8" width="17.90625" style="242" customWidth="1"/>
    <col min="9" max="9" width="2.36328125" style="242" customWidth="1"/>
    <col min="10" max="10" width="14.90625" style="242" customWidth="1"/>
    <col min="11" max="11" width="2.36328125" style="242" customWidth="1"/>
    <col min="12" max="12" width="15.54296875" style="242" customWidth="1"/>
    <col min="13" max="13" width="2.1796875" style="242" customWidth="1"/>
    <col min="14" max="14" width="15.54296875" style="242" customWidth="1"/>
    <col min="15" max="16" width="12.6328125" style="242" customWidth="1"/>
    <col min="17" max="17" width="8.36328125" style="242" customWidth="1"/>
    <col min="18" max="18" width="14.6328125" style="242" customWidth="1"/>
    <col min="19" max="19" width="11.81640625" style="242" customWidth="1"/>
    <col min="20" max="16384" width="9.6328125" style="242"/>
  </cols>
  <sheetData>
    <row r="1" spans="1:20" ht="21" x14ac:dyDescent="0.4">
      <c r="A1" s="237"/>
      <c r="B1" s="238" t="s">
        <v>225</v>
      </c>
      <c r="C1" s="239"/>
      <c r="D1" s="239"/>
      <c r="E1" s="239"/>
      <c r="F1" s="239"/>
      <c r="G1" s="239"/>
      <c r="H1" s="239"/>
      <c r="I1" s="239"/>
      <c r="J1" s="239"/>
      <c r="K1" s="239"/>
      <c r="L1" s="239"/>
      <c r="M1" s="239"/>
      <c r="N1" s="239"/>
      <c r="O1" s="239"/>
      <c r="P1" s="239"/>
      <c r="Q1" s="239"/>
      <c r="R1" s="239"/>
      <c r="S1" s="240"/>
      <c r="T1" s="241"/>
    </row>
    <row r="2" spans="1:20" x14ac:dyDescent="0.3">
      <c r="A2" s="243"/>
      <c r="B2" s="244"/>
      <c r="C2" s="245"/>
      <c r="D2" s="245"/>
      <c r="E2" s="245"/>
      <c r="F2" s="245"/>
      <c r="G2" s="245"/>
      <c r="H2" s="245"/>
      <c r="I2" s="245"/>
      <c r="J2" s="245"/>
      <c r="K2" s="245"/>
      <c r="L2" s="245"/>
      <c r="M2" s="245"/>
      <c r="N2" s="245"/>
      <c r="O2" s="245"/>
      <c r="P2" s="245"/>
      <c r="Q2" s="245"/>
      <c r="R2" s="245"/>
      <c r="S2" s="246"/>
      <c r="T2" s="241"/>
    </row>
    <row r="3" spans="1:20" x14ac:dyDescent="0.3">
      <c r="A3" s="247"/>
      <c r="B3" s="248" t="s">
        <v>230</v>
      </c>
      <c r="C3" s="245"/>
      <c r="D3" s="245"/>
      <c r="E3" s="245"/>
      <c r="F3" s="245"/>
      <c r="G3" s="245"/>
      <c r="H3" s="245"/>
      <c r="I3" s="245"/>
      <c r="J3" s="245"/>
      <c r="K3" s="245"/>
      <c r="L3" s="245"/>
      <c r="M3" s="245"/>
      <c r="N3" s="245"/>
      <c r="O3" s="245"/>
      <c r="P3" s="245"/>
      <c r="Q3" s="245"/>
      <c r="R3" s="245"/>
      <c r="S3" s="246"/>
      <c r="T3" s="241"/>
    </row>
    <row r="4" spans="1:20" x14ac:dyDescent="0.3">
      <c r="A4" s="243"/>
      <c r="B4" s="244"/>
      <c r="C4" s="245"/>
      <c r="D4" s="245"/>
      <c r="E4" s="245"/>
      <c r="F4" s="245"/>
      <c r="G4" s="245"/>
      <c r="H4" s="245"/>
      <c r="I4" s="245"/>
      <c r="J4" s="245"/>
      <c r="K4" s="245"/>
      <c r="L4" s="245"/>
      <c r="M4" s="245"/>
      <c r="N4" s="245"/>
      <c r="O4" s="245"/>
      <c r="P4" s="245"/>
      <c r="Q4" s="245"/>
      <c r="R4" s="245"/>
      <c r="S4" s="246"/>
      <c r="T4" s="241"/>
    </row>
    <row r="5" spans="1:20" x14ac:dyDescent="0.3">
      <c r="A5" s="243"/>
      <c r="B5" s="249" t="s">
        <v>109</v>
      </c>
      <c r="C5" s="245"/>
      <c r="D5" s="245"/>
      <c r="E5" s="245"/>
      <c r="F5" s="245"/>
      <c r="G5" s="245"/>
      <c r="H5" s="245"/>
      <c r="I5" s="245"/>
      <c r="J5" s="245"/>
      <c r="K5" s="245"/>
      <c r="L5" s="245"/>
      <c r="M5" s="245"/>
      <c r="N5" s="245"/>
      <c r="O5" s="245"/>
      <c r="P5" s="245"/>
      <c r="Q5" s="245"/>
      <c r="R5" s="245"/>
      <c r="S5" s="246"/>
      <c r="T5" s="241"/>
    </row>
    <row r="6" spans="1:20" x14ac:dyDescent="0.3">
      <c r="A6" s="243"/>
      <c r="B6" s="249" t="s">
        <v>111</v>
      </c>
      <c r="C6" s="245"/>
      <c r="D6" s="245"/>
      <c r="E6" s="245"/>
      <c r="F6" s="245"/>
      <c r="G6" s="245"/>
      <c r="H6" s="245"/>
      <c r="I6" s="245"/>
      <c r="J6" s="245"/>
      <c r="K6" s="245"/>
      <c r="L6" s="245"/>
      <c r="M6" s="245"/>
      <c r="N6" s="245"/>
      <c r="O6" s="245"/>
      <c r="P6" s="245"/>
      <c r="Q6" s="245"/>
      <c r="R6" s="245"/>
      <c r="S6" s="246"/>
      <c r="T6" s="241"/>
    </row>
    <row r="7" spans="1:20" x14ac:dyDescent="0.3">
      <c r="A7" s="243"/>
      <c r="B7" s="249" t="s">
        <v>110</v>
      </c>
      <c r="C7" s="245"/>
      <c r="D7" s="245"/>
      <c r="E7" s="245"/>
      <c r="F7" s="245"/>
      <c r="G7" s="245"/>
      <c r="H7" s="245"/>
      <c r="I7" s="245"/>
      <c r="J7" s="245"/>
      <c r="K7" s="245"/>
      <c r="L7" s="245"/>
      <c r="M7" s="245"/>
      <c r="N7" s="245"/>
      <c r="O7" s="245"/>
      <c r="P7" s="245"/>
      <c r="Q7" s="245"/>
      <c r="R7" s="245"/>
      <c r="S7" s="246"/>
      <c r="T7" s="241"/>
    </row>
    <row r="8" spans="1:20" x14ac:dyDescent="0.3">
      <c r="A8" s="243"/>
      <c r="B8" s="250"/>
      <c r="C8" s="245"/>
      <c r="D8" s="245"/>
      <c r="E8" s="245"/>
      <c r="F8" s="245"/>
      <c r="G8" s="245"/>
      <c r="H8" s="245"/>
      <c r="I8" s="245"/>
      <c r="J8" s="245"/>
      <c r="K8" s="245"/>
      <c r="L8" s="245"/>
      <c r="M8" s="245"/>
      <c r="N8" s="245"/>
      <c r="O8" s="245"/>
      <c r="P8" s="245"/>
      <c r="Q8" s="245"/>
      <c r="R8" s="245"/>
      <c r="S8" s="246"/>
      <c r="T8" s="241"/>
    </row>
    <row r="9" spans="1:20" ht="18" x14ac:dyDescent="0.35">
      <c r="A9" s="243"/>
      <c r="B9" s="251" t="s">
        <v>127</v>
      </c>
      <c r="C9" s="245"/>
      <c r="D9" s="245"/>
      <c r="E9" s="252"/>
      <c r="F9" s="245"/>
      <c r="G9" s="245"/>
      <c r="H9" s="252"/>
      <c r="I9" s="245"/>
      <c r="J9" s="252"/>
      <c r="K9" s="236" t="s">
        <v>271</v>
      </c>
      <c r="L9" s="252"/>
      <c r="M9" s="245"/>
      <c r="N9" s="245"/>
      <c r="O9" s="245"/>
      <c r="P9" s="245"/>
      <c r="Q9" s="245"/>
      <c r="R9" s="245"/>
      <c r="S9" s="246"/>
      <c r="T9" s="241"/>
    </row>
    <row r="10" spans="1:20" x14ac:dyDescent="0.3">
      <c r="A10" s="243"/>
      <c r="B10" s="250"/>
      <c r="C10" s="253"/>
      <c r="D10" s="245"/>
      <c r="E10" s="245"/>
      <c r="F10" s="245"/>
      <c r="G10" s="245"/>
      <c r="H10" s="245"/>
      <c r="I10" s="245"/>
      <c r="J10" s="245"/>
      <c r="K10" s="245"/>
      <c r="L10" s="245"/>
      <c r="M10" s="245"/>
      <c r="N10" s="245"/>
      <c r="O10" s="245"/>
      <c r="P10" s="245"/>
      <c r="Q10" s="245"/>
      <c r="R10" s="245"/>
      <c r="S10" s="246"/>
      <c r="T10" s="241"/>
    </row>
    <row r="11" spans="1:20" x14ac:dyDescent="0.3">
      <c r="A11" s="243"/>
      <c r="B11" s="254" t="s">
        <v>0</v>
      </c>
      <c r="C11" s="245"/>
      <c r="D11" s="245"/>
      <c r="E11" s="245"/>
      <c r="F11" s="245"/>
      <c r="G11" s="245"/>
      <c r="H11" s="245"/>
      <c r="I11" s="245"/>
      <c r="J11" s="245"/>
      <c r="K11" s="245"/>
      <c r="L11" s="245"/>
      <c r="M11" s="245"/>
      <c r="N11" s="245"/>
      <c r="O11" s="245"/>
      <c r="P11" s="245"/>
      <c r="Q11" s="245"/>
      <c r="R11" s="245"/>
      <c r="S11" s="246"/>
      <c r="T11" s="241"/>
    </row>
    <row r="12" spans="1:20" ht="16.2" thickBot="1" x14ac:dyDescent="0.35">
      <c r="A12" s="243"/>
      <c r="B12" s="253"/>
      <c r="C12" s="245"/>
      <c r="D12" s="245"/>
      <c r="E12" s="245"/>
      <c r="F12" s="245"/>
      <c r="G12" s="245"/>
      <c r="H12" s="245"/>
      <c r="I12" s="245"/>
      <c r="J12" s="245"/>
      <c r="K12" s="245"/>
      <c r="L12" s="245"/>
      <c r="M12" s="245"/>
      <c r="N12" s="245"/>
      <c r="O12" s="245"/>
      <c r="P12" s="245"/>
      <c r="Q12" s="245"/>
      <c r="R12" s="245"/>
      <c r="S12" s="246"/>
      <c r="T12" s="241"/>
    </row>
    <row r="13" spans="1:20" x14ac:dyDescent="0.3">
      <c r="A13" s="237"/>
      <c r="B13" s="239"/>
      <c r="C13" s="239"/>
      <c r="D13" s="239"/>
      <c r="E13" s="239"/>
      <c r="F13" s="239"/>
      <c r="G13" s="239"/>
      <c r="H13" s="239"/>
      <c r="I13" s="239"/>
      <c r="J13" s="239"/>
      <c r="K13" s="239"/>
      <c r="L13" s="239"/>
      <c r="M13" s="239"/>
      <c r="N13" s="239"/>
      <c r="O13" s="239"/>
      <c r="P13" s="239"/>
      <c r="Q13" s="239"/>
      <c r="R13" s="239"/>
      <c r="S13" s="240"/>
      <c r="T13" s="241"/>
    </row>
    <row r="14" spans="1:20" s="260" customFormat="1" x14ac:dyDescent="0.3">
      <c r="A14" s="255"/>
      <c r="B14" s="254" t="s">
        <v>1</v>
      </c>
      <c r="C14" s="256"/>
      <c r="D14" s="256"/>
      <c r="E14" s="256"/>
      <c r="F14" s="256"/>
      <c r="G14" s="256"/>
      <c r="H14" s="256"/>
      <c r="I14" s="256"/>
      <c r="J14" s="256"/>
      <c r="K14" s="256"/>
      <c r="L14" s="256"/>
      <c r="M14" s="256"/>
      <c r="N14" s="256"/>
      <c r="O14" s="256"/>
      <c r="P14" s="256"/>
      <c r="Q14" s="256"/>
      <c r="R14" s="257" t="s">
        <v>226</v>
      </c>
      <c r="S14" s="258"/>
      <c r="T14" s="259"/>
    </row>
    <row r="15" spans="1:20" s="260" customFormat="1" x14ac:dyDescent="0.3">
      <c r="A15" s="255"/>
      <c r="B15" s="254" t="s">
        <v>2</v>
      </c>
      <c r="C15" s="256"/>
      <c r="D15" s="261"/>
      <c r="E15" s="261"/>
      <c r="F15" s="261"/>
      <c r="G15" s="261"/>
      <c r="H15" s="261"/>
      <c r="I15" s="261"/>
      <c r="J15" s="261"/>
      <c r="K15" s="261"/>
      <c r="L15" s="261"/>
      <c r="M15" s="261"/>
      <c r="N15" s="262"/>
      <c r="O15" s="262"/>
      <c r="P15" s="262" t="s">
        <v>156</v>
      </c>
      <c r="Q15" s="262">
        <v>1</v>
      </c>
      <c r="R15" s="257"/>
      <c r="S15" s="258"/>
      <c r="T15" s="259"/>
    </row>
    <row r="16" spans="1:20" s="260" customFormat="1" x14ac:dyDescent="0.3">
      <c r="A16" s="255"/>
      <c r="B16" s="254" t="s">
        <v>3</v>
      </c>
      <c r="C16" s="256"/>
      <c r="D16" s="261"/>
      <c r="E16" s="261"/>
      <c r="F16" s="261"/>
      <c r="G16" s="261"/>
      <c r="H16" s="261"/>
      <c r="I16" s="261"/>
      <c r="J16" s="261"/>
      <c r="K16" s="261"/>
      <c r="L16" s="261"/>
      <c r="M16" s="261"/>
      <c r="N16" s="262"/>
      <c r="O16" s="262"/>
      <c r="P16" s="262" t="s">
        <v>156</v>
      </c>
      <c r="Q16" s="262">
        <v>1</v>
      </c>
      <c r="R16" s="257"/>
      <c r="S16" s="258"/>
      <c r="T16" s="259"/>
    </row>
    <row r="17" spans="1:23" s="260" customFormat="1" x14ac:dyDescent="0.3">
      <c r="A17" s="255"/>
      <c r="B17" s="254" t="s">
        <v>4</v>
      </c>
      <c r="C17" s="256"/>
      <c r="D17" s="256"/>
      <c r="E17" s="256"/>
      <c r="F17" s="256"/>
      <c r="G17" s="256"/>
      <c r="H17" s="256"/>
      <c r="I17" s="256"/>
      <c r="J17" s="256"/>
      <c r="K17" s="256"/>
      <c r="L17" s="256"/>
      <c r="M17" s="256"/>
      <c r="N17" s="256"/>
      <c r="O17" s="256"/>
      <c r="P17" s="256"/>
      <c r="Q17" s="256"/>
      <c r="R17" s="263">
        <v>41956</v>
      </c>
      <c r="S17" s="258"/>
      <c r="T17" s="259"/>
    </row>
    <row r="18" spans="1:23" s="260" customFormat="1" x14ac:dyDescent="0.3">
      <c r="A18" s="255"/>
      <c r="B18" s="254" t="s">
        <v>5</v>
      </c>
      <c r="C18" s="256"/>
      <c r="D18" s="256"/>
      <c r="E18" s="256"/>
      <c r="F18" s="256"/>
      <c r="G18" s="256"/>
      <c r="H18" s="256"/>
      <c r="I18" s="256"/>
      <c r="J18" s="256"/>
      <c r="K18" s="256"/>
      <c r="L18" s="256"/>
      <c r="M18" s="256"/>
      <c r="N18" s="256"/>
      <c r="O18" s="256"/>
      <c r="P18" s="256"/>
      <c r="Q18" s="256"/>
      <c r="R18" s="263">
        <v>43272</v>
      </c>
      <c r="S18" s="258"/>
      <c r="T18" s="259"/>
    </row>
    <row r="19" spans="1:23" s="260" customFormat="1" x14ac:dyDescent="0.3">
      <c r="A19" s="255"/>
      <c r="B19" s="256"/>
      <c r="C19" s="256"/>
      <c r="D19" s="256"/>
      <c r="E19" s="256"/>
      <c r="F19" s="256"/>
      <c r="G19" s="256"/>
      <c r="H19" s="256"/>
      <c r="I19" s="256"/>
      <c r="J19" s="256"/>
      <c r="K19" s="256"/>
      <c r="L19" s="256"/>
      <c r="M19" s="256"/>
      <c r="N19" s="256"/>
      <c r="O19" s="256"/>
      <c r="P19" s="256"/>
      <c r="Q19" s="256"/>
      <c r="R19" s="264"/>
      <c r="S19" s="258"/>
      <c r="T19" s="259"/>
    </row>
    <row r="20" spans="1:23" s="260" customFormat="1" x14ac:dyDescent="0.3">
      <c r="A20" s="255"/>
      <c r="B20" s="265" t="s">
        <v>6</v>
      </c>
      <c r="C20" s="256"/>
      <c r="D20" s="256"/>
      <c r="E20" s="256"/>
      <c r="F20" s="256"/>
      <c r="G20" s="256"/>
      <c r="H20" s="256"/>
      <c r="I20" s="256"/>
      <c r="J20" s="256"/>
      <c r="K20" s="256"/>
      <c r="L20" s="256"/>
      <c r="M20" s="256"/>
      <c r="N20" s="256"/>
      <c r="O20" s="256"/>
      <c r="P20" s="264" t="s">
        <v>85</v>
      </c>
      <c r="Q20" s="256"/>
      <c r="R20" s="256"/>
      <c r="S20" s="258"/>
      <c r="T20" s="259"/>
    </row>
    <row r="21" spans="1:23" x14ac:dyDescent="0.3">
      <c r="A21" s="243"/>
      <c r="B21" s="245"/>
      <c r="C21" s="245"/>
      <c r="D21" s="245"/>
      <c r="E21" s="245"/>
      <c r="F21" s="245"/>
      <c r="G21" s="245"/>
      <c r="H21" s="245"/>
      <c r="I21" s="245"/>
      <c r="J21" s="245"/>
      <c r="K21" s="245"/>
      <c r="L21" s="245"/>
      <c r="M21" s="245"/>
      <c r="N21" s="245"/>
      <c r="O21" s="245"/>
      <c r="P21" s="245"/>
      <c r="Q21" s="245"/>
      <c r="R21" s="266"/>
      <c r="S21" s="246"/>
      <c r="T21" s="241"/>
    </row>
    <row r="22" spans="1:23" x14ac:dyDescent="0.3">
      <c r="A22" s="424"/>
      <c r="B22" s="428"/>
      <c r="C22" s="429"/>
      <c r="D22" s="429" t="s">
        <v>152</v>
      </c>
      <c r="E22" s="429"/>
      <c r="F22" s="429" t="s">
        <v>185</v>
      </c>
      <c r="G22" s="429"/>
      <c r="H22" s="429" t="s">
        <v>186</v>
      </c>
      <c r="I22" s="429"/>
      <c r="J22" s="429" t="s">
        <v>187</v>
      </c>
      <c r="K22" s="429"/>
      <c r="L22" s="429"/>
      <c r="M22" s="429"/>
      <c r="N22" s="429"/>
      <c r="O22" s="430"/>
      <c r="P22" s="430"/>
      <c r="Q22" s="428"/>
      <c r="R22" s="428"/>
      <c r="S22" s="426"/>
      <c r="T22" s="241"/>
    </row>
    <row r="23" spans="1:23" s="260" customFormat="1" x14ac:dyDescent="0.3">
      <c r="A23" s="255"/>
      <c r="B23" s="302" t="s">
        <v>183</v>
      </c>
      <c r="C23" s="427"/>
      <c r="D23" s="427" t="s">
        <v>112</v>
      </c>
      <c r="E23" s="427"/>
      <c r="F23" s="427" t="s">
        <v>184</v>
      </c>
      <c r="G23" s="427"/>
      <c r="H23" s="427" t="s">
        <v>188</v>
      </c>
      <c r="I23" s="427"/>
      <c r="J23" s="427" t="s">
        <v>154</v>
      </c>
      <c r="K23" s="427"/>
      <c r="L23" s="427"/>
      <c r="M23" s="427"/>
      <c r="N23" s="427"/>
      <c r="O23" s="427"/>
      <c r="P23" s="427"/>
      <c r="Q23" s="302"/>
      <c r="R23" s="302"/>
      <c r="S23" s="258"/>
      <c r="T23" s="259"/>
    </row>
    <row r="24" spans="1:23" s="260" customFormat="1" x14ac:dyDescent="0.3">
      <c r="A24" s="267"/>
      <c r="B24" s="268" t="s">
        <v>216</v>
      </c>
      <c r="C24" s="269"/>
      <c r="D24" s="270" t="s">
        <v>218</v>
      </c>
      <c r="E24" s="270"/>
      <c r="F24" s="270" t="s">
        <v>219</v>
      </c>
      <c r="G24" s="270"/>
      <c r="H24" s="270" t="s">
        <v>220</v>
      </c>
      <c r="I24" s="270"/>
      <c r="J24" s="270" t="s">
        <v>154</v>
      </c>
      <c r="K24" s="270"/>
      <c r="L24" s="270"/>
      <c r="M24" s="270"/>
      <c r="N24" s="270"/>
      <c r="O24" s="269"/>
      <c r="P24" s="270"/>
      <c r="Q24" s="268"/>
      <c r="R24" s="268"/>
      <c r="S24" s="271"/>
      <c r="T24" s="259"/>
    </row>
    <row r="25" spans="1:23" s="260" customFormat="1" x14ac:dyDescent="0.3">
      <c r="A25" s="267"/>
      <c r="B25" s="272" t="s">
        <v>201</v>
      </c>
      <c r="C25" s="269"/>
      <c r="D25" s="269" t="s">
        <v>112</v>
      </c>
      <c r="E25" s="269"/>
      <c r="F25" s="269" t="s">
        <v>112</v>
      </c>
      <c r="G25" s="269"/>
      <c r="H25" s="269" t="s">
        <v>276</v>
      </c>
      <c r="I25" s="269"/>
      <c r="J25" s="269" t="s">
        <v>154</v>
      </c>
      <c r="K25" s="269"/>
      <c r="L25" s="269"/>
      <c r="M25" s="269"/>
      <c r="N25" s="269"/>
      <c r="O25" s="269"/>
      <c r="P25" s="270"/>
      <c r="Q25" s="268"/>
      <c r="R25" s="268"/>
      <c r="S25" s="271"/>
      <c r="T25" s="259"/>
      <c r="U25" s="273"/>
      <c r="W25" s="274"/>
    </row>
    <row r="26" spans="1:23" s="260" customFormat="1" x14ac:dyDescent="0.3">
      <c r="A26" s="275"/>
      <c r="B26" s="272" t="s">
        <v>217</v>
      </c>
      <c r="C26" s="270"/>
      <c r="D26" s="269" t="s">
        <v>218</v>
      </c>
      <c r="E26" s="269"/>
      <c r="F26" s="269" t="s">
        <v>218</v>
      </c>
      <c r="G26" s="269"/>
      <c r="H26" s="269" t="s">
        <v>277</v>
      </c>
      <c r="I26" s="269"/>
      <c r="J26" s="269" t="s">
        <v>154</v>
      </c>
      <c r="K26" s="269"/>
      <c r="L26" s="269"/>
      <c r="M26" s="269"/>
      <c r="N26" s="269"/>
      <c r="O26" s="270"/>
      <c r="P26" s="276"/>
      <c r="Q26" s="268"/>
      <c r="R26" s="268"/>
      <c r="S26" s="271"/>
      <c r="T26" s="259"/>
      <c r="U26" s="273"/>
      <c r="W26" s="274"/>
    </row>
    <row r="27" spans="1:23" s="260" customFormat="1" x14ac:dyDescent="0.3">
      <c r="A27" s="275"/>
      <c r="B27" s="268" t="s">
        <v>7</v>
      </c>
      <c r="C27" s="277"/>
      <c r="D27" s="270" t="s">
        <v>231</v>
      </c>
      <c r="E27" s="270"/>
      <c r="F27" s="270" t="s">
        <v>232</v>
      </c>
      <c r="G27" s="270"/>
      <c r="H27" s="270" t="s">
        <v>233</v>
      </c>
      <c r="I27" s="270"/>
      <c r="J27" s="270" t="s">
        <v>234</v>
      </c>
      <c r="K27" s="270"/>
      <c r="L27" s="270"/>
      <c r="M27" s="270"/>
      <c r="N27" s="270"/>
      <c r="O27" s="278"/>
      <c r="P27" s="278"/>
      <c r="Q27" s="277"/>
      <c r="R27" s="278"/>
      <c r="S27" s="279"/>
      <c r="T27" s="259"/>
      <c r="U27" s="273"/>
      <c r="W27" s="274"/>
    </row>
    <row r="28" spans="1:23" s="260" customFormat="1" x14ac:dyDescent="0.3">
      <c r="A28" s="267"/>
      <c r="B28" s="268" t="s">
        <v>106</v>
      </c>
      <c r="C28" s="280"/>
      <c r="D28" s="281">
        <v>217900</v>
      </c>
      <c r="E28" s="282"/>
      <c r="F28" s="281">
        <v>17700</v>
      </c>
      <c r="G28" s="283"/>
      <c r="H28" s="281">
        <v>8100</v>
      </c>
      <c r="I28" s="278"/>
      <c r="J28" s="281">
        <v>6300</v>
      </c>
      <c r="K28" s="278"/>
      <c r="L28" s="282"/>
      <c r="M28" s="278"/>
      <c r="N28" s="282"/>
      <c r="O28" s="284"/>
      <c r="P28" s="284"/>
      <c r="Q28" s="280"/>
      <c r="R28" s="278">
        <f>SUM(D28:J28)</f>
        <v>250000</v>
      </c>
      <c r="S28" s="279"/>
      <c r="T28" s="259"/>
    </row>
    <row r="29" spans="1:23" s="260" customFormat="1" x14ac:dyDescent="0.3">
      <c r="A29" s="275"/>
      <c r="B29" s="268" t="s">
        <v>105</v>
      </c>
      <c r="C29" s="277"/>
      <c r="D29" s="281">
        <f>D28*D32</f>
        <v>42173.629819999995</v>
      </c>
      <c r="E29" s="282"/>
      <c r="F29" s="281">
        <f>F28*F32</f>
        <v>17700</v>
      </c>
      <c r="G29" s="281"/>
      <c r="H29" s="281">
        <f>H28*H32</f>
        <v>8100</v>
      </c>
      <c r="I29" s="278"/>
      <c r="J29" s="281">
        <f>J28*J32</f>
        <v>6300</v>
      </c>
      <c r="K29" s="278"/>
      <c r="L29" s="282"/>
      <c r="M29" s="278"/>
      <c r="N29" s="282"/>
      <c r="O29" s="278"/>
      <c r="P29" s="278"/>
      <c r="Q29" s="277"/>
      <c r="R29" s="278">
        <f>SUM(D29:J29)</f>
        <v>74273.629820000002</v>
      </c>
      <c r="S29" s="279"/>
      <c r="T29" s="259"/>
    </row>
    <row r="30" spans="1:23" s="260" customFormat="1" x14ac:dyDescent="0.3">
      <c r="A30" s="275"/>
      <c r="B30" s="272" t="s">
        <v>107</v>
      </c>
      <c r="C30" s="277"/>
      <c r="D30" s="285">
        <f>D28*D31</f>
        <v>34670.112580000001</v>
      </c>
      <c r="E30" s="285"/>
      <c r="F30" s="285">
        <f t="shared" ref="F30:J30" si="0">F28*F31</f>
        <v>17700</v>
      </c>
      <c r="G30" s="285"/>
      <c r="H30" s="285">
        <f>H28*H31</f>
        <v>8100</v>
      </c>
      <c r="I30" s="285"/>
      <c r="J30" s="285">
        <f t="shared" si="0"/>
        <v>6300</v>
      </c>
      <c r="K30" s="284"/>
      <c r="L30" s="286"/>
      <c r="M30" s="284"/>
      <c r="N30" s="286"/>
      <c r="O30" s="278"/>
      <c r="P30" s="278"/>
      <c r="Q30" s="277"/>
      <c r="R30" s="284">
        <f>SUM(D30:J30)</f>
        <v>66770.112580000001</v>
      </c>
      <c r="S30" s="279"/>
      <c r="T30" s="259"/>
    </row>
    <row r="31" spans="1:23" s="409" customFormat="1" x14ac:dyDescent="0.3">
      <c r="A31" s="401"/>
      <c r="B31" s="402" t="s">
        <v>103</v>
      </c>
      <c r="C31" s="403"/>
      <c r="D31" s="404">
        <v>0.15911020000000001</v>
      </c>
      <c r="E31" s="404"/>
      <c r="F31" s="404">
        <v>1</v>
      </c>
      <c r="G31" s="404"/>
      <c r="H31" s="404">
        <v>1</v>
      </c>
      <c r="I31" s="404"/>
      <c r="J31" s="404">
        <v>1</v>
      </c>
      <c r="K31" s="404"/>
      <c r="L31" s="404"/>
      <c r="M31" s="404"/>
      <c r="N31" s="404"/>
      <c r="O31" s="405"/>
      <c r="P31" s="405"/>
      <c r="Q31" s="403"/>
      <c r="R31" s="406"/>
      <c r="S31" s="407"/>
      <c r="T31" s="408"/>
    </row>
    <row r="32" spans="1:23" s="409" customFormat="1" x14ac:dyDescent="0.3">
      <c r="A32" s="401"/>
      <c r="B32" s="402" t="s">
        <v>104</v>
      </c>
      <c r="C32" s="403"/>
      <c r="D32" s="404">
        <v>0.19354579999999999</v>
      </c>
      <c r="E32" s="404"/>
      <c r="F32" s="404">
        <v>1</v>
      </c>
      <c r="G32" s="404"/>
      <c r="H32" s="404">
        <v>1</v>
      </c>
      <c r="I32" s="404"/>
      <c r="J32" s="404">
        <v>1</v>
      </c>
      <c r="K32" s="404"/>
      <c r="L32" s="404"/>
      <c r="M32" s="404"/>
      <c r="N32" s="404"/>
      <c r="O32" s="410"/>
      <c r="P32" s="411"/>
      <c r="Q32" s="403"/>
      <c r="R32" s="410"/>
      <c r="S32" s="407"/>
      <c r="T32" s="408"/>
    </row>
    <row r="33" spans="1:21" s="260" customFormat="1" x14ac:dyDescent="0.3">
      <c r="A33" s="275"/>
      <c r="B33" s="268" t="s">
        <v>8</v>
      </c>
      <c r="C33" s="268"/>
      <c r="D33" s="276" t="s">
        <v>250</v>
      </c>
      <c r="E33" s="276"/>
      <c r="F33" s="276" t="s">
        <v>251</v>
      </c>
      <c r="G33" s="276"/>
      <c r="H33" s="276" t="s">
        <v>252</v>
      </c>
      <c r="I33" s="276"/>
      <c r="J33" s="276" t="s">
        <v>253</v>
      </c>
      <c r="K33" s="276"/>
      <c r="L33" s="276"/>
      <c r="M33" s="276"/>
      <c r="N33" s="276"/>
      <c r="O33" s="290"/>
      <c r="P33" s="291"/>
      <c r="Q33" s="268"/>
      <c r="R33" s="268"/>
      <c r="S33" s="271"/>
      <c r="T33" s="259"/>
    </row>
    <row r="34" spans="1:21" s="260" customFormat="1" x14ac:dyDescent="0.3">
      <c r="A34" s="275"/>
      <c r="B34" s="268" t="s">
        <v>9</v>
      </c>
      <c r="C34" s="292"/>
      <c r="D34" s="291">
        <v>1.40591E-2</v>
      </c>
      <c r="E34" s="291"/>
      <c r="F34" s="291">
        <v>2.00591E-2</v>
      </c>
      <c r="G34" s="291"/>
      <c r="H34" s="291">
        <v>2.3559099999999999E-2</v>
      </c>
      <c r="I34" s="291"/>
      <c r="J34" s="291">
        <v>2.7059099999999999E-2</v>
      </c>
      <c r="K34" s="291"/>
      <c r="L34" s="291"/>
      <c r="M34" s="290"/>
      <c r="N34" s="291"/>
      <c r="O34" s="276"/>
      <c r="P34" s="276"/>
      <c r="Q34" s="268"/>
      <c r="R34" s="290">
        <f>SUMPRODUCT(D34:J34,D29:J29)/R29</f>
        <v>1.7627661286722367E-2</v>
      </c>
      <c r="S34" s="271"/>
      <c r="T34" s="259"/>
    </row>
    <row r="35" spans="1:21" s="260" customFormat="1" x14ac:dyDescent="0.3">
      <c r="A35" s="275"/>
      <c r="B35" s="268" t="s">
        <v>10</v>
      </c>
      <c r="C35" s="292"/>
      <c r="D35" s="291">
        <v>1.3161900000000001E-2</v>
      </c>
      <c r="E35" s="291"/>
      <c r="F35" s="291">
        <v>1.9161899999999999E-2</v>
      </c>
      <c r="G35" s="291"/>
      <c r="H35" s="291">
        <v>2.2661899999999999E-2</v>
      </c>
      <c r="I35" s="291"/>
      <c r="J35" s="291">
        <v>2.6161899999999998E-2</v>
      </c>
      <c r="K35" s="291"/>
      <c r="L35" s="291"/>
      <c r="M35" s="290"/>
      <c r="N35" s="291"/>
      <c r="O35" s="276"/>
      <c r="P35" s="276"/>
      <c r="Q35" s="268"/>
      <c r="R35" s="268"/>
      <c r="S35" s="271"/>
      <c r="T35" s="259"/>
    </row>
    <row r="36" spans="1:21" s="260" customFormat="1" x14ac:dyDescent="0.3">
      <c r="A36" s="275"/>
      <c r="B36" s="268" t="s">
        <v>155</v>
      </c>
      <c r="C36" s="268"/>
      <c r="D36" s="292">
        <v>43449</v>
      </c>
      <c r="E36" s="292"/>
      <c r="F36" s="292">
        <v>43449</v>
      </c>
      <c r="G36" s="292"/>
      <c r="H36" s="292">
        <v>43449</v>
      </c>
      <c r="I36" s="292"/>
      <c r="J36" s="292">
        <v>43449</v>
      </c>
      <c r="K36" s="292"/>
      <c r="L36" s="292"/>
      <c r="M36" s="292"/>
      <c r="N36" s="292"/>
      <c r="O36" s="276"/>
      <c r="P36" s="276"/>
      <c r="Q36" s="268"/>
      <c r="R36" s="268"/>
      <c r="S36" s="271"/>
      <c r="T36" s="259"/>
    </row>
    <row r="37" spans="1:21" s="260" customFormat="1" x14ac:dyDescent="0.3">
      <c r="A37" s="275"/>
      <c r="B37" s="268" t="s">
        <v>11</v>
      </c>
      <c r="C37" s="268"/>
      <c r="D37" s="292" t="s">
        <v>97</v>
      </c>
      <c r="E37" s="292"/>
      <c r="F37" s="292" t="s">
        <v>97</v>
      </c>
      <c r="G37" s="276"/>
      <c r="H37" s="292" t="s">
        <v>97</v>
      </c>
      <c r="I37" s="276"/>
      <c r="J37" s="292" t="s">
        <v>97</v>
      </c>
      <c r="K37" s="276"/>
      <c r="L37" s="292"/>
      <c r="M37" s="276"/>
      <c r="N37" s="292"/>
      <c r="O37" s="276"/>
      <c r="P37" s="276"/>
      <c r="Q37" s="268"/>
      <c r="R37" s="268"/>
      <c r="S37" s="271"/>
      <c r="T37" s="259"/>
    </row>
    <row r="38" spans="1:21" s="260" customFormat="1" x14ac:dyDescent="0.3">
      <c r="A38" s="275"/>
      <c r="B38" s="268" t="s">
        <v>98</v>
      </c>
      <c r="C38" s="268"/>
      <c r="D38" s="276" t="s">
        <v>97</v>
      </c>
      <c r="E38" s="276"/>
      <c r="F38" s="276" t="s">
        <v>97</v>
      </c>
      <c r="G38" s="276"/>
      <c r="H38" s="276" t="s">
        <v>97</v>
      </c>
      <c r="I38" s="276"/>
      <c r="J38" s="276" t="s">
        <v>97</v>
      </c>
      <c r="K38" s="276"/>
      <c r="L38" s="276"/>
      <c r="M38" s="276"/>
      <c r="N38" s="276"/>
      <c r="O38" s="293"/>
      <c r="P38" s="293"/>
      <c r="Q38" s="293"/>
      <c r="R38" s="293"/>
      <c r="S38" s="271"/>
      <c r="T38" s="259"/>
    </row>
    <row r="39" spans="1:21" s="260" customFormat="1" x14ac:dyDescent="0.3">
      <c r="A39" s="275"/>
      <c r="B39" s="268"/>
      <c r="C39" s="268"/>
      <c r="D39" s="276"/>
      <c r="E39" s="276"/>
      <c r="F39" s="276"/>
      <c r="G39" s="276"/>
      <c r="H39" s="276"/>
      <c r="I39" s="276"/>
      <c r="J39" s="276"/>
      <c r="K39" s="276"/>
      <c r="L39" s="276"/>
      <c r="M39" s="276"/>
      <c r="N39" s="276"/>
      <c r="O39" s="268"/>
      <c r="P39" s="268"/>
      <c r="Q39" s="268"/>
      <c r="R39" s="290" t="s">
        <v>130</v>
      </c>
      <c r="S39" s="271"/>
      <c r="T39" s="259"/>
    </row>
    <row r="40" spans="1:21" s="260" customFormat="1" x14ac:dyDescent="0.3">
      <c r="A40" s="275"/>
      <c r="B40" s="268" t="s">
        <v>202</v>
      </c>
      <c r="C40" s="268"/>
      <c r="D40" s="276"/>
      <c r="E40" s="276"/>
      <c r="F40" s="276"/>
      <c r="G40" s="276"/>
      <c r="H40" s="276"/>
      <c r="I40" s="276"/>
      <c r="J40" s="276"/>
      <c r="K40" s="276"/>
      <c r="L40" s="276"/>
      <c r="M40" s="276"/>
      <c r="N40" s="276"/>
      <c r="O40" s="268"/>
      <c r="P40" s="268"/>
      <c r="Q40" s="268"/>
      <c r="R40" s="290">
        <f>SUM(F28:J28)/D28</f>
        <v>0.14731528223955942</v>
      </c>
      <c r="S40" s="271"/>
      <c r="T40" s="259"/>
    </row>
    <row r="41" spans="1:21" s="260" customFormat="1" x14ac:dyDescent="0.3">
      <c r="A41" s="275"/>
      <c r="B41" s="268" t="s">
        <v>203</v>
      </c>
      <c r="C41" s="268"/>
      <c r="D41" s="268"/>
      <c r="E41" s="268"/>
      <c r="F41" s="268"/>
      <c r="G41" s="268"/>
      <c r="H41" s="268"/>
      <c r="I41" s="268"/>
      <c r="J41" s="268"/>
      <c r="K41" s="268"/>
      <c r="L41" s="268"/>
      <c r="M41" s="268"/>
      <c r="N41" s="268"/>
      <c r="O41" s="268"/>
      <c r="P41" s="268"/>
      <c r="Q41" s="268"/>
      <c r="R41" s="290">
        <f>SUM(F30:J30)/D30</f>
        <v>0.92586950578630045</v>
      </c>
      <c r="S41" s="271"/>
      <c r="T41" s="259"/>
    </row>
    <row r="42" spans="1:21" s="260" customFormat="1" x14ac:dyDescent="0.3">
      <c r="A42" s="275"/>
      <c r="B42" s="268" t="s">
        <v>204</v>
      </c>
      <c r="C42" s="268"/>
      <c r="D42" s="268"/>
      <c r="E42" s="268"/>
      <c r="F42" s="268"/>
      <c r="G42" s="268"/>
      <c r="H42" s="268"/>
      <c r="I42" s="268"/>
      <c r="J42" s="268"/>
      <c r="K42" s="268"/>
      <c r="L42" s="268"/>
      <c r="M42" s="268"/>
      <c r="N42" s="268"/>
      <c r="O42" s="268"/>
      <c r="P42" s="276"/>
      <c r="Q42" s="276"/>
      <c r="R42" s="278" t="s">
        <v>149</v>
      </c>
      <c r="S42" s="271"/>
      <c r="T42" s="259"/>
    </row>
    <row r="43" spans="1:21" s="260" customFormat="1" x14ac:dyDescent="0.3">
      <c r="A43" s="275"/>
      <c r="B43" s="268"/>
      <c r="C43" s="268"/>
      <c r="D43" s="268"/>
      <c r="E43" s="268"/>
      <c r="F43" s="268"/>
      <c r="G43" s="268"/>
      <c r="H43" s="268"/>
      <c r="I43" s="268"/>
      <c r="J43" s="268"/>
      <c r="K43" s="268"/>
      <c r="L43" s="268"/>
      <c r="M43" s="268"/>
      <c r="N43" s="268"/>
      <c r="O43" s="268"/>
      <c r="P43" s="268"/>
      <c r="Q43" s="268"/>
      <c r="R43" s="294"/>
      <c r="S43" s="271"/>
      <c r="T43" s="259"/>
    </row>
    <row r="44" spans="1:21" s="260" customFormat="1" x14ac:dyDescent="0.3">
      <c r="A44" s="275"/>
      <c r="B44" s="268" t="s">
        <v>205</v>
      </c>
      <c r="C44" s="268"/>
      <c r="D44" s="268"/>
      <c r="E44" s="268"/>
      <c r="F44" s="268"/>
      <c r="G44" s="268"/>
      <c r="H44" s="268"/>
      <c r="I44" s="268"/>
      <c r="J44" s="268"/>
      <c r="K44" s="268"/>
      <c r="L44" s="268"/>
      <c r="M44" s="268"/>
      <c r="N44" s="268"/>
      <c r="O44" s="268"/>
      <c r="P44" s="268"/>
      <c r="Q44" s="268"/>
      <c r="R44" s="295" t="s">
        <v>91</v>
      </c>
      <c r="S44" s="271"/>
      <c r="T44" s="259"/>
    </row>
    <row r="45" spans="1:21" s="260" customFormat="1" x14ac:dyDescent="0.3">
      <c r="A45" s="275"/>
      <c r="B45" s="272" t="s">
        <v>131</v>
      </c>
      <c r="C45" s="272"/>
      <c r="D45" s="272"/>
      <c r="E45" s="272"/>
      <c r="F45" s="272"/>
      <c r="G45" s="272"/>
      <c r="H45" s="272"/>
      <c r="I45" s="272"/>
      <c r="J45" s="272"/>
      <c r="K45" s="272"/>
      <c r="L45" s="272"/>
      <c r="M45" s="272"/>
      <c r="N45" s="272"/>
      <c r="O45" s="272"/>
      <c r="P45" s="296"/>
      <c r="Q45" s="296"/>
      <c r="R45" s="297">
        <v>43266</v>
      </c>
      <c r="S45" s="271"/>
      <c r="T45" s="259"/>
    </row>
    <row r="46" spans="1:21" s="260" customFormat="1" x14ac:dyDescent="0.3">
      <c r="A46" s="275"/>
      <c r="B46" s="268" t="s">
        <v>99</v>
      </c>
      <c r="C46" s="268"/>
      <c r="D46" s="298"/>
      <c r="E46" s="298"/>
      <c r="F46" s="298"/>
      <c r="G46" s="298"/>
      <c r="H46" s="298"/>
      <c r="I46" s="298"/>
      <c r="J46" s="298"/>
      <c r="K46" s="298"/>
      <c r="L46" s="298"/>
      <c r="M46" s="298"/>
      <c r="N46" s="268">
        <f>+R46-P46+1</f>
        <v>90</v>
      </c>
      <c r="O46" s="268"/>
      <c r="P46" s="299">
        <v>43084</v>
      </c>
      <c r="Q46" s="300"/>
      <c r="R46" s="299">
        <v>43173</v>
      </c>
      <c r="S46" s="271"/>
      <c r="T46" s="259"/>
    </row>
    <row r="47" spans="1:21" s="260" customFormat="1" x14ac:dyDescent="0.3">
      <c r="A47" s="275"/>
      <c r="B47" s="268" t="s">
        <v>100</v>
      </c>
      <c r="C47" s="268"/>
      <c r="D47" s="268"/>
      <c r="E47" s="268"/>
      <c r="F47" s="268"/>
      <c r="G47" s="268"/>
      <c r="H47" s="268"/>
      <c r="I47" s="268"/>
      <c r="J47" s="268"/>
      <c r="K47" s="268"/>
      <c r="L47" s="268"/>
      <c r="M47" s="268"/>
      <c r="N47" s="268">
        <f>+R47-P47+1</f>
        <v>92</v>
      </c>
      <c r="O47" s="268"/>
      <c r="P47" s="299">
        <v>43174</v>
      </c>
      <c r="Q47" s="300"/>
      <c r="R47" s="299">
        <v>43265</v>
      </c>
      <c r="S47" s="271"/>
      <c r="T47" s="259"/>
    </row>
    <row r="48" spans="1:21" s="260" customFormat="1" x14ac:dyDescent="0.3">
      <c r="A48" s="275"/>
      <c r="B48" s="268" t="s">
        <v>206</v>
      </c>
      <c r="C48" s="268"/>
      <c r="D48" s="268"/>
      <c r="E48" s="268"/>
      <c r="F48" s="268"/>
      <c r="G48" s="268"/>
      <c r="H48" s="268"/>
      <c r="I48" s="268"/>
      <c r="J48" s="268"/>
      <c r="K48" s="268"/>
      <c r="L48" s="268"/>
      <c r="M48" s="268"/>
      <c r="N48" s="268"/>
      <c r="O48" s="268"/>
      <c r="P48" s="299"/>
      <c r="Q48" s="300"/>
      <c r="R48" s="299" t="s">
        <v>118</v>
      </c>
      <c r="S48" s="271"/>
      <c r="T48" s="259"/>
      <c r="U48" s="301"/>
    </row>
    <row r="49" spans="1:20" s="260" customFormat="1" x14ac:dyDescent="0.3">
      <c r="A49" s="275"/>
      <c r="B49" s="268" t="s">
        <v>12</v>
      </c>
      <c r="C49" s="268"/>
      <c r="D49" s="268"/>
      <c r="E49" s="268"/>
      <c r="F49" s="268"/>
      <c r="G49" s="268"/>
      <c r="H49" s="268"/>
      <c r="I49" s="268"/>
      <c r="J49" s="268"/>
      <c r="K49" s="268"/>
      <c r="L49" s="268"/>
      <c r="M49" s="268"/>
      <c r="N49" s="268"/>
      <c r="O49" s="268"/>
      <c r="P49" s="299"/>
      <c r="Q49" s="300"/>
      <c r="R49" s="299">
        <v>43252</v>
      </c>
      <c r="S49" s="271"/>
      <c r="T49" s="259"/>
    </row>
    <row r="50" spans="1:20" s="260" customFormat="1" x14ac:dyDescent="0.3">
      <c r="A50" s="255"/>
      <c r="B50" s="302"/>
      <c r="C50" s="302"/>
      <c r="D50" s="302"/>
      <c r="E50" s="302"/>
      <c r="F50" s="302"/>
      <c r="G50" s="302"/>
      <c r="H50" s="302"/>
      <c r="I50" s="302"/>
      <c r="J50" s="302"/>
      <c r="K50" s="302"/>
      <c r="L50" s="302"/>
      <c r="M50" s="302"/>
      <c r="N50" s="302"/>
      <c r="O50" s="302"/>
      <c r="P50" s="303"/>
      <c r="Q50" s="304"/>
      <c r="R50" s="303"/>
      <c r="S50" s="258"/>
      <c r="T50" s="259"/>
    </row>
    <row r="51" spans="1:20" s="260" customFormat="1" x14ac:dyDescent="0.3">
      <c r="A51" s="255"/>
      <c r="B51" s="256"/>
      <c r="C51" s="256"/>
      <c r="D51" s="256"/>
      <c r="E51" s="256"/>
      <c r="F51" s="256"/>
      <c r="G51" s="256"/>
      <c r="H51" s="256"/>
      <c r="I51" s="256"/>
      <c r="J51" s="256"/>
      <c r="K51" s="256"/>
      <c r="L51" s="256"/>
      <c r="M51" s="256"/>
      <c r="N51" s="256"/>
      <c r="O51" s="256"/>
      <c r="P51" s="305"/>
      <c r="Q51" s="306"/>
      <c r="R51" s="305"/>
      <c r="S51" s="258"/>
      <c r="T51" s="259"/>
    </row>
    <row r="52" spans="1:20" s="260" customFormat="1" ht="18.600000000000001" thickBot="1" x14ac:dyDescent="0.4">
      <c r="A52" s="307"/>
      <c r="B52" s="308" t="s">
        <v>278</v>
      </c>
      <c r="C52" s="309"/>
      <c r="D52" s="309"/>
      <c r="E52" s="309"/>
      <c r="F52" s="309"/>
      <c r="G52" s="309"/>
      <c r="H52" s="309"/>
      <c r="I52" s="309"/>
      <c r="J52" s="309"/>
      <c r="K52" s="309"/>
      <c r="L52" s="309"/>
      <c r="M52" s="309"/>
      <c r="N52" s="309"/>
      <c r="O52" s="309"/>
      <c r="P52" s="309"/>
      <c r="Q52" s="309"/>
      <c r="R52" s="310"/>
      <c r="S52" s="311"/>
      <c r="T52" s="259"/>
    </row>
    <row r="53" spans="1:20" x14ac:dyDescent="0.3">
      <c r="A53" s="424"/>
      <c r="B53" s="431" t="s">
        <v>13</v>
      </c>
      <c r="C53" s="425"/>
      <c r="D53" s="425"/>
      <c r="E53" s="425"/>
      <c r="F53" s="425"/>
      <c r="G53" s="425"/>
      <c r="H53" s="425"/>
      <c r="I53" s="425"/>
      <c r="J53" s="425"/>
      <c r="K53" s="425"/>
      <c r="L53" s="425"/>
      <c r="M53" s="425"/>
      <c r="N53" s="425"/>
      <c r="O53" s="425"/>
      <c r="P53" s="425"/>
      <c r="Q53" s="425"/>
      <c r="R53" s="432"/>
      <c r="S53" s="425"/>
      <c r="T53" s="241"/>
    </row>
    <row r="54" spans="1:20" x14ac:dyDescent="0.3">
      <c r="A54" s="243"/>
      <c r="B54" s="253"/>
      <c r="C54" s="245"/>
      <c r="D54" s="245"/>
      <c r="E54" s="245"/>
      <c r="F54" s="245"/>
      <c r="G54" s="245"/>
      <c r="H54" s="245"/>
      <c r="I54" s="245"/>
      <c r="J54" s="245"/>
      <c r="K54" s="245"/>
      <c r="L54" s="245"/>
      <c r="M54" s="245"/>
      <c r="N54" s="245"/>
      <c r="O54" s="245"/>
      <c r="P54" s="245"/>
      <c r="Q54" s="245"/>
      <c r="R54" s="312"/>
      <c r="S54" s="246"/>
      <c r="T54" s="241"/>
    </row>
    <row r="55" spans="1:20" s="409" customFormat="1" ht="46.8" x14ac:dyDescent="0.3">
      <c r="A55" s="412"/>
      <c r="B55" s="413" t="s">
        <v>14</v>
      </c>
      <c r="C55" s="414"/>
      <c r="D55" s="414"/>
      <c r="E55" s="414"/>
      <c r="F55" s="414" t="s">
        <v>76</v>
      </c>
      <c r="G55" s="414"/>
      <c r="H55" s="414" t="s">
        <v>78</v>
      </c>
      <c r="I55" s="414"/>
      <c r="J55" s="414" t="s">
        <v>165</v>
      </c>
      <c r="K55" s="414"/>
      <c r="L55" s="414" t="s">
        <v>166</v>
      </c>
      <c r="M55" s="414"/>
      <c r="N55" s="414" t="s">
        <v>81</v>
      </c>
      <c r="O55" s="414"/>
      <c r="P55" s="414" t="s">
        <v>86</v>
      </c>
      <c r="Q55" s="414"/>
      <c r="R55" s="415" t="s">
        <v>92</v>
      </c>
      <c r="S55" s="416"/>
      <c r="T55" s="408"/>
    </row>
    <row r="56" spans="1:20" s="260" customFormat="1" x14ac:dyDescent="0.3">
      <c r="A56" s="275"/>
      <c r="B56" s="268" t="s">
        <v>15</v>
      </c>
      <c r="C56" s="313"/>
      <c r="D56" s="313"/>
      <c r="E56" s="313"/>
      <c r="F56" s="313">
        <v>224374</v>
      </c>
      <c r="G56" s="313"/>
      <c r="H56" s="314">
        <v>74274</v>
      </c>
      <c r="I56" s="313"/>
      <c r="J56" s="314">
        <v>53</v>
      </c>
      <c r="K56" s="313"/>
      <c r="L56" s="313">
        <v>4838</v>
      </c>
      <c r="M56" s="313"/>
      <c r="N56" s="313">
        <v>0</v>
      </c>
      <c r="O56" s="313"/>
      <c r="P56" s="313">
        <f>581+949+1083</f>
        <v>2613</v>
      </c>
      <c r="Q56" s="313"/>
      <c r="R56" s="314">
        <f>H56-J56-L56+N56-P56</f>
        <v>66770</v>
      </c>
      <c r="S56" s="271"/>
      <c r="T56" s="259"/>
    </row>
    <row r="57" spans="1:20" s="260" customFormat="1" x14ac:dyDescent="0.3">
      <c r="A57" s="275"/>
      <c r="B57" s="268" t="s">
        <v>16</v>
      </c>
      <c r="C57" s="313"/>
      <c r="D57" s="313"/>
      <c r="E57" s="313"/>
      <c r="F57" s="313">
        <v>0</v>
      </c>
      <c r="G57" s="313"/>
      <c r="H57" s="314">
        <v>0</v>
      </c>
      <c r="I57" s="313"/>
      <c r="J57" s="314">
        <v>0</v>
      </c>
      <c r="K57" s="313"/>
      <c r="L57" s="313">
        <v>0</v>
      </c>
      <c r="M57" s="313"/>
      <c r="N57" s="313">
        <v>0</v>
      </c>
      <c r="O57" s="313"/>
      <c r="P57" s="313">
        <v>0</v>
      </c>
      <c r="Q57" s="313"/>
      <c r="R57" s="314">
        <f>F57-J57-L57</f>
        <v>0</v>
      </c>
      <c r="S57" s="271"/>
      <c r="T57" s="259"/>
    </row>
    <row r="58" spans="1:20" s="260" customFormat="1" x14ac:dyDescent="0.3">
      <c r="A58" s="275"/>
      <c r="B58" s="268"/>
      <c r="C58" s="313"/>
      <c r="D58" s="313"/>
      <c r="E58" s="313"/>
      <c r="F58" s="313"/>
      <c r="G58" s="313"/>
      <c r="H58" s="314"/>
      <c r="I58" s="313"/>
      <c r="J58" s="314"/>
      <c r="K58" s="313"/>
      <c r="L58" s="313"/>
      <c r="M58" s="313"/>
      <c r="N58" s="313"/>
      <c r="O58" s="313"/>
      <c r="P58" s="313"/>
      <c r="Q58" s="313"/>
      <c r="R58" s="314"/>
      <c r="S58" s="271"/>
      <c r="T58" s="259"/>
    </row>
    <row r="59" spans="1:20" s="260" customFormat="1" x14ac:dyDescent="0.3">
      <c r="A59" s="275"/>
      <c r="B59" s="268" t="s">
        <v>17</v>
      </c>
      <c r="C59" s="313"/>
      <c r="D59" s="313"/>
      <c r="E59" s="313"/>
      <c r="F59" s="313">
        <f>SUM(F56:F58)</f>
        <v>224374</v>
      </c>
      <c r="G59" s="313"/>
      <c r="H59" s="313">
        <f>H56+H57</f>
        <v>74274</v>
      </c>
      <c r="I59" s="313"/>
      <c r="J59" s="313">
        <f>J56+J57</f>
        <v>53</v>
      </c>
      <c r="K59" s="313"/>
      <c r="L59" s="313">
        <f>SUM(L56:L58)</f>
        <v>4838</v>
      </c>
      <c r="M59" s="313"/>
      <c r="N59" s="313">
        <f>SUM(N56:N58)</f>
        <v>0</v>
      </c>
      <c r="O59" s="313"/>
      <c r="P59" s="313">
        <f>SUM(P56:P58)</f>
        <v>2613</v>
      </c>
      <c r="Q59" s="313"/>
      <c r="R59" s="313">
        <f>SUM(R56:R58)</f>
        <v>66770</v>
      </c>
      <c r="S59" s="271"/>
      <c r="T59" s="259"/>
    </row>
    <row r="60" spans="1:20" x14ac:dyDescent="0.3">
      <c r="A60" s="243"/>
      <c r="B60" s="315"/>
      <c r="C60" s="316"/>
      <c r="D60" s="316"/>
      <c r="E60" s="316"/>
      <c r="F60" s="316"/>
      <c r="G60" s="316"/>
      <c r="H60" s="316"/>
      <c r="I60" s="316"/>
      <c r="J60" s="316"/>
      <c r="K60" s="316"/>
      <c r="L60" s="316"/>
      <c r="M60" s="316"/>
      <c r="N60" s="316"/>
      <c r="O60" s="316"/>
      <c r="P60" s="316"/>
      <c r="Q60" s="316"/>
      <c r="R60" s="317"/>
      <c r="S60" s="246"/>
      <c r="T60" s="241"/>
    </row>
    <row r="61" spans="1:20" x14ac:dyDescent="0.3">
      <c r="A61" s="243"/>
      <c r="B61" s="248" t="s">
        <v>18</v>
      </c>
      <c r="C61" s="318"/>
      <c r="D61" s="318"/>
      <c r="E61" s="318"/>
      <c r="F61" s="318"/>
      <c r="G61" s="318"/>
      <c r="H61" s="318"/>
      <c r="I61" s="318"/>
      <c r="J61" s="318"/>
      <c r="K61" s="318"/>
      <c r="L61" s="318"/>
      <c r="M61" s="318"/>
      <c r="N61" s="318"/>
      <c r="O61" s="318"/>
      <c r="P61" s="318"/>
      <c r="Q61" s="318"/>
      <c r="R61" s="319"/>
      <c r="S61" s="246"/>
      <c r="T61" s="241"/>
    </row>
    <row r="62" spans="1:20" x14ac:dyDescent="0.3">
      <c r="A62" s="243"/>
      <c r="B62" s="245"/>
      <c r="C62" s="318"/>
      <c r="D62" s="318"/>
      <c r="E62" s="318"/>
      <c r="F62" s="318"/>
      <c r="G62" s="318"/>
      <c r="H62" s="318"/>
      <c r="I62" s="318"/>
      <c r="J62" s="318"/>
      <c r="K62" s="318"/>
      <c r="L62" s="318"/>
      <c r="M62" s="318"/>
      <c r="N62" s="318"/>
      <c r="O62" s="318"/>
      <c r="P62" s="318"/>
      <c r="Q62" s="318"/>
      <c r="R62" s="319"/>
      <c r="S62" s="246"/>
      <c r="T62" s="241"/>
    </row>
    <row r="63" spans="1:20" s="260" customFormat="1" x14ac:dyDescent="0.3">
      <c r="A63" s="275"/>
      <c r="B63" s="268" t="s">
        <v>15</v>
      </c>
      <c r="C63" s="313"/>
      <c r="D63" s="313"/>
      <c r="E63" s="313"/>
      <c r="F63" s="313"/>
      <c r="G63" s="313"/>
      <c r="H63" s="313"/>
      <c r="I63" s="313"/>
      <c r="J63" s="313"/>
      <c r="K63" s="313"/>
      <c r="L63" s="313"/>
      <c r="M63" s="313"/>
      <c r="N63" s="313"/>
      <c r="O63" s="313"/>
      <c r="P63" s="313"/>
      <c r="Q63" s="313"/>
      <c r="R63" s="313"/>
      <c r="S63" s="271"/>
      <c r="T63" s="259"/>
    </row>
    <row r="64" spans="1:20" s="260" customFormat="1" x14ac:dyDescent="0.3">
      <c r="A64" s="275"/>
      <c r="B64" s="268" t="s">
        <v>16</v>
      </c>
      <c r="C64" s="313"/>
      <c r="D64" s="313"/>
      <c r="E64" s="313"/>
      <c r="F64" s="313"/>
      <c r="G64" s="313"/>
      <c r="H64" s="313"/>
      <c r="I64" s="313"/>
      <c r="J64" s="313"/>
      <c r="K64" s="313"/>
      <c r="L64" s="313"/>
      <c r="M64" s="313"/>
      <c r="N64" s="313"/>
      <c r="O64" s="313"/>
      <c r="P64" s="313"/>
      <c r="Q64" s="313"/>
      <c r="R64" s="313"/>
      <c r="S64" s="271"/>
      <c r="T64" s="259"/>
    </row>
    <row r="65" spans="1:20" s="260" customFormat="1" x14ac:dyDescent="0.3">
      <c r="A65" s="275"/>
      <c r="B65" s="268"/>
      <c r="C65" s="313"/>
      <c r="D65" s="313"/>
      <c r="E65" s="313"/>
      <c r="F65" s="313"/>
      <c r="G65" s="313"/>
      <c r="H65" s="313"/>
      <c r="I65" s="313"/>
      <c r="J65" s="313"/>
      <c r="K65" s="313"/>
      <c r="L65" s="313"/>
      <c r="M65" s="313"/>
      <c r="N65" s="313"/>
      <c r="O65" s="313"/>
      <c r="P65" s="313"/>
      <c r="Q65" s="313"/>
      <c r="R65" s="313"/>
      <c r="S65" s="271"/>
      <c r="T65" s="259"/>
    </row>
    <row r="66" spans="1:20" s="260" customFormat="1" x14ac:dyDescent="0.3">
      <c r="A66" s="275"/>
      <c r="B66" s="268" t="s">
        <v>17</v>
      </c>
      <c r="C66" s="313"/>
      <c r="D66" s="313"/>
      <c r="E66" s="313"/>
      <c r="F66" s="313"/>
      <c r="G66" s="313"/>
      <c r="H66" s="313"/>
      <c r="I66" s="313"/>
      <c r="J66" s="313"/>
      <c r="K66" s="313"/>
      <c r="L66" s="313"/>
      <c r="M66" s="313"/>
      <c r="N66" s="313"/>
      <c r="O66" s="313"/>
      <c r="P66" s="313"/>
      <c r="Q66" s="313"/>
      <c r="R66" s="313"/>
      <c r="S66" s="271"/>
      <c r="T66" s="259"/>
    </row>
    <row r="67" spans="1:20" s="260" customFormat="1" x14ac:dyDescent="0.3">
      <c r="A67" s="275"/>
      <c r="B67" s="268"/>
      <c r="C67" s="313"/>
      <c r="D67" s="313"/>
      <c r="E67" s="313"/>
      <c r="F67" s="313"/>
      <c r="G67" s="313"/>
      <c r="H67" s="313"/>
      <c r="I67" s="313"/>
      <c r="J67" s="313"/>
      <c r="K67" s="313"/>
      <c r="L67" s="313"/>
      <c r="M67" s="313"/>
      <c r="N67" s="313"/>
      <c r="O67" s="313"/>
      <c r="P67" s="313"/>
      <c r="Q67" s="313"/>
      <c r="R67" s="313"/>
      <c r="S67" s="271"/>
      <c r="T67" s="259"/>
    </row>
    <row r="68" spans="1:20" s="260" customFormat="1" x14ac:dyDescent="0.3">
      <c r="A68" s="275"/>
      <c r="B68" s="268" t="s">
        <v>19</v>
      </c>
      <c r="C68" s="313"/>
      <c r="D68" s="313"/>
      <c r="E68" s="313"/>
      <c r="F68" s="313">
        <v>0</v>
      </c>
      <c r="G68" s="313"/>
      <c r="H68" s="313">
        <v>0</v>
      </c>
      <c r="I68" s="313"/>
      <c r="J68" s="313"/>
      <c r="K68" s="313"/>
      <c r="L68" s="313"/>
      <c r="M68" s="313"/>
      <c r="N68" s="313"/>
      <c r="O68" s="313"/>
      <c r="P68" s="313"/>
      <c r="Q68" s="313"/>
      <c r="R68" s="314">
        <v>0</v>
      </c>
      <c r="S68" s="271"/>
      <c r="T68" s="259"/>
    </row>
    <row r="69" spans="1:20" s="260" customFormat="1" x14ac:dyDescent="0.3">
      <c r="A69" s="275"/>
      <c r="B69" s="268" t="s">
        <v>215</v>
      </c>
      <c r="C69" s="313"/>
      <c r="D69" s="313"/>
      <c r="E69" s="313"/>
      <c r="F69" s="313">
        <v>23451</v>
      </c>
      <c r="G69" s="313"/>
      <c r="H69" s="313">
        <v>0</v>
      </c>
      <c r="I69" s="313"/>
      <c r="J69" s="313">
        <v>0</v>
      </c>
      <c r="K69" s="313"/>
      <c r="L69" s="313">
        <v>0</v>
      </c>
      <c r="M69" s="313"/>
      <c r="N69" s="313"/>
      <c r="O69" s="313"/>
      <c r="P69" s="313"/>
      <c r="Q69" s="313"/>
      <c r="R69" s="313">
        <v>0</v>
      </c>
      <c r="S69" s="271"/>
      <c r="T69" s="259"/>
    </row>
    <row r="70" spans="1:20" s="260" customFormat="1" x14ac:dyDescent="0.3">
      <c r="A70" s="275"/>
      <c r="B70" s="268" t="s">
        <v>235</v>
      </c>
      <c r="C70" s="313"/>
      <c r="D70" s="313"/>
      <c r="E70" s="313"/>
      <c r="F70" s="313">
        <v>2175</v>
      </c>
      <c r="G70" s="313"/>
      <c r="H70" s="313">
        <v>0</v>
      </c>
      <c r="I70" s="313"/>
      <c r="J70" s="313"/>
      <c r="K70" s="313"/>
      <c r="L70" s="313"/>
      <c r="M70" s="313"/>
      <c r="N70" s="313">
        <v>0</v>
      </c>
      <c r="O70" s="313"/>
      <c r="P70" s="313"/>
      <c r="Q70" s="313"/>
      <c r="R70" s="313">
        <f>+H70+N70</f>
        <v>0</v>
      </c>
      <c r="S70" s="271"/>
      <c r="T70" s="259"/>
    </row>
    <row r="71" spans="1:20" s="260" customFormat="1" x14ac:dyDescent="0.3">
      <c r="A71" s="275"/>
      <c r="B71" s="268" t="s">
        <v>20</v>
      </c>
      <c r="C71" s="313"/>
      <c r="D71" s="313"/>
      <c r="E71" s="313"/>
      <c r="F71" s="313">
        <v>0</v>
      </c>
      <c r="G71" s="313"/>
      <c r="H71" s="313">
        <v>0</v>
      </c>
      <c r="I71" s="313"/>
      <c r="J71" s="313"/>
      <c r="K71" s="313"/>
      <c r="L71" s="313"/>
      <c r="M71" s="313"/>
      <c r="N71" s="313"/>
      <c r="O71" s="313"/>
      <c r="P71" s="313"/>
      <c r="Q71" s="313"/>
      <c r="R71" s="313">
        <v>0</v>
      </c>
      <c r="S71" s="271"/>
      <c r="T71" s="259"/>
    </row>
    <row r="72" spans="1:20" s="260" customFormat="1" x14ac:dyDescent="0.3">
      <c r="A72" s="275"/>
      <c r="B72" s="268" t="s">
        <v>21</v>
      </c>
      <c r="C72" s="313"/>
      <c r="D72" s="313"/>
      <c r="E72" s="313"/>
      <c r="F72" s="313">
        <f>SUM(F59:F71)</f>
        <v>250000</v>
      </c>
      <c r="G72" s="313"/>
      <c r="H72" s="313">
        <f>SUM(H59:H71)</f>
        <v>74274</v>
      </c>
      <c r="I72" s="313"/>
      <c r="J72" s="313"/>
      <c r="K72" s="313"/>
      <c r="L72" s="313"/>
      <c r="M72" s="313"/>
      <c r="N72" s="313"/>
      <c r="O72" s="313"/>
      <c r="P72" s="313"/>
      <c r="Q72" s="313"/>
      <c r="R72" s="313">
        <f>SUM(R59:R71)</f>
        <v>66770</v>
      </c>
      <c r="S72" s="271"/>
      <c r="T72" s="259"/>
    </row>
    <row r="73" spans="1:20" x14ac:dyDescent="0.3">
      <c r="A73" s="243"/>
      <c r="B73" s="315"/>
      <c r="C73" s="316"/>
      <c r="D73" s="316"/>
      <c r="E73" s="316"/>
      <c r="F73" s="316"/>
      <c r="G73" s="316"/>
      <c r="H73" s="316"/>
      <c r="I73" s="316"/>
      <c r="J73" s="316"/>
      <c r="K73" s="316"/>
      <c r="L73" s="316"/>
      <c r="M73" s="316"/>
      <c r="N73" s="316"/>
      <c r="O73" s="316"/>
      <c r="P73" s="316"/>
      <c r="Q73" s="316"/>
      <c r="R73" s="317"/>
      <c r="S73" s="246"/>
      <c r="T73" s="241"/>
    </row>
    <row r="74" spans="1:20" x14ac:dyDescent="0.3">
      <c r="A74" s="243"/>
      <c r="B74" s="245"/>
      <c r="C74" s="245"/>
      <c r="D74" s="245"/>
      <c r="E74" s="245"/>
      <c r="F74" s="245"/>
      <c r="G74" s="245"/>
      <c r="H74" s="245"/>
      <c r="I74" s="245"/>
      <c r="J74" s="245"/>
      <c r="K74" s="245"/>
      <c r="L74" s="245"/>
      <c r="M74" s="245"/>
      <c r="N74" s="245"/>
      <c r="O74" s="245"/>
      <c r="P74" s="245"/>
      <c r="Q74" s="245"/>
      <c r="R74" s="245"/>
      <c r="S74" s="246"/>
      <c r="T74" s="241"/>
    </row>
    <row r="75" spans="1:20" x14ac:dyDescent="0.3">
      <c r="A75" s="424"/>
      <c r="B75" s="434" t="s">
        <v>22</v>
      </c>
      <c r="C75" s="434"/>
      <c r="D75" s="435"/>
      <c r="E75" s="435"/>
      <c r="F75" s="435"/>
      <c r="G75" s="435"/>
      <c r="H75" s="436" t="s">
        <v>77</v>
      </c>
      <c r="I75" s="435"/>
      <c r="J75" s="437">
        <f>+P197</f>
        <v>43251</v>
      </c>
      <c r="K75" s="435"/>
      <c r="L75" s="435"/>
      <c r="M75" s="435"/>
      <c r="N75" s="435"/>
      <c r="O75" s="435"/>
      <c r="P75" s="435" t="s">
        <v>87</v>
      </c>
      <c r="Q75" s="435"/>
      <c r="R75" s="435" t="s">
        <v>93</v>
      </c>
      <c r="S75" s="426"/>
      <c r="T75" s="241"/>
    </row>
    <row r="76" spans="1:20" s="260" customFormat="1" x14ac:dyDescent="0.3">
      <c r="A76" s="255"/>
      <c r="B76" s="302" t="s">
        <v>23</v>
      </c>
      <c r="C76" s="302"/>
      <c r="D76" s="302"/>
      <c r="E76" s="302"/>
      <c r="F76" s="302"/>
      <c r="G76" s="302"/>
      <c r="H76" s="302"/>
      <c r="I76" s="302"/>
      <c r="J76" s="302"/>
      <c r="K76" s="302"/>
      <c r="L76" s="302"/>
      <c r="M76" s="302"/>
      <c r="N76" s="302"/>
      <c r="O76" s="302"/>
      <c r="P76" s="327">
        <v>0</v>
      </c>
      <c r="Q76" s="302"/>
      <c r="R76" s="433">
        <v>0</v>
      </c>
      <c r="S76" s="258"/>
      <c r="T76" s="259"/>
    </row>
    <row r="77" spans="1:20" s="260" customFormat="1" x14ac:dyDescent="0.3">
      <c r="A77" s="275"/>
      <c r="B77" s="268" t="s">
        <v>248</v>
      </c>
      <c r="C77" s="268"/>
      <c r="D77" s="293"/>
      <c r="E77" s="293"/>
      <c r="F77" s="293"/>
      <c r="G77" s="320"/>
      <c r="H77" s="293"/>
      <c r="I77" s="268"/>
      <c r="J77" s="321"/>
      <c r="K77" s="268"/>
      <c r="L77" s="268"/>
      <c r="M77" s="268"/>
      <c r="N77" s="268"/>
      <c r="O77" s="268"/>
      <c r="P77" s="313">
        <f>-N70</f>
        <v>0</v>
      </c>
      <c r="Q77" s="268"/>
      <c r="R77" s="314"/>
      <c r="S77" s="271"/>
      <c r="T77" s="259"/>
    </row>
    <row r="78" spans="1:20" s="260" customFormat="1" x14ac:dyDescent="0.3">
      <c r="A78" s="275"/>
      <c r="B78" s="268" t="s">
        <v>249</v>
      </c>
      <c r="C78" s="268"/>
      <c r="D78" s="293"/>
      <c r="E78" s="293"/>
      <c r="F78" s="293"/>
      <c r="G78" s="320"/>
      <c r="H78" s="293"/>
      <c r="I78" s="268"/>
      <c r="J78" s="321"/>
      <c r="K78" s="268"/>
      <c r="L78" s="268"/>
      <c r="M78" s="268"/>
      <c r="N78" s="268"/>
      <c r="O78" s="268"/>
      <c r="P78" s="313">
        <v>0</v>
      </c>
      <c r="Q78" s="268"/>
      <c r="R78" s="314"/>
      <c r="S78" s="271"/>
      <c r="T78" s="259"/>
    </row>
    <row r="79" spans="1:20" s="260" customFormat="1" x14ac:dyDescent="0.3">
      <c r="A79" s="275"/>
      <c r="B79" s="268" t="s">
        <v>24</v>
      </c>
      <c r="C79" s="268"/>
      <c r="D79" s="293"/>
      <c r="E79" s="293"/>
      <c r="F79" s="293"/>
      <c r="G79" s="320"/>
      <c r="H79" s="293"/>
      <c r="I79" s="268"/>
      <c r="J79" s="321"/>
      <c r="K79" s="268"/>
      <c r="L79" s="268"/>
      <c r="M79" s="268"/>
      <c r="N79" s="268"/>
      <c r="O79" s="268"/>
      <c r="P79" s="313">
        <f>+J56+L56+P56</f>
        <v>7504</v>
      </c>
      <c r="Q79" s="268"/>
      <c r="R79" s="314"/>
      <c r="S79" s="271"/>
      <c r="T79" s="259"/>
    </row>
    <row r="80" spans="1:20" s="260" customFormat="1" x14ac:dyDescent="0.3">
      <c r="A80" s="275"/>
      <c r="B80" s="268" t="s">
        <v>135</v>
      </c>
      <c r="C80" s="268"/>
      <c r="D80" s="293"/>
      <c r="E80" s="293"/>
      <c r="F80" s="293"/>
      <c r="G80" s="320"/>
      <c r="H80" s="293"/>
      <c r="I80" s="268"/>
      <c r="J80" s="321"/>
      <c r="K80" s="268"/>
      <c r="L80" s="268"/>
      <c r="M80" s="268"/>
      <c r="N80" s="268"/>
      <c r="O80" s="268"/>
      <c r="P80" s="313"/>
      <c r="Q80" s="268"/>
      <c r="R80" s="314">
        <f>989-138</f>
        <v>851</v>
      </c>
      <c r="S80" s="271"/>
      <c r="T80" s="259"/>
    </row>
    <row r="81" spans="1:20" s="260" customFormat="1" x14ac:dyDescent="0.3">
      <c r="A81" s="275"/>
      <c r="B81" s="268" t="s">
        <v>133</v>
      </c>
      <c r="C81" s="268"/>
      <c r="D81" s="293"/>
      <c r="E81" s="293"/>
      <c r="F81" s="293"/>
      <c r="G81" s="320"/>
      <c r="H81" s="293"/>
      <c r="I81" s="268"/>
      <c r="J81" s="321"/>
      <c r="K81" s="268"/>
      <c r="L81" s="268"/>
      <c r="M81" s="268"/>
      <c r="N81" s="268"/>
      <c r="O81" s="268"/>
      <c r="P81" s="313"/>
      <c r="Q81" s="268"/>
      <c r="R81" s="314">
        <v>29</v>
      </c>
      <c r="S81" s="271"/>
      <c r="T81" s="259"/>
    </row>
    <row r="82" spans="1:20" s="260" customFormat="1" x14ac:dyDescent="0.3">
      <c r="A82" s="275"/>
      <c r="B82" s="268" t="s">
        <v>134</v>
      </c>
      <c r="C82" s="268"/>
      <c r="D82" s="293"/>
      <c r="E82" s="293"/>
      <c r="F82" s="293"/>
      <c r="G82" s="320"/>
      <c r="H82" s="293"/>
      <c r="I82" s="268"/>
      <c r="J82" s="321"/>
      <c r="K82" s="268"/>
      <c r="L82" s="268"/>
      <c r="M82" s="268"/>
      <c r="N82" s="268"/>
      <c r="O82" s="268"/>
      <c r="P82" s="313"/>
      <c r="Q82" s="268"/>
      <c r="R82" s="314">
        <v>13</v>
      </c>
      <c r="S82" s="271"/>
      <c r="T82" s="259"/>
    </row>
    <row r="83" spans="1:20" s="260" customFormat="1" x14ac:dyDescent="0.3">
      <c r="A83" s="275"/>
      <c r="B83" s="268" t="s">
        <v>143</v>
      </c>
      <c r="C83" s="268"/>
      <c r="D83" s="293"/>
      <c r="E83" s="293"/>
      <c r="F83" s="293"/>
      <c r="G83" s="320"/>
      <c r="H83" s="293"/>
      <c r="I83" s="268"/>
      <c r="J83" s="321"/>
      <c r="K83" s="268"/>
      <c r="L83" s="268"/>
      <c r="M83" s="268"/>
      <c r="N83" s="268"/>
      <c r="O83" s="268"/>
      <c r="P83" s="313"/>
      <c r="Q83" s="268"/>
      <c r="R83" s="314">
        <v>0</v>
      </c>
      <c r="S83" s="271"/>
      <c r="T83" s="259"/>
    </row>
    <row r="84" spans="1:20" s="260" customFormat="1" x14ac:dyDescent="0.3">
      <c r="A84" s="275"/>
      <c r="B84" s="268" t="s">
        <v>145</v>
      </c>
      <c r="C84" s="268"/>
      <c r="D84" s="293"/>
      <c r="E84" s="293"/>
      <c r="F84" s="293"/>
      <c r="G84" s="320"/>
      <c r="H84" s="293"/>
      <c r="I84" s="268"/>
      <c r="J84" s="321"/>
      <c r="K84" s="268"/>
      <c r="L84" s="268"/>
      <c r="M84" s="268"/>
      <c r="N84" s="268"/>
      <c r="O84" s="268"/>
      <c r="P84" s="313"/>
      <c r="Q84" s="268"/>
      <c r="R84" s="314">
        <v>107</v>
      </c>
      <c r="S84" s="271"/>
      <c r="T84" s="259"/>
    </row>
    <row r="85" spans="1:20" s="260" customFormat="1" x14ac:dyDescent="0.3">
      <c r="A85" s="275"/>
      <c r="B85" s="268" t="s">
        <v>167</v>
      </c>
      <c r="C85" s="268"/>
      <c r="D85" s="293"/>
      <c r="E85" s="293"/>
      <c r="F85" s="293"/>
      <c r="G85" s="320"/>
      <c r="H85" s="293"/>
      <c r="I85" s="268"/>
      <c r="J85" s="321"/>
      <c r="K85" s="268"/>
      <c r="L85" s="268"/>
      <c r="M85" s="268"/>
      <c r="N85" s="268"/>
      <c r="O85" s="268"/>
      <c r="P85" s="313"/>
      <c r="Q85" s="268"/>
      <c r="R85" s="314">
        <v>0</v>
      </c>
      <c r="S85" s="271"/>
      <c r="T85" s="259"/>
    </row>
    <row r="86" spans="1:20" s="260" customFormat="1" x14ac:dyDescent="0.3">
      <c r="A86" s="275"/>
      <c r="B86" s="268" t="s">
        <v>168</v>
      </c>
      <c r="C86" s="268"/>
      <c r="D86" s="293"/>
      <c r="E86" s="293"/>
      <c r="F86" s="293"/>
      <c r="G86" s="320"/>
      <c r="H86" s="293"/>
      <c r="I86" s="268"/>
      <c r="J86" s="321"/>
      <c r="K86" s="268"/>
      <c r="L86" s="268"/>
      <c r="M86" s="268"/>
      <c r="N86" s="268"/>
      <c r="O86" s="268"/>
      <c r="P86" s="313"/>
      <c r="Q86" s="268"/>
      <c r="R86" s="314">
        <v>0</v>
      </c>
      <c r="S86" s="271"/>
      <c r="T86" s="259"/>
    </row>
    <row r="87" spans="1:20" s="260" customFormat="1" x14ac:dyDescent="0.3">
      <c r="A87" s="275"/>
      <c r="B87" s="268" t="s">
        <v>169</v>
      </c>
      <c r="C87" s="268"/>
      <c r="D87" s="268"/>
      <c r="E87" s="268"/>
      <c r="F87" s="268"/>
      <c r="G87" s="268"/>
      <c r="H87" s="268"/>
      <c r="I87" s="268"/>
      <c r="J87" s="268"/>
      <c r="K87" s="268"/>
      <c r="L87" s="268"/>
      <c r="M87" s="268"/>
      <c r="N87" s="268"/>
      <c r="O87" s="268"/>
      <c r="P87" s="313"/>
      <c r="Q87" s="268"/>
      <c r="R87" s="314">
        <v>0</v>
      </c>
      <c r="S87" s="271"/>
      <c r="T87" s="259"/>
    </row>
    <row r="88" spans="1:20" s="260" customFormat="1" x14ac:dyDescent="0.3">
      <c r="A88" s="275"/>
      <c r="B88" s="268" t="s">
        <v>227</v>
      </c>
      <c r="C88" s="268"/>
      <c r="D88" s="268"/>
      <c r="E88" s="268"/>
      <c r="F88" s="268"/>
      <c r="G88" s="268"/>
      <c r="H88" s="268"/>
      <c r="I88" s="268"/>
      <c r="J88" s="268"/>
      <c r="K88" s="268"/>
      <c r="L88" s="268"/>
      <c r="M88" s="268"/>
      <c r="N88" s="268"/>
      <c r="O88" s="268"/>
      <c r="P88" s="313"/>
      <c r="Q88" s="268"/>
      <c r="R88" s="314">
        <v>0</v>
      </c>
      <c r="S88" s="271"/>
      <c r="T88" s="259"/>
    </row>
    <row r="89" spans="1:20" s="260" customFormat="1" x14ac:dyDescent="0.3">
      <c r="A89" s="275"/>
      <c r="B89" s="268" t="s">
        <v>25</v>
      </c>
      <c r="C89" s="268"/>
      <c r="D89" s="268"/>
      <c r="E89" s="268"/>
      <c r="F89" s="268"/>
      <c r="G89" s="268"/>
      <c r="H89" s="268"/>
      <c r="I89" s="268"/>
      <c r="J89" s="268"/>
      <c r="K89" s="268"/>
      <c r="L89" s="268"/>
      <c r="M89" s="268"/>
      <c r="N89" s="268"/>
      <c r="O89" s="268"/>
      <c r="P89" s="313">
        <f>SUM(P76:P88)</f>
        <v>7504</v>
      </c>
      <c r="Q89" s="268"/>
      <c r="R89" s="313">
        <f>SUM(R76:R88)</f>
        <v>1000</v>
      </c>
      <c r="S89" s="271"/>
      <c r="T89" s="259"/>
    </row>
    <row r="90" spans="1:20" s="260" customFormat="1" x14ac:dyDescent="0.3">
      <c r="A90" s="275"/>
      <c r="B90" s="268" t="s">
        <v>26</v>
      </c>
      <c r="C90" s="268"/>
      <c r="D90" s="268"/>
      <c r="E90" s="268"/>
      <c r="F90" s="268"/>
      <c r="G90" s="268"/>
      <c r="H90" s="268"/>
      <c r="I90" s="268"/>
      <c r="J90" s="268"/>
      <c r="K90" s="268"/>
      <c r="L90" s="268"/>
      <c r="M90" s="268"/>
      <c r="N90" s="268"/>
      <c r="O90" s="268"/>
      <c r="P90" s="313">
        <f>-R90</f>
        <v>0</v>
      </c>
      <c r="Q90" s="268"/>
      <c r="R90" s="314">
        <v>0</v>
      </c>
      <c r="S90" s="271"/>
      <c r="T90" s="259"/>
    </row>
    <row r="91" spans="1:20" s="260" customFormat="1" x14ac:dyDescent="0.3">
      <c r="A91" s="275"/>
      <c r="B91" s="268" t="s">
        <v>150</v>
      </c>
      <c r="C91" s="268"/>
      <c r="D91" s="268"/>
      <c r="E91" s="268"/>
      <c r="F91" s="268"/>
      <c r="G91" s="268"/>
      <c r="H91" s="268"/>
      <c r="I91" s="268"/>
      <c r="J91" s="268"/>
      <c r="K91" s="268"/>
      <c r="L91" s="268"/>
      <c r="M91" s="268"/>
      <c r="N91" s="268"/>
      <c r="O91" s="268"/>
      <c r="P91" s="313"/>
      <c r="Q91" s="268"/>
      <c r="R91" s="314">
        <v>0</v>
      </c>
      <c r="S91" s="271"/>
      <c r="T91" s="259"/>
    </row>
    <row r="92" spans="1:20" s="260" customFormat="1" x14ac:dyDescent="0.3">
      <c r="A92" s="275"/>
      <c r="B92" s="268" t="s">
        <v>27</v>
      </c>
      <c r="C92" s="268"/>
      <c r="D92" s="268"/>
      <c r="E92" s="268"/>
      <c r="F92" s="268"/>
      <c r="G92" s="268"/>
      <c r="H92" s="268"/>
      <c r="I92" s="268"/>
      <c r="J92" s="268"/>
      <c r="K92" s="268"/>
      <c r="L92" s="268"/>
      <c r="M92" s="268"/>
      <c r="N92" s="268"/>
      <c r="O92" s="268"/>
      <c r="P92" s="313">
        <f>P89+P90</f>
        <v>7504</v>
      </c>
      <c r="Q92" s="268"/>
      <c r="R92" s="313">
        <f>R89+R90+R91</f>
        <v>1000</v>
      </c>
      <c r="S92" s="271"/>
      <c r="T92" s="259"/>
    </row>
    <row r="93" spans="1:20" x14ac:dyDescent="0.3">
      <c r="A93" s="287"/>
      <c r="B93" s="417" t="s">
        <v>28</v>
      </c>
      <c r="C93" s="288"/>
      <c r="D93" s="288"/>
      <c r="E93" s="288"/>
      <c r="F93" s="288"/>
      <c r="G93" s="288"/>
      <c r="H93" s="288"/>
      <c r="I93" s="288"/>
      <c r="J93" s="288"/>
      <c r="K93" s="288"/>
      <c r="L93" s="288"/>
      <c r="M93" s="288"/>
      <c r="N93" s="288"/>
      <c r="O93" s="288"/>
      <c r="P93" s="322"/>
      <c r="Q93" s="323"/>
      <c r="R93" s="324"/>
      <c r="S93" s="289"/>
      <c r="T93" s="241"/>
    </row>
    <row r="94" spans="1:20" s="260" customFormat="1" x14ac:dyDescent="0.3">
      <c r="A94" s="275">
        <v>1</v>
      </c>
      <c r="B94" s="268" t="s">
        <v>180</v>
      </c>
      <c r="C94" s="268"/>
      <c r="D94" s="268"/>
      <c r="E94" s="268"/>
      <c r="F94" s="268"/>
      <c r="G94" s="268"/>
      <c r="H94" s="268"/>
      <c r="I94" s="268"/>
      <c r="J94" s="268"/>
      <c r="K94" s="268"/>
      <c r="L94" s="268"/>
      <c r="M94" s="268"/>
      <c r="N94" s="268"/>
      <c r="O94" s="268"/>
      <c r="P94" s="313"/>
      <c r="Q94" s="268"/>
      <c r="R94" s="314">
        <v>0</v>
      </c>
      <c r="S94" s="271"/>
      <c r="T94" s="259"/>
    </row>
    <row r="95" spans="1:20" s="260" customFormat="1" x14ac:dyDescent="0.3">
      <c r="A95" s="275">
        <v>2</v>
      </c>
      <c r="B95" s="268" t="s">
        <v>214</v>
      </c>
      <c r="C95" s="268"/>
      <c r="D95" s="268"/>
      <c r="E95" s="268"/>
      <c r="F95" s="268"/>
      <c r="G95" s="268"/>
      <c r="H95" s="268"/>
      <c r="I95" s="268"/>
      <c r="J95" s="268"/>
      <c r="K95" s="268"/>
      <c r="L95" s="268"/>
      <c r="M95" s="268"/>
      <c r="N95" s="268"/>
      <c r="O95" s="268"/>
      <c r="P95" s="268"/>
      <c r="Q95" s="268"/>
      <c r="R95" s="314">
        <v>-3</v>
      </c>
      <c r="S95" s="271"/>
      <c r="T95" s="259"/>
    </row>
    <row r="96" spans="1:20" s="260" customFormat="1" x14ac:dyDescent="0.3">
      <c r="A96" s="275">
        <v>3</v>
      </c>
      <c r="B96" s="268" t="s">
        <v>267</v>
      </c>
      <c r="C96" s="268"/>
      <c r="D96" s="268"/>
      <c r="E96" s="268"/>
      <c r="F96" s="268"/>
      <c r="G96" s="268"/>
      <c r="H96" s="268"/>
      <c r="I96" s="268"/>
      <c r="J96" s="268"/>
      <c r="K96" s="268"/>
      <c r="L96" s="268"/>
      <c r="M96" s="268"/>
      <c r="N96" s="268"/>
      <c r="O96" s="268"/>
      <c r="P96" s="268"/>
      <c r="Q96" s="268"/>
      <c r="R96" s="314">
        <f>-28-6-3</f>
        <v>-37</v>
      </c>
      <c r="S96" s="271"/>
      <c r="T96" s="259"/>
    </row>
    <row r="97" spans="1:21" s="260" customFormat="1" x14ac:dyDescent="0.3">
      <c r="A97" s="275">
        <v>4</v>
      </c>
      <c r="B97" s="268" t="s">
        <v>96</v>
      </c>
      <c r="C97" s="268"/>
      <c r="D97" s="268"/>
      <c r="E97" s="268"/>
      <c r="F97" s="268"/>
      <c r="G97" s="268"/>
      <c r="H97" s="268"/>
      <c r="I97" s="268"/>
      <c r="J97" s="268"/>
      <c r="K97" s="268"/>
      <c r="L97" s="268"/>
      <c r="M97" s="268"/>
      <c r="N97" s="268"/>
      <c r="O97" s="268"/>
      <c r="P97" s="268"/>
      <c r="Q97" s="268"/>
      <c r="R97" s="314">
        <v>-22</v>
      </c>
      <c r="S97" s="271"/>
      <c r="T97" s="259"/>
    </row>
    <row r="98" spans="1:21" s="260" customFormat="1" x14ac:dyDescent="0.3">
      <c r="A98" s="275">
        <v>5</v>
      </c>
      <c r="B98" s="268" t="s">
        <v>157</v>
      </c>
      <c r="C98" s="268"/>
      <c r="D98" s="268"/>
      <c r="E98" s="268"/>
      <c r="F98" s="268"/>
      <c r="G98" s="268"/>
      <c r="H98" s="268"/>
      <c r="I98" s="268"/>
      <c r="J98" s="268"/>
      <c r="K98" s="268"/>
      <c r="L98" s="268"/>
      <c r="M98" s="268"/>
      <c r="N98" s="268"/>
      <c r="O98" s="268"/>
      <c r="P98" s="268"/>
      <c r="Q98" s="268"/>
      <c r="R98" s="314">
        <v>-149</v>
      </c>
      <c r="S98" s="271"/>
      <c r="T98" s="259"/>
      <c r="U98" s="325"/>
    </row>
    <row r="99" spans="1:21" s="260" customFormat="1" x14ac:dyDescent="0.3">
      <c r="A99" s="275">
        <v>6</v>
      </c>
      <c r="B99" s="268" t="s">
        <v>207</v>
      </c>
      <c r="C99" s="268"/>
      <c r="D99" s="268"/>
      <c r="E99" s="268"/>
      <c r="F99" s="268"/>
      <c r="G99" s="268"/>
      <c r="H99" s="268"/>
      <c r="I99" s="268"/>
      <c r="J99" s="268"/>
      <c r="K99" s="268"/>
      <c r="L99" s="268"/>
      <c r="M99" s="268"/>
      <c r="N99" s="268"/>
      <c r="O99" s="268"/>
      <c r="P99" s="268"/>
      <c r="Q99" s="268"/>
      <c r="R99" s="314">
        <v>-89</v>
      </c>
      <c r="S99" s="271"/>
      <c r="T99" s="259"/>
      <c r="U99" s="325"/>
    </row>
    <row r="100" spans="1:21" s="260" customFormat="1" x14ac:dyDescent="0.3">
      <c r="A100" s="275">
        <v>7</v>
      </c>
      <c r="B100" s="268" t="s">
        <v>208</v>
      </c>
      <c r="C100" s="268"/>
      <c r="D100" s="268"/>
      <c r="E100" s="268"/>
      <c r="F100" s="268"/>
      <c r="G100" s="268"/>
      <c r="H100" s="268"/>
      <c r="I100" s="268"/>
      <c r="J100" s="268"/>
      <c r="K100" s="268"/>
      <c r="L100" s="268"/>
      <c r="M100" s="268"/>
      <c r="N100" s="268"/>
      <c r="O100" s="268"/>
      <c r="P100" s="268"/>
      <c r="Q100" s="268"/>
      <c r="R100" s="314">
        <v>-48</v>
      </c>
      <c r="S100" s="271"/>
      <c r="T100" s="259"/>
      <c r="U100" s="325"/>
    </row>
    <row r="101" spans="1:21" s="260" customFormat="1" x14ac:dyDescent="0.3">
      <c r="A101" s="275">
        <v>8</v>
      </c>
      <c r="B101" s="268" t="s">
        <v>158</v>
      </c>
      <c r="C101" s="268"/>
      <c r="D101" s="268"/>
      <c r="E101" s="268"/>
      <c r="F101" s="268"/>
      <c r="G101" s="268"/>
      <c r="H101" s="268"/>
      <c r="I101" s="268"/>
      <c r="J101" s="268"/>
      <c r="K101" s="268"/>
      <c r="L101" s="268"/>
      <c r="M101" s="268"/>
      <c r="N101" s="268"/>
      <c r="O101" s="268"/>
      <c r="P101" s="268"/>
      <c r="Q101" s="268"/>
      <c r="R101" s="314">
        <v>0</v>
      </c>
      <c r="S101" s="271"/>
      <c r="T101" s="259"/>
      <c r="U101" s="325"/>
    </row>
    <row r="102" spans="1:21" s="260" customFormat="1" x14ac:dyDescent="0.3">
      <c r="A102" s="275">
        <v>9</v>
      </c>
      <c r="B102" s="268" t="s">
        <v>37</v>
      </c>
      <c r="C102" s="268"/>
      <c r="D102" s="268"/>
      <c r="E102" s="268"/>
      <c r="F102" s="268"/>
      <c r="G102" s="268"/>
      <c r="H102" s="268"/>
      <c r="I102" s="268"/>
      <c r="J102" s="268"/>
      <c r="K102" s="268"/>
      <c r="L102" s="268"/>
      <c r="M102" s="268"/>
      <c r="N102" s="268"/>
      <c r="O102" s="268"/>
      <c r="P102" s="313">
        <f>-R102</f>
        <v>0</v>
      </c>
      <c r="Q102" s="268"/>
      <c r="R102" s="314">
        <v>0</v>
      </c>
      <c r="S102" s="271"/>
      <c r="T102" s="259"/>
    </row>
    <row r="103" spans="1:21" s="260" customFormat="1" x14ac:dyDescent="0.3">
      <c r="A103" s="275">
        <v>10</v>
      </c>
      <c r="B103" s="268" t="s">
        <v>101</v>
      </c>
      <c r="C103" s="268"/>
      <c r="D103" s="268"/>
      <c r="E103" s="268"/>
      <c r="F103" s="268"/>
      <c r="G103" s="268"/>
      <c r="H103" s="268"/>
      <c r="I103" s="268"/>
      <c r="J103" s="268"/>
      <c r="K103" s="268"/>
      <c r="L103" s="268"/>
      <c r="M103" s="268"/>
      <c r="N103" s="268"/>
      <c r="O103" s="268"/>
      <c r="P103" s="268"/>
      <c r="Q103" s="268"/>
      <c r="R103" s="314">
        <v>0</v>
      </c>
      <c r="S103" s="271"/>
      <c r="T103" s="259"/>
    </row>
    <row r="104" spans="1:21" s="260" customFormat="1" x14ac:dyDescent="0.3">
      <c r="A104" s="275">
        <v>11</v>
      </c>
      <c r="B104" s="268" t="s">
        <v>29</v>
      </c>
      <c r="C104" s="268"/>
      <c r="D104" s="268"/>
      <c r="E104" s="268"/>
      <c r="F104" s="268"/>
      <c r="G104" s="268"/>
      <c r="H104" s="268"/>
      <c r="I104" s="268"/>
      <c r="J104" s="268"/>
      <c r="K104" s="268"/>
      <c r="L104" s="268"/>
      <c r="M104" s="268"/>
      <c r="N104" s="268"/>
      <c r="O104" s="268"/>
      <c r="P104" s="268"/>
      <c r="Q104" s="268"/>
      <c r="R104" s="314">
        <v>-20</v>
      </c>
      <c r="S104" s="271"/>
      <c r="T104" s="259"/>
    </row>
    <row r="105" spans="1:21" s="260" customFormat="1" x14ac:dyDescent="0.3">
      <c r="A105" s="275">
        <v>12</v>
      </c>
      <c r="B105" s="268" t="s">
        <v>138</v>
      </c>
      <c r="C105" s="268"/>
      <c r="D105" s="268"/>
      <c r="E105" s="268"/>
      <c r="F105" s="268"/>
      <c r="G105" s="268"/>
      <c r="H105" s="268"/>
      <c r="I105" s="268"/>
      <c r="J105" s="268"/>
      <c r="K105" s="268"/>
      <c r="L105" s="268"/>
      <c r="M105" s="268"/>
      <c r="N105" s="268"/>
      <c r="O105" s="268"/>
      <c r="P105" s="268"/>
      <c r="Q105" s="268"/>
      <c r="R105" s="314">
        <v>0</v>
      </c>
      <c r="S105" s="271"/>
      <c r="T105" s="259"/>
    </row>
    <row r="106" spans="1:21" s="260" customFormat="1" x14ac:dyDescent="0.3">
      <c r="A106" s="275">
        <v>13</v>
      </c>
      <c r="B106" s="268" t="s">
        <v>209</v>
      </c>
      <c r="C106" s="268"/>
      <c r="D106" s="268"/>
      <c r="E106" s="268"/>
      <c r="F106" s="268"/>
      <c r="G106" s="268"/>
      <c r="H106" s="268"/>
      <c r="I106" s="268"/>
      <c r="J106" s="268"/>
      <c r="K106" s="268"/>
      <c r="L106" s="268"/>
      <c r="M106" s="268"/>
      <c r="N106" s="268"/>
      <c r="O106" s="268"/>
      <c r="P106" s="268"/>
      <c r="Q106" s="268"/>
      <c r="R106" s="314">
        <v>-43</v>
      </c>
      <c r="S106" s="271"/>
      <c r="T106" s="259"/>
    </row>
    <row r="107" spans="1:21" s="260" customFormat="1" x14ac:dyDescent="0.3">
      <c r="A107" s="275">
        <v>14</v>
      </c>
      <c r="B107" s="268" t="s">
        <v>159</v>
      </c>
      <c r="C107" s="268"/>
      <c r="D107" s="268"/>
      <c r="E107" s="268"/>
      <c r="F107" s="268"/>
      <c r="G107" s="268"/>
      <c r="H107" s="268"/>
      <c r="I107" s="268"/>
      <c r="J107" s="268"/>
      <c r="K107" s="268"/>
      <c r="L107" s="268"/>
      <c r="M107" s="268"/>
      <c r="N107" s="268"/>
      <c r="O107" s="268"/>
      <c r="P107" s="268"/>
      <c r="Q107" s="268"/>
      <c r="R107" s="314">
        <v>0</v>
      </c>
      <c r="S107" s="271"/>
      <c r="T107" s="259"/>
    </row>
    <row r="108" spans="1:21" s="260" customFormat="1" x14ac:dyDescent="0.3">
      <c r="A108" s="275">
        <v>15</v>
      </c>
      <c r="B108" s="268" t="s">
        <v>237</v>
      </c>
      <c r="C108" s="268"/>
      <c r="D108" s="268"/>
      <c r="E108" s="268"/>
      <c r="F108" s="268"/>
      <c r="G108" s="268"/>
      <c r="H108" s="268"/>
      <c r="I108" s="268"/>
      <c r="J108" s="268"/>
      <c r="K108" s="268"/>
      <c r="L108" s="268"/>
      <c r="M108" s="268"/>
      <c r="N108" s="268"/>
      <c r="O108" s="268"/>
      <c r="P108" s="268"/>
      <c r="Q108" s="268"/>
      <c r="R108" s="314">
        <v>-28</v>
      </c>
      <c r="S108" s="271"/>
      <c r="T108" s="259"/>
    </row>
    <row r="109" spans="1:21" s="260" customFormat="1" x14ac:dyDescent="0.3">
      <c r="A109" s="275">
        <v>16</v>
      </c>
      <c r="B109" s="268" t="s">
        <v>170</v>
      </c>
      <c r="C109" s="268"/>
      <c r="D109" s="268"/>
      <c r="E109" s="268"/>
      <c r="F109" s="268"/>
      <c r="G109" s="268"/>
      <c r="H109" s="268"/>
      <c r="I109" s="268"/>
      <c r="J109" s="268"/>
      <c r="K109" s="268"/>
      <c r="L109" s="268"/>
      <c r="M109" s="268"/>
      <c r="N109" s="268"/>
      <c r="O109" s="268"/>
      <c r="P109" s="268"/>
      <c r="Q109" s="268"/>
      <c r="R109" s="314">
        <f>-6-158</f>
        <v>-164</v>
      </c>
      <c r="S109" s="271"/>
      <c r="T109" s="259"/>
    </row>
    <row r="110" spans="1:21" s="260" customFormat="1" x14ac:dyDescent="0.3">
      <c r="A110" s="275">
        <v>17</v>
      </c>
      <c r="B110" s="268" t="s">
        <v>175</v>
      </c>
      <c r="C110" s="268"/>
      <c r="D110" s="268"/>
      <c r="E110" s="268"/>
      <c r="F110" s="268"/>
      <c r="G110" s="268"/>
      <c r="H110" s="268"/>
      <c r="I110" s="268"/>
      <c r="J110" s="268"/>
      <c r="K110" s="268"/>
      <c r="L110" s="268"/>
      <c r="M110" s="268"/>
      <c r="N110" s="268"/>
      <c r="O110" s="268"/>
      <c r="P110" s="268"/>
      <c r="Q110" s="268"/>
      <c r="R110" s="314">
        <f>-R92-SUM(R94:R109)</f>
        <v>-397</v>
      </c>
      <c r="S110" s="271"/>
      <c r="T110" s="259"/>
    </row>
    <row r="111" spans="1:21" s="260" customFormat="1" x14ac:dyDescent="0.3">
      <c r="A111" s="275">
        <v>18</v>
      </c>
      <c r="B111" s="268" t="s">
        <v>176</v>
      </c>
      <c r="C111" s="268"/>
      <c r="D111" s="268"/>
      <c r="E111" s="268"/>
      <c r="F111" s="268"/>
      <c r="G111" s="268"/>
      <c r="H111" s="268"/>
      <c r="I111" s="268"/>
      <c r="J111" s="268"/>
      <c r="K111" s="268"/>
      <c r="L111" s="268"/>
      <c r="M111" s="268"/>
      <c r="N111" s="268"/>
      <c r="O111" s="268"/>
      <c r="P111" s="313">
        <f>-R111</f>
        <v>0</v>
      </c>
      <c r="Q111" s="268"/>
      <c r="R111" s="314">
        <v>0</v>
      </c>
      <c r="S111" s="271"/>
      <c r="T111" s="259"/>
    </row>
    <row r="112" spans="1:21" x14ac:dyDescent="0.3">
      <c r="A112" s="287"/>
      <c r="B112" s="417" t="s">
        <v>30</v>
      </c>
      <c r="C112" s="288"/>
      <c r="D112" s="288"/>
      <c r="E112" s="288"/>
      <c r="F112" s="288"/>
      <c r="G112" s="288"/>
      <c r="H112" s="288"/>
      <c r="I112" s="288"/>
      <c r="J112" s="288"/>
      <c r="K112" s="288"/>
      <c r="L112" s="288"/>
      <c r="M112" s="288"/>
      <c r="N112" s="288"/>
      <c r="O112" s="288"/>
      <c r="P112" s="323"/>
      <c r="Q112" s="323"/>
      <c r="R112" s="326"/>
      <c r="S112" s="289"/>
      <c r="T112" s="241"/>
    </row>
    <row r="113" spans="1:20" s="260" customFormat="1" x14ac:dyDescent="0.3">
      <c r="A113" s="275"/>
      <c r="B113" s="268" t="s">
        <v>238</v>
      </c>
      <c r="C113" s="268"/>
      <c r="D113" s="268"/>
      <c r="E113" s="268"/>
      <c r="F113" s="268"/>
      <c r="G113" s="268"/>
      <c r="H113" s="268"/>
      <c r="I113" s="268"/>
      <c r="J113" s="268"/>
      <c r="K113" s="268"/>
      <c r="L113" s="268"/>
      <c r="M113" s="268"/>
      <c r="N113" s="268"/>
      <c r="O113" s="268"/>
      <c r="P113" s="313">
        <f>-P179</f>
        <v>0</v>
      </c>
      <c r="Q113" s="313"/>
      <c r="R113" s="314"/>
      <c r="S113" s="271"/>
      <c r="T113" s="259"/>
    </row>
    <row r="114" spans="1:20" s="260" customFormat="1" x14ac:dyDescent="0.3">
      <c r="A114" s="275"/>
      <c r="B114" s="268" t="s">
        <v>239</v>
      </c>
      <c r="C114" s="268"/>
      <c r="D114" s="268"/>
      <c r="E114" s="268"/>
      <c r="F114" s="268"/>
      <c r="G114" s="268"/>
      <c r="H114" s="268"/>
      <c r="I114" s="268"/>
      <c r="J114" s="268"/>
      <c r="K114" s="268"/>
      <c r="L114" s="268"/>
      <c r="M114" s="268"/>
      <c r="N114" s="268"/>
      <c r="O114" s="268"/>
      <c r="P114" s="313">
        <f>-O179</f>
        <v>0</v>
      </c>
      <c r="Q114" s="313"/>
      <c r="R114" s="314"/>
      <c r="S114" s="271"/>
      <c r="T114" s="259"/>
    </row>
    <row r="115" spans="1:20" s="260" customFormat="1" x14ac:dyDescent="0.3">
      <c r="A115" s="275"/>
      <c r="B115" s="268" t="s">
        <v>160</v>
      </c>
      <c r="C115" s="268"/>
      <c r="D115" s="268"/>
      <c r="E115" s="268"/>
      <c r="F115" s="268"/>
      <c r="G115" s="268"/>
      <c r="H115" s="268"/>
      <c r="I115" s="268"/>
      <c r="J115" s="268"/>
      <c r="K115" s="268"/>
      <c r="L115" s="268"/>
      <c r="M115" s="268"/>
      <c r="N115" s="268"/>
      <c r="O115" s="268"/>
      <c r="P115" s="313">
        <v>-7504</v>
      </c>
      <c r="Q115" s="313"/>
      <c r="R115" s="314"/>
      <c r="S115" s="271"/>
      <c r="T115" s="259"/>
    </row>
    <row r="116" spans="1:20" s="260" customFormat="1" x14ac:dyDescent="0.3">
      <c r="A116" s="275"/>
      <c r="B116" s="268" t="s">
        <v>189</v>
      </c>
      <c r="C116" s="268"/>
      <c r="D116" s="268"/>
      <c r="E116" s="268"/>
      <c r="F116" s="268"/>
      <c r="G116" s="268"/>
      <c r="H116" s="268"/>
      <c r="I116" s="268"/>
      <c r="J116" s="268"/>
      <c r="K116" s="268"/>
      <c r="L116" s="268"/>
      <c r="M116" s="268"/>
      <c r="N116" s="268"/>
      <c r="O116" s="268"/>
      <c r="P116" s="313">
        <v>0</v>
      </c>
      <c r="Q116" s="313"/>
      <c r="R116" s="314"/>
      <c r="S116" s="271"/>
      <c r="T116" s="259"/>
    </row>
    <row r="117" spans="1:20" s="260" customFormat="1" x14ac:dyDescent="0.3">
      <c r="A117" s="275"/>
      <c r="B117" s="268" t="s">
        <v>190</v>
      </c>
      <c r="C117" s="268"/>
      <c r="D117" s="268"/>
      <c r="E117" s="268"/>
      <c r="F117" s="268"/>
      <c r="G117" s="268"/>
      <c r="H117" s="268"/>
      <c r="I117" s="268"/>
      <c r="J117" s="268"/>
      <c r="K117" s="268"/>
      <c r="L117" s="268"/>
      <c r="M117" s="268"/>
      <c r="N117" s="268"/>
      <c r="O117" s="268"/>
      <c r="P117" s="313">
        <v>0</v>
      </c>
      <c r="Q117" s="313"/>
      <c r="R117" s="314"/>
      <c r="S117" s="271"/>
      <c r="T117" s="259"/>
    </row>
    <row r="118" spans="1:20" s="260" customFormat="1" x14ac:dyDescent="0.3">
      <c r="A118" s="275"/>
      <c r="B118" s="268" t="s">
        <v>191</v>
      </c>
      <c r="C118" s="268"/>
      <c r="D118" s="268"/>
      <c r="E118" s="268"/>
      <c r="F118" s="268"/>
      <c r="G118" s="268"/>
      <c r="H118" s="268"/>
      <c r="I118" s="268"/>
      <c r="J118" s="268"/>
      <c r="K118" s="268"/>
      <c r="L118" s="268"/>
      <c r="M118" s="268"/>
      <c r="N118" s="268"/>
      <c r="O118" s="268"/>
      <c r="P118" s="313">
        <v>0</v>
      </c>
      <c r="Q118" s="313"/>
      <c r="R118" s="314"/>
      <c r="S118" s="271"/>
      <c r="T118" s="259"/>
    </row>
    <row r="119" spans="1:20" s="260" customFormat="1" x14ac:dyDescent="0.3">
      <c r="A119" s="275"/>
      <c r="B119" s="268" t="s">
        <v>31</v>
      </c>
      <c r="C119" s="268"/>
      <c r="D119" s="268"/>
      <c r="E119" s="268"/>
      <c r="F119" s="268"/>
      <c r="G119" s="268"/>
      <c r="H119" s="268"/>
      <c r="I119" s="268"/>
      <c r="J119" s="268"/>
      <c r="K119" s="268"/>
      <c r="L119" s="268"/>
      <c r="M119" s="268"/>
      <c r="N119" s="268"/>
      <c r="O119" s="268"/>
      <c r="P119" s="313">
        <f>SUM(P113:P118)</f>
        <v>-7504</v>
      </c>
      <c r="Q119" s="313"/>
      <c r="R119" s="313">
        <f>SUM(R93:R118)</f>
        <v>-1000</v>
      </c>
      <c r="S119" s="271"/>
      <c r="T119" s="259"/>
    </row>
    <row r="120" spans="1:20" s="260" customFormat="1" x14ac:dyDescent="0.3">
      <c r="A120" s="275"/>
      <c r="B120" s="268" t="s">
        <v>32</v>
      </c>
      <c r="C120" s="268"/>
      <c r="D120" s="268"/>
      <c r="E120" s="268"/>
      <c r="F120" s="268"/>
      <c r="G120" s="268"/>
      <c r="H120" s="268"/>
      <c r="I120" s="268"/>
      <c r="J120" s="268"/>
      <c r="K120" s="268"/>
      <c r="L120" s="268"/>
      <c r="M120" s="268"/>
      <c r="N120" s="268"/>
      <c r="O120" s="268"/>
      <c r="P120" s="313">
        <f>P92+P119+P102+P111</f>
        <v>0</v>
      </c>
      <c r="Q120" s="313"/>
      <c r="R120" s="313">
        <f>R92+R119</f>
        <v>0</v>
      </c>
      <c r="S120" s="271"/>
      <c r="T120" s="259"/>
    </row>
    <row r="121" spans="1:20" s="260" customFormat="1" x14ac:dyDescent="0.3">
      <c r="A121" s="255"/>
      <c r="B121" s="302"/>
      <c r="C121" s="302"/>
      <c r="D121" s="302"/>
      <c r="E121" s="302"/>
      <c r="F121" s="302"/>
      <c r="G121" s="302"/>
      <c r="H121" s="302"/>
      <c r="I121" s="302"/>
      <c r="J121" s="302"/>
      <c r="K121" s="302"/>
      <c r="L121" s="302"/>
      <c r="M121" s="302"/>
      <c r="N121" s="302"/>
      <c r="O121" s="302"/>
      <c r="P121" s="327"/>
      <c r="Q121" s="327"/>
      <c r="R121" s="327"/>
      <c r="S121" s="258"/>
      <c r="T121" s="259"/>
    </row>
    <row r="122" spans="1:20" s="260" customFormat="1" x14ac:dyDescent="0.3">
      <c r="A122" s="255"/>
      <c r="B122" s="256"/>
      <c r="C122" s="256"/>
      <c r="D122" s="256"/>
      <c r="E122" s="256"/>
      <c r="F122" s="256"/>
      <c r="G122" s="256"/>
      <c r="H122" s="256"/>
      <c r="I122" s="256"/>
      <c r="J122" s="256"/>
      <c r="K122" s="256"/>
      <c r="L122" s="256"/>
      <c r="M122" s="256"/>
      <c r="N122" s="256"/>
      <c r="O122" s="256"/>
      <c r="P122" s="256"/>
      <c r="Q122" s="256"/>
      <c r="R122" s="328"/>
      <c r="S122" s="258"/>
      <c r="T122" s="259"/>
    </row>
    <row r="123" spans="1:20" s="260" customFormat="1" ht="18.600000000000001" thickBot="1" x14ac:dyDescent="0.4">
      <c r="A123" s="307"/>
      <c r="B123" s="308" t="str">
        <f>B52</f>
        <v>PM21 INVESTOR REPORT QUARTER ENDING MAY 2018</v>
      </c>
      <c r="C123" s="309"/>
      <c r="D123" s="309"/>
      <c r="E123" s="309"/>
      <c r="F123" s="309"/>
      <c r="G123" s="309"/>
      <c r="H123" s="309"/>
      <c r="I123" s="309"/>
      <c r="J123" s="309"/>
      <c r="K123" s="309"/>
      <c r="L123" s="309"/>
      <c r="M123" s="309"/>
      <c r="N123" s="309"/>
      <c r="O123" s="309"/>
      <c r="P123" s="309"/>
      <c r="Q123" s="309"/>
      <c r="R123" s="329"/>
      <c r="S123" s="311"/>
      <c r="T123" s="259"/>
    </row>
    <row r="124" spans="1:20" x14ac:dyDescent="0.3">
      <c r="A124" s="438"/>
      <c r="B124" s="439" t="s">
        <v>33</v>
      </c>
      <c r="C124" s="440"/>
      <c r="D124" s="440"/>
      <c r="E124" s="440"/>
      <c r="F124" s="440"/>
      <c r="G124" s="440"/>
      <c r="H124" s="440"/>
      <c r="I124" s="440"/>
      <c r="J124" s="440"/>
      <c r="K124" s="440"/>
      <c r="L124" s="440"/>
      <c r="M124" s="440"/>
      <c r="N124" s="440"/>
      <c r="O124" s="440"/>
      <c r="P124" s="440"/>
      <c r="Q124" s="440"/>
      <c r="R124" s="441"/>
      <c r="S124" s="442"/>
      <c r="T124" s="241"/>
    </row>
    <row r="125" spans="1:20" x14ac:dyDescent="0.3">
      <c r="A125" s="243"/>
      <c r="B125" s="330"/>
      <c r="C125" s="245"/>
      <c r="D125" s="245"/>
      <c r="E125" s="245"/>
      <c r="F125" s="245"/>
      <c r="G125" s="245"/>
      <c r="H125" s="245"/>
      <c r="I125" s="245"/>
      <c r="J125" s="245"/>
      <c r="K125" s="245"/>
      <c r="L125" s="245"/>
      <c r="M125" s="245"/>
      <c r="N125" s="245"/>
      <c r="O125" s="245"/>
      <c r="P125" s="245"/>
      <c r="Q125" s="245"/>
      <c r="R125" s="312"/>
      <c r="S125" s="246"/>
      <c r="T125" s="241"/>
    </row>
    <row r="126" spans="1:20" x14ac:dyDescent="0.3">
      <c r="A126" s="243"/>
      <c r="B126" s="418" t="s">
        <v>34</v>
      </c>
      <c r="C126" s="245"/>
      <c r="D126" s="245"/>
      <c r="E126" s="245"/>
      <c r="F126" s="245"/>
      <c r="G126" s="245"/>
      <c r="H126" s="245"/>
      <c r="I126" s="245"/>
      <c r="J126" s="245"/>
      <c r="K126" s="245"/>
      <c r="L126" s="245"/>
      <c r="M126" s="245"/>
      <c r="N126" s="245"/>
      <c r="O126" s="245"/>
      <c r="P126" s="245"/>
      <c r="Q126" s="245"/>
      <c r="R126" s="312"/>
      <c r="S126" s="246"/>
      <c r="T126" s="241"/>
    </row>
    <row r="127" spans="1:20" s="260" customFormat="1" x14ac:dyDescent="0.3">
      <c r="A127" s="275"/>
      <c r="B127" s="268" t="s">
        <v>35</v>
      </c>
      <c r="C127" s="268"/>
      <c r="D127" s="268"/>
      <c r="E127" s="268"/>
      <c r="F127" s="268"/>
      <c r="G127" s="268"/>
      <c r="H127" s="268"/>
      <c r="I127" s="268"/>
      <c r="J127" s="268"/>
      <c r="K127" s="268"/>
      <c r="L127" s="268"/>
      <c r="M127" s="268"/>
      <c r="N127" s="268"/>
      <c r="O127" s="268"/>
      <c r="P127" s="268"/>
      <c r="Q127" s="268"/>
      <c r="R127" s="314">
        <f>+R28*0.025</f>
        <v>6250</v>
      </c>
      <c r="S127" s="271"/>
      <c r="T127" s="259"/>
    </row>
    <row r="128" spans="1:20" s="260" customFormat="1" x14ac:dyDescent="0.3">
      <c r="A128" s="275"/>
      <c r="B128" s="268" t="s">
        <v>36</v>
      </c>
      <c r="C128" s="268"/>
      <c r="D128" s="268"/>
      <c r="E128" s="268"/>
      <c r="F128" s="268"/>
      <c r="G128" s="268"/>
      <c r="H128" s="268"/>
      <c r="I128" s="268"/>
      <c r="J128" s="268"/>
      <c r="K128" s="268"/>
      <c r="L128" s="268"/>
      <c r="M128" s="268"/>
      <c r="N128" s="268"/>
      <c r="O128" s="268"/>
      <c r="P128" s="268"/>
      <c r="Q128" s="268"/>
      <c r="R128" s="314">
        <v>0</v>
      </c>
      <c r="S128" s="271"/>
      <c r="T128" s="259"/>
    </row>
    <row r="129" spans="1:21" s="260" customFormat="1" x14ac:dyDescent="0.3">
      <c r="A129" s="275"/>
      <c r="B129" s="268" t="s">
        <v>172</v>
      </c>
      <c r="C129" s="268"/>
      <c r="D129" s="268"/>
      <c r="E129" s="268"/>
      <c r="F129" s="268"/>
      <c r="G129" s="268"/>
      <c r="H129" s="268"/>
      <c r="I129" s="268"/>
      <c r="J129" s="268"/>
      <c r="K129" s="268"/>
      <c r="L129" s="268"/>
      <c r="M129" s="268"/>
      <c r="N129" s="268"/>
      <c r="O129" s="268"/>
      <c r="P129" s="268"/>
      <c r="Q129" s="268"/>
      <c r="R129" s="314">
        <f>R127-R130</f>
        <v>4738.2471855000003</v>
      </c>
      <c r="S129" s="271"/>
      <c r="T129" s="259"/>
    </row>
    <row r="130" spans="1:21" s="260" customFormat="1" x14ac:dyDescent="0.3">
      <c r="A130" s="275"/>
      <c r="B130" s="268" t="s">
        <v>240</v>
      </c>
      <c r="C130" s="268"/>
      <c r="D130" s="268"/>
      <c r="E130" s="268"/>
      <c r="F130" s="268"/>
      <c r="G130" s="268"/>
      <c r="H130" s="268"/>
      <c r="I130" s="268"/>
      <c r="J130" s="268"/>
      <c r="K130" s="268"/>
      <c r="L130" s="268"/>
      <c r="M130" s="268"/>
      <c r="N130" s="268"/>
      <c r="O130" s="268"/>
      <c r="P130" s="268"/>
      <c r="Q130" s="268"/>
      <c r="R130" s="314">
        <f>SUM(D30:H30)*0.025</f>
        <v>1511.7528145000001</v>
      </c>
      <c r="S130" s="271"/>
      <c r="T130" s="259"/>
    </row>
    <row r="131" spans="1:21" s="260" customFormat="1" x14ac:dyDescent="0.3">
      <c r="A131" s="275"/>
      <c r="B131" s="268" t="s">
        <v>108</v>
      </c>
      <c r="C131" s="268"/>
      <c r="D131" s="268"/>
      <c r="E131" s="268"/>
      <c r="F131" s="268"/>
      <c r="G131" s="268"/>
      <c r="H131" s="268"/>
      <c r="I131" s="268"/>
      <c r="J131" s="268"/>
      <c r="K131" s="268"/>
      <c r="L131" s="268"/>
      <c r="M131" s="268"/>
      <c r="N131" s="268"/>
      <c r="O131" s="268"/>
      <c r="P131" s="268"/>
      <c r="Q131" s="268"/>
      <c r="R131" s="314"/>
      <c r="S131" s="271"/>
      <c r="T131" s="259"/>
    </row>
    <row r="132" spans="1:21" s="260" customFormat="1" x14ac:dyDescent="0.3">
      <c r="A132" s="275"/>
      <c r="B132" s="268" t="s">
        <v>157</v>
      </c>
      <c r="C132" s="268"/>
      <c r="D132" s="268"/>
      <c r="E132" s="268"/>
      <c r="F132" s="268"/>
      <c r="G132" s="268"/>
      <c r="H132" s="268"/>
      <c r="I132" s="268"/>
      <c r="J132" s="268"/>
      <c r="K132" s="268"/>
      <c r="L132" s="268"/>
      <c r="M132" s="268"/>
      <c r="N132" s="268"/>
      <c r="O132" s="268"/>
      <c r="P132" s="268"/>
      <c r="Q132" s="268"/>
      <c r="R132" s="314">
        <v>0</v>
      </c>
      <c r="S132" s="271"/>
      <c r="T132" s="259"/>
    </row>
    <row r="133" spans="1:21" s="260" customFormat="1" x14ac:dyDescent="0.3">
      <c r="A133" s="275"/>
      <c r="B133" s="268" t="s">
        <v>207</v>
      </c>
      <c r="C133" s="268"/>
      <c r="D133" s="268"/>
      <c r="E133" s="268"/>
      <c r="F133" s="268"/>
      <c r="G133" s="268"/>
      <c r="H133" s="268"/>
      <c r="I133" s="268"/>
      <c r="J133" s="268"/>
      <c r="K133" s="268"/>
      <c r="L133" s="268"/>
      <c r="M133" s="268"/>
      <c r="N133" s="268"/>
      <c r="O133" s="268"/>
      <c r="P133" s="268"/>
      <c r="Q133" s="268"/>
      <c r="R133" s="314">
        <v>0</v>
      </c>
      <c r="S133" s="271"/>
      <c r="T133" s="259"/>
    </row>
    <row r="134" spans="1:21" s="260" customFormat="1" x14ac:dyDescent="0.3">
      <c r="A134" s="275"/>
      <c r="B134" s="268" t="s">
        <v>208</v>
      </c>
      <c r="C134" s="268"/>
      <c r="D134" s="268"/>
      <c r="E134" s="268"/>
      <c r="F134" s="268"/>
      <c r="G134" s="268"/>
      <c r="H134" s="268"/>
      <c r="I134" s="268"/>
      <c r="J134" s="268"/>
      <c r="K134" s="268"/>
      <c r="L134" s="268"/>
      <c r="M134" s="268"/>
      <c r="N134" s="268"/>
      <c r="O134" s="268"/>
      <c r="P134" s="268"/>
      <c r="Q134" s="268"/>
      <c r="R134" s="314">
        <v>0</v>
      </c>
      <c r="S134" s="271"/>
      <c r="T134" s="259"/>
    </row>
    <row r="135" spans="1:21" s="260" customFormat="1" x14ac:dyDescent="0.3">
      <c r="A135" s="275"/>
      <c r="B135" s="268" t="s">
        <v>37</v>
      </c>
      <c r="C135" s="268"/>
      <c r="D135" s="268"/>
      <c r="E135" s="268"/>
      <c r="F135" s="268"/>
      <c r="G135" s="268"/>
      <c r="H135" s="268"/>
      <c r="I135" s="268"/>
      <c r="J135" s="268"/>
      <c r="K135" s="268"/>
      <c r="L135" s="268"/>
      <c r="M135" s="268"/>
      <c r="N135" s="268"/>
      <c r="O135" s="268"/>
      <c r="P135" s="268"/>
      <c r="Q135" s="268"/>
      <c r="R135" s="314">
        <v>0</v>
      </c>
      <c r="S135" s="271"/>
      <c r="T135" s="259"/>
    </row>
    <row r="136" spans="1:21" s="260" customFormat="1" x14ac:dyDescent="0.3">
      <c r="A136" s="275"/>
      <c r="B136" s="268" t="s">
        <v>102</v>
      </c>
      <c r="C136" s="268"/>
      <c r="D136" s="268"/>
      <c r="E136" s="268"/>
      <c r="F136" s="268"/>
      <c r="G136" s="268"/>
      <c r="H136" s="268"/>
      <c r="I136" s="268"/>
      <c r="J136" s="268"/>
      <c r="K136" s="268"/>
      <c r="L136" s="268"/>
      <c r="M136" s="268"/>
      <c r="N136" s="268"/>
      <c r="O136" s="268"/>
      <c r="P136" s="268"/>
      <c r="Q136" s="268"/>
      <c r="R136" s="314">
        <v>0</v>
      </c>
      <c r="S136" s="271"/>
      <c r="T136" s="259"/>
    </row>
    <row r="137" spans="1:21" s="260" customFormat="1" x14ac:dyDescent="0.3">
      <c r="A137" s="275"/>
      <c r="B137" s="268" t="s">
        <v>228</v>
      </c>
      <c r="C137" s="268"/>
      <c r="D137" s="268"/>
      <c r="E137" s="268"/>
      <c r="F137" s="268"/>
      <c r="G137" s="268"/>
      <c r="H137" s="268"/>
      <c r="I137" s="268"/>
      <c r="J137" s="268"/>
      <c r="K137" s="268"/>
      <c r="L137" s="268"/>
      <c r="M137" s="268"/>
      <c r="N137" s="268"/>
      <c r="O137" s="268"/>
      <c r="P137" s="268"/>
      <c r="Q137" s="268"/>
      <c r="R137" s="314">
        <v>0</v>
      </c>
      <c r="S137" s="271"/>
      <c r="T137" s="259"/>
      <c r="U137" s="325"/>
    </row>
    <row r="138" spans="1:21" s="260" customFormat="1" x14ac:dyDescent="0.3">
      <c r="A138" s="275"/>
      <c r="B138" s="268" t="s">
        <v>38</v>
      </c>
      <c r="C138" s="268"/>
      <c r="D138" s="268"/>
      <c r="E138" s="268"/>
      <c r="F138" s="268"/>
      <c r="G138" s="268"/>
      <c r="H138" s="268"/>
      <c r="I138" s="268"/>
      <c r="J138" s="268"/>
      <c r="K138" s="268"/>
      <c r="L138" s="268"/>
      <c r="M138" s="268"/>
      <c r="N138" s="268"/>
      <c r="O138" s="268"/>
      <c r="P138" s="268"/>
      <c r="Q138" s="268"/>
      <c r="R138" s="314">
        <f>SUM(R128:R137)</f>
        <v>6250</v>
      </c>
      <c r="S138" s="271"/>
      <c r="T138" s="259"/>
    </row>
    <row r="139" spans="1:21" x14ac:dyDescent="0.3">
      <c r="A139" s="243"/>
      <c r="B139" s="315"/>
      <c r="C139" s="315"/>
      <c r="D139" s="315"/>
      <c r="E139" s="315"/>
      <c r="F139" s="315"/>
      <c r="G139" s="315"/>
      <c r="H139" s="315"/>
      <c r="I139" s="315"/>
      <c r="J139" s="315"/>
      <c r="K139" s="315"/>
      <c r="L139" s="315"/>
      <c r="M139" s="315"/>
      <c r="N139" s="315"/>
      <c r="O139" s="315"/>
      <c r="P139" s="315"/>
      <c r="Q139" s="315"/>
      <c r="R139" s="331"/>
      <c r="S139" s="246"/>
      <c r="T139" s="241"/>
    </row>
    <row r="140" spans="1:21" x14ac:dyDescent="0.3">
      <c r="A140" s="243"/>
      <c r="B140" s="418" t="s">
        <v>222</v>
      </c>
      <c r="C140" s="245"/>
      <c r="D140" s="245"/>
      <c r="E140" s="245"/>
      <c r="F140" s="245"/>
      <c r="G140" s="245"/>
      <c r="H140" s="245"/>
      <c r="I140" s="245"/>
      <c r="J140" s="245"/>
      <c r="K140" s="245"/>
      <c r="L140" s="245"/>
      <c r="M140" s="245"/>
      <c r="N140" s="245"/>
      <c r="O140" s="245"/>
      <c r="P140" s="245"/>
      <c r="Q140" s="245"/>
      <c r="R140" s="312"/>
      <c r="S140" s="246"/>
      <c r="T140" s="241"/>
    </row>
    <row r="141" spans="1:21" s="260" customFormat="1" x14ac:dyDescent="0.3">
      <c r="A141" s="275"/>
      <c r="B141" s="268" t="s">
        <v>256</v>
      </c>
      <c r="C141" s="268"/>
      <c r="D141" s="268"/>
      <c r="E141" s="268"/>
      <c r="F141" s="268"/>
      <c r="G141" s="268"/>
      <c r="H141" s="268"/>
      <c r="I141" s="268"/>
      <c r="J141" s="268"/>
      <c r="K141" s="268"/>
      <c r="L141" s="268"/>
      <c r="M141" s="268"/>
      <c r="N141" s="268"/>
      <c r="O141" s="268"/>
      <c r="P141" s="268"/>
      <c r="Q141" s="268"/>
      <c r="R141" s="314">
        <v>0</v>
      </c>
      <c r="S141" s="271"/>
      <c r="T141" s="259"/>
    </row>
    <row r="142" spans="1:21" s="260" customFormat="1" x14ac:dyDescent="0.3">
      <c r="A142" s="275"/>
      <c r="B142" s="268" t="s">
        <v>210</v>
      </c>
      <c r="C142" s="268"/>
      <c r="D142" s="268"/>
      <c r="E142" s="268"/>
      <c r="F142" s="268"/>
      <c r="G142" s="268"/>
      <c r="H142" s="268"/>
      <c r="I142" s="268"/>
      <c r="J142" s="268"/>
      <c r="K142" s="268"/>
      <c r="L142" s="268"/>
      <c r="M142" s="268"/>
      <c r="N142" s="268"/>
      <c r="O142" s="268"/>
      <c r="P142" s="268"/>
      <c r="Q142" s="268"/>
      <c r="R142" s="314">
        <f>+J69</f>
        <v>0</v>
      </c>
      <c r="S142" s="271"/>
      <c r="T142" s="259"/>
    </row>
    <row r="143" spans="1:21" s="260" customFormat="1" x14ac:dyDescent="0.3">
      <c r="A143" s="275"/>
      <c r="B143" s="268" t="s">
        <v>224</v>
      </c>
      <c r="C143" s="268"/>
      <c r="D143" s="268"/>
      <c r="E143" s="268"/>
      <c r="F143" s="268"/>
      <c r="G143" s="268"/>
      <c r="H143" s="268"/>
      <c r="I143" s="268"/>
      <c r="J143" s="268"/>
      <c r="K143" s="268"/>
      <c r="L143" s="268"/>
      <c r="M143" s="268"/>
      <c r="N143" s="268"/>
      <c r="O143" s="268"/>
      <c r="P143" s="268"/>
      <c r="Q143" s="268"/>
      <c r="R143" s="314">
        <f>R141+R142</f>
        <v>0</v>
      </c>
      <c r="S143" s="271"/>
      <c r="T143" s="259"/>
    </row>
    <row r="144" spans="1:21" x14ac:dyDescent="0.3">
      <c r="A144" s="243"/>
      <c r="B144" s="332"/>
      <c r="C144" s="332"/>
      <c r="D144" s="332"/>
      <c r="E144" s="332"/>
      <c r="F144" s="332"/>
      <c r="G144" s="332"/>
      <c r="H144" s="332"/>
      <c r="I144" s="332"/>
      <c r="J144" s="332"/>
      <c r="K144" s="332"/>
      <c r="L144" s="332"/>
      <c r="M144" s="332"/>
      <c r="N144" s="332"/>
      <c r="O144" s="332"/>
      <c r="P144" s="332"/>
      <c r="Q144" s="332"/>
      <c r="R144" s="333"/>
      <c r="S144" s="246"/>
      <c r="T144" s="241"/>
    </row>
    <row r="145" spans="1:252" x14ac:dyDescent="0.3">
      <c r="A145" s="243"/>
      <c r="B145" s="418" t="s">
        <v>241</v>
      </c>
      <c r="C145" s="332"/>
      <c r="D145" s="332"/>
      <c r="E145" s="332"/>
      <c r="F145" s="332"/>
      <c r="G145" s="332"/>
      <c r="H145" s="332"/>
      <c r="I145" s="332"/>
      <c r="J145" s="332"/>
      <c r="K145" s="332"/>
      <c r="L145" s="332"/>
      <c r="M145" s="332"/>
      <c r="N145" s="332"/>
      <c r="O145" s="332"/>
      <c r="P145" s="332"/>
      <c r="Q145" s="332"/>
      <c r="R145" s="333"/>
      <c r="S145" s="246"/>
      <c r="T145" s="241"/>
    </row>
    <row r="146" spans="1:252" s="260" customFormat="1" x14ac:dyDescent="0.3">
      <c r="A146" s="334"/>
      <c r="B146" s="335" t="s">
        <v>255</v>
      </c>
      <c r="C146" s="335"/>
      <c r="D146" s="335"/>
      <c r="E146" s="335"/>
      <c r="F146" s="335"/>
      <c r="G146" s="335"/>
      <c r="H146" s="335"/>
      <c r="I146" s="335"/>
      <c r="J146" s="335"/>
      <c r="K146" s="335"/>
      <c r="L146" s="335"/>
      <c r="M146" s="335"/>
      <c r="N146" s="335"/>
      <c r="O146" s="335"/>
      <c r="P146" s="335"/>
      <c r="Q146" s="335"/>
      <c r="R146" s="336">
        <v>0</v>
      </c>
      <c r="S146" s="337"/>
      <c r="T146" s="259"/>
    </row>
    <row r="147" spans="1:252" s="260" customFormat="1" x14ac:dyDescent="0.3">
      <c r="A147" s="334"/>
      <c r="B147" s="335" t="s">
        <v>243</v>
      </c>
      <c r="C147" s="335"/>
      <c r="D147" s="335"/>
      <c r="E147" s="335"/>
      <c r="F147" s="335"/>
      <c r="G147" s="335"/>
      <c r="H147" s="335"/>
      <c r="I147" s="335"/>
      <c r="J147" s="335"/>
      <c r="K147" s="335"/>
      <c r="L147" s="335"/>
      <c r="M147" s="335"/>
      <c r="N147" s="335"/>
      <c r="O147" s="335"/>
      <c r="P147" s="335"/>
      <c r="Q147" s="335"/>
      <c r="R147" s="336">
        <f>P78</f>
        <v>0</v>
      </c>
      <c r="S147" s="337"/>
      <c r="T147" s="259"/>
    </row>
    <row r="148" spans="1:252" s="260" customFormat="1" x14ac:dyDescent="0.3">
      <c r="A148" s="334"/>
      <c r="B148" s="335" t="s">
        <v>244</v>
      </c>
      <c r="C148" s="335"/>
      <c r="D148" s="335"/>
      <c r="E148" s="335"/>
      <c r="F148" s="335"/>
      <c r="G148" s="335"/>
      <c r="H148" s="335"/>
      <c r="I148" s="335"/>
      <c r="J148" s="335"/>
      <c r="K148" s="335"/>
      <c r="L148" s="335"/>
      <c r="M148" s="335"/>
      <c r="N148" s="335"/>
      <c r="O148" s="335"/>
      <c r="P148" s="335"/>
      <c r="Q148" s="335"/>
      <c r="R148" s="336">
        <v>0</v>
      </c>
      <c r="S148" s="337"/>
      <c r="T148" s="259"/>
    </row>
    <row r="149" spans="1:252" s="260" customFormat="1" x14ac:dyDescent="0.3">
      <c r="A149" s="334"/>
      <c r="B149" s="335" t="s">
        <v>245</v>
      </c>
      <c r="C149" s="335"/>
      <c r="D149" s="335"/>
      <c r="E149" s="335"/>
      <c r="F149" s="335"/>
      <c r="G149" s="335"/>
      <c r="H149" s="335"/>
      <c r="I149" s="335"/>
      <c r="J149" s="335"/>
      <c r="K149" s="335"/>
      <c r="L149" s="335"/>
      <c r="M149" s="335"/>
      <c r="N149" s="335"/>
      <c r="O149" s="335"/>
      <c r="P149" s="335"/>
      <c r="Q149" s="335"/>
      <c r="R149" s="336">
        <f>R146+R147+R148</f>
        <v>0</v>
      </c>
      <c r="S149" s="337"/>
      <c r="T149" s="259"/>
    </row>
    <row r="150" spans="1:252" x14ac:dyDescent="0.3">
      <c r="A150" s="243"/>
      <c r="B150" s="315"/>
      <c r="C150" s="315"/>
      <c r="D150" s="315"/>
      <c r="E150" s="315"/>
      <c r="F150" s="315"/>
      <c r="G150" s="315"/>
      <c r="H150" s="315"/>
      <c r="I150" s="315"/>
      <c r="J150" s="315"/>
      <c r="K150" s="315"/>
      <c r="L150" s="315"/>
      <c r="M150" s="315"/>
      <c r="N150" s="315"/>
      <c r="O150" s="315"/>
      <c r="P150" s="315"/>
      <c r="Q150" s="315"/>
      <c r="R150" s="331"/>
      <c r="S150" s="246"/>
      <c r="T150" s="241"/>
    </row>
    <row r="151" spans="1:252" x14ac:dyDescent="0.3">
      <c r="A151" s="243"/>
      <c r="B151" s="418" t="s">
        <v>39</v>
      </c>
      <c r="C151" s="245"/>
      <c r="D151" s="245"/>
      <c r="E151" s="245"/>
      <c r="F151" s="245"/>
      <c r="G151" s="245"/>
      <c r="H151" s="245"/>
      <c r="I151" s="245"/>
      <c r="J151" s="245"/>
      <c r="K151" s="245"/>
      <c r="L151" s="245"/>
      <c r="M151" s="245"/>
      <c r="N151" s="245"/>
      <c r="O151" s="245"/>
      <c r="P151" s="245"/>
      <c r="Q151" s="245"/>
      <c r="R151" s="338"/>
      <c r="S151" s="246"/>
      <c r="T151" s="241"/>
    </row>
    <row r="152" spans="1:252" s="260" customFormat="1" x14ac:dyDescent="0.3">
      <c r="A152" s="275"/>
      <c r="B152" s="268" t="s">
        <v>40</v>
      </c>
      <c r="C152" s="268"/>
      <c r="D152" s="268"/>
      <c r="E152" s="268"/>
      <c r="F152" s="268"/>
      <c r="G152" s="268"/>
      <c r="H152" s="268"/>
      <c r="I152" s="268"/>
      <c r="J152" s="268"/>
      <c r="K152" s="268"/>
      <c r="L152" s="268"/>
      <c r="M152" s="268"/>
      <c r="N152" s="268"/>
      <c r="O152" s="268"/>
      <c r="P152" s="268"/>
      <c r="Q152" s="268"/>
      <c r="R152" s="314">
        <v>0</v>
      </c>
      <c r="S152" s="271"/>
      <c r="T152" s="259"/>
    </row>
    <row r="153" spans="1:252" s="260" customFormat="1" x14ac:dyDescent="0.3">
      <c r="A153" s="275"/>
      <c r="B153" s="268" t="s">
        <v>41</v>
      </c>
      <c r="C153" s="268"/>
      <c r="D153" s="268"/>
      <c r="E153" s="268"/>
      <c r="F153" s="268"/>
      <c r="G153" s="268"/>
      <c r="H153" s="268"/>
      <c r="I153" s="268"/>
      <c r="J153" s="268"/>
      <c r="K153" s="268"/>
      <c r="L153" s="268"/>
      <c r="M153" s="268"/>
      <c r="N153" s="268"/>
      <c r="O153" s="268"/>
      <c r="P153" s="268"/>
      <c r="Q153" s="268"/>
      <c r="R153" s="314">
        <v>0</v>
      </c>
      <c r="S153" s="271"/>
      <c r="T153" s="259"/>
    </row>
    <row r="154" spans="1:252" s="260" customFormat="1" x14ac:dyDescent="0.3">
      <c r="A154" s="275"/>
      <c r="B154" s="268" t="s">
        <v>42</v>
      </c>
      <c r="C154" s="268"/>
      <c r="D154" s="268"/>
      <c r="E154" s="268"/>
      <c r="F154" s="268"/>
      <c r="G154" s="268"/>
      <c r="H154" s="268"/>
      <c r="I154" s="268"/>
      <c r="J154" s="268"/>
      <c r="K154" s="268"/>
      <c r="L154" s="268"/>
      <c r="M154" s="268"/>
      <c r="N154" s="268"/>
      <c r="O154" s="268"/>
      <c r="P154" s="268"/>
      <c r="Q154" s="268"/>
      <c r="R154" s="314">
        <f>R153+R152</f>
        <v>0</v>
      </c>
      <c r="S154" s="271"/>
      <c r="T154" s="259"/>
    </row>
    <row r="155" spans="1:252" s="260" customFormat="1" x14ac:dyDescent="0.3">
      <c r="A155" s="275"/>
      <c r="B155" s="268" t="s">
        <v>179</v>
      </c>
      <c r="C155" s="268"/>
      <c r="D155" s="268"/>
      <c r="E155" s="268"/>
      <c r="F155" s="268"/>
      <c r="G155" s="268"/>
      <c r="H155" s="268"/>
      <c r="I155" s="268"/>
      <c r="J155" s="268"/>
      <c r="K155" s="268"/>
      <c r="L155" s="268"/>
      <c r="M155" s="268"/>
      <c r="N155" s="268"/>
      <c r="O155" s="268"/>
      <c r="P155" s="268"/>
      <c r="Q155" s="268"/>
      <c r="R155" s="314">
        <f>R102</f>
        <v>0</v>
      </c>
      <c r="S155" s="271"/>
      <c r="T155" s="259"/>
    </row>
    <row r="156" spans="1:252" s="260" customFormat="1" x14ac:dyDescent="0.3">
      <c r="A156" s="275"/>
      <c r="B156" s="268" t="s">
        <v>43</v>
      </c>
      <c r="C156" s="268"/>
      <c r="D156" s="268"/>
      <c r="E156" s="268"/>
      <c r="F156" s="268"/>
      <c r="G156" s="268"/>
      <c r="H156" s="268"/>
      <c r="I156" s="268"/>
      <c r="J156" s="268"/>
      <c r="K156" s="268"/>
      <c r="L156" s="268"/>
      <c r="M156" s="268"/>
      <c r="N156" s="268"/>
      <c r="O156" s="268"/>
      <c r="P156" s="268"/>
      <c r="Q156" s="268"/>
      <c r="R156" s="314">
        <f>R154+R155</f>
        <v>0</v>
      </c>
      <c r="S156" s="271"/>
      <c r="T156" s="259"/>
    </row>
    <row r="157" spans="1:252" s="260" customFormat="1" x14ac:dyDescent="0.3">
      <c r="A157" s="275"/>
      <c r="B157" s="268" t="s">
        <v>150</v>
      </c>
      <c r="C157" s="268"/>
      <c r="D157" s="268"/>
      <c r="E157" s="268"/>
      <c r="F157" s="268"/>
      <c r="G157" s="268"/>
      <c r="H157" s="268"/>
      <c r="I157" s="268"/>
      <c r="J157" s="268"/>
      <c r="K157" s="268"/>
      <c r="L157" s="268"/>
      <c r="M157" s="268"/>
      <c r="N157" s="268"/>
      <c r="O157" s="268"/>
      <c r="P157" s="268"/>
      <c r="Q157" s="268"/>
      <c r="R157" s="314">
        <f>-R91</f>
        <v>0</v>
      </c>
      <c r="S157" s="271"/>
      <c r="T157" s="259"/>
    </row>
    <row r="158" spans="1:252" ht="16.2" thickBot="1" x14ac:dyDescent="0.35">
      <c r="A158" s="243"/>
      <c r="B158" s="315"/>
      <c r="C158" s="315"/>
      <c r="D158" s="315"/>
      <c r="E158" s="315"/>
      <c r="F158" s="315"/>
      <c r="G158" s="315"/>
      <c r="H158" s="315"/>
      <c r="I158" s="315"/>
      <c r="J158" s="315"/>
      <c r="K158" s="315"/>
      <c r="L158" s="315"/>
      <c r="M158" s="315"/>
      <c r="N158" s="315"/>
      <c r="O158" s="315"/>
      <c r="P158" s="315"/>
      <c r="Q158" s="315"/>
      <c r="R158" s="331"/>
      <c r="S158" s="246"/>
      <c r="T158" s="241"/>
    </row>
    <row r="159" spans="1:252" x14ac:dyDescent="0.3">
      <c r="A159" s="237"/>
      <c r="B159" s="239"/>
      <c r="C159" s="239"/>
      <c r="D159" s="239"/>
      <c r="E159" s="239"/>
      <c r="F159" s="239"/>
      <c r="G159" s="239"/>
      <c r="H159" s="239"/>
      <c r="I159" s="239"/>
      <c r="J159" s="239"/>
      <c r="K159" s="239"/>
      <c r="L159" s="239"/>
      <c r="M159" s="239"/>
      <c r="N159" s="239"/>
      <c r="O159" s="239"/>
      <c r="P159" s="239"/>
      <c r="Q159" s="239"/>
      <c r="R159" s="339"/>
      <c r="S159" s="240"/>
      <c r="T159" s="241"/>
    </row>
    <row r="160" spans="1:252" s="341" customFormat="1" x14ac:dyDescent="0.3">
      <c r="A160" s="243"/>
      <c r="B160" s="418" t="s">
        <v>223</v>
      </c>
      <c r="C160" s="315"/>
      <c r="D160" s="315"/>
      <c r="E160" s="315"/>
      <c r="F160" s="315"/>
      <c r="G160" s="315"/>
      <c r="H160" s="315"/>
      <c r="I160" s="315"/>
      <c r="J160" s="315"/>
      <c r="K160" s="315"/>
      <c r="L160" s="315"/>
      <c r="M160" s="315"/>
      <c r="N160" s="315"/>
      <c r="O160" s="315"/>
      <c r="P160" s="315"/>
      <c r="Q160" s="315"/>
      <c r="R160" s="340"/>
      <c r="S160" s="246"/>
      <c r="T160" s="241"/>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c r="EI160" s="242"/>
      <c r="EJ160" s="242"/>
      <c r="EK160" s="242"/>
      <c r="EL160" s="242"/>
      <c r="EM160" s="242"/>
      <c r="EN160" s="242"/>
      <c r="EO160" s="242"/>
      <c r="EP160" s="242"/>
      <c r="EQ160" s="242"/>
      <c r="ER160" s="242"/>
      <c r="ES160" s="242"/>
      <c r="ET160" s="242"/>
      <c r="EU160" s="242"/>
      <c r="EV160" s="242"/>
      <c r="EW160" s="242"/>
      <c r="EX160" s="242"/>
      <c r="EY160" s="242"/>
      <c r="EZ160" s="242"/>
      <c r="FA160" s="242"/>
      <c r="FB160" s="242"/>
      <c r="FC160" s="242"/>
      <c r="FD160" s="242"/>
      <c r="FE160" s="242"/>
      <c r="FF160" s="242"/>
      <c r="FG160" s="242"/>
      <c r="FH160" s="242"/>
      <c r="FI160" s="242"/>
      <c r="FJ160" s="242"/>
      <c r="FK160" s="242"/>
      <c r="FL160" s="242"/>
      <c r="FM160" s="242"/>
      <c r="FN160" s="242"/>
      <c r="FO160" s="242"/>
      <c r="FP160" s="242"/>
      <c r="FQ160" s="242"/>
      <c r="FR160" s="242"/>
      <c r="FS160" s="242"/>
      <c r="FT160" s="242"/>
      <c r="FU160" s="242"/>
      <c r="FV160" s="242"/>
      <c r="FW160" s="242"/>
      <c r="FX160" s="242"/>
      <c r="FY160" s="242"/>
      <c r="FZ160" s="242"/>
      <c r="GA160" s="242"/>
      <c r="GB160" s="242"/>
      <c r="GC160" s="242"/>
      <c r="GD160" s="242"/>
      <c r="GE160" s="242"/>
      <c r="GF160" s="242"/>
      <c r="GG160" s="242"/>
      <c r="GH160" s="242"/>
      <c r="GI160" s="242"/>
      <c r="GJ160" s="242"/>
      <c r="GK160" s="242"/>
      <c r="GL160" s="242"/>
      <c r="GM160" s="242"/>
      <c r="GN160" s="242"/>
      <c r="GO160" s="242"/>
      <c r="GP160" s="242"/>
      <c r="GQ160" s="242"/>
      <c r="GR160" s="242"/>
      <c r="GS160" s="242"/>
      <c r="GT160" s="242"/>
      <c r="GU160" s="242"/>
      <c r="GV160" s="242"/>
      <c r="GW160" s="242"/>
      <c r="GX160" s="242"/>
      <c r="GY160" s="242"/>
      <c r="GZ160" s="242"/>
      <c r="HA160" s="242"/>
      <c r="HB160" s="242"/>
      <c r="HC160" s="242"/>
      <c r="HD160" s="242"/>
      <c r="HE160" s="242"/>
      <c r="HF160" s="242"/>
      <c r="HG160" s="242"/>
      <c r="HH160" s="242"/>
      <c r="HI160" s="242"/>
      <c r="HJ160" s="242"/>
      <c r="HK160" s="242"/>
      <c r="HL160" s="242"/>
      <c r="HM160" s="242"/>
      <c r="HN160" s="242"/>
      <c r="HO160" s="242"/>
      <c r="HP160" s="242"/>
      <c r="HQ160" s="242"/>
      <c r="HR160" s="242"/>
      <c r="HS160" s="242"/>
      <c r="HT160" s="242"/>
      <c r="HU160" s="242"/>
      <c r="HV160" s="242"/>
      <c r="HW160" s="242"/>
      <c r="HX160" s="242"/>
      <c r="HY160" s="242"/>
      <c r="HZ160" s="242"/>
      <c r="IA160" s="242"/>
      <c r="IB160" s="242"/>
      <c r="IC160" s="242"/>
      <c r="ID160" s="242"/>
      <c r="IE160" s="242"/>
      <c r="IF160" s="242"/>
      <c r="IG160" s="242"/>
      <c r="IH160" s="242"/>
      <c r="II160" s="242"/>
      <c r="IJ160" s="242"/>
      <c r="IK160" s="242"/>
      <c r="IL160" s="242"/>
      <c r="IM160" s="242"/>
      <c r="IN160" s="242"/>
      <c r="IO160" s="242"/>
      <c r="IP160" s="242"/>
      <c r="IQ160" s="242"/>
      <c r="IR160" s="242"/>
    </row>
    <row r="161" spans="1:252" s="342" customFormat="1" x14ac:dyDescent="0.3">
      <c r="A161" s="275"/>
      <c r="B161" s="268" t="s">
        <v>141</v>
      </c>
      <c r="C161" s="268"/>
      <c r="D161" s="268"/>
      <c r="E161" s="268"/>
      <c r="F161" s="268"/>
      <c r="G161" s="268"/>
      <c r="H161" s="268"/>
      <c r="I161" s="268"/>
      <c r="J161" s="268"/>
      <c r="K161" s="268"/>
      <c r="L161" s="268"/>
      <c r="M161" s="268"/>
      <c r="N161" s="268"/>
      <c r="O161" s="268"/>
      <c r="P161" s="268"/>
      <c r="Q161" s="268"/>
      <c r="R161" s="314">
        <f>+'Feb 18'!R164</f>
        <v>598</v>
      </c>
      <c r="S161" s="271"/>
      <c r="T161" s="259"/>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60"/>
      <c r="BS161" s="260"/>
      <c r="BT161" s="260"/>
      <c r="BU161" s="260"/>
      <c r="BV161" s="260"/>
      <c r="BW161" s="260"/>
      <c r="BX161" s="260"/>
      <c r="BY161" s="260"/>
      <c r="BZ161" s="260"/>
      <c r="CA161" s="260"/>
      <c r="CB161" s="260"/>
      <c r="CC161" s="260"/>
      <c r="CD161" s="260"/>
      <c r="CE161" s="260"/>
      <c r="CF161" s="260"/>
      <c r="CG161" s="260"/>
      <c r="CH161" s="260"/>
      <c r="CI161" s="260"/>
      <c r="CJ161" s="260"/>
      <c r="CK161" s="260"/>
      <c r="CL161" s="260"/>
      <c r="CM161" s="260"/>
      <c r="CN161" s="260"/>
      <c r="CO161" s="260"/>
      <c r="CP161" s="260"/>
      <c r="CQ161" s="260"/>
      <c r="CR161" s="260"/>
      <c r="CS161" s="260"/>
      <c r="CT161" s="260"/>
      <c r="CU161" s="260"/>
      <c r="CV161" s="260"/>
      <c r="CW161" s="260"/>
      <c r="CX161" s="260"/>
      <c r="CY161" s="260"/>
      <c r="CZ161" s="260"/>
      <c r="DA161" s="260"/>
      <c r="DB161" s="260"/>
      <c r="DC161" s="260"/>
      <c r="DD161" s="260"/>
      <c r="DE161" s="260"/>
      <c r="DF161" s="260"/>
      <c r="DG161" s="260"/>
      <c r="DH161" s="260"/>
      <c r="DI161" s="260"/>
      <c r="DJ161" s="260"/>
      <c r="DK161" s="260"/>
      <c r="DL161" s="260"/>
      <c r="DM161" s="260"/>
      <c r="DN161" s="260"/>
      <c r="DO161" s="260"/>
      <c r="DP161" s="260"/>
      <c r="DQ161" s="260"/>
      <c r="DR161" s="260"/>
      <c r="DS161" s="260"/>
      <c r="DT161" s="260"/>
      <c r="DU161" s="260"/>
      <c r="DV161" s="260"/>
      <c r="DW161" s="260"/>
      <c r="DX161" s="260"/>
      <c r="DY161" s="260"/>
      <c r="DZ161" s="260"/>
      <c r="EA161" s="260"/>
      <c r="EB161" s="260"/>
      <c r="EC161" s="260"/>
      <c r="ED161" s="260"/>
      <c r="EE161" s="260"/>
      <c r="EF161" s="260"/>
      <c r="EG161" s="260"/>
      <c r="EH161" s="260"/>
      <c r="EI161" s="260"/>
      <c r="EJ161" s="260"/>
      <c r="EK161" s="260"/>
      <c r="EL161" s="260"/>
      <c r="EM161" s="260"/>
      <c r="EN161" s="260"/>
      <c r="EO161" s="260"/>
      <c r="EP161" s="260"/>
      <c r="EQ161" s="260"/>
      <c r="ER161" s="260"/>
      <c r="ES161" s="260"/>
      <c r="ET161" s="260"/>
      <c r="EU161" s="260"/>
      <c r="EV161" s="260"/>
      <c r="EW161" s="260"/>
      <c r="EX161" s="260"/>
      <c r="EY161" s="260"/>
      <c r="EZ161" s="260"/>
      <c r="FA161" s="260"/>
      <c r="FB161" s="260"/>
      <c r="FC161" s="260"/>
      <c r="FD161" s="260"/>
      <c r="FE161" s="260"/>
      <c r="FF161" s="260"/>
      <c r="FG161" s="260"/>
      <c r="FH161" s="260"/>
      <c r="FI161" s="260"/>
      <c r="FJ161" s="260"/>
      <c r="FK161" s="260"/>
      <c r="FL161" s="260"/>
      <c r="FM161" s="260"/>
      <c r="FN161" s="260"/>
      <c r="FO161" s="260"/>
      <c r="FP161" s="260"/>
      <c r="FQ161" s="260"/>
      <c r="FR161" s="260"/>
      <c r="FS161" s="260"/>
      <c r="FT161" s="260"/>
      <c r="FU161" s="260"/>
      <c r="FV161" s="260"/>
      <c r="FW161" s="260"/>
      <c r="FX161" s="260"/>
      <c r="FY161" s="260"/>
      <c r="FZ161" s="260"/>
      <c r="GA161" s="260"/>
      <c r="GB161" s="260"/>
      <c r="GC161" s="260"/>
      <c r="GD161" s="260"/>
      <c r="GE161" s="260"/>
      <c r="GF161" s="260"/>
      <c r="GG161" s="260"/>
      <c r="GH161" s="260"/>
      <c r="GI161" s="260"/>
      <c r="GJ161" s="260"/>
      <c r="GK161" s="260"/>
      <c r="GL161" s="260"/>
      <c r="GM161" s="260"/>
      <c r="GN161" s="260"/>
      <c r="GO161" s="260"/>
      <c r="GP161" s="260"/>
      <c r="GQ161" s="260"/>
      <c r="GR161" s="260"/>
      <c r="GS161" s="260"/>
      <c r="GT161" s="260"/>
      <c r="GU161" s="260"/>
      <c r="GV161" s="260"/>
      <c r="GW161" s="260"/>
      <c r="GX161" s="260"/>
      <c r="GY161" s="260"/>
      <c r="GZ161" s="260"/>
      <c r="HA161" s="260"/>
      <c r="HB161" s="260"/>
      <c r="HC161" s="260"/>
      <c r="HD161" s="260"/>
      <c r="HE161" s="260"/>
      <c r="HF161" s="260"/>
      <c r="HG161" s="260"/>
      <c r="HH161" s="260"/>
      <c r="HI161" s="260"/>
      <c r="HJ161" s="260"/>
      <c r="HK161" s="260"/>
      <c r="HL161" s="260"/>
      <c r="HM161" s="260"/>
      <c r="HN161" s="260"/>
      <c r="HO161" s="260"/>
      <c r="HP161" s="260"/>
      <c r="HQ161" s="260"/>
      <c r="HR161" s="260"/>
      <c r="HS161" s="260"/>
      <c r="HT161" s="260"/>
      <c r="HU161" s="260"/>
      <c r="HV161" s="260"/>
      <c r="HW161" s="260"/>
      <c r="HX161" s="260"/>
      <c r="HY161" s="260"/>
      <c r="HZ161" s="260"/>
      <c r="IA161" s="260"/>
      <c r="IB161" s="260"/>
      <c r="IC161" s="260"/>
      <c r="ID161" s="260"/>
      <c r="IE161" s="260"/>
      <c r="IF161" s="260"/>
      <c r="IG161" s="260"/>
      <c r="IH161" s="260"/>
      <c r="II161" s="260"/>
      <c r="IJ161" s="260"/>
      <c r="IK161" s="260"/>
      <c r="IL161" s="260"/>
      <c r="IM161" s="260"/>
      <c r="IN161" s="260"/>
      <c r="IO161" s="260"/>
      <c r="IP161" s="260"/>
      <c r="IQ161" s="260"/>
      <c r="IR161" s="260"/>
    </row>
    <row r="162" spans="1:252" s="342" customFormat="1" x14ac:dyDescent="0.3">
      <c r="A162" s="275"/>
      <c r="B162" s="268" t="s">
        <v>268</v>
      </c>
      <c r="C162" s="268"/>
      <c r="D162" s="268"/>
      <c r="E162" s="268"/>
      <c r="F162" s="268"/>
      <c r="G162" s="268"/>
      <c r="H162" s="268"/>
      <c r="I162" s="268"/>
      <c r="J162" s="268"/>
      <c r="K162" s="268"/>
      <c r="L162" s="268"/>
      <c r="M162" s="268"/>
      <c r="N162" s="268"/>
      <c r="O162" s="268"/>
      <c r="P162" s="268"/>
      <c r="Q162" s="268"/>
      <c r="R162" s="314">
        <v>0</v>
      </c>
      <c r="S162" s="271"/>
      <c r="T162" s="259"/>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c r="AX162" s="260"/>
      <c r="AY162" s="260"/>
      <c r="AZ162" s="260"/>
      <c r="BA162" s="260"/>
      <c r="BB162" s="260"/>
      <c r="BC162" s="260"/>
      <c r="BD162" s="260"/>
      <c r="BE162" s="260"/>
      <c r="BF162" s="260"/>
      <c r="BG162" s="260"/>
      <c r="BH162" s="260"/>
      <c r="BI162" s="260"/>
      <c r="BJ162" s="260"/>
      <c r="BK162" s="260"/>
      <c r="BL162" s="260"/>
      <c r="BM162" s="260"/>
      <c r="BN162" s="260"/>
      <c r="BO162" s="260"/>
      <c r="BP162" s="260"/>
      <c r="BQ162" s="260"/>
      <c r="BR162" s="260"/>
      <c r="BS162" s="260"/>
      <c r="BT162" s="260"/>
      <c r="BU162" s="260"/>
      <c r="BV162" s="260"/>
      <c r="BW162" s="260"/>
      <c r="BX162" s="260"/>
      <c r="BY162" s="260"/>
      <c r="BZ162" s="260"/>
      <c r="CA162" s="260"/>
      <c r="CB162" s="260"/>
      <c r="CC162" s="260"/>
      <c r="CD162" s="260"/>
      <c r="CE162" s="260"/>
      <c r="CF162" s="260"/>
      <c r="CG162" s="260"/>
      <c r="CH162" s="260"/>
      <c r="CI162" s="260"/>
      <c r="CJ162" s="260"/>
      <c r="CK162" s="260"/>
      <c r="CL162" s="260"/>
      <c r="CM162" s="260"/>
      <c r="CN162" s="260"/>
      <c r="CO162" s="260"/>
      <c r="CP162" s="260"/>
      <c r="CQ162" s="260"/>
      <c r="CR162" s="260"/>
      <c r="CS162" s="260"/>
      <c r="CT162" s="260"/>
      <c r="CU162" s="260"/>
      <c r="CV162" s="260"/>
      <c r="CW162" s="260"/>
      <c r="CX162" s="260"/>
      <c r="CY162" s="260"/>
      <c r="CZ162" s="260"/>
      <c r="DA162" s="260"/>
      <c r="DB162" s="260"/>
      <c r="DC162" s="260"/>
      <c r="DD162" s="260"/>
      <c r="DE162" s="260"/>
      <c r="DF162" s="260"/>
      <c r="DG162" s="260"/>
      <c r="DH162" s="260"/>
      <c r="DI162" s="260"/>
      <c r="DJ162" s="260"/>
      <c r="DK162" s="260"/>
      <c r="DL162" s="260"/>
      <c r="DM162" s="260"/>
      <c r="DN162" s="260"/>
      <c r="DO162" s="260"/>
      <c r="DP162" s="260"/>
      <c r="DQ162" s="260"/>
      <c r="DR162" s="260"/>
      <c r="DS162" s="260"/>
      <c r="DT162" s="260"/>
      <c r="DU162" s="260"/>
      <c r="DV162" s="260"/>
      <c r="DW162" s="260"/>
      <c r="DX162" s="260"/>
      <c r="DY162" s="260"/>
      <c r="DZ162" s="260"/>
      <c r="EA162" s="260"/>
      <c r="EB162" s="260"/>
      <c r="EC162" s="260"/>
      <c r="ED162" s="260"/>
      <c r="EE162" s="260"/>
      <c r="EF162" s="260"/>
      <c r="EG162" s="260"/>
      <c r="EH162" s="260"/>
      <c r="EI162" s="260"/>
      <c r="EJ162" s="260"/>
      <c r="EK162" s="260"/>
      <c r="EL162" s="260"/>
      <c r="EM162" s="260"/>
      <c r="EN162" s="260"/>
      <c r="EO162" s="260"/>
      <c r="EP162" s="260"/>
      <c r="EQ162" s="260"/>
      <c r="ER162" s="260"/>
      <c r="ES162" s="260"/>
      <c r="ET162" s="260"/>
      <c r="EU162" s="260"/>
      <c r="EV162" s="260"/>
      <c r="EW162" s="260"/>
      <c r="EX162" s="260"/>
      <c r="EY162" s="260"/>
      <c r="EZ162" s="260"/>
      <c r="FA162" s="260"/>
      <c r="FB162" s="260"/>
      <c r="FC162" s="260"/>
      <c r="FD162" s="260"/>
      <c r="FE162" s="260"/>
      <c r="FF162" s="260"/>
      <c r="FG162" s="260"/>
      <c r="FH162" s="260"/>
      <c r="FI162" s="260"/>
      <c r="FJ162" s="260"/>
      <c r="FK162" s="260"/>
      <c r="FL162" s="260"/>
      <c r="FM162" s="260"/>
      <c r="FN162" s="260"/>
      <c r="FO162" s="260"/>
      <c r="FP162" s="260"/>
      <c r="FQ162" s="260"/>
      <c r="FR162" s="260"/>
      <c r="FS162" s="260"/>
      <c r="FT162" s="260"/>
      <c r="FU162" s="260"/>
      <c r="FV162" s="260"/>
      <c r="FW162" s="260"/>
      <c r="FX162" s="260"/>
      <c r="FY162" s="260"/>
      <c r="FZ162" s="260"/>
      <c r="GA162" s="260"/>
      <c r="GB162" s="260"/>
      <c r="GC162" s="260"/>
      <c r="GD162" s="260"/>
      <c r="GE162" s="260"/>
      <c r="GF162" s="260"/>
      <c r="GG162" s="260"/>
      <c r="GH162" s="260"/>
      <c r="GI162" s="260"/>
      <c r="GJ162" s="260"/>
      <c r="GK162" s="260"/>
      <c r="GL162" s="260"/>
      <c r="GM162" s="260"/>
      <c r="GN162" s="260"/>
      <c r="GO162" s="260"/>
      <c r="GP162" s="260"/>
      <c r="GQ162" s="260"/>
      <c r="GR162" s="260"/>
      <c r="GS162" s="260"/>
      <c r="GT162" s="260"/>
      <c r="GU162" s="260"/>
      <c r="GV162" s="260"/>
      <c r="GW162" s="260"/>
      <c r="GX162" s="260"/>
      <c r="GY162" s="260"/>
      <c r="GZ162" s="260"/>
      <c r="HA162" s="260"/>
      <c r="HB162" s="260"/>
      <c r="HC162" s="260"/>
      <c r="HD162" s="260"/>
      <c r="HE162" s="260"/>
      <c r="HF162" s="260"/>
      <c r="HG162" s="260"/>
      <c r="HH162" s="260"/>
      <c r="HI162" s="260"/>
      <c r="HJ162" s="260"/>
      <c r="HK162" s="260"/>
      <c r="HL162" s="260"/>
      <c r="HM162" s="260"/>
      <c r="HN162" s="260"/>
      <c r="HO162" s="260"/>
      <c r="HP162" s="260"/>
      <c r="HQ162" s="260"/>
      <c r="HR162" s="260"/>
      <c r="HS162" s="260"/>
      <c r="HT162" s="260"/>
      <c r="HU162" s="260"/>
      <c r="HV162" s="260"/>
      <c r="HW162" s="260"/>
      <c r="HX162" s="260"/>
      <c r="HY162" s="260"/>
      <c r="HZ162" s="260"/>
      <c r="IA162" s="260"/>
      <c r="IB162" s="260"/>
      <c r="IC162" s="260"/>
      <c r="ID162" s="260"/>
      <c r="IE162" s="260"/>
      <c r="IF162" s="260"/>
      <c r="IG162" s="260"/>
      <c r="IH162" s="260"/>
      <c r="II162" s="260"/>
      <c r="IJ162" s="260"/>
      <c r="IK162" s="260"/>
      <c r="IL162" s="260"/>
      <c r="IM162" s="260"/>
      <c r="IN162" s="260"/>
      <c r="IO162" s="260"/>
      <c r="IP162" s="260"/>
      <c r="IQ162" s="260"/>
      <c r="IR162" s="260"/>
    </row>
    <row r="163" spans="1:252" s="342" customFormat="1" x14ac:dyDescent="0.3">
      <c r="A163" s="275"/>
      <c r="B163" s="268" t="s">
        <v>144</v>
      </c>
      <c r="C163" s="268"/>
      <c r="D163" s="268"/>
      <c r="E163" s="268"/>
      <c r="F163" s="268"/>
      <c r="G163" s="268"/>
      <c r="H163" s="268"/>
      <c r="I163" s="268"/>
      <c r="J163" s="268"/>
      <c r="K163" s="268"/>
      <c r="L163" s="268"/>
      <c r="M163" s="268"/>
      <c r="N163" s="268"/>
      <c r="O163" s="268"/>
      <c r="P163" s="268"/>
      <c r="Q163" s="268"/>
      <c r="R163" s="314">
        <f>R84</f>
        <v>107</v>
      </c>
      <c r="S163" s="271"/>
      <c r="T163" s="259"/>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0"/>
      <c r="CE163" s="260"/>
      <c r="CF163" s="260"/>
      <c r="CG163" s="260"/>
      <c r="CH163" s="260"/>
      <c r="CI163" s="260"/>
      <c r="CJ163" s="260"/>
      <c r="CK163" s="260"/>
      <c r="CL163" s="260"/>
      <c r="CM163" s="260"/>
      <c r="CN163" s="260"/>
      <c r="CO163" s="260"/>
      <c r="CP163" s="260"/>
      <c r="CQ163" s="260"/>
      <c r="CR163" s="260"/>
      <c r="CS163" s="260"/>
      <c r="CT163" s="260"/>
      <c r="CU163" s="260"/>
      <c r="CV163" s="260"/>
      <c r="CW163" s="260"/>
      <c r="CX163" s="260"/>
      <c r="CY163" s="260"/>
      <c r="CZ163" s="260"/>
      <c r="DA163" s="260"/>
      <c r="DB163" s="260"/>
      <c r="DC163" s="260"/>
      <c r="DD163" s="260"/>
      <c r="DE163" s="260"/>
      <c r="DF163" s="260"/>
      <c r="DG163" s="260"/>
      <c r="DH163" s="260"/>
      <c r="DI163" s="260"/>
      <c r="DJ163" s="260"/>
      <c r="DK163" s="260"/>
      <c r="DL163" s="260"/>
      <c r="DM163" s="260"/>
      <c r="DN163" s="260"/>
      <c r="DO163" s="260"/>
      <c r="DP163" s="260"/>
      <c r="DQ163" s="260"/>
      <c r="DR163" s="260"/>
      <c r="DS163" s="260"/>
      <c r="DT163" s="260"/>
      <c r="DU163" s="260"/>
      <c r="DV163" s="260"/>
      <c r="DW163" s="260"/>
      <c r="DX163" s="260"/>
      <c r="DY163" s="260"/>
      <c r="DZ163" s="260"/>
      <c r="EA163" s="260"/>
      <c r="EB163" s="260"/>
      <c r="EC163" s="260"/>
      <c r="ED163" s="260"/>
      <c r="EE163" s="260"/>
      <c r="EF163" s="260"/>
      <c r="EG163" s="260"/>
      <c r="EH163" s="260"/>
      <c r="EI163" s="260"/>
      <c r="EJ163" s="260"/>
      <c r="EK163" s="260"/>
      <c r="EL163" s="260"/>
      <c r="EM163" s="260"/>
      <c r="EN163" s="260"/>
      <c r="EO163" s="260"/>
      <c r="EP163" s="260"/>
      <c r="EQ163" s="260"/>
      <c r="ER163" s="260"/>
      <c r="ES163" s="260"/>
      <c r="ET163" s="260"/>
      <c r="EU163" s="260"/>
      <c r="EV163" s="260"/>
      <c r="EW163" s="260"/>
      <c r="EX163" s="260"/>
      <c r="EY163" s="260"/>
      <c r="EZ163" s="260"/>
      <c r="FA163" s="260"/>
      <c r="FB163" s="260"/>
      <c r="FC163" s="260"/>
      <c r="FD163" s="260"/>
      <c r="FE163" s="260"/>
      <c r="FF163" s="260"/>
      <c r="FG163" s="260"/>
      <c r="FH163" s="260"/>
      <c r="FI163" s="260"/>
      <c r="FJ163" s="260"/>
      <c r="FK163" s="260"/>
      <c r="FL163" s="260"/>
      <c r="FM163" s="260"/>
      <c r="FN163" s="260"/>
      <c r="FO163" s="260"/>
      <c r="FP163" s="260"/>
      <c r="FQ163" s="260"/>
      <c r="FR163" s="260"/>
      <c r="FS163" s="260"/>
      <c r="FT163" s="260"/>
      <c r="FU163" s="260"/>
      <c r="FV163" s="260"/>
      <c r="FW163" s="260"/>
      <c r="FX163" s="260"/>
      <c r="FY163" s="260"/>
      <c r="FZ163" s="260"/>
      <c r="GA163" s="260"/>
      <c r="GB163" s="260"/>
      <c r="GC163" s="260"/>
      <c r="GD163" s="260"/>
      <c r="GE163" s="260"/>
      <c r="GF163" s="260"/>
      <c r="GG163" s="260"/>
      <c r="GH163" s="260"/>
      <c r="GI163" s="260"/>
      <c r="GJ163" s="260"/>
      <c r="GK163" s="260"/>
      <c r="GL163" s="260"/>
      <c r="GM163" s="260"/>
      <c r="GN163" s="260"/>
      <c r="GO163" s="260"/>
      <c r="GP163" s="260"/>
      <c r="GQ163" s="260"/>
      <c r="GR163" s="260"/>
      <c r="GS163" s="260"/>
      <c r="GT163" s="260"/>
      <c r="GU163" s="260"/>
      <c r="GV163" s="260"/>
      <c r="GW163" s="260"/>
      <c r="GX163" s="260"/>
      <c r="GY163" s="260"/>
      <c r="GZ163" s="260"/>
      <c r="HA163" s="260"/>
      <c r="HB163" s="260"/>
      <c r="HC163" s="260"/>
      <c r="HD163" s="260"/>
      <c r="HE163" s="260"/>
      <c r="HF163" s="260"/>
      <c r="HG163" s="260"/>
      <c r="HH163" s="260"/>
      <c r="HI163" s="260"/>
      <c r="HJ163" s="260"/>
      <c r="HK163" s="260"/>
      <c r="HL163" s="260"/>
      <c r="HM163" s="260"/>
      <c r="HN163" s="260"/>
      <c r="HO163" s="260"/>
      <c r="HP163" s="260"/>
      <c r="HQ163" s="260"/>
      <c r="HR163" s="260"/>
      <c r="HS163" s="260"/>
      <c r="HT163" s="260"/>
      <c r="HU163" s="260"/>
      <c r="HV163" s="260"/>
      <c r="HW163" s="260"/>
      <c r="HX163" s="260"/>
      <c r="HY163" s="260"/>
      <c r="HZ163" s="260"/>
      <c r="IA163" s="260"/>
      <c r="IB163" s="260"/>
      <c r="IC163" s="260"/>
      <c r="ID163" s="260"/>
      <c r="IE163" s="260"/>
      <c r="IF163" s="260"/>
      <c r="IG163" s="260"/>
      <c r="IH163" s="260"/>
      <c r="II163" s="260"/>
      <c r="IJ163" s="260"/>
      <c r="IK163" s="260"/>
      <c r="IL163" s="260"/>
      <c r="IM163" s="260"/>
      <c r="IN163" s="260"/>
      <c r="IO163" s="260"/>
      <c r="IP163" s="260"/>
      <c r="IQ163" s="260"/>
      <c r="IR163" s="260"/>
    </row>
    <row r="164" spans="1:252" s="342" customFormat="1" x14ac:dyDescent="0.3">
      <c r="A164" s="275"/>
      <c r="B164" s="268" t="s">
        <v>142</v>
      </c>
      <c r="C164" s="268"/>
      <c r="D164" s="268"/>
      <c r="E164" s="268"/>
      <c r="F164" s="268"/>
      <c r="G164" s="268"/>
      <c r="H164" s="268"/>
      <c r="I164" s="268"/>
      <c r="J164" s="268"/>
      <c r="K164" s="268"/>
      <c r="L164" s="268"/>
      <c r="M164" s="268"/>
      <c r="N164" s="268"/>
      <c r="O164" s="268"/>
      <c r="P164" s="268"/>
      <c r="Q164" s="268"/>
      <c r="R164" s="314">
        <f>+R161+R162-R163</f>
        <v>491</v>
      </c>
      <c r="S164" s="271"/>
      <c r="T164" s="259"/>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0"/>
      <c r="BW164" s="260"/>
      <c r="BX164" s="260"/>
      <c r="BY164" s="260"/>
      <c r="BZ164" s="260"/>
      <c r="CA164" s="260"/>
      <c r="CB164" s="260"/>
      <c r="CC164" s="260"/>
      <c r="CD164" s="260"/>
      <c r="CE164" s="260"/>
      <c r="CF164" s="260"/>
      <c r="CG164" s="260"/>
      <c r="CH164" s="260"/>
      <c r="CI164" s="260"/>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0"/>
      <c r="DF164" s="260"/>
      <c r="DG164" s="260"/>
      <c r="DH164" s="260"/>
      <c r="DI164" s="260"/>
      <c r="DJ164" s="260"/>
      <c r="DK164" s="260"/>
      <c r="DL164" s="260"/>
      <c r="DM164" s="260"/>
      <c r="DN164" s="260"/>
      <c r="DO164" s="260"/>
      <c r="DP164" s="260"/>
      <c r="DQ164" s="260"/>
      <c r="DR164" s="260"/>
      <c r="DS164" s="260"/>
      <c r="DT164" s="260"/>
      <c r="DU164" s="260"/>
      <c r="DV164" s="260"/>
      <c r="DW164" s="260"/>
      <c r="DX164" s="260"/>
      <c r="DY164" s="260"/>
      <c r="DZ164" s="260"/>
      <c r="EA164" s="260"/>
      <c r="EB164" s="260"/>
      <c r="EC164" s="260"/>
      <c r="ED164" s="260"/>
      <c r="EE164" s="260"/>
      <c r="EF164" s="260"/>
      <c r="EG164" s="260"/>
      <c r="EH164" s="260"/>
      <c r="EI164" s="260"/>
      <c r="EJ164" s="260"/>
      <c r="EK164" s="260"/>
      <c r="EL164" s="260"/>
      <c r="EM164" s="260"/>
      <c r="EN164" s="260"/>
      <c r="EO164" s="260"/>
      <c r="EP164" s="260"/>
      <c r="EQ164" s="260"/>
      <c r="ER164" s="260"/>
      <c r="ES164" s="260"/>
      <c r="ET164" s="260"/>
      <c r="EU164" s="260"/>
      <c r="EV164" s="260"/>
      <c r="EW164" s="260"/>
      <c r="EX164" s="260"/>
      <c r="EY164" s="260"/>
      <c r="EZ164" s="260"/>
      <c r="FA164" s="260"/>
      <c r="FB164" s="260"/>
      <c r="FC164" s="260"/>
      <c r="FD164" s="260"/>
      <c r="FE164" s="260"/>
      <c r="FF164" s="260"/>
      <c r="FG164" s="260"/>
      <c r="FH164" s="260"/>
      <c r="FI164" s="260"/>
      <c r="FJ164" s="260"/>
      <c r="FK164" s="260"/>
      <c r="FL164" s="260"/>
      <c r="FM164" s="260"/>
      <c r="FN164" s="260"/>
      <c r="FO164" s="260"/>
      <c r="FP164" s="260"/>
      <c r="FQ164" s="260"/>
      <c r="FR164" s="260"/>
      <c r="FS164" s="260"/>
      <c r="FT164" s="260"/>
      <c r="FU164" s="260"/>
      <c r="FV164" s="260"/>
      <c r="FW164" s="260"/>
      <c r="FX164" s="260"/>
      <c r="FY164" s="260"/>
      <c r="FZ164" s="260"/>
      <c r="GA164" s="260"/>
      <c r="GB164" s="260"/>
      <c r="GC164" s="260"/>
      <c r="GD164" s="260"/>
      <c r="GE164" s="260"/>
      <c r="GF164" s="260"/>
      <c r="GG164" s="260"/>
      <c r="GH164" s="260"/>
      <c r="GI164" s="260"/>
      <c r="GJ164" s="260"/>
      <c r="GK164" s="260"/>
      <c r="GL164" s="260"/>
      <c r="GM164" s="260"/>
      <c r="GN164" s="260"/>
      <c r="GO164" s="260"/>
      <c r="GP164" s="260"/>
      <c r="GQ164" s="260"/>
      <c r="GR164" s="260"/>
      <c r="GS164" s="260"/>
      <c r="GT164" s="260"/>
      <c r="GU164" s="260"/>
      <c r="GV164" s="260"/>
      <c r="GW164" s="260"/>
      <c r="GX164" s="260"/>
      <c r="GY164" s="260"/>
      <c r="GZ164" s="260"/>
      <c r="HA164" s="260"/>
      <c r="HB164" s="260"/>
      <c r="HC164" s="260"/>
      <c r="HD164" s="260"/>
      <c r="HE164" s="260"/>
      <c r="HF164" s="260"/>
      <c r="HG164" s="260"/>
      <c r="HH164" s="260"/>
      <c r="HI164" s="260"/>
      <c r="HJ164" s="260"/>
      <c r="HK164" s="260"/>
      <c r="HL164" s="260"/>
      <c r="HM164" s="260"/>
      <c r="HN164" s="260"/>
      <c r="HO164" s="260"/>
      <c r="HP164" s="260"/>
      <c r="HQ164" s="260"/>
      <c r="HR164" s="260"/>
      <c r="HS164" s="260"/>
      <c r="HT164" s="260"/>
      <c r="HU164" s="260"/>
      <c r="HV164" s="260"/>
      <c r="HW164" s="260"/>
      <c r="HX164" s="260"/>
      <c r="HY164" s="260"/>
      <c r="HZ164" s="260"/>
      <c r="IA164" s="260"/>
      <c r="IB164" s="260"/>
      <c r="IC164" s="260"/>
      <c r="ID164" s="260"/>
      <c r="IE164" s="260"/>
      <c r="IF164" s="260"/>
      <c r="IG164" s="260"/>
      <c r="IH164" s="260"/>
      <c r="II164" s="260"/>
      <c r="IJ164" s="260"/>
      <c r="IK164" s="260"/>
      <c r="IL164" s="260"/>
      <c r="IM164" s="260"/>
      <c r="IN164" s="260"/>
      <c r="IO164" s="260"/>
      <c r="IP164" s="260"/>
      <c r="IQ164" s="260"/>
      <c r="IR164" s="260"/>
    </row>
    <row r="165" spans="1:252" s="344" customFormat="1" ht="16.2" thickBot="1" x14ac:dyDescent="0.35">
      <c r="A165" s="343"/>
      <c r="B165" s="315"/>
      <c r="C165" s="315"/>
      <c r="D165" s="315"/>
      <c r="E165" s="315"/>
      <c r="F165" s="315"/>
      <c r="G165" s="315"/>
      <c r="H165" s="315"/>
      <c r="I165" s="315"/>
      <c r="J165" s="315"/>
      <c r="K165" s="315"/>
      <c r="L165" s="315"/>
      <c r="M165" s="315"/>
      <c r="N165" s="315"/>
      <c r="O165" s="315"/>
      <c r="P165" s="315"/>
      <c r="Q165" s="315"/>
      <c r="R165" s="331"/>
      <c r="S165" s="246"/>
      <c r="T165" s="241"/>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42"/>
      <c r="BD165" s="242"/>
      <c r="BE165" s="242"/>
      <c r="BF165" s="242"/>
      <c r="BG165" s="242"/>
      <c r="BH165" s="242"/>
      <c r="BI165" s="242"/>
      <c r="BJ165" s="242"/>
      <c r="BK165" s="242"/>
      <c r="BL165" s="242"/>
      <c r="BM165" s="242"/>
      <c r="BN165" s="242"/>
      <c r="BO165" s="242"/>
      <c r="BP165" s="242"/>
      <c r="BQ165" s="242"/>
      <c r="BR165" s="242"/>
      <c r="BS165" s="242"/>
      <c r="BT165" s="242"/>
      <c r="BU165" s="242"/>
      <c r="BV165" s="242"/>
      <c r="BW165" s="242"/>
      <c r="BX165" s="242"/>
      <c r="BY165" s="242"/>
      <c r="BZ165" s="242"/>
      <c r="CA165" s="242"/>
      <c r="CB165" s="242"/>
      <c r="CC165" s="242"/>
      <c r="CD165" s="242"/>
      <c r="CE165" s="242"/>
      <c r="CF165" s="242"/>
      <c r="CG165" s="242"/>
      <c r="CH165" s="242"/>
      <c r="CI165" s="242"/>
      <c r="CJ165" s="242"/>
      <c r="CK165" s="242"/>
      <c r="CL165" s="242"/>
      <c r="CM165" s="242"/>
      <c r="CN165" s="242"/>
      <c r="CO165" s="242"/>
      <c r="CP165" s="242"/>
      <c r="CQ165" s="242"/>
      <c r="CR165" s="242"/>
      <c r="CS165" s="242"/>
      <c r="CT165" s="242"/>
      <c r="CU165" s="242"/>
      <c r="CV165" s="242"/>
      <c r="CW165" s="242"/>
      <c r="CX165" s="242"/>
      <c r="CY165" s="242"/>
      <c r="CZ165" s="242"/>
      <c r="DA165" s="242"/>
      <c r="DB165" s="242"/>
      <c r="DC165" s="242"/>
      <c r="DD165" s="242"/>
      <c r="DE165" s="242"/>
      <c r="DF165" s="242"/>
      <c r="DG165" s="242"/>
      <c r="DH165" s="242"/>
      <c r="DI165" s="242"/>
      <c r="DJ165" s="242"/>
      <c r="DK165" s="242"/>
      <c r="DL165" s="242"/>
      <c r="DM165" s="242"/>
      <c r="DN165" s="242"/>
      <c r="DO165" s="242"/>
      <c r="DP165" s="242"/>
      <c r="DQ165" s="242"/>
      <c r="DR165" s="242"/>
      <c r="DS165" s="242"/>
      <c r="DT165" s="242"/>
      <c r="DU165" s="242"/>
      <c r="DV165" s="242"/>
      <c r="DW165" s="242"/>
      <c r="DX165" s="242"/>
      <c r="DY165" s="242"/>
      <c r="DZ165" s="242"/>
      <c r="EA165" s="242"/>
      <c r="EB165" s="242"/>
      <c r="EC165" s="242"/>
      <c r="ED165" s="242"/>
      <c r="EE165" s="242"/>
      <c r="EF165" s="242"/>
      <c r="EG165" s="242"/>
      <c r="EH165" s="242"/>
      <c r="EI165" s="242"/>
      <c r="EJ165" s="242"/>
      <c r="EK165" s="242"/>
      <c r="EL165" s="242"/>
      <c r="EM165" s="242"/>
      <c r="EN165" s="242"/>
      <c r="EO165" s="242"/>
      <c r="EP165" s="242"/>
      <c r="EQ165" s="242"/>
      <c r="ER165" s="242"/>
      <c r="ES165" s="242"/>
      <c r="ET165" s="242"/>
      <c r="EU165" s="242"/>
      <c r="EV165" s="242"/>
      <c r="EW165" s="242"/>
      <c r="EX165" s="242"/>
      <c r="EY165" s="242"/>
      <c r="EZ165" s="242"/>
      <c r="FA165" s="242"/>
      <c r="FB165" s="242"/>
      <c r="FC165" s="242"/>
      <c r="FD165" s="242"/>
      <c r="FE165" s="242"/>
      <c r="FF165" s="242"/>
      <c r="FG165" s="242"/>
      <c r="FH165" s="242"/>
      <c r="FI165" s="242"/>
      <c r="FJ165" s="242"/>
      <c r="FK165" s="242"/>
      <c r="FL165" s="242"/>
      <c r="FM165" s="242"/>
      <c r="FN165" s="242"/>
      <c r="FO165" s="242"/>
      <c r="FP165" s="242"/>
      <c r="FQ165" s="242"/>
      <c r="FR165" s="242"/>
      <c r="FS165" s="242"/>
      <c r="FT165" s="242"/>
      <c r="FU165" s="242"/>
      <c r="FV165" s="242"/>
      <c r="FW165" s="242"/>
      <c r="FX165" s="242"/>
      <c r="FY165" s="242"/>
      <c r="FZ165" s="242"/>
      <c r="GA165" s="242"/>
      <c r="GB165" s="242"/>
      <c r="GC165" s="242"/>
      <c r="GD165" s="242"/>
      <c r="GE165" s="242"/>
      <c r="GF165" s="242"/>
      <c r="GG165" s="242"/>
      <c r="GH165" s="242"/>
      <c r="GI165" s="242"/>
      <c r="GJ165" s="242"/>
      <c r="GK165" s="242"/>
      <c r="GL165" s="242"/>
      <c r="GM165" s="242"/>
      <c r="GN165" s="242"/>
      <c r="GO165" s="242"/>
      <c r="GP165" s="242"/>
      <c r="GQ165" s="242"/>
      <c r="GR165" s="242"/>
      <c r="GS165" s="242"/>
      <c r="GT165" s="242"/>
      <c r="GU165" s="242"/>
      <c r="GV165" s="242"/>
      <c r="GW165" s="242"/>
      <c r="GX165" s="242"/>
      <c r="GY165" s="242"/>
      <c r="GZ165" s="242"/>
      <c r="HA165" s="242"/>
      <c r="HB165" s="242"/>
      <c r="HC165" s="242"/>
      <c r="HD165" s="242"/>
      <c r="HE165" s="242"/>
      <c r="HF165" s="242"/>
      <c r="HG165" s="242"/>
      <c r="HH165" s="242"/>
      <c r="HI165" s="242"/>
      <c r="HJ165" s="242"/>
      <c r="HK165" s="242"/>
      <c r="HL165" s="242"/>
      <c r="HM165" s="242"/>
      <c r="HN165" s="242"/>
      <c r="HO165" s="242"/>
      <c r="HP165" s="242"/>
      <c r="HQ165" s="242"/>
      <c r="HR165" s="242"/>
      <c r="HS165" s="242"/>
      <c r="HT165" s="242"/>
      <c r="HU165" s="242"/>
      <c r="HV165" s="242"/>
      <c r="HW165" s="242"/>
      <c r="HX165" s="242"/>
      <c r="HY165" s="242"/>
      <c r="HZ165" s="242"/>
      <c r="IA165" s="242"/>
      <c r="IB165" s="242"/>
      <c r="IC165" s="242"/>
      <c r="ID165" s="242"/>
      <c r="IE165" s="242"/>
      <c r="IF165" s="242"/>
      <c r="IG165" s="242"/>
      <c r="IH165" s="242"/>
      <c r="II165" s="242"/>
      <c r="IJ165" s="242"/>
      <c r="IK165" s="242"/>
      <c r="IL165" s="242"/>
      <c r="IM165" s="242"/>
      <c r="IN165" s="242"/>
      <c r="IO165" s="242"/>
      <c r="IP165" s="242"/>
      <c r="IQ165" s="242"/>
      <c r="IR165" s="242"/>
    </row>
    <row r="166" spans="1:252" s="345" customFormat="1" x14ac:dyDescent="0.3">
      <c r="A166" s="237"/>
      <c r="B166" s="239"/>
      <c r="C166" s="239"/>
      <c r="D166" s="239"/>
      <c r="E166" s="239"/>
      <c r="F166" s="239"/>
      <c r="G166" s="239"/>
      <c r="H166" s="239"/>
      <c r="I166" s="239"/>
      <c r="J166" s="239"/>
      <c r="K166" s="239"/>
      <c r="L166" s="239"/>
      <c r="M166" s="239"/>
      <c r="N166" s="239"/>
      <c r="O166" s="239"/>
      <c r="P166" s="239"/>
      <c r="Q166" s="239"/>
      <c r="R166" s="339"/>
      <c r="S166" s="240"/>
      <c r="T166" s="241"/>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c r="AV166" s="242"/>
      <c r="AW166" s="242"/>
      <c r="AX166" s="242"/>
      <c r="AY166" s="242"/>
      <c r="AZ166" s="242"/>
      <c r="BA166" s="242"/>
      <c r="BB166" s="242"/>
      <c r="BC166" s="242"/>
      <c r="BD166" s="242"/>
      <c r="BE166" s="242"/>
      <c r="BF166" s="242"/>
      <c r="BG166" s="242"/>
      <c r="BH166" s="242"/>
      <c r="BI166" s="242"/>
      <c r="BJ166" s="242"/>
      <c r="BK166" s="242"/>
      <c r="BL166" s="242"/>
      <c r="BM166" s="242"/>
      <c r="BN166" s="242"/>
      <c r="BO166" s="242"/>
      <c r="BP166" s="242"/>
      <c r="BQ166" s="242"/>
      <c r="BR166" s="242"/>
      <c r="BS166" s="242"/>
      <c r="BT166" s="242"/>
      <c r="BU166" s="242"/>
      <c r="BV166" s="242"/>
      <c r="BW166" s="242"/>
      <c r="BX166" s="242"/>
      <c r="BY166" s="242"/>
      <c r="BZ166" s="242"/>
      <c r="CA166" s="242"/>
      <c r="CB166" s="242"/>
      <c r="CC166" s="242"/>
      <c r="CD166" s="242"/>
      <c r="CE166" s="242"/>
      <c r="CF166" s="242"/>
      <c r="CG166" s="242"/>
      <c r="CH166" s="242"/>
      <c r="CI166" s="242"/>
      <c r="CJ166" s="242"/>
      <c r="CK166" s="242"/>
      <c r="CL166" s="242"/>
      <c r="CM166" s="242"/>
      <c r="CN166" s="242"/>
      <c r="CO166" s="242"/>
      <c r="CP166" s="242"/>
      <c r="CQ166" s="242"/>
      <c r="CR166" s="242"/>
      <c r="CS166" s="242"/>
      <c r="CT166" s="242"/>
      <c r="CU166" s="242"/>
      <c r="CV166" s="242"/>
      <c r="CW166" s="242"/>
      <c r="CX166" s="242"/>
      <c r="CY166" s="242"/>
      <c r="CZ166" s="242"/>
      <c r="DA166" s="242"/>
      <c r="DB166" s="242"/>
      <c r="DC166" s="242"/>
      <c r="DD166" s="242"/>
      <c r="DE166" s="242"/>
      <c r="DF166" s="242"/>
      <c r="DG166" s="242"/>
      <c r="DH166" s="242"/>
      <c r="DI166" s="242"/>
      <c r="DJ166" s="242"/>
      <c r="DK166" s="242"/>
      <c r="DL166" s="242"/>
      <c r="DM166" s="242"/>
      <c r="DN166" s="242"/>
      <c r="DO166" s="242"/>
      <c r="DP166" s="242"/>
      <c r="DQ166" s="242"/>
      <c r="DR166" s="242"/>
      <c r="DS166" s="242"/>
      <c r="DT166" s="242"/>
      <c r="DU166" s="242"/>
      <c r="DV166" s="242"/>
      <c r="DW166" s="242"/>
      <c r="DX166" s="242"/>
      <c r="DY166" s="242"/>
      <c r="DZ166" s="242"/>
      <c r="EA166" s="242"/>
      <c r="EB166" s="242"/>
      <c r="EC166" s="242"/>
      <c r="ED166" s="242"/>
      <c r="EE166" s="242"/>
      <c r="EF166" s="242"/>
      <c r="EG166" s="242"/>
      <c r="EH166" s="242"/>
      <c r="EI166" s="242"/>
      <c r="EJ166" s="242"/>
      <c r="EK166" s="242"/>
      <c r="EL166" s="242"/>
      <c r="EM166" s="242"/>
      <c r="EN166" s="242"/>
      <c r="EO166" s="242"/>
      <c r="EP166" s="242"/>
      <c r="EQ166" s="242"/>
      <c r="ER166" s="242"/>
      <c r="ES166" s="242"/>
      <c r="ET166" s="242"/>
      <c r="EU166" s="242"/>
      <c r="EV166" s="242"/>
      <c r="EW166" s="242"/>
      <c r="EX166" s="242"/>
      <c r="EY166" s="242"/>
      <c r="EZ166" s="242"/>
      <c r="FA166" s="242"/>
      <c r="FB166" s="242"/>
      <c r="FC166" s="242"/>
      <c r="FD166" s="242"/>
      <c r="FE166" s="242"/>
      <c r="FF166" s="242"/>
      <c r="FG166" s="242"/>
      <c r="FH166" s="242"/>
      <c r="FI166" s="242"/>
      <c r="FJ166" s="242"/>
      <c r="FK166" s="242"/>
      <c r="FL166" s="242"/>
      <c r="FM166" s="242"/>
      <c r="FN166" s="242"/>
      <c r="FO166" s="242"/>
      <c r="FP166" s="242"/>
      <c r="FQ166" s="242"/>
      <c r="FR166" s="242"/>
      <c r="FS166" s="242"/>
      <c r="FT166" s="242"/>
      <c r="FU166" s="242"/>
      <c r="FV166" s="242"/>
      <c r="FW166" s="242"/>
      <c r="FX166" s="242"/>
      <c r="FY166" s="242"/>
      <c r="FZ166" s="242"/>
      <c r="GA166" s="242"/>
      <c r="GB166" s="242"/>
      <c r="GC166" s="242"/>
      <c r="GD166" s="242"/>
      <c r="GE166" s="242"/>
      <c r="GF166" s="242"/>
      <c r="GG166" s="242"/>
      <c r="GH166" s="242"/>
      <c r="GI166" s="242"/>
      <c r="GJ166" s="242"/>
      <c r="GK166" s="242"/>
      <c r="GL166" s="242"/>
      <c r="GM166" s="242"/>
      <c r="GN166" s="242"/>
      <c r="GO166" s="242"/>
      <c r="GP166" s="242"/>
      <c r="GQ166" s="242"/>
      <c r="GR166" s="242"/>
      <c r="GS166" s="242"/>
      <c r="GT166" s="242"/>
      <c r="GU166" s="242"/>
      <c r="GV166" s="242"/>
      <c r="GW166" s="242"/>
      <c r="GX166" s="242"/>
      <c r="GY166" s="242"/>
      <c r="GZ166" s="242"/>
      <c r="HA166" s="242"/>
      <c r="HB166" s="242"/>
      <c r="HC166" s="242"/>
      <c r="HD166" s="242"/>
      <c r="HE166" s="242"/>
      <c r="HF166" s="242"/>
      <c r="HG166" s="242"/>
      <c r="HH166" s="242"/>
      <c r="HI166" s="242"/>
      <c r="HJ166" s="242"/>
      <c r="HK166" s="242"/>
      <c r="HL166" s="242"/>
      <c r="HM166" s="242"/>
      <c r="HN166" s="242"/>
      <c r="HO166" s="242"/>
      <c r="HP166" s="242"/>
      <c r="HQ166" s="242"/>
      <c r="HR166" s="242"/>
      <c r="HS166" s="242"/>
      <c r="HT166" s="242"/>
      <c r="HU166" s="242"/>
      <c r="HV166" s="242"/>
      <c r="HW166" s="242"/>
      <c r="HX166" s="242"/>
      <c r="HY166" s="242"/>
      <c r="HZ166" s="242"/>
      <c r="IA166" s="242"/>
      <c r="IB166" s="242"/>
      <c r="IC166" s="242"/>
      <c r="ID166" s="242"/>
      <c r="IE166" s="242"/>
      <c r="IF166" s="242"/>
      <c r="IG166" s="242"/>
      <c r="IH166" s="242"/>
      <c r="II166" s="242"/>
      <c r="IJ166" s="242"/>
      <c r="IK166" s="242"/>
      <c r="IL166" s="242"/>
      <c r="IM166" s="242"/>
      <c r="IN166" s="242"/>
      <c r="IO166" s="242"/>
      <c r="IP166" s="242"/>
      <c r="IQ166" s="242"/>
      <c r="IR166" s="242"/>
    </row>
    <row r="167" spans="1:252" x14ac:dyDescent="0.3">
      <c r="A167" s="243"/>
      <c r="B167" s="418" t="s">
        <v>44</v>
      </c>
      <c r="C167" s="245"/>
      <c r="D167" s="245"/>
      <c r="E167" s="245"/>
      <c r="F167" s="245"/>
      <c r="G167" s="245"/>
      <c r="H167" s="245"/>
      <c r="I167" s="245"/>
      <c r="J167" s="245"/>
      <c r="K167" s="245"/>
      <c r="L167" s="245"/>
      <c r="M167" s="245"/>
      <c r="N167" s="245"/>
      <c r="O167" s="245"/>
      <c r="P167" s="245"/>
      <c r="Q167" s="245"/>
      <c r="R167" s="312"/>
      <c r="S167" s="246"/>
      <c r="T167" s="241"/>
    </row>
    <row r="168" spans="1:252" x14ac:dyDescent="0.3">
      <c r="A168" s="243"/>
      <c r="B168" s="330"/>
      <c r="C168" s="245"/>
      <c r="D168" s="245"/>
      <c r="E168" s="245"/>
      <c r="F168" s="245"/>
      <c r="G168" s="245"/>
      <c r="H168" s="245"/>
      <c r="I168" s="245"/>
      <c r="J168" s="245"/>
      <c r="K168" s="245"/>
      <c r="L168" s="245"/>
      <c r="M168" s="245"/>
      <c r="N168" s="245"/>
      <c r="O168" s="245"/>
      <c r="P168" s="245"/>
      <c r="Q168" s="245"/>
      <c r="R168" s="312"/>
      <c r="S168" s="246"/>
      <c r="T168" s="241"/>
    </row>
    <row r="169" spans="1:252" s="260" customFormat="1" x14ac:dyDescent="0.3">
      <c r="A169" s="275"/>
      <c r="B169" s="268" t="s">
        <v>177</v>
      </c>
      <c r="C169" s="268"/>
      <c r="D169" s="268"/>
      <c r="E169" s="268"/>
      <c r="F169" s="268"/>
      <c r="G169" s="268"/>
      <c r="H169" s="268"/>
      <c r="I169" s="268"/>
      <c r="J169" s="268"/>
      <c r="K169" s="268"/>
      <c r="L169" s="268"/>
      <c r="M169" s="268"/>
      <c r="N169" s="268"/>
      <c r="O169" s="268"/>
      <c r="P169" s="268"/>
      <c r="Q169" s="268"/>
      <c r="R169" s="314">
        <f>+R59</f>
        <v>66770</v>
      </c>
      <c r="S169" s="271"/>
      <c r="T169" s="259"/>
    </row>
    <row r="170" spans="1:252" s="260" customFormat="1" x14ac:dyDescent="0.3">
      <c r="A170" s="275"/>
      <c r="B170" s="268" t="s">
        <v>178</v>
      </c>
      <c r="C170" s="268"/>
      <c r="D170" s="268"/>
      <c r="E170" s="268"/>
      <c r="F170" s="268"/>
      <c r="G170" s="268"/>
      <c r="H170" s="268"/>
      <c r="I170" s="268"/>
      <c r="J170" s="268"/>
      <c r="K170" s="268"/>
      <c r="L170" s="268"/>
      <c r="M170" s="268"/>
      <c r="N170" s="268"/>
      <c r="O170" s="268"/>
      <c r="P170" s="268"/>
      <c r="Q170" s="268"/>
      <c r="R170" s="314">
        <f>+R69</f>
        <v>0</v>
      </c>
      <c r="S170" s="271"/>
      <c r="T170" s="259"/>
    </row>
    <row r="171" spans="1:252" s="260" customFormat="1" x14ac:dyDescent="0.3">
      <c r="A171" s="275"/>
      <c r="B171" s="268" t="s">
        <v>246</v>
      </c>
      <c r="C171" s="268"/>
      <c r="D171" s="268"/>
      <c r="E171" s="268"/>
      <c r="F171" s="268"/>
      <c r="G171" s="268"/>
      <c r="H171" s="268"/>
      <c r="I171" s="268"/>
      <c r="J171" s="268"/>
      <c r="K171" s="268"/>
      <c r="L171" s="268"/>
      <c r="M171" s="268"/>
      <c r="N171" s="268"/>
      <c r="O171" s="268"/>
      <c r="P171" s="268"/>
      <c r="Q171" s="268"/>
      <c r="R171" s="314">
        <f>+R70</f>
        <v>0</v>
      </c>
      <c r="S171" s="271"/>
      <c r="T171" s="259"/>
    </row>
    <row r="172" spans="1:252" s="260" customFormat="1" x14ac:dyDescent="0.3">
      <c r="A172" s="275"/>
      <c r="B172" s="268" t="s">
        <v>126</v>
      </c>
      <c r="C172" s="268"/>
      <c r="D172" s="268"/>
      <c r="E172" s="268"/>
      <c r="F172" s="268"/>
      <c r="G172" s="268"/>
      <c r="H172" s="268"/>
      <c r="I172" s="268"/>
      <c r="J172" s="268"/>
      <c r="K172" s="268"/>
      <c r="L172" s="268"/>
      <c r="M172" s="268"/>
      <c r="N172" s="268"/>
      <c r="O172" s="268"/>
      <c r="P172" s="268"/>
      <c r="Q172" s="268"/>
      <c r="R172" s="314">
        <f>+R169+R170+R171</f>
        <v>66770</v>
      </c>
      <c r="S172" s="271"/>
      <c r="T172" s="259"/>
    </row>
    <row r="173" spans="1:252" s="260" customFormat="1" x14ac:dyDescent="0.3">
      <c r="A173" s="275"/>
      <c r="B173" s="268" t="s">
        <v>45</v>
      </c>
      <c r="C173" s="268"/>
      <c r="D173" s="268"/>
      <c r="E173" s="268"/>
      <c r="F173" s="268"/>
      <c r="G173" s="268"/>
      <c r="H173" s="268"/>
      <c r="I173" s="268"/>
      <c r="J173" s="268"/>
      <c r="K173" s="268"/>
      <c r="L173" s="268"/>
      <c r="M173" s="268"/>
      <c r="N173" s="268"/>
      <c r="O173" s="268"/>
      <c r="P173" s="268"/>
      <c r="Q173" s="268"/>
      <c r="R173" s="314">
        <f>R72</f>
        <v>66770</v>
      </c>
      <c r="S173" s="271"/>
      <c r="T173" s="259"/>
    </row>
    <row r="174" spans="1:252" ht="16.2" thickBot="1" x14ac:dyDescent="0.35">
      <c r="A174" s="243"/>
      <c r="B174" s="315"/>
      <c r="C174" s="315"/>
      <c r="D174" s="315"/>
      <c r="E174" s="315"/>
      <c r="F174" s="315"/>
      <c r="G174" s="315"/>
      <c r="H174" s="315"/>
      <c r="I174" s="315"/>
      <c r="J174" s="315"/>
      <c r="K174" s="315"/>
      <c r="L174" s="315"/>
      <c r="M174" s="315"/>
      <c r="N174" s="315"/>
      <c r="O174" s="315"/>
      <c r="P174" s="315"/>
      <c r="Q174" s="315"/>
      <c r="R174" s="331"/>
      <c r="S174" s="246"/>
      <c r="T174" s="241"/>
    </row>
    <row r="175" spans="1:252" x14ac:dyDescent="0.3">
      <c r="A175" s="237"/>
      <c r="B175" s="239"/>
      <c r="C175" s="239"/>
      <c r="D175" s="239"/>
      <c r="E175" s="239"/>
      <c r="F175" s="239"/>
      <c r="G175" s="239"/>
      <c r="H175" s="239"/>
      <c r="I175" s="239"/>
      <c r="J175" s="239"/>
      <c r="K175" s="239"/>
      <c r="L175" s="239"/>
      <c r="M175" s="239"/>
      <c r="N175" s="239"/>
      <c r="O175" s="239"/>
      <c r="P175" s="239"/>
      <c r="Q175" s="239"/>
      <c r="R175" s="339"/>
      <c r="S175" s="240"/>
      <c r="T175" s="241"/>
    </row>
    <row r="176" spans="1:252" s="409" customFormat="1" x14ac:dyDescent="0.3">
      <c r="A176" s="412"/>
      <c r="B176" s="418" t="s">
        <v>46</v>
      </c>
      <c r="C176" s="419"/>
      <c r="D176" s="420"/>
      <c r="E176" s="420"/>
      <c r="F176" s="420"/>
      <c r="G176" s="420"/>
      <c r="H176" s="420"/>
      <c r="I176" s="420"/>
      <c r="J176" s="420"/>
      <c r="K176" s="420"/>
      <c r="L176" s="420"/>
      <c r="M176" s="420"/>
      <c r="N176" s="420"/>
      <c r="O176" s="420" t="s">
        <v>82</v>
      </c>
      <c r="P176" s="420" t="s">
        <v>173</v>
      </c>
      <c r="Q176" s="248"/>
      <c r="R176" s="421" t="s">
        <v>94</v>
      </c>
      <c r="S176" s="422"/>
      <c r="T176" s="408"/>
    </row>
    <row r="177" spans="1:20" s="260" customFormat="1" x14ac:dyDescent="0.3">
      <c r="A177" s="275"/>
      <c r="B177" s="268" t="s">
        <v>47</v>
      </c>
      <c r="C177" s="268"/>
      <c r="D177" s="268"/>
      <c r="E177" s="268"/>
      <c r="F177" s="268"/>
      <c r="G177" s="268"/>
      <c r="H177" s="268"/>
      <c r="I177" s="268"/>
      <c r="J177" s="268"/>
      <c r="K177" s="268"/>
      <c r="L177" s="268"/>
      <c r="M177" s="268"/>
      <c r="N177" s="268"/>
      <c r="O177" s="314">
        <f>+R28*0.05</f>
        <v>12500</v>
      </c>
      <c r="P177" s="293"/>
      <c r="Q177" s="268"/>
      <c r="R177" s="314"/>
      <c r="S177" s="271"/>
      <c r="T177" s="259"/>
    </row>
    <row r="178" spans="1:20" s="260" customFormat="1" x14ac:dyDescent="0.3">
      <c r="A178" s="275"/>
      <c r="B178" s="268" t="s">
        <v>48</v>
      </c>
      <c r="C178" s="268"/>
      <c r="D178" s="268"/>
      <c r="E178" s="268"/>
      <c r="F178" s="268"/>
      <c r="G178" s="268"/>
      <c r="H178" s="268"/>
      <c r="I178" s="268"/>
      <c r="J178" s="268"/>
      <c r="K178" s="268"/>
      <c r="L178" s="268"/>
      <c r="M178" s="268"/>
      <c r="N178" s="268"/>
      <c r="O178" s="314">
        <f>+'Feb 18'!O180</f>
        <v>1069</v>
      </c>
      <c r="P178" s="314">
        <f>+'Feb 18'!P180</f>
        <v>517</v>
      </c>
      <c r="Q178" s="268"/>
      <c r="R178" s="314">
        <f>O178+P178</f>
        <v>1586</v>
      </c>
      <c r="S178" s="271"/>
      <c r="T178" s="259"/>
    </row>
    <row r="179" spans="1:20" s="260" customFormat="1" x14ac:dyDescent="0.3">
      <c r="A179" s="275"/>
      <c r="B179" s="268" t="s">
        <v>49</v>
      </c>
      <c r="C179" s="268"/>
      <c r="D179" s="268"/>
      <c r="E179" s="268"/>
      <c r="F179" s="268"/>
      <c r="G179" s="268"/>
      <c r="H179" s="268"/>
      <c r="I179" s="268"/>
      <c r="J179" s="268"/>
      <c r="K179" s="268"/>
      <c r="L179" s="268"/>
      <c r="M179" s="268"/>
      <c r="N179" s="268"/>
      <c r="O179" s="313">
        <v>0</v>
      </c>
      <c r="P179" s="313">
        <v>0</v>
      </c>
      <c r="Q179" s="268"/>
      <c r="R179" s="314">
        <f>O179+P179</f>
        <v>0</v>
      </c>
      <c r="S179" s="271"/>
      <c r="T179" s="259"/>
    </row>
    <row r="180" spans="1:20" s="260" customFormat="1" x14ac:dyDescent="0.3">
      <c r="A180" s="275"/>
      <c r="B180" s="268" t="s">
        <v>50</v>
      </c>
      <c r="C180" s="268"/>
      <c r="D180" s="268"/>
      <c r="E180" s="268"/>
      <c r="F180" s="268"/>
      <c r="G180" s="268"/>
      <c r="H180" s="268"/>
      <c r="I180" s="268"/>
      <c r="J180" s="268"/>
      <c r="K180" s="268"/>
      <c r="L180" s="268"/>
      <c r="M180" s="268"/>
      <c r="N180" s="268"/>
      <c r="O180" s="314">
        <f>O178+O179</f>
        <v>1069</v>
      </c>
      <c r="P180" s="314">
        <f>P179+P178</f>
        <v>517</v>
      </c>
      <c r="Q180" s="268"/>
      <c r="R180" s="314">
        <f>O180+P180</f>
        <v>1586</v>
      </c>
      <c r="S180" s="271"/>
      <c r="T180" s="259"/>
    </row>
    <row r="181" spans="1:20" s="260" customFormat="1" x14ac:dyDescent="0.3">
      <c r="A181" s="275"/>
      <c r="B181" s="268" t="s">
        <v>51</v>
      </c>
      <c r="C181" s="268"/>
      <c r="D181" s="268"/>
      <c r="E181" s="268"/>
      <c r="F181" s="268"/>
      <c r="G181" s="268"/>
      <c r="H181" s="268"/>
      <c r="I181" s="268"/>
      <c r="J181" s="268"/>
      <c r="K181" s="268"/>
      <c r="L181" s="268"/>
      <c r="M181" s="268"/>
      <c r="N181" s="268"/>
      <c r="O181" s="314">
        <f>O177-O180-P180</f>
        <v>10914</v>
      </c>
      <c r="P181" s="293"/>
      <c r="Q181" s="268"/>
      <c r="R181" s="314"/>
      <c r="S181" s="271"/>
      <c r="T181" s="259"/>
    </row>
    <row r="182" spans="1:20" ht="16.2" thickBot="1" x14ac:dyDescent="0.35">
      <c r="A182" s="243"/>
      <c r="B182" s="315"/>
      <c r="C182" s="315"/>
      <c r="D182" s="315"/>
      <c r="E182" s="315"/>
      <c r="F182" s="315"/>
      <c r="G182" s="315"/>
      <c r="H182" s="315"/>
      <c r="I182" s="315"/>
      <c r="J182" s="315"/>
      <c r="K182" s="315"/>
      <c r="L182" s="315"/>
      <c r="M182" s="315"/>
      <c r="N182" s="315"/>
      <c r="O182" s="315"/>
      <c r="P182" s="315"/>
      <c r="Q182" s="315"/>
      <c r="R182" s="331"/>
      <c r="S182" s="246"/>
      <c r="T182" s="241"/>
    </row>
    <row r="183" spans="1:20" x14ac:dyDescent="0.3">
      <c r="A183" s="237"/>
      <c r="B183" s="239"/>
      <c r="C183" s="239"/>
      <c r="D183" s="239"/>
      <c r="E183" s="239"/>
      <c r="F183" s="239"/>
      <c r="G183" s="239"/>
      <c r="H183" s="239"/>
      <c r="I183" s="239"/>
      <c r="J183" s="239"/>
      <c r="K183" s="239"/>
      <c r="L183" s="239"/>
      <c r="M183" s="239"/>
      <c r="N183" s="239"/>
      <c r="O183" s="239"/>
      <c r="P183" s="239"/>
      <c r="Q183" s="239"/>
      <c r="R183" s="339"/>
      <c r="S183" s="240"/>
      <c r="T183" s="241"/>
    </row>
    <row r="184" spans="1:20" x14ac:dyDescent="0.3">
      <c r="A184" s="243"/>
      <c r="B184" s="418" t="s">
        <v>52</v>
      </c>
      <c r="C184" s="245"/>
      <c r="D184" s="245"/>
      <c r="E184" s="245"/>
      <c r="F184" s="245"/>
      <c r="G184" s="245"/>
      <c r="H184" s="245"/>
      <c r="I184" s="245"/>
      <c r="J184" s="245"/>
      <c r="K184" s="245"/>
      <c r="L184" s="245"/>
      <c r="M184" s="245"/>
      <c r="N184" s="245"/>
      <c r="O184" s="245"/>
      <c r="P184" s="245"/>
      <c r="Q184" s="245"/>
      <c r="R184" s="346"/>
      <c r="S184" s="246"/>
      <c r="T184" s="241"/>
    </row>
    <row r="185" spans="1:20" s="260" customFormat="1" x14ac:dyDescent="0.3">
      <c r="A185" s="275"/>
      <c r="B185" s="268" t="s">
        <v>53</v>
      </c>
      <c r="C185" s="268"/>
      <c r="D185" s="268"/>
      <c r="E185" s="268"/>
      <c r="F185" s="268"/>
      <c r="G185" s="268"/>
      <c r="H185" s="268"/>
      <c r="I185" s="268"/>
      <c r="J185" s="268"/>
      <c r="K185" s="268"/>
      <c r="L185" s="268"/>
      <c r="M185" s="268"/>
      <c r="N185" s="268"/>
      <c r="O185" s="268"/>
      <c r="P185" s="268"/>
      <c r="Q185" s="268"/>
      <c r="R185" s="347">
        <f>(R92+R94+R95+R96+R97)/-(R98)</f>
        <v>6.2953020134228188</v>
      </c>
      <c r="S185" s="271" t="s">
        <v>95</v>
      </c>
      <c r="T185" s="259"/>
    </row>
    <row r="186" spans="1:20" s="260" customFormat="1" x14ac:dyDescent="0.3">
      <c r="A186" s="275"/>
      <c r="B186" s="268" t="s">
        <v>54</v>
      </c>
      <c r="C186" s="268"/>
      <c r="D186" s="268"/>
      <c r="E186" s="268"/>
      <c r="F186" s="268"/>
      <c r="G186" s="268"/>
      <c r="H186" s="268"/>
      <c r="I186" s="268"/>
      <c r="J186" s="268"/>
      <c r="K186" s="268"/>
      <c r="L186" s="268"/>
      <c r="M186" s="268"/>
      <c r="N186" s="268"/>
      <c r="O186" s="268"/>
      <c r="P186" s="268"/>
      <c r="Q186" s="268"/>
      <c r="R186" s="348">
        <v>3.95</v>
      </c>
      <c r="S186" s="271" t="s">
        <v>95</v>
      </c>
      <c r="T186" s="259"/>
    </row>
    <row r="187" spans="1:20" s="260" customFormat="1" x14ac:dyDescent="0.3">
      <c r="A187" s="275"/>
      <c r="B187" s="268" t="s">
        <v>192</v>
      </c>
      <c r="C187" s="268"/>
      <c r="D187" s="268"/>
      <c r="E187" s="268"/>
      <c r="F187" s="268"/>
      <c r="G187" s="268"/>
      <c r="H187" s="268"/>
      <c r="I187" s="268"/>
      <c r="J187" s="268"/>
      <c r="K187" s="268"/>
      <c r="L187" s="268"/>
      <c r="M187" s="268"/>
      <c r="N187" s="268"/>
      <c r="O187" s="268"/>
      <c r="P187" s="268"/>
      <c r="Q187" s="268"/>
      <c r="R187" s="347">
        <f>(R92+R94+R95+R96+R97+R98)/-(R99)</f>
        <v>8.8651685393258433</v>
      </c>
      <c r="S187" s="271" t="s">
        <v>95</v>
      </c>
      <c r="T187" s="259"/>
    </row>
    <row r="188" spans="1:20" s="260" customFormat="1" x14ac:dyDescent="0.3">
      <c r="A188" s="275"/>
      <c r="B188" s="268" t="s">
        <v>193</v>
      </c>
      <c r="C188" s="268"/>
      <c r="D188" s="268"/>
      <c r="E188" s="268"/>
      <c r="F188" s="268"/>
      <c r="G188" s="268"/>
      <c r="H188" s="268"/>
      <c r="I188" s="268"/>
      <c r="J188" s="268"/>
      <c r="K188" s="268"/>
      <c r="L188" s="268"/>
      <c r="M188" s="268"/>
      <c r="N188" s="268"/>
      <c r="O188" s="268"/>
      <c r="P188" s="268"/>
      <c r="Q188" s="268"/>
      <c r="R188" s="348">
        <v>17.34</v>
      </c>
      <c r="S188" s="271" t="s">
        <v>95</v>
      </c>
      <c r="T188" s="259"/>
    </row>
    <row r="189" spans="1:20" s="260" customFormat="1" x14ac:dyDescent="0.3">
      <c r="A189" s="275"/>
      <c r="B189" s="268" t="s">
        <v>194</v>
      </c>
      <c r="C189" s="268"/>
      <c r="D189" s="268"/>
      <c r="E189" s="268"/>
      <c r="F189" s="268"/>
      <c r="G189" s="268"/>
      <c r="H189" s="268"/>
      <c r="I189" s="268"/>
      <c r="J189" s="268"/>
      <c r="K189" s="268"/>
      <c r="L189" s="268"/>
      <c r="M189" s="268"/>
      <c r="N189" s="268"/>
      <c r="O189" s="268"/>
      <c r="P189" s="268"/>
      <c r="Q189" s="268"/>
      <c r="R189" s="347">
        <f>(R92+R94+R95+R96+R97+R98+R99)/-(R100)</f>
        <v>14.583333333333334</v>
      </c>
      <c r="S189" s="271" t="s">
        <v>95</v>
      </c>
      <c r="T189" s="259"/>
    </row>
    <row r="190" spans="1:20" s="260" customFormat="1" x14ac:dyDescent="0.3">
      <c r="A190" s="275"/>
      <c r="B190" s="268" t="s">
        <v>195</v>
      </c>
      <c r="C190" s="268"/>
      <c r="D190" s="268"/>
      <c r="E190" s="268"/>
      <c r="F190" s="268"/>
      <c r="G190" s="268"/>
      <c r="H190" s="268"/>
      <c r="I190" s="268"/>
      <c r="J190" s="268"/>
      <c r="K190" s="268"/>
      <c r="L190" s="268"/>
      <c r="M190" s="268"/>
      <c r="N190" s="268"/>
      <c r="O190" s="268"/>
      <c r="P190" s="268"/>
      <c r="Q190" s="268"/>
      <c r="R190" s="348">
        <v>30.19</v>
      </c>
      <c r="S190" s="271" t="s">
        <v>95</v>
      </c>
      <c r="T190" s="259"/>
    </row>
    <row r="191" spans="1:20" s="260" customFormat="1" x14ac:dyDescent="0.3">
      <c r="A191" s="275"/>
      <c r="B191" s="268" t="s">
        <v>196</v>
      </c>
      <c r="C191" s="268"/>
      <c r="D191" s="268"/>
      <c r="E191" s="268"/>
      <c r="F191" s="268"/>
      <c r="G191" s="268"/>
      <c r="H191" s="268"/>
      <c r="I191" s="268"/>
      <c r="J191" s="268"/>
      <c r="K191" s="268"/>
      <c r="L191" s="268"/>
      <c r="M191" s="268"/>
      <c r="N191" s="268"/>
      <c r="O191" s="268"/>
      <c r="P191" s="268"/>
      <c r="Q191" s="268"/>
      <c r="R191" s="347">
        <f>(R92+R94+R95+R96+R97+R98+R99+R100+R101+R102+R103+R104+R105)/-(R106)</f>
        <v>14.697674418604651</v>
      </c>
      <c r="S191" s="271" t="s">
        <v>95</v>
      </c>
      <c r="T191" s="259"/>
    </row>
    <row r="192" spans="1:20" s="260" customFormat="1" x14ac:dyDescent="0.3">
      <c r="A192" s="275"/>
      <c r="B192" s="268" t="s">
        <v>197</v>
      </c>
      <c r="C192" s="268"/>
      <c r="D192" s="268"/>
      <c r="E192" s="268"/>
      <c r="F192" s="268"/>
      <c r="G192" s="268"/>
      <c r="H192" s="268"/>
      <c r="I192" s="268"/>
      <c r="J192" s="268"/>
      <c r="K192" s="268"/>
      <c r="L192" s="268"/>
      <c r="M192" s="268"/>
      <c r="N192" s="268"/>
      <c r="O192" s="268"/>
      <c r="P192" s="268"/>
      <c r="Q192" s="268"/>
      <c r="R192" s="348">
        <v>31.99</v>
      </c>
      <c r="S192" s="271" t="s">
        <v>95</v>
      </c>
      <c r="T192" s="259"/>
    </row>
    <row r="193" spans="1:20" s="260" customFormat="1" x14ac:dyDescent="0.3">
      <c r="A193" s="275"/>
      <c r="B193" s="268"/>
      <c r="C193" s="268"/>
      <c r="D193" s="268"/>
      <c r="E193" s="268"/>
      <c r="F193" s="268"/>
      <c r="G193" s="268"/>
      <c r="H193" s="268"/>
      <c r="I193" s="268"/>
      <c r="J193" s="268"/>
      <c r="K193" s="268"/>
      <c r="L193" s="268"/>
      <c r="M193" s="268"/>
      <c r="N193" s="268"/>
      <c r="O193" s="268"/>
      <c r="P193" s="268"/>
      <c r="Q193" s="268"/>
      <c r="R193" s="268"/>
      <c r="S193" s="271"/>
      <c r="T193" s="259"/>
    </row>
    <row r="194" spans="1:20" s="260" customFormat="1" x14ac:dyDescent="0.3">
      <c r="A194" s="255"/>
      <c r="B194" s="302"/>
      <c r="C194" s="302"/>
      <c r="D194" s="302"/>
      <c r="E194" s="302"/>
      <c r="F194" s="302"/>
      <c r="G194" s="302"/>
      <c r="H194" s="302"/>
      <c r="I194" s="302"/>
      <c r="J194" s="302"/>
      <c r="K194" s="302"/>
      <c r="L194" s="302"/>
      <c r="M194" s="302"/>
      <c r="N194" s="302"/>
      <c r="O194" s="302"/>
      <c r="P194" s="302"/>
      <c r="Q194" s="302"/>
      <c r="R194" s="302"/>
      <c r="S194" s="258"/>
      <c r="T194" s="259"/>
    </row>
    <row r="195" spans="1:20" s="260" customFormat="1" x14ac:dyDescent="0.3">
      <c r="A195" s="255"/>
      <c r="B195" s="256"/>
      <c r="C195" s="256"/>
      <c r="D195" s="256"/>
      <c r="E195" s="256"/>
      <c r="F195" s="256"/>
      <c r="G195" s="256"/>
      <c r="H195" s="256"/>
      <c r="I195" s="256"/>
      <c r="J195" s="256"/>
      <c r="K195" s="256"/>
      <c r="L195" s="256"/>
      <c r="M195" s="256"/>
      <c r="N195" s="256"/>
      <c r="O195" s="256"/>
      <c r="P195" s="256"/>
      <c r="Q195" s="256"/>
      <c r="R195" s="256"/>
      <c r="S195" s="258"/>
      <c r="T195" s="259"/>
    </row>
    <row r="196" spans="1:20" s="260" customFormat="1" ht="18.600000000000001" thickBot="1" x14ac:dyDescent="0.4">
      <c r="A196" s="307"/>
      <c r="B196" s="308" t="str">
        <f>B123</f>
        <v>PM21 INVESTOR REPORT QUARTER ENDING MAY 2018</v>
      </c>
      <c r="C196" s="309"/>
      <c r="D196" s="309"/>
      <c r="E196" s="309"/>
      <c r="F196" s="309"/>
      <c r="G196" s="309"/>
      <c r="H196" s="309"/>
      <c r="I196" s="309"/>
      <c r="J196" s="309"/>
      <c r="K196" s="309"/>
      <c r="L196" s="309"/>
      <c r="M196" s="309"/>
      <c r="N196" s="309"/>
      <c r="O196" s="309"/>
      <c r="P196" s="309"/>
      <c r="Q196" s="309"/>
      <c r="R196" s="309"/>
      <c r="S196" s="311"/>
      <c r="T196" s="259"/>
    </row>
    <row r="197" spans="1:20" x14ac:dyDescent="0.3">
      <c r="A197" s="438"/>
      <c r="B197" s="439" t="s">
        <v>55</v>
      </c>
      <c r="C197" s="443"/>
      <c r="D197" s="444"/>
      <c r="E197" s="444"/>
      <c r="F197" s="444"/>
      <c r="G197" s="444"/>
      <c r="H197" s="444"/>
      <c r="I197" s="444"/>
      <c r="J197" s="444"/>
      <c r="K197" s="444"/>
      <c r="L197" s="444"/>
      <c r="M197" s="444"/>
      <c r="N197" s="444"/>
      <c r="O197" s="444"/>
      <c r="P197" s="444">
        <v>43251</v>
      </c>
      <c r="Q197" s="440"/>
      <c r="R197" s="440"/>
      <c r="S197" s="442"/>
      <c r="T197" s="241"/>
    </row>
    <row r="198" spans="1:20" x14ac:dyDescent="0.3">
      <c r="A198" s="349"/>
      <c r="B198" s="350"/>
      <c r="C198" s="351"/>
      <c r="D198" s="352"/>
      <c r="E198" s="352"/>
      <c r="F198" s="352"/>
      <c r="G198" s="352"/>
      <c r="H198" s="352"/>
      <c r="I198" s="352"/>
      <c r="J198" s="352"/>
      <c r="K198" s="352"/>
      <c r="L198" s="352"/>
      <c r="M198" s="352"/>
      <c r="N198" s="352"/>
      <c r="O198" s="352"/>
      <c r="P198" s="352"/>
      <c r="Q198" s="245"/>
      <c r="R198" s="245"/>
      <c r="S198" s="246"/>
      <c r="T198" s="241"/>
    </row>
    <row r="199" spans="1:20" s="260" customFormat="1" x14ac:dyDescent="0.3">
      <c r="A199" s="275"/>
      <c r="B199" s="268" t="s">
        <v>56</v>
      </c>
      <c r="C199" s="353"/>
      <c r="D199" s="296"/>
      <c r="E199" s="296"/>
      <c r="F199" s="296"/>
      <c r="G199" s="296"/>
      <c r="H199" s="296"/>
      <c r="I199" s="296"/>
      <c r="J199" s="296"/>
      <c r="K199" s="296"/>
      <c r="L199" s="296"/>
      <c r="M199" s="296"/>
      <c r="N199" s="296"/>
      <c r="O199" s="296"/>
      <c r="P199" s="290">
        <v>4.1349999999999998E-2</v>
      </c>
      <c r="Q199" s="268"/>
      <c r="R199" s="268"/>
      <c r="S199" s="271"/>
      <c r="T199" s="259"/>
    </row>
    <row r="200" spans="1:20" s="260" customFormat="1" x14ac:dyDescent="0.3">
      <c r="A200" s="275"/>
      <c r="B200" s="268" t="s">
        <v>161</v>
      </c>
      <c r="C200" s="353"/>
      <c r="D200" s="296"/>
      <c r="E200" s="296"/>
      <c r="F200" s="296"/>
      <c r="G200" s="296"/>
      <c r="H200" s="296"/>
      <c r="I200" s="296"/>
      <c r="J200" s="296"/>
      <c r="K200" s="296"/>
      <c r="L200" s="296"/>
      <c r="M200" s="296"/>
      <c r="N200" s="296"/>
      <c r="O200" s="296"/>
      <c r="P200" s="290">
        <v>1.50706E-2</v>
      </c>
      <c r="Q200" s="268"/>
      <c r="R200" s="268"/>
      <c r="S200" s="271"/>
      <c r="T200" s="259"/>
    </row>
    <row r="201" spans="1:20" s="260" customFormat="1" x14ac:dyDescent="0.3">
      <c r="A201" s="275"/>
      <c r="B201" s="268" t="s">
        <v>57</v>
      </c>
      <c r="C201" s="353"/>
      <c r="D201" s="296"/>
      <c r="E201" s="296"/>
      <c r="F201" s="296"/>
      <c r="G201" s="296"/>
      <c r="H201" s="296"/>
      <c r="I201" s="296"/>
      <c r="J201" s="296"/>
      <c r="K201" s="296"/>
      <c r="L201" s="296"/>
      <c r="M201" s="296"/>
      <c r="N201" s="296"/>
      <c r="O201" s="296"/>
      <c r="P201" s="290">
        <f>P199-P200</f>
        <v>2.6279399999999998E-2</v>
      </c>
      <c r="Q201" s="268"/>
      <c r="R201" s="268"/>
      <c r="S201" s="271"/>
      <c r="T201" s="259"/>
    </row>
    <row r="202" spans="1:20" s="260" customFormat="1" x14ac:dyDescent="0.3">
      <c r="A202" s="275"/>
      <c r="B202" s="268" t="s">
        <v>164</v>
      </c>
      <c r="C202" s="353"/>
      <c r="D202" s="296"/>
      <c r="E202" s="296"/>
      <c r="F202" s="296"/>
      <c r="G202" s="296"/>
      <c r="H202" s="296"/>
      <c r="I202" s="296"/>
      <c r="J202" s="296"/>
      <c r="K202" s="296"/>
      <c r="L202" s="296"/>
      <c r="M202" s="296"/>
      <c r="N202" s="296"/>
      <c r="O202" s="296"/>
      <c r="P202" s="290">
        <v>4.6059099999999999E-2</v>
      </c>
      <c r="Q202" s="268"/>
      <c r="R202" s="268"/>
      <c r="S202" s="271"/>
      <c r="T202" s="259"/>
    </row>
    <row r="203" spans="1:20" s="260" customFormat="1" x14ac:dyDescent="0.3">
      <c r="A203" s="275"/>
      <c r="B203" s="268" t="s">
        <v>58</v>
      </c>
      <c r="C203" s="353"/>
      <c r="D203" s="296"/>
      <c r="E203" s="296"/>
      <c r="F203" s="296"/>
      <c r="G203" s="296"/>
      <c r="H203" s="296"/>
      <c r="I203" s="296"/>
      <c r="J203" s="296"/>
      <c r="K203" s="296"/>
      <c r="L203" s="296"/>
      <c r="M203" s="296"/>
      <c r="N203" s="296"/>
      <c r="O203" s="296"/>
      <c r="P203" s="290">
        <v>4.8809999999999999E-2</v>
      </c>
      <c r="Q203" s="268"/>
      <c r="R203" s="268"/>
      <c r="S203" s="271"/>
      <c r="T203" s="259"/>
    </row>
    <row r="204" spans="1:20" s="260" customFormat="1" x14ac:dyDescent="0.3">
      <c r="A204" s="275"/>
      <c r="B204" s="268" t="s">
        <v>162</v>
      </c>
      <c r="C204" s="353"/>
      <c r="D204" s="296"/>
      <c r="E204" s="296"/>
      <c r="F204" s="296"/>
      <c r="G204" s="296"/>
      <c r="H204" s="296"/>
      <c r="I204" s="296"/>
      <c r="J204" s="296"/>
      <c r="K204" s="296"/>
      <c r="L204" s="296"/>
      <c r="M204" s="296"/>
      <c r="N204" s="296"/>
      <c r="O204" s="296"/>
      <c r="P204" s="290">
        <f>R34</f>
        <v>1.7627661286722367E-2</v>
      </c>
      <c r="Q204" s="268"/>
      <c r="R204" s="268"/>
      <c r="S204" s="271"/>
      <c r="T204" s="259"/>
    </row>
    <row r="205" spans="1:20" s="260" customFormat="1" x14ac:dyDescent="0.3">
      <c r="A205" s="275"/>
      <c r="B205" s="268" t="s">
        <v>59</v>
      </c>
      <c r="C205" s="353"/>
      <c r="D205" s="296"/>
      <c r="E205" s="296"/>
      <c r="F205" s="296"/>
      <c r="G205" s="296"/>
      <c r="H205" s="296"/>
      <c r="I205" s="296"/>
      <c r="J205" s="296"/>
      <c r="K205" s="296"/>
      <c r="L205" s="296"/>
      <c r="M205" s="296"/>
      <c r="N205" s="296"/>
      <c r="O205" s="296"/>
      <c r="P205" s="290">
        <f>P203-P204</f>
        <v>3.1182338713277632E-2</v>
      </c>
      <c r="Q205" s="268"/>
      <c r="R205" s="268"/>
      <c r="S205" s="271"/>
      <c r="T205" s="259"/>
    </row>
    <row r="206" spans="1:20" s="260" customFormat="1" x14ac:dyDescent="0.3">
      <c r="A206" s="275"/>
      <c r="B206" s="268" t="s">
        <v>139</v>
      </c>
      <c r="C206" s="353"/>
      <c r="D206" s="296"/>
      <c r="E206" s="296"/>
      <c r="F206" s="296"/>
      <c r="G206" s="296"/>
      <c r="H206" s="296"/>
      <c r="I206" s="296"/>
      <c r="J206" s="296"/>
      <c r="K206" s="296"/>
      <c r="L206" s="296"/>
      <c r="M206" s="296"/>
      <c r="N206" s="296"/>
      <c r="O206" s="296"/>
      <c r="P206" s="290">
        <f>(+R92+R94)/H72</f>
        <v>1.3463661577402591E-2</v>
      </c>
      <c r="Q206" s="268"/>
      <c r="R206" s="268"/>
      <c r="S206" s="271"/>
      <c r="T206" s="259"/>
    </row>
    <row r="207" spans="1:20" s="260" customFormat="1" x14ac:dyDescent="0.3">
      <c r="A207" s="275"/>
      <c r="B207" s="268" t="s">
        <v>132</v>
      </c>
      <c r="C207" s="353"/>
      <c r="D207" s="296"/>
      <c r="E207" s="296"/>
      <c r="F207" s="296"/>
      <c r="G207" s="296"/>
      <c r="H207" s="296"/>
      <c r="I207" s="296"/>
      <c r="J207" s="296"/>
      <c r="K207" s="296"/>
      <c r="L207" s="296"/>
      <c r="M207" s="296"/>
      <c r="N207" s="296"/>
      <c r="O207" s="296"/>
      <c r="P207" s="354">
        <v>15507</v>
      </c>
      <c r="Q207" s="268"/>
      <c r="R207" s="268"/>
      <c r="S207" s="271"/>
      <c r="T207" s="259"/>
    </row>
    <row r="208" spans="1:20" s="260" customFormat="1" x14ac:dyDescent="0.3">
      <c r="A208" s="275"/>
      <c r="B208" s="268" t="s">
        <v>198</v>
      </c>
      <c r="C208" s="353"/>
      <c r="D208" s="296"/>
      <c r="E208" s="296"/>
      <c r="F208" s="296"/>
      <c r="G208" s="296"/>
      <c r="H208" s="296"/>
      <c r="I208" s="296"/>
      <c r="J208" s="296"/>
      <c r="K208" s="296"/>
      <c r="L208" s="296"/>
      <c r="M208" s="296"/>
      <c r="N208" s="296"/>
      <c r="O208" s="296"/>
      <c r="P208" s="354">
        <v>15507</v>
      </c>
      <c r="Q208" s="268"/>
      <c r="R208" s="268"/>
      <c r="S208" s="271"/>
      <c r="T208" s="259"/>
    </row>
    <row r="209" spans="1:20" s="260" customFormat="1" x14ac:dyDescent="0.3">
      <c r="A209" s="275"/>
      <c r="B209" s="268" t="s">
        <v>199</v>
      </c>
      <c r="C209" s="353"/>
      <c r="D209" s="296"/>
      <c r="E209" s="296"/>
      <c r="F209" s="296"/>
      <c r="G209" s="296"/>
      <c r="H209" s="296"/>
      <c r="I209" s="296"/>
      <c r="J209" s="296"/>
      <c r="K209" s="296"/>
      <c r="L209" s="296"/>
      <c r="M209" s="296"/>
      <c r="N209" s="296"/>
      <c r="O209" s="296"/>
      <c r="P209" s="354">
        <v>15507</v>
      </c>
      <c r="Q209" s="268"/>
      <c r="R209" s="268"/>
      <c r="S209" s="271"/>
      <c r="T209" s="259"/>
    </row>
    <row r="210" spans="1:20" s="260" customFormat="1" x14ac:dyDescent="0.3">
      <c r="A210" s="275"/>
      <c r="B210" s="268" t="s">
        <v>200</v>
      </c>
      <c r="C210" s="353"/>
      <c r="D210" s="296"/>
      <c r="E210" s="296"/>
      <c r="F210" s="296"/>
      <c r="G210" s="296"/>
      <c r="H210" s="296"/>
      <c r="I210" s="296"/>
      <c r="J210" s="296"/>
      <c r="K210" s="296"/>
      <c r="L210" s="296"/>
      <c r="M210" s="296"/>
      <c r="N210" s="296"/>
      <c r="O210" s="296"/>
      <c r="P210" s="354">
        <v>15507</v>
      </c>
      <c r="Q210" s="268"/>
      <c r="R210" s="268"/>
      <c r="S210" s="271"/>
      <c r="T210" s="259"/>
    </row>
    <row r="211" spans="1:20" s="260" customFormat="1" x14ac:dyDescent="0.3">
      <c r="A211" s="275"/>
      <c r="B211" s="268" t="s">
        <v>60</v>
      </c>
      <c r="C211" s="353"/>
      <c r="D211" s="296"/>
      <c r="E211" s="296"/>
      <c r="F211" s="296"/>
      <c r="G211" s="296"/>
      <c r="H211" s="296"/>
      <c r="I211" s="296"/>
      <c r="J211" s="296"/>
      <c r="K211" s="296"/>
      <c r="L211" s="296"/>
      <c r="M211" s="296"/>
      <c r="N211" s="296"/>
      <c r="O211" s="296"/>
      <c r="P211" s="294">
        <v>20.170000000000002</v>
      </c>
      <c r="Q211" s="268" t="s">
        <v>90</v>
      </c>
      <c r="R211" s="268"/>
      <c r="S211" s="271"/>
      <c r="T211" s="259"/>
    </row>
    <row r="212" spans="1:20" s="260" customFormat="1" x14ac:dyDescent="0.3">
      <c r="A212" s="275"/>
      <c r="B212" s="268" t="s">
        <v>61</v>
      </c>
      <c r="C212" s="353"/>
      <c r="D212" s="296"/>
      <c r="E212" s="296"/>
      <c r="F212" s="296"/>
      <c r="G212" s="296"/>
      <c r="H212" s="296"/>
      <c r="I212" s="296"/>
      <c r="J212" s="296"/>
      <c r="K212" s="296"/>
      <c r="L212" s="296"/>
      <c r="M212" s="296"/>
      <c r="N212" s="296"/>
      <c r="O212" s="296"/>
      <c r="P212" s="294">
        <v>16.239999999999998</v>
      </c>
      <c r="Q212" s="268" t="s">
        <v>90</v>
      </c>
      <c r="R212" s="268"/>
      <c r="S212" s="271"/>
      <c r="T212" s="259"/>
    </row>
    <row r="213" spans="1:20" s="260" customFormat="1" x14ac:dyDescent="0.3">
      <c r="A213" s="275"/>
      <c r="B213" s="268" t="s">
        <v>62</v>
      </c>
      <c r="C213" s="353"/>
      <c r="D213" s="296"/>
      <c r="E213" s="296"/>
      <c r="F213" s="296"/>
      <c r="G213" s="296"/>
      <c r="H213" s="296"/>
      <c r="I213" s="296"/>
      <c r="J213" s="296"/>
      <c r="K213" s="296"/>
      <c r="L213" s="296"/>
      <c r="M213" s="296"/>
      <c r="N213" s="296"/>
      <c r="O213" s="296"/>
      <c r="P213" s="290">
        <f>(+J56+L56+P56)/H56</f>
        <v>0.10103131647682904</v>
      </c>
      <c r="Q213" s="268"/>
      <c r="R213" s="268"/>
      <c r="S213" s="271"/>
      <c r="T213" s="259"/>
    </row>
    <row r="214" spans="1:20" s="260" customFormat="1" x14ac:dyDescent="0.3">
      <c r="A214" s="275"/>
      <c r="B214" s="268" t="s">
        <v>63</v>
      </c>
      <c r="C214" s="353"/>
      <c r="D214" s="296"/>
      <c r="E214" s="296"/>
      <c r="F214" s="296"/>
      <c r="G214" s="296"/>
      <c r="H214" s="296"/>
      <c r="I214" s="296"/>
      <c r="J214" s="296"/>
      <c r="K214" s="296"/>
      <c r="L214" s="296"/>
      <c r="M214" s="296"/>
      <c r="N214" s="296"/>
      <c r="O214" s="296"/>
      <c r="P214" s="290">
        <v>0.30769999999999997</v>
      </c>
      <c r="Q214" s="268"/>
      <c r="R214" s="268"/>
      <c r="S214" s="271"/>
      <c r="T214" s="259"/>
    </row>
    <row r="215" spans="1:20" x14ac:dyDescent="0.3">
      <c r="A215" s="349"/>
      <c r="B215" s="355"/>
      <c r="C215" s="355"/>
      <c r="D215" s="315"/>
      <c r="E215" s="315"/>
      <c r="F215" s="315"/>
      <c r="G215" s="315"/>
      <c r="H215" s="315"/>
      <c r="I215" s="315"/>
      <c r="J215" s="315"/>
      <c r="K215" s="315"/>
      <c r="L215" s="315"/>
      <c r="M215" s="315"/>
      <c r="N215" s="315"/>
      <c r="O215" s="315"/>
      <c r="P215" s="331"/>
      <c r="Q215" s="315"/>
      <c r="R215" s="356"/>
      <c r="S215" s="246"/>
      <c r="T215" s="241"/>
    </row>
    <row r="216" spans="1:20" x14ac:dyDescent="0.3">
      <c r="A216" s="445"/>
      <c r="B216" s="434" t="s">
        <v>64</v>
      </c>
      <c r="C216" s="435"/>
      <c r="D216" s="435"/>
      <c r="E216" s="435"/>
      <c r="F216" s="435"/>
      <c r="G216" s="435"/>
      <c r="H216" s="435"/>
      <c r="I216" s="435"/>
      <c r="J216" s="435"/>
      <c r="K216" s="435"/>
      <c r="L216" s="435"/>
      <c r="M216" s="435"/>
      <c r="N216" s="435"/>
      <c r="O216" s="435" t="s">
        <v>83</v>
      </c>
      <c r="P216" s="451" t="s">
        <v>88</v>
      </c>
      <c r="Q216" s="428"/>
      <c r="R216" s="428"/>
      <c r="S216" s="426"/>
      <c r="T216" s="241"/>
    </row>
    <row r="217" spans="1:20" s="260" customFormat="1" x14ac:dyDescent="0.3">
      <c r="A217" s="446"/>
      <c r="B217" s="302" t="s">
        <v>65</v>
      </c>
      <c r="C217" s="327"/>
      <c r="D217" s="447"/>
      <c r="E217" s="447"/>
      <c r="F217" s="447"/>
      <c r="G217" s="447"/>
      <c r="H217" s="447"/>
      <c r="I217" s="447"/>
      <c r="J217" s="447"/>
      <c r="K217" s="447"/>
      <c r="L217" s="447"/>
      <c r="M217" s="447"/>
      <c r="N217" s="447"/>
      <c r="O217" s="447">
        <v>0</v>
      </c>
      <c r="P217" s="448">
        <v>0</v>
      </c>
      <c r="Q217" s="302"/>
      <c r="R217" s="449"/>
      <c r="S217" s="450"/>
      <c r="T217" s="259"/>
    </row>
    <row r="218" spans="1:20" s="260" customFormat="1" x14ac:dyDescent="0.3">
      <c r="A218" s="357"/>
      <c r="B218" s="268" t="s">
        <v>113</v>
      </c>
      <c r="C218" s="313"/>
      <c r="D218" s="276"/>
      <c r="E218" s="276"/>
      <c r="F218" s="276"/>
      <c r="G218" s="276"/>
      <c r="H218" s="276"/>
      <c r="I218" s="276"/>
      <c r="J218" s="276"/>
      <c r="K218" s="276"/>
      <c r="L218" s="276"/>
      <c r="M218" s="276"/>
      <c r="N218" s="276"/>
      <c r="O218" s="358">
        <f>+N270</f>
        <v>1</v>
      </c>
      <c r="P218" s="359">
        <f>+P270</f>
        <v>195</v>
      </c>
      <c r="Q218" s="268"/>
      <c r="R218" s="360"/>
      <c r="S218" s="361"/>
      <c r="T218" s="259"/>
    </row>
    <row r="219" spans="1:20" s="260" customFormat="1" x14ac:dyDescent="0.3">
      <c r="A219" s="357"/>
      <c r="B219" s="268" t="s">
        <v>66</v>
      </c>
      <c r="C219" s="313"/>
      <c r="D219" s="276"/>
      <c r="E219" s="276"/>
      <c r="F219" s="276"/>
      <c r="G219" s="276"/>
      <c r="H219" s="276"/>
      <c r="I219" s="276"/>
      <c r="J219" s="276"/>
      <c r="K219" s="276"/>
      <c r="L219" s="276"/>
      <c r="M219" s="276"/>
      <c r="N219" s="276"/>
      <c r="O219" s="358">
        <f>+N282</f>
        <v>0</v>
      </c>
      <c r="P219" s="359">
        <f>+P282</f>
        <v>0</v>
      </c>
      <c r="Q219" s="268"/>
      <c r="R219" s="360"/>
      <c r="S219" s="361"/>
      <c r="T219" s="259"/>
    </row>
    <row r="220" spans="1:20" x14ac:dyDescent="0.3">
      <c r="A220" s="362"/>
      <c r="B220" s="402" t="s">
        <v>263</v>
      </c>
      <c r="C220" s="363"/>
      <c r="D220" s="288"/>
      <c r="E220" s="288"/>
      <c r="F220" s="288"/>
      <c r="G220" s="288"/>
      <c r="H220" s="288"/>
      <c r="I220" s="288"/>
      <c r="J220" s="288"/>
      <c r="K220" s="288"/>
      <c r="L220" s="288"/>
      <c r="M220" s="288"/>
      <c r="N220" s="288"/>
      <c r="O220" s="323"/>
      <c r="P220" s="359">
        <f>+P56</f>
        <v>2613</v>
      </c>
      <c r="Q220" s="288"/>
      <c r="R220" s="364"/>
      <c r="S220" s="365"/>
      <c r="T220" s="241"/>
    </row>
    <row r="221" spans="1:20" x14ac:dyDescent="0.3">
      <c r="A221" s="362"/>
      <c r="B221" s="402" t="s">
        <v>140</v>
      </c>
      <c r="C221" s="363"/>
      <c r="D221" s="288"/>
      <c r="E221" s="288"/>
      <c r="F221" s="288"/>
      <c r="G221" s="288"/>
      <c r="H221" s="288"/>
      <c r="I221" s="288"/>
      <c r="J221" s="288"/>
      <c r="K221" s="288"/>
      <c r="L221" s="288"/>
      <c r="M221" s="288"/>
      <c r="N221" s="288"/>
      <c r="O221" s="323"/>
      <c r="P221" s="359">
        <f>-J69</f>
        <v>0</v>
      </c>
      <c r="Q221" s="288"/>
      <c r="R221" s="364"/>
      <c r="S221" s="365"/>
      <c r="T221" s="241"/>
    </row>
    <row r="222" spans="1:20" x14ac:dyDescent="0.3">
      <c r="A222" s="366"/>
      <c r="B222" s="402" t="s">
        <v>67</v>
      </c>
      <c r="C222" s="367"/>
      <c r="D222" s="288"/>
      <c r="E222" s="288"/>
      <c r="F222" s="288"/>
      <c r="G222" s="288"/>
      <c r="H222" s="288"/>
      <c r="I222" s="288"/>
      <c r="J222" s="288"/>
      <c r="K222" s="288"/>
      <c r="L222" s="288"/>
      <c r="M222" s="288"/>
      <c r="N222" s="288"/>
      <c r="O222" s="323"/>
      <c r="P222" s="368"/>
      <c r="Q222" s="288"/>
      <c r="R222" s="364"/>
      <c r="S222" s="369"/>
      <c r="T222" s="241"/>
    </row>
    <row r="223" spans="1:20" s="260" customFormat="1" x14ac:dyDescent="0.3">
      <c r="A223" s="370"/>
      <c r="B223" s="268" t="s">
        <v>68</v>
      </c>
      <c r="C223" s="268"/>
      <c r="D223" s="268"/>
      <c r="E223" s="268"/>
      <c r="F223" s="268"/>
      <c r="G223" s="268"/>
      <c r="H223" s="268"/>
      <c r="I223" s="268"/>
      <c r="J223" s="268"/>
      <c r="K223" s="268"/>
      <c r="L223" s="268"/>
      <c r="M223" s="268"/>
      <c r="N223" s="268"/>
      <c r="O223" s="276"/>
      <c r="P223" s="359">
        <f>R153</f>
        <v>0</v>
      </c>
      <c r="Q223" s="268"/>
      <c r="R223" s="360"/>
      <c r="S223" s="371"/>
      <c r="T223" s="259"/>
    </row>
    <row r="224" spans="1:20" s="260" customFormat="1" x14ac:dyDescent="0.3">
      <c r="A224" s="357"/>
      <c r="B224" s="268" t="s">
        <v>69</v>
      </c>
      <c r="C224" s="313"/>
      <c r="D224" s="268"/>
      <c r="E224" s="268"/>
      <c r="F224" s="268"/>
      <c r="G224" s="268"/>
      <c r="H224" s="268"/>
      <c r="I224" s="268"/>
      <c r="J224" s="268"/>
      <c r="K224" s="268"/>
      <c r="L224" s="268"/>
      <c r="M224" s="268"/>
      <c r="N224" s="268"/>
      <c r="O224" s="276"/>
      <c r="P224" s="359">
        <f>'Feb 18'!P224+P223</f>
        <v>0</v>
      </c>
      <c r="Q224" s="268"/>
      <c r="R224" s="360"/>
      <c r="S224" s="371"/>
      <c r="T224" s="259"/>
    </row>
    <row r="225" spans="1:20" x14ac:dyDescent="0.3">
      <c r="A225" s="366"/>
      <c r="B225" s="402" t="s">
        <v>151</v>
      </c>
      <c r="C225" s="367"/>
      <c r="D225" s="288"/>
      <c r="E225" s="288"/>
      <c r="F225" s="288"/>
      <c r="G225" s="288"/>
      <c r="H225" s="288"/>
      <c r="I225" s="288"/>
      <c r="J225" s="288"/>
      <c r="K225" s="288"/>
      <c r="L225" s="288"/>
      <c r="M225" s="288"/>
      <c r="N225" s="288"/>
      <c r="O225" s="372"/>
      <c r="P225" s="368"/>
      <c r="Q225" s="288"/>
      <c r="R225" s="364"/>
      <c r="S225" s="369"/>
      <c r="T225" s="241"/>
    </row>
    <row r="226" spans="1:20" s="260" customFormat="1" x14ac:dyDescent="0.3">
      <c r="A226" s="370"/>
      <c r="B226" s="268" t="s">
        <v>163</v>
      </c>
      <c r="C226" s="268"/>
      <c r="D226" s="268"/>
      <c r="E226" s="268"/>
      <c r="F226" s="268"/>
      <c r="G226" s="268"/>
      <c r="H226" s="268"/>
      <c r="I226" s="268"/>
      <c r="J226" s="268"/>
      <c r="K226" s="268"/>
      <c r="L226" s="268"/>
      <c r="M226" s="268"/>
      <c r="N226" s="268"/>
      <c r="O226" s="276">
        <v>0</v>
      </c>
      <c r="P226" s="359">
        <v>0</v>
      </c>
      <c r="Q226" s="268"/>
      <c r="R226" s="360"/>
      <c r="S226" s="371"/>
      <c r="T226" s="259"/>
    </row>
    <row r="227" spans="1:20" s="260" customFormat="1" x14ac:dyDescent="0.3">
      <c r="A227" s="357"/>
      <c r="B227" s="268" t="s">
        <v>70</v>
      </c>
      <c r="C227" s="293"/>
      <c r="D227" s="268"/>
      <c r="E227" s="268"/>
      <c r="F227" s="268"/>
      <c r="G227" s="268"/>
      <c r="H227" s="268"/>
      <c r="I227" s="268"/>
      <c r="J227" s="268"/>
      <c r="K227" s="268"/>
      <c r="L227" s="268"/>
      <c r="M227" s="268"/>
      <c r="N227" s="268"/>
      <c r="O227" s="268"/>
      <c r="P227" s="373">
        <v>0</v>
      </c>
      <c r="Q227" s="268"/>
      <c r="R227" s="360"/>
      <c r="S227" s="371"/>
      <c r="T227" s="259"/>
    </row>
    <row r="228" spans="1:20" s="260" customFormat="1" x14ac:dyDescent="0.3">
      <c r="A228" s="357"/>
      <c r="B228" s="268" t="s">
        <v>71</v>
      </c>
      <c r="C228" s="293"/>
      <c r="D228" s="268"/>
      <c r="E228" s="268"/>
      <c r="F228" s="268"/>
      <c r="G228" s="268"/>
      <c r="H228" s="268"/>
      <c r="I228" s="268"/>
      <c r="J228" s="268"/>
      <c r="K228" s="268"/>
      <c r="L228" s="268"/>
      <c r="M228" s="268"/>
      <c r="N228" s="268"/>
      <c r="O228" s="268"/>
      <c r="P228" s="373">
        <v>0</v>
      </c>
      <c r="Q228" s="268"/>
      <c r="R228" s="360"/>
      <c r="S228" s="371"/>
      <c r="T228" s="259"/>
    </row>
    <row r="229" spans="1:20" x14ac:dyDescent="0.3">
      <c r="A229" s="362"/>
      <c r="B229" s="402" t="s">
        <v>136</v>
      </c>
      <c r="C229" s="374"/>
      <c r="D229" s="288"/>
      <c r="E229" s="288"/>
      <c r="F229" s="288"/>
      <c r="G229" s="288"/>
      <c r="H229" s="288"/>
      <c r="I229" s="288"/>
      <c r="J229" s="288"/>
      <c r="K229" s="288"/>
      <c r="L229" s="288"/>
      <c r="M229" s="288"/>
      <c r="N229" s="288"/>
      <c r="O229" s="323"/>
      <c r="P229" s="375"/>
      <c r="Q229" s="288"/>
      <c r="R229" s="364"/>
      <c r="S229" s="369"/>
      <c r="T229" s="241"/>
    </row>
    <row r="230" spans="1:20" s="260" customFormat="1" x14ac:dyDescent="0.3">
      <c r="A230" s="357"/>
      <c r="B230" s="268" t="s">
        <v>163</v>
      </c>
      <c r="C230" s="293"/>
      <c r="D230" s="268"/>
      <c r="E230" s="268"/>
      <c r="F230" s="268"/>
      <c r="G230" s="268"/>
      <c r="H230" s="268"/>
      <c r="I230" s="268"/>
      <c r="J230" s="268"/>
      <c r="K230" s="268"/>
      <c r="L230" s="268"/>
      <c r="M230" s="268"/>
      <c r="N230" s="268"/>
      <c r="O230" s="276">
        <v>0</v>
      </c>
      <c r="P230" s="359">
        <v>0</v>
      </c>
      <c r="Q230" s="268"/>
      <c r="R230" s="360"/>
      <c r="S230" s="371"/>
      <c r="T230" s="259"/>
    </row>
    <row r="231" spans="1:20" s="260" customFormat="1" x14ac:dyDescent="0.3">
      <c r="A231" s="357"/>
      <c r="B231" s="268" t="s">
        <v>137</v>
      </c>
      <c r="C231" s="293"/>
      <c r="D231" s="268"/>
      <c r="E231" s="268"/>
      <c r="F231" s="268"/>
      <c r="G231" s="268"/>
      <c r="H231" s="268"/>
      <c r="I231" s="268"/>
      <c r="J231" s="268"/>
      <c r="K231" s="268"/>
      <c r="L231" s="268"/>
      <c r="M231" s="268"/>
      <c r="N231" s="268"/>
      <c r="O231" s="268"/>
      <c r="P231" s="373">
        <v>0</v>
      </c>
      <c r="Q231" s="268"/>
      <c r="R231" s="360"/>
      <c r="S231" s="371"/>
      <c r="T231" s="259"/>
    </row>
    <row r="232" spans="1:20" x14ac:dyDescent="0.3">
      <c r="A232" s="362"/>
      <c r="B232" s="367"/>
      <c r="C232" s="374"/>
      <c r="D232" s="288"/>
      <c r="E232" s="288"/>
      <c r="F232" s="288"/>
      <c r="G232" s="288"/>
      <c r="H232" s="288"/>
      <c r="I232" s="288"/>
      <c r="J232" s="288"/>
      <c r="K232" s="288"/>
      <c r="L232" s="288"/>
      <c r="M232" s="288"/>
      <c r="N232" s="288"/>
      <c r="O232" s="323"/>
      <c r="P232" s="375"/>
      <c r="Q232" s="288"/>
      <c r="R232" s="364"/>
      <c r="S232" s="369"/>
      <c r="T232" s="241"/>
    </row>
    <row r="233" spans="1:20" x14ac:dyDescent="0.3">
      <c r="A233" s="362"/>
      <c r="B233" s="367"/>
      <c r="C233" s="374"/>
      <c r="D233" s="288"/>
      <c r="E233" s="288"/>
      <c r="F233" s="288"/>
      <c r="G233" s="288"/>
      <c r="H233" s="288"/>
      <c r="I233" s="288"/>
      <c r="J233" s="288"/>
      <c r="K233" s="288"/>
      <c r="L233" s="288"/>
      <c r="M233" s="288"/>
      <c r="N233" s="288"/>
      <c r="O233" s="288"/>
      <c r="P233" s="376"/>
      <c r="Q233" s="288"/>
      <c r="R233" s="364"/>
      <c r="S233" s="369"/>
      <c r="T233" s="241"/>
    </row>
    <row r="234" spans="1:20" ht="18" x14ac:dyDescent="0.35">
      <c r="A234" s="362"/>
      <c r="B234" s="423" t="s">
        <v>129</v>
      </c>
      <c r="C234" s="374"/>
      <c r="D234" s="288"/>
      <c r="E234" s="288"/>
      <c r="F234" s="288"/>
      <c r="G234" s="288"/>
      <c r="H234" s="288"/>
      <c r="I234" s="288"/>
      <c r="J234" s="288"/>
      <c r="K234" s="288"/>
      <c r="L234" s="377"/>
      <c r="M234" s="288"/>
      <c r="N234" s="459" t="s">
        <v>271</v>
      </c>
      <c r="O234" s="377"/>
      <c r="P234" s="376"/>
      <c r="Q234" s="288"/>
      <c r="R234" s="364"/>
      <c r="S234" s="369"/>
      <c r="T234" s="241"/>
    </row>
    <row r="235" spans="1:20" ht="18" x14ac:dyDescent="0.35">
      <c r="A235" s="378"/>
      <c r="B235" s="379"/>
      <c r="C235" s="380"/>
      <c r="D235" s="315"/>
      <c r="E235" s="315"/>
      <c r="F235" s="315"/>
      <c r="G235" s="315"/>
      <c r="H235" s="315"/>
      <c r="I235" s="315"/>
      <c r="J235" s="315"/>
      <c r="K235" s="315"/>
      <c r="L235" s="381"/>
      <c r="M235" s="315"/>
      <c r="N235" s="315"/>
      <c r="O235" s="315"/>
      <c r="P235" s="382"/>
      <c r="Q235" s="315"/>
      <c r="R235" s="356"/>
      <c r="S235" s="383"/>
      <c r="T235" s="241"/>
    </row>
    <row r="236" spans="1:20" x14ac:dyDescent="0.3">
      <c r="A236" s="424"/>
      <c r="B236" s="434" t="s">
        <v>153</v>
      </c>
      <c r="C236" s="435"/>
      <c r="D236" s="435"/>
      <c r="E236" s="435"/>
      <c r="F236" s="435"/>
      <c r="G236" s="435"/>
      <c r="H236" s="435"/>
      <c r="I236" s="435"/>
      <c r="J236" s="435"/>
      <c r="K236" s="435"/>
      <c r="L236" s="435"/>
      <c r="M236" s="435"/>
      <c r="N236" s="451" t="s">
        <v>83</v>
      </c>
      <c r="O236" s="435" t="s">
        <v>84</v>
      </c>
      <c r="P236" s="451" t="s">
        <v>89</v>
      </c>
      <c r="Q236" s="435" t="s">
        <v>84</v>
      </c>
      <c r="R236" s="428"/>
      <c r="S236" s="452"/>
      <c r="T236" s="241"/>
    </row>
    <row r="237" spans="1:20" s="260" customFormat="1" x14ac:dyDescent="0.3">
      <c r="A237" s="255"/>
      <c r="B237" s="327" t="s">
        <v>72</v>
      </c>
      <c r="C237" s="453"/>
      <c r="D237" s="453"/>
      <c r="E237" s="453"/>
      <c r="F237" s="453"/>
      <c r="G237" s="453"/>
      <c r="H237" s="453"/>
      <c r="I237" s="453"/>
      <c r="J237" s="453"/>
      <c r="K237" s="453"/>
      <c r="L237" s="453"/>
      <c r="M237" s="453"/>
      <c r="N237" s="327">
        <f t="shared" ref="N237:N244" si="1">+N249+N261+N273</f>
        <v>458</v>
      </c>
      <c r="O237" s="454">
        <f>N237/$N$246</f>
        <v>0.9978213507625272</v>
      </c>
      <c r="P237" s="433">
        <f t="shared" ref="P237:P244" si="2">+P249+P261+P273</f>
        <v>66575</v>
      </c>
      <c r="Q237" s="454">
        <f t="shared" ref="Q237:Q244" si="3">P237/$P$246</f>
        <v>0.99707952673356293</v>
      </c>
      <c r="R237" s="449"/>
      <c r="S237" s="455"/>
      <c r="T237" s="259"/>
    </row>
    <row r="238" spans="1:20" s="260" customFormat="1" x14ac:dyDescent="0.3">
      <c r="A238" s="275"/>
      <c r="B238" s="313" t="s">
        <v>73</v>
      </c>
      <c r="C238" s="384"/>
      <c r="D238" s="384"/>
      <c r="E238" s="384"/>
      <c r="F238" s="384"/>
      <c r="G238" s="384"/>
      <c r="H238" s="384"/>
      <c r="I238" s="384"/>
      <c r="J238" s="384"/>
      <c r="K238" s="384"/>
      <c r="L238" s="384"/>
      <c r="M238" s="384"/>
      <c r="N238" s="313">
        <f t="shared" si="1"/>
        <v>0</v>
      </c>
      <c r="O238" s="385">
        <f>N238/$N$246</f>
        <v>0</v>
      </c>
      <c r="P238" s="314">
        <f t="shared" si="2"/>
        <v>0</v>
      </c>
      <c r="Q238" s="385">
        <f t="shared" si="3"/>
        <v>0</v>
      </c>
      <c r="R238" s="360"/>
      <c r="S238" s="371"/>
      <c r="T238" s="259"/>
    </row>
    <row r="239" spans="1:20" s="260" customFormat="1" x14ac:dyDescent="0.3">
      <c r="A239" s="275"/>
      <c r="B239" s="313" t="s">
        <v>74</v>
      </c>
      <c r="C239" s="384"/>
      <c r="D239" s="384"/>
      <c r="E239" s="384"/>
      <c r="F239" s="384"/>
      <c r="G239" s="384"/>
      <c r="H239" s="384"/>
      <c r="I239" s="384"/>
      <c r="J239" s="384"/>
      <c r="K239" s="384"/>
      <c r="L239" s="384"/>
      <c r="M239" s="384"/>
      <c r="N239" s="313">
        <f t="shared" si="1"/>
        <v>0</v>
      </c>
      <c r="O239" s="385">
        <f t="shared" ref="O239:O244" si="4">N239/$N$246</f>
        <v>0</v>
      </c>
      <c r="P239" s="314">
        <f t="shared" si="2"/>
        <v>0</v>
      </c>
      <c r="Q239" s="385">
        <f t="shared" si="3"/>
        <v>0</v>
      </c>
      <c r="R239" s="360"/>
      <c r="S239" s="371"/>
      <c r="T239" s="259"/>
    </row>
    <row r="240" spans="1:20" s="260" customFormat="1" x14ac:dyDescent="0.3">
      <c r="A240" s="275"/>
      <c r="B240" s="313" t="s">
        <v>119</v>
      </c>
      <c r="C240" s="384"/>
      <c r="D240" s="384"/>
      <c r="E240" s="384"/>
      <c r="F240" s="384"/>
      <c r="G240" s="384"/>
      <c r="H240" s="384"/>
      <c r="I240" s="384"/>
      <c r="J240" s="384"/>
      <c r="K240" s="384"/>
      <c r="L240" s="384"/>
      <c r="M240" s="384"/>
      <c r="N240" s="313">
        <f t="shared" si="1"/>
        <v>0</v>
      </c>
      <c r="O240" s="385">
        <f t="shared" si="4"/>
        <v>0</v>
      </c>
      <c r="P240" s="314">
        <f t="shared" si="2"/>
        <v>0</v>
      </c>
      <c r="Q240" s="385">
        <f t="shared" si="3"/>
        <v>0</v>
      </c>
      <c r="R240" s="360"/>
      <c r="S240" s="371"/>
      <c r="T240" s="259"/>
    </row>
    <row r="241" spans="1:21" s="260" customFormat="1" x14ac:dyDescent="0.3">
      <c r="A241" s="275"/>
      <c r="B241" s="313" t="s">
        <v>120</v>
      </c>
      <c r="C241" s="384"/>
      <c r="D241" s="384"/>
      <c r="E241" s="384"/>
      <c r="F241" s="384"/>
      <c r="G241" s="384"/>
      <c r="H241" s="384"/>
      <c r="I241" s="384"/>
      <c r="J241" s="384"/>
      <c r="K241" s="384"/>
      <c r="L241" s="384"/>
      <c r="M241" s="384"/>
      <c r="N241" s="313">
        <f t="shared" si="1"/>
        <v>0</v>
      </c>
      <c r="O241" s="385">
        <f t="shared" si="4"/>
        <v>0</v>
      </c>
      <c r="P241" s="314">
        <f t="shared" si="2"/>
        <v>0</v>
      </c>
      <c r="Q241" s="385">
        <f t="shared" si="3"/>
        <v>0</v>
      </c>
      <c r="R241" s="360"/>
      <c r="S241" s="371"/>
      <c r="T241" s="259"/>
    </row>
    <row r="242" spans="1:21" s="260" customFormat="1" x14ac:dyDescent="0.3">
      <c r="A242" s="275"/>
      <c r="B242" s="313" t="s">
        <v>121</v>
      </c>
      <c r="C242" s="384"/>
      <c r="D242" s="384"/>
      <c r="E242" s="384"/>
      <c r="F242" s="384"/>
      <c r="G242" s="384"/>
      <c r="H242" s="384"/>
      <c r="I242" s="384"/>
      <c r="J242" s="384"/>
      <c r="K242" s="384"/>
      <c r="L242" s="384"/>
      <c r="M242" s="384"/>
      <c r="N242" s="313">
        <f t="shared" si="1"/>
        <v>0</v>
      </c>
      <c r="O242" s="385">
        <f t="shared" si="4"/>
        <v>0</v>
      </c>
      <c r="P242" s="314">
        <f t="shared" si="2"/>
        <v>0</v>
      </c>
      <c r="Q242" s="385">
        <f t="shared" si="3"/>
        <v>0</v>
      </c>
      <c r="R242" s="360"/>
      <c r="S242" s="371"/>
      <c r="T242" s="259"/>
    </row>
    <row r="243" spans="1:21" s="260" customFormat="1" x14ac:dyDescent="0.3">
      <c r="A243" s="275"/>
      <c r="B243" s="313" t="s">
        <v>122</v>
      </c>
      <c r="C243" s="384"/>
      <c r="D243" s="384"/>
      <c r="E243" s="384"/>
      <c r="F243" s="384"/>
      <c r="G243" s="384"/>
      <c r="H243" s="384"/>
      <c r="I243" s="384"/>
      <c r="J243" s="384"/>
      <c r="K243" s="384"/>
      <c r="L243" s="384"/>
      <c r="M243" s="384"/>
      <c r="N243" s="313">
        <f t="shared" si="1"/>
        <v>1</v>
      </c>
      <c r="O243" s="385">
        <f t="shared" si="4"/>
        <v>2.1786492374727671E-3</v>
      </c>
      <c r="P243" s="314">
        <f t="shared" si="2"/>
        <v>195</v>
      </c>
      <c r="Q243" s="385">
        <f t="shared" si="3"/>
        <v>2.9204732664370224E-3</v>
      </c>
      <c r="R243" s="360"/>
      <c r="S243" s="371"/>
      <c r="T243" s="259"/>
    </row>
    <row r="244" spans="1:21" s="260" customFormat="1" x14ac:dyDescent="0.3">
      <c r="A244" s="275"/>
      <c r="B244" s="313" t="s">
        <v>123</v>
      </c>
      <c r="C244" s="384"/>
      <c r="D244" s="384"/>
      <c r="E244" s="384"/>
      <c r="F244" s="384"/>
      <c r="G244" s="384"/>
      <c r="H244" s="384"/>
      <c r="I244" s="384"/>
      <c r="J244" s="384"/>
      <c r="K244" s="384"/>
      <c r="L244" s="384"/>
      <c r="M244" s="384"/>
      <c r="N244" s="313">
        <f t="shared" si="1"/>
        <v>0</v>
      </c>
      <c r="O244" s="385">
        <f t="shared" si="4"/>
        <v>0</v>
      </c>
      <c r="P244" s="314">
        <f t="shared" si="2"/>
        <v>0</v>
      </c>
      <c r="Q244" s="385">
        <f t="shared" si="3"/>
        <v>0</v>
      </c>
      <c r="R244" s="360"/>
      <c r="S244" s="371"/>
      <c r="T244" s="259"/>
    </row>
    <row r="245" spans="1:21" s="260" customFormat="1" x14ac:dyDescent="0.3">
      <c r="A245" s="275"/>
      <c r="B245" s="313"/>
      <c r="C245" s="384"/>
      <c r="D245" s="384"/>
      <c r="E245" s="384"/>
      <c r="F245" s="384"/>
      <c r="G245" s="384"/>
      <c r="H245" s="384"/>
      <c r="I245" s="384"/>
      <c r="J245" s="384"/>
      <c r="K245" s="384"/>
      <c r="L245" s="384"/>
      <c r="M245" s="384"/>
      <c r="N245" s="313"/>
      <c r="O245" s="385"/>
      <c r="P245" s="314"/>
      <c r="Q245" s="385"/>
      <c r="R245" s="360"/>
      <c r="S245" s="371"/>
      <c r="T245" s="259"/>
    </row>
    <row r="246" spans="1:21" s="260" customFormat="1" x14ac:dyDescent="0.3">
      <c r="A246" s="275"/>
      <c r="B246" s="268" t="s">
        <v>94</v>
      </c>
      <c r="C246" s="268"/>
      <c r="D246" s="386"/>
      <c r="E246" s="386"/>
      <c r="F246" s="386"/>
      <c r="G246" s="386"/>
      <c r="H246" s="386"/>
      <c r="I246" s="386"/>
      <c r="J246" s="386"/>
      <c r="K246" s="386"/>
      <c r="L246" s="386"/>
      <c r="M246" s="386"/>
      <c r="N246" s="313">
        <f>SUM(N237:N245)</f>
        <v>459</v>
      </c>
      <c r="O246" s="385">
        <f>SUM(O237:O245)</f>
        <v>1</v>
      </c>
      <c r="P246" s="314">
        <f>SUM(P237:P245)</f>
        <v>66770</v>
      </c>
      <c r="Q246" s="385">
        <f>SUM(Q237:Q245)</f>
        <v>1</v>
      </c>
      <c r="R246" s="268"/>
      <c r="S246" s="271"/>
      <c r="T246" s="259"/>
    </row>
    <row r="247" spans="1:21" x14ac:dyDescent="0.3">
      <c r="A247" s="243"/>
      <c r="B247" s="355"/>
      <c r="C247" s="380"/>
      <c r="D247" s="315"/>
      <c r="E247" s="315"/>
      <c r="F247" s="315"/>
      <c r="G247" s="315"/>
      <c r="H247" s="315"/>
      <c r="I247" s="315"/>
      <c r="J247" s="315"/>
      <c r="K247" s="315"/>
      <c r="L247" s="315"/>
      <c r="M247" s="315"/>
      <c r="N247" s="315"/>
      <c r="O247" s="315"/>
      <c r="P247" s="382"/>
      <c r="Q247" s="315"/>
      <c r="R247" s="315"/>
      <c r="S247" s="246"/>
      <c r="T247" s="241"/>
    </row>
    <row r="248" spans="1:21" x14ac:dyDescent="0.3">
      <c r="A248" s="424"/>
      <c r="B248" s="434" t="s">
        <v>124</v>
      </c>
      <c r="C248" s="435"/>
      <c r="D248" s="435"/>
      <c r="E248" s="435"/>
      <c r="F248" s="435"/>
      <c r="G248" s="435"/>
      <c r="H248" s="435"/>
      <c r="I248" s="435"/>
      <c r="J248" s="435"/>
      <c r="K248" s="435"/>
      <c r="L248" s="435"/>
      <c r="M248" s="435"/>
      <c r="N248" s="451" t="s">
        <v>83</v>
      </c>
      <c r="O248" s="435" t="s">
        <v>84</v>
      </c>
      <c r="P248" s="451" t="s">
        <v>89</v>
      </c>
      <c r="Q248" s="435" t="s">
        <v>84</v>
      </c>
      <c r="R248" s="428"/>
      <c r="S248" s="452"/>
      <c r="T248" s="241"/>
    </row>
    <row r="249" spans="1:21" s="260" customFormat="1" x14ac:dyDescent="0.3">
      <c r="A249" s="255"/>
      <c r="B249" s="327" t="s">
        <v>72</v>
      </c>
      <c r="C249" s="453"/>
      <c r="D249" s="453"/>
      <c r="E249" s="453"/>
      <c r="F249" s="453"/>
      <c r="G249" s="453"/>
      <c r="H249" s="453"/>
      <c r="I249" s="453"/>
      <c r="J249" s="453"/>
      <c r="K249" s="453"/>
      <c r="L249" s="453"/>
      <c r="M249" s="453"/>
      <c r="N249" s="327">
        <v>458</v>
      </c>
      <c r="O249" s="454">
        <f>N249/$N$258</f>
        <v>1</v>
      </c>
      <c r="P249" s="433">
        <v>66575</v>
      </c>
      <c r="Q249" s="454">
        <f t="shared" ref="Q249:Q256" si="5">P249/$P$258</f>
        <v>1</v>
      </c>
      <c r="R249" s="449"/>
      <c r="S249" s="455"/>
      <c r="T249" s="259"/>
    </row>
    <row r="250" spans="1:21" s="260" customFormat="1" x14ac:dyDescent="0.3">
      <c r="A250" s="275"/>
      <c r="B250" s="313" t="s">
        <v>73</v>
      </c>
      <c r="C250" s="384"/>
      <c r="D250" s="384"/>
      <c r="E250" s="384"/>
      <c r="F250" s="384"/>
      <c r="G250" s="384"/>
      <c r="H250" s="384"/>
      <c r="I250" s="384"/>
      <c r="J250" s="384"/>
      <c r="K250" s="384"/>
      <c r="L250" s="384"/>
      <c r="M250" s="384"/>
      <c r="N250" s="313">
        <v>0</v>
      </c>
      <c r="O250" s="385">
        <f t="shared" ref="O250:O256" si="6">N250/$N$258</f>
        <v>0</v>
      </c>
      <c r="P250" s="314">
        <v>0</v>
      </c>
      <c r="Q250" s="385">
        <f t="shared" si="5"/>
        <v>0</v>
      </c>
      <c r="R250" s="360"/>
      <c r="S250" s="371"/>
      <c r="T250" s="259"/>
      <c r="U250" s="325"/>
    </row>
    <row r="251" spans="1:21" s="260" customFormat="1" x14ac:dyDescent="0.3">
      <c r="A251" s="275"/>
      <c r="B251" s="313" t="s">
        <v>74</v>
      </c>
      <c r="C251" s="384"/>
      <c r="D251" s="384"/>
      <c r="E251" s="384"/>
      <c r="F251" s="384"/>
      <c r="G251" s="384"/>
      <c r="H251" s="384"/>
      <c r="I251" s="384"/>
      <c r="J251" s="384"/>
      <c r="K251" s="384"/>
      <c r="L251" s="384"/>
      <c r="M251" s="384"/>
      <c r="N251" s="313">
        <v>0</v>
      </c>
      <c r="O251" s="385">
        <f t="shared" si="6"/>
        <v>0</v>
      </c>
      <c r="P251" s="314">
        <v>0</v>
      </c>
      <c r="Q251" s="385">
        <f t="shared" si="5"/>
        <v>0</v>
      </c>
      <c r="R251" s="360"/>
      <c r="S251" s="371"/>
      <c r="T251" s="259"/>
    </row>
    <row r="252" spans="1:21" s="260" customFormat="1" x14ac:dyDescent="0.3">
      <c r="A252" s="275"/>
      <c r="B252" s="313" t="s">
        <v>119</v>
      </c>
      <c r="C252" s="384"/>
      <c r="D252" s="384"/>
      <c r="E252" s="384"/>
      <c r="F252" s="384"/>
      <c r="G252" s="384"/>
      <c r="H252" s="384"/>
      <c r="I252" s="384"/>
      <c r="J252" s="384"/>
      <c r="K252" s="384"/>
      <c r="L252" s="384"/>
      <c r="M252" s="384"/>
      <c r="N252" s="313">
        <v>0</v>
      </c>
      <c r="O252" s="385">
        <f t="shared" si="6"/>
        <v>0</v>
      </c>
      <c r="P252" s="314">
        <v>0</v>
      </c>
      <c r="Q252" s="385">
        <f t="shared" si="5"/>
        <v>0</v>
      </c>
      <c r="R252" s="360"/>
      <c r="S252" s="371"/>
      <c r="T252" s="259"/>
      <c r="U252" s="325"/>
    </row>
    <row r="253" spans="1:21" s="260" customFormat="1" x14ac:dyDescent="0.3">
      <c r="A253" s="275"/>
      <c r="B253" s="313" t="s">
        <v>120</v>
      </c>
      <c r="C253" s="384"/>
      <c r="D253" s="384"/>
      <c r="E253" s="384"/>
      <c r="F253" s="384"/>
      <c r="G253" s="384"/>
      <c r="H253" s="384"/>
      <c r="I253" s="384"/>
      <c r="J253" s="384"/>
      <c r="K253" s="384"/>
      <c r="L253" s="384"/>
      <c r="M253" s="384"/>
      <c r="N253" s="313">
        <v>0</v>
      </c>
      <c r="O253" s="385">
        <f t="shared" si="6"/>
        <v>0</v>
      </c>
      <c r="P253" s="314">
        <v>0</v>
      </c>
      <c r="Q253" s="385">
        <f t="shared" si="5"/>
        <v>0</v>
      </c>
      <c r="R253" s="360"/>
      <c r="S253" s="371"/>
      <c r="T253" s="259"/>
    </row>
    <row r="254" spans="1:21" s="260" customFormat="1" x14ac:dyDescent="0.3">
      <c r="A254" s="275"/>
      <c r="B254" s="313" t="s">
        <v>121</v>
      </c>
      <c r="C254" s="384"/>
      <c r="D254" s="384"/>
      <c r="E254" s="384"/>
      <c r="F254" s="384"/>
      <c r="G254" s="384"/>
      <c r="H254" s="384"/>
      <c r="I254" s="384"/>
      <c r="J254" s="384"/>
      <c r="K254" s="384"/>
      <c r="L254" s="384"/>
      <c r="M254" s="384"/>
      <c r="N254" s="313">
        <v>0</v>
      </c>
      <c r="O254" s="385">
        <f t="shared" si="6"/>
        <v>0</v>
      </c>
      <c r="P254" s="314">
        <v>0</v>
      </c>
      <c r="Q254" s="385">
        <f t="shared" si="5"/>
        <v>0</v>
      </c>
      <c r="R254" s="360"/>
      <c r="S254" s="371"/>
      <c r="T254" s="259"/>
      <c r="U254" s="325"/>
    </row>
    <row r="255" spans="1:21" s="260" customFormat="1" x14ac:dyDescent="0.3">
      <c r="A255" s="275"/>
      <c r="B255" s="313" t="s">
        <v>122</v>
      </c>
      <c r="C255" s="384"/>
      <c r="D255" s="384"/>
      <c r="E255" s="384"/>
      <c r="F255" s="384"/>
      <c r="G255" s="384"/>
      <c r="H255" s="384"/>
      <c r="I255" s="384"/>
      <c r="J255" s="384"/>
      <c r="K255" s="384"/>
      <c r="L255" s="384"/>
      <c r="M255" s="384"/>
      <c r="N255" s="313">
        <v>0</v>
      </c>
      <c r="O255" s="385">
        <f t="shared" si="6"/>
        <v>0</v>
      </c>
      <c r="P255" s="314">
        <v>0</v>
      </c>
      <c r="Q255" s="385">
        <f t="shared" si="5"/>
        <v>0</v>
      </c>
      <c r="R255" s="360"/>
      <c r="S255" s="371"/>
      <c r="T255" s="259"/>
    </row>
    <row r="256" spans="1:21" s="260" customFormat="1" x14ac:dyDescent="0.3">
      <c r="A256" s="275"/>
      <c r="B256" s="313" t="s">
        <v>123</v>
      </c>
      <c r="C256" s="384"/>
      <c r="D256" s="384"/>
      <c r="E256" s="384"/>
      <c r="F256" s="384"/>
      <c r="G256" s="384"/>
      <c r="H256" s="384"/>
      <c r="I256" s="384"/>
      <c r="J256" s="384"/>
      <c r="K256" s="384"/>
      <c r="L256" s="384"/>
      <c r="M256" s="384"/>
      <c r="N256" s="313">
        <v>0</v>
      </c>
      <c r="O256" s="385">
        <f t="shared" si="6"/>
        <v>0</v>
      </c>
      <c r="P256" s="314">
        <v>0</v>
      </c>
      <c r="Q256" s="385">
        <f t="shared" si="5"/>
        <v>0</v>
      </c>
      <c r="R256" s="360"/>
      <c r="S256" s="371"/>
      <c r="T256" s="259"/>
      <c r="U256" s="325"/>
    </row>
    <row r="257" spans="1:20" s="260" customFormat="1" x14ac:dyDescent="0.3">
      <c r="A257" s="275"/>
      <c r="B257" s="313"/>
      <c r="C257" s="384"/>
      <c r="D257" s="384"/>
      <c r="E257" s="384"/>
      <c r="F257" s="384"/>
      <c r="G257" s="384"/>
      <c r="H257" s="384"/>
      <c r="I257" s="384"/>
      <c r="J257" s="384"/>
      <c r="K257" s="384"/>
      <c r="L257" s="384"/>
      <c r="M257" s="384"/>
      <c r="N257" s="313"/>
      <c r="O257" s="385"/>
      <c r="P257" s="314"/>
      <c r="Q257" s="385"/>
      <c r="R257" s="360"/>
      <c r="S257" s="371"/>
      <c r="T257" s="259"/>
    </row>
    <row r="258" spans="1:20" s="260" customFormat="1" x14ac:dyDescent="0.3">
      <c r="A258" s="275"/>
      <c r="B258" s="268" t="s">
        <v>94</v>
      </c>
      <c r="C258" s="268"/>
      <c r="D258" s="386"/>
      <c r="E258" s="386"/>
      <c r="F258" s="386"/>
      <c r="G258" s="386"/>
      <c r="H258" s="386"/>
      <c r="I258" s="386"/>
      <c r="J258" s="386"/>
      <c r="K258" s="386"/>
      <c r="L258" s="386"/>
      <c r="M258" s="386"/>
      <c r="N258" s="313">
        <f>SUM(N249:N257)</f>
        <v>458</v>
      </c>
      <c r="O258" s="385">
        <f>SUM(O249:O257)</f>
        <v>1</v>
      </c>
      <c r="P258" s="314">
        <f>SUM(P249:P257)</f>
        <v>66575</v>
      </c>
      <c r="Q258" s="385">
        <f>SUM(Q249:Q257)</f>
        <v>1</v>
      </c>
      <c r="R258" s="268"/>
      <c r="S258" s="271"/>
      <c r="T258" s="259"/>
    </row>
    <row r="259" spans="1:20" x14ac:dyDescent="0.3">
      <c r="A259" s="243"/>
      <c r="B259" s="315"/>
      <c r="C259" s="315"/>
      <c r="D259" s="387"/>
      <c r="E259" s="387"/>
      <c r="F259" s="387"/>
      <c r="G259" s="387"/>
      <c r="H259" s="387"/>
      <c r="I259" s="387"/>
      <c r="J259" s="387"/>
      <c r="K259" s="387"/>
      <c r="L259" s="387"/>
      <c r="M259" s="387"/>
      <c r="N259" s="316"/>
      <c r="O259" s="388"/>
      <c r="P259" s="389"/>
      <c r="Q259" s="388"/>
      <c r="R259" s="315"/>
      <c r="S259" s="246"/>
      <c r="T259" s="241"/>
    </row>
    <row r="260" spans="1:20" x14ac:dyDescent="0.3">
      <c r="A260" s="424"/>
      <c r="B260" s="434" t="s">
        <v>146</v>
      </c>
      <c r="C260" s="435"/>
      <c r="D260" s="435"/>
      <c r="E260" s="435"/>
      <c r="F260" s="435"/>
      <c r="G260" s="435"/>
      <c r="H260" s="435"/>
      <c r="I260" s="435"/>
      <c r="J260" s="435"/>
      <c r="K260" s="435"/>
      <c r="L260" s="435"/>
      <c r="M260" s="435"/>
      <c r="N260" s="451" t="s">
        <v>83</v>
      </c>
      <c r="O260" s="435" t="s">
        <v>84</v>
      </c>
      <c r="P260" s="451" t="s">
        <v>89</v>
      </c>
      <c r="Q260" s="435" t="s">
        <v>84</v>
      </c>
      <c r="R260" s="428"/>
      <c r="S260" s="426"/>
      <c r="T260" s="241"/>
    </row>
    <row r="261" spans="1:20" s="260" customFormat="1" x14ac:dyDescent="0.3">
      <c r="A261" s="255"/>
      <c r="B261" s="327" t="s">
        <v>72</v>
      </c>
      <c r="C261" s="453"/>
      <c r="D261" s="453"/>
      <c r="E261" s="453"/>
      <c r="F261" s="453"/>
      <c r="G261" s="453"/>
      <c r="H261" s="453"/>
      <c r="I261" s="453"/>
      <c r="J261" s="453"/>
      <c r="K261" s="453"/>
      <c r="L261" s="453"/>
      <c r="M261" s="453"/>
      <c r="N261" s="327">
        <v>0</v>
      </c>
      <c r="O261" s="454">
        <f>+N261/$N$270</f>
        <v>0</v>
      </c>
      <c r="P261" s="433">
        <v>0</v>
      </c>
      <c r="Q261" s="463">
        <f>+P261/$P$270</f>
        <v>0</v>
      </c>
      <c r="R261" s="302"/>
      <c r="S261" s="258"/>
      <c r="T261" s="259"/>
    </row>
    <row r="262" spans="1:20" s="260" customFormat="1" x14ac:dyDescent="0.3">
      <c r="A262" s="275"/>
      <c r="B262" s="313" t="s">
        <v>73</v>
      </c>
      <c r="C262" s="384"/>
      <c r="D262" s="384"/>
      <c r="E262" s="384"/>
      <c r="F262" s="384"/>
      <c r="G262" s="384"/>
      <c r="H262" s="384"/>
      <c r="I262" s="384"/>
      <c r="J262" s="384"/>
      <c r="K262" s="384"/>
      <c r="L262" s="384"/>
      <c r="M262" s="384"/>
      <c r="N262" s="313">
        <v>0</v>
      </c>
      <c r="O262" s="462">
        <f t="shared" ref="O262:O268" si="7">+N262/$N$270</f>
        <v>0</v>
      </c>
      <c r="P262" s="314">
        <v>0</v>
      </c>
      <c r="Q262" s="385">
        <f t="shared" ref="Q262:Q268" si="8">+P262/$P$270</f>
        <v>0</v>
      </c>
      <c r="R262" s="268"/>
      <c r="S262" s="271"/>
      <c r="T262" s="259"/>
    </row>
    <row r="263" spans="1:20" s="260" customFormat="1" x14ac:dyDescent="0.3">
      <c r="A263" s="275"/>
      <c r="B263" s="313" t="s">
        <v>74</v>
      </c>
      <c r="C263" s="384"/>
      <c r="D263" s="384"/>
      <c r="E263" s="384"/>
      <c r="F263" s="384"/>
      <c r="G263" s="384"/>
      <c r="H263" s="384"/>
      <c r="I263" s="384"/>
      <c r="J263" s="384"/>
      <c r="K263" s="384"/>
      <c r="L263" s="384"/>
      <c r="M263" s="384"/>
      <c r="N263" s="313">
        <v>0</v>
      </c>
      <c r="O263" s="460">
        <f t="shared" si="7"/>
        <v>0</v>
      </c>
      <c r="P263" s="314">
        <v>0</v>
      </c>
      <c r="Q263" s="385">
        <f t="shared" si="8"/>
        <v>0</v>
      </c>
      <c r="R263" s="268"/>
      <c r="S263" s="271"/>
      <c r="T263" s="259"/>
    </row>
    <row r="264" spans="1:20" s="260" customFormat="1" x14ac:dyDescent="0.3">
      <c r="A264" s="275"/>
      <c r="B264" s="313" t="s">
        <v>119</v>
      </c>
      <c r="C264" s="384"/>
      <c r="D264" s="384"/>
      <c r="E264" s="384"/>
      <c r="F264" s="384"/>
      <c r="G264" s="384"/>
      <c r="H264" s="384"/>
      <c r="I264" s="384"/>
      <c r="J264" s="384"/>
      <c r="K264" s="384"/>
      <c r="L264" s="384"/>
      <c r="M264" s="384"/>
      <c r="N264" s="313">
        <v>0</v>
      </c>
      <c r="O264" s="460">
        <f t="shared" si="7"/>
        <v>0</v>
      </c>
      <c r="P264" s="314">
        <v>0</v>
      </c>
      <c r="Q264" s="385">
        <f t="shared" si="8"/>
        <v>0</v>
      </c>
      <c r="R264" s="268"/>
      <c r="S264" s="271"/>
      <c r="T264" s="259"/>
    </row>
    <row r="265" spans="1:20" s="260" customFormat="1" x14ac:dyDescent="0.3">
      <c r="A265" s="275"/>
      <c r="B265" s="313" t="s">
        <v>120</v>
      </c>
      <c r="C265" s="384"/>
      <c r="D265" s="384"/>
      <c r="E265" s="384"/>
      <c r="F265" s="384"/>
      <c r="G265" s="384"/>
      <c r="H265" s="384"/>
      <c r="I265" s="384"/>
      <c r="J265" s="384"/>
      <c r="K265" s="384"/>
      <c r="L265" s="384"/>
      <c r="M265" s="384"/>
      <c r="N265" s="313">
        <v>0</v>
      </c>
      <c r="O265" s="460">
        <f t="shared" si="7"/>
        <v>0</v>
      </c>
      <c r="P265" s="314">
        <v>0</v>
      </c>
      <c r="Q265" s="385">
        <f t="shared" si="8"/>
        <v>0</v>
      </c>
      <c r="R265" s="268"/>
      <c r="S265" s="271"/>
      <c r="T265" s="259"/>
    </row>
    <row r="266" spans="1:20" s="260" customFormat="1" x14ac:dyDescent="0.3">
      <c r="A266" s="275"/>
      <c r="B266" s="313" t="s">
        <v>121</v>
      </c>
      <c r="C266" s="384"/>
      <c r="D266" s="384"/>
      <c r="E266" s="384"/>
      <c r="F266" s="384"/>
      <c r="G266" s="384"/>
      <c r="H266" s="384"/>
      <c r="I266" s="384"/>
      <c r="J266" s="384"/>
      <c r="K266" s="384"/>
      <c r="L266" s="384"/>
      <c r="M266" s="384"/>
      <c r="N266" s="313">
        <v>0</v>
      </c>
      <c r="O266" s="460">
        <f t="shared" si="7"/>
        <v>0</v>
      </c>
      <c r="P266" s="314">
        <v>0</v>
      </c>
      <c r="Q266" s="385">
        <f t="shared" si="8"/>
        <v>0</v>
      </c>
      <c r="R266" s="268"/>
      <c r="S266" s="271"/>
      <c r="T266" s="259"/>
    </row>
    <row r="267" spans="1:20" s="260" customFormat="1" x14ac:dyDescent="0.3">
      <c r="A267" s="275"/>
      <c r="B267" s="313" t="s">
        <v>122</v>
      </c>
      <c r="C267" s="384"/>
      <c r="D267" s="384"/>
      <c r="E267" s="384"/>
      <c r="F267" s="384"/>
      <c r="G267" s="384"/>
      <c r="H267" s="384"/>
      <c r="I267" s="384"/>
      <c r="J267" s="384"/>
      <c r="K267" s="384"/>
      <c r="L267" s="384"/>
      <c r="M267" s="384"/>
      <c r="N267" s="313">
        <v>1</v>
      </c>
      <c r="O267" s="461">
        <f t="shared" si="7"/>
        <v>1</v>
      </c>
      <c r="P267" s="314">
        <v>195</v>
      </c>
      <c r="Q267" s="385">
        <f t="shared" si="8"/>
        <v>1</v>
      </c>
      <c r="R267" s="268"/>
      <c r="S267" s="271"/>
      <c r="T267" s="259"/>
    </row>
    <row r="268" spans="1:20" s="260" customFormat="1" x14ac:dyDescent="0.3">
      <c r="A268" s="275"/>
      <c r="B268" s="313" t="s">
        <v>123</v>
      </c>
      <c r="C268" s="384"/>
      <c r="D268" s="384"/>
      <c r="E268" s="384"/>
      <c r="F268" s="384"/>
      <c r="G268" s="384"/>
      <c r="H268" s="384"/>
      <c r="I268" s="384"/>
      <c r="J268" s="384"/>
      <c r="K268" s="384"/>
      <c r="L268" s="384"/>
      <c r="M268" s="384"/>
      <c r="N268" s="313">
        <v>0</v>
      </c>
      <c r="O268" s="385">
        <f t="shared" si="7"/>
        <v>0</v>
      </c>
      <c r="P268" s="314">
        <v>0</v>
      </c>
      <c r="Q268" s="385">
        <f t="shared" si="8"/>
        <v>0</v>
      </c>
      <c r="R268" s="268"/>
      <c r="S268" s="271"/>
      <c r="T268" s="259"/>
    </row>
    <row r="269" spans="1:20" s="260" customFormat="1" x14ac:dyDescent="0.3">
      <c r="A269" s="275"/>
      <c r="B269" s="313"/>
      <c r="C269" s="384"/>
      <c r="D269" s="384"/>
      <c r="E269" s="384"/>
      <c r="F269" s="384"/>
      <c r="G269" s="384"/>
      <c r="H269" s="384"/>
      <c r="I269" s="384"/>
      <c r="J269" s="384"/>
      <c r="K269" s="384"/>
      <c r="L269" s="384"/>
      <c r="M269" s="384"/>
      <c r="N269" s="313"/>
      <c r="O269" s="385"/>
      <c r="P269" s="314"/>
      <c r="Q269" s="385"/>
      <c r="R269" s="268"/>
      <c r="S269" s="271"/>
      <c r="T269" s="259"/>
    </row>
    <row r="270" spans="1:20" s="260" customFormat="1" x14ac:dyDescent="0.3">
      <c r="A270" s="275"/>
      <c r="B270" s="268" t="s">
        <v>94</v>
      </c>
      <c r="C270" s="268"/>
      <c r="D270" s="386"/>
      <c r="E270" s="386"/>
      <c r="F270" s="386"/>
      <c r="G270" s="386"/>
      <c r="H270" s="386"/>
      <c r="I270" s="386"/>
      <c r="J270" s="386"/>
      <c r="K270" s="386"/>
      <c r="L270" s="386"/>
      <c r="M270" s="386"/>
      <c r="N270" s="313">
        <f>SUM(N261:N269)</f>
        <v>1</v>
      </c>
      <c r="O270" s="385">
        <f>SUM(O261:O269)</f>
        <v>1</v>
      </c>
      <c r="P270" s="314">
        <f>SUM(P261:P269)</f>
        <v>195</v>
      </c>
      <c r="Q270" s="385">
        <f>SUM(Q261:Q269)</f>
        <v>1</v>
      </c>
      <c r="R270" s="268"/>
      <c r="S270" s="271"/>
      <c r="T270" s="259"/>
    </row>
    <row r="271" spans="1:20" x14ac:dyDescent="0.3">
      <c r="A271" s="243"/>
      <c r="B271" s="315"/>
      <c r="C271" s="315"/>
      <c r="D271" s="387"/>
      <c r="E271" s="387"/>
      <c r="F271" s="387"/>
      <c r="G271" s="387"/>
      <c r="H271" s="387"/>
      <c r="I271" s="387"/>
      <c r="J271" s="387"/>
      <c r="K271" s="387"/>
      <c r="L271" s="387"/>
      <c r="M271" s="387"/>
      <c r="N271" s="316"/>
      <c r="O271" s="388"/>
      <c r="P271" s="389"/>
      <c r="Q271" s="388"/>
      <c r="R271" s="315"/>
      <c r="S271" s="246"/>
      <c r="T271" s="241"/>
    </row>
    <row r="272" spans="1:20" x14ac:dyDescent="0.3">
      <c r="A272" s="424"/>
      <c r="B272" s="434" t="s">
        <v>125</v>
      </c>
      <c r="C272" s="428"/>
      <c r="D272" s="457"/>
      <c r="E272" s="457"/>
      <c r="F272" s="457"/>
      <c r="G272" s="457"/>
      <c r="H272" s="457"/>
      <c r="I272" s="457"/>
      <c r="J272" s="457"/>
      <c r="K272" s="457"/>
      <c r="L272" s="457"/>
      <c r="M272" s="457"/>
      <c r="N272" s="451" t="s">
        <v>83</v>
      </c>
      <c r="O272" s="435" t="s">
        <v>84</v>
      </c>
      <c r="P272" s="451" t="s">
        <v>89</v>
      </c>
      <c r="Q272" s="435" t="s">
        <v>84</v>
      </c>
      <c r="R272" s="428"/>
      <c r="S272" s="426"/>
      <c r="T272" s="241"/>
    </row>
    <row r="273" spans="1:20" s="260" customFormat="1" x14ac:dyDescent="0.3">
      <c r="A273" s="255"/>
      <c r="B273" s="327" t="s">
        <v>72</v>
      </c>
      <c r="C273" s="302"/>
      <c r="D273" s="456"/>
      <c r="E273" s="456"/>
      <c r="F273" s="456"/>
      <c r="G273" s="456"/>
      <c r="H273" s="456"/>
      <c r="I273" s="456"/>
      <c r="J273" s="456"/>
      <c r="K273" s="456"/>
      <c r="L273" s="456"/>
      <c r="M273" s="456"/>
      <c r="N273" s="327">
        <v>0</v>
      </c>
      <c r="O273" s="454">
        <v>0</v>
      </c>
      <c r="P273" s="433">
        <v>0</v>
      </c>
      <c r="Q273" s="454">
        <v>0</v>
      </c>
      <c r="R273" s="302"/>
      <c r="S273" s="258"/>
      <c r="T273" s="259"/>
    </row>
    <row r="274" spans="1:20" s="260" customFormat="1" x14ac:dyDescent="0.3">
      <c r="A274" s="275"/>
      <c r="B274" s="313" t="s">
        <v>73</v>
      </c>
      <c r="C274" s="268"/>
      <c r="D274" s="386"/>
      <c r="E274" s="386"/>
      <c r="F274" s="386"/>
      <c r="G274" s="386"/>
      <c r="H274" s="386"/>
      <c r="I274" s="386"/>
      <c r="J274" s="386"/>
      <c r="K274" s="386"/>
      <c r="L274" s="386"/>
      <c r="M274" s="386"/>
      <c r="N274" s="313">
        <v>0</v>
      </c>
      <c r="O274" s="385">
        <v>0</v>
      </c>
      <c r="P274" s="314">
        <v>0</v>
      </c>
      <c r="Q274" s="385">
        <v>0</v>
      </c>
      <c r="R274" s="268"/>
      <c r="S274" s="271"/>
      <c r="T274" s="259"/>
    </row>
    <row r="275" spans="1:20" s="260" customFormat="1" x14ac:dyDescent="0.3">
      <c r="A275" s="275"/>
      <c r="B275" s="313" t="s">
        <v>74</v>
      </c>
      <c r="C275" s="268"/>
      <c r="D275" s="386"/>
      <c r="E275" s="386"/>
      <c r="F275" s="386"/>
      <c r="G275" s="386"/>
      <c r="H275" s="386"/>
      <c r="I275" s="386"/>
      <c r="J275" s="386"/>
      <c r="K275" s="386"/>
      <c r="L275" s="386"/>
      <c r="M275" s="386"/>
      <c r="N275" s="313">
        <v>0</v>
      </c>
      <c r="O275" s="385">
        <v>0</v>
      </c>
      <c r="P275" s="314">
        <v>0</v>
      </c>
      <c r="Q275" s="385">
        <v>0</v>
      </c>
      <c r="R275" s="268"/>
      <c r="S275" s="271"/>
      <c r="T275" s="259"/>
    </row>
    <row r="276" spans="1:20" s="260" customFormat="1" x14ac:dyDescent="0.3">
      <c r="A276" s="275"/>
      <c r="B276" s="313" t="s">
        <v>119</v>
      </c>
      <c r="C276" s="268"/>
      <c r="D276" s="386"/>
      <c r="E276" s="386"/>
      <c r="F276" s="386"/>
      <c r="G276" s="386"/>
      <c r="H276" s="386"/>
      <c r="I276" s="386"/>
      <c r="J276" s="386"/>
      <c r="K276" s="386"/>
      <c r="L276" s="386"/>
      <c r="M276" s="386"/>
      <c r="N276" s="313">
        <v>0</v>
      </c>
      <c r="O276" s="385">
        <v>0</v>
      </c>
      <c r="P276" s="314">
        <v>0</v>
      </c>
      <c r="Q276" s="385">
        <v>0</v>
      </c>
      <c r="R276" s="268"/>
      <c r="S276" s="271"/>
      <c r="T276" s="259"/>
    </row>
    <row r="277" spans="1:20" s="260" customFormat="1" x14ac:dyDescent="0.3">
      <c r="A277" s="275"/>
      <c r="B277" s="313" t="s">
        <v>120</v>
      </c>
      <c r="C277" s="268"/>
      <c r="D277" s="386"/>
      <c r="E277" s="386"/>
      <c r="F277" s="386"/>
      <c r="G277" s="386"/>
      <c r="H277" s="386"/>
      <c r="I277" s="386"/>
      <c r="J277" s="386"/>
      <c r="K277" s="386"/>
      <c r="L277" s="386"/>
      <c r="M277" s="386"/>
      <c r="N277" s="313">
        <v>0</v>
      </c>
      <c r="O277" s="385">
        <v>0</v>
      </c>
      <c r="P277" s="314">
        <v>0</v>
      </c>
      <c r="Q277" s="385">
        <v>0</v>
      </c>
      <c r="R277" s="268"/>
      <c r="S277" s="271"/>
      <c r="T277" s="259"/>
    </row>
    <row r="278" spans="1:20" s="260" customFormat="1" x14ac:dyDescent="0.3">
      <c r="A278" s="275"/>
      <c r="B278" s="313" t="s">
        <v>121</v>
      </c>
      <c r="C278" s="268"/>
      <c r="D278" s="386"/>
      <c r="E278" s="386"/>
      <c r="F278" s="386"/>
      <c r="G278" s="386"/>
      <c r="H278" s="386"/>
      <c r="I278" s="386"/>
      <c r="J278" s="386"/>
      <c r="K278" s="386"/>
      <c r="L278" s="386"/>
      <c r="M278" s="386"/>
      <c r="N278" s="313">
        <v>0</v>
      </c>
      <c r="O278" s="385">
        <v>0</v>
      </c>
      <c r="P278" s="314">
        <v>0</v>
      </c>
      <c r="Q278" s="385">
        <v>0</v>
      </c>
      <c r="R278" s="268"/>
      <c r="S278" s="271"/>
      <c r="T278" s="259"/>
    </row>
    <row r="279" spans="1:20" s="260" customFormat="1" x14ac:dyDescent="0.3">
      <c r="A279" s="275"/>
      <c r="B279" s="313" t="s">
        <v>122</v>
      </c>
      <c r="C279" s="268"/>
      <c r="D279" s="386"/>
      <c r="E279" s="386"/>
      <c r="F279" s="386"/>
      <c r="G279" s="386"/>
      <c r="H279" s="386"/>
      <c r="I279" s="386"/>
      <c r="J279" s="386"/>
      <c r="K279" s="386"/>
      <c r="L279" s="386"/>
      <c r="M279" s="386"/>
      <c r="N279" s="313">
        <v>0</v>
      </c>
      <c r="O279" s="385">
        <v>0</v>
      </c>
      <c r="P279" s="314">
        <v>0</v>
      </c>
      <c r="Q279" s="385">
        <v>0</v>
      </c>
      <c r="R279" s="268"/>
      <c r="S279" s="271"/>
      <c r="T279" s="259"/>
    </row>
    <row r="280" spans="1:20" s="260" customFormat="1" x14ac:dyDescent="0.3">
      <c r="A280" s="275"/>
      <c r="B280" s="313" t="s">
        <v>123</v>
      </c>
      <c r="C280" s="268"/>
      <c r="D280" s="386"/>
      <c r="E280" s="386"/>
      <c r="F280" s="386"/>
      <c r="G280" s="386"/>
      <c r="H280" s="386"/>
      <c r="I280" s="386"/>
      <c r="J280" s="386"/>
      <c r="K280" s="386"/>
      <c r="L280" s="386"/>
      <c r="M280" s="386"/>
      <c r="N280" s="313">
        <v>0</v>
      </c>
      <c r="O280" s="385">
        <v>0</v>
      </c>
      <c r="P280" s="314">
        <v>0</v>
      </c>
      <c r="Q280" s="385">
        <v>0</v>
      </c>
      <c r="R280" s="268"/>
      <c r="S280" s="271"/>
      <c r="T280" s="259"/>
    </row>
    <row r="281" spans="1:20" s="260" customFormat="1" x14ac:dyDescent="0.3">
      <c r="A281" s="275"/>
      <c r="B281" s="313"/>
      <c r="C281" s="268"/>
      <c r="D281" s="386"/>
      <c r="E281" s="386"/>
      <c r="F281" s="386"/>
      <c r="G281" s="386"/>
      <c r="H281" s="386"/>
      <c r="I281" s="386"/>
      <c r="J281" s="386"/>
      <c r="K281" s="386"/>
      <c r="L281" s="386"/>
      <c r="M281" s="386"/>
      <c r="N281" s="313"/>
      <c r="O281" s="385"/>
      <c r="P281" s="314"/>
      <c r="Q281" s="385"/>
      <c r="R281" s="268"/>
      <c r="S281" s="271"/>
      <c r="T281" s="259"/>
    </row>
    <row r="282" spans="1:20" s="260" customFormat="1" x14ac:dyDescent="0.3">
      <c r="A282" s="275"/>
      <c r="B282" s="268" t="s">
        <v>94</v>
      </c>
      <c r="C282" s="268"/>
      <c r="D282" s="386"/>
      <c r="E282" s="386"/>
      <c r="F282" s="386"/>
      <c r="G282" s="386"/>
      <c r="H282" s="386"/>
      <c r="I282" s="386"/>
      <c r="J282" s="386"/>
      <c r="K282" s="386"/>
      <c r="L282" s="386"/>
      <c r="M282" s="386"/>
      <c r="N282" s="313">
        <f>SUM(N273:N280)</f>
        <v>0</v>
      </c>
      <c r="O282" s="385">
        <f>SUM(O273:O280)</f>
        <v>0</v>
      </c>
      <c r="P282" s="314">
        <f>SUM(P273:P280)</f>
        <v>0</v>
      </c>
      <c r="Q282" s="385">
        <f>SUM(Q273:Q280)</f>
        <v>0</v>
      </c>
      <c r="R282" s="268"/>
      <c r="S282" s="271"/>
      <c r="T282" s="259"/>
    </row>
    <row r="283" spans="1:20" s="260" customFormat="1" x14ac:dyDescent="0.3">
      <c r="A283" s="275"/>
      <c r="B283" s="268"/>
      <c r="C283" s="268"/>
      <c r="D283" s="386"/>
      <c r="E283" s="386"/>
      <c r="F283" s="386"/>
      <c r="G283" s="386"/>
      <c r="H283" s="386"/>
      <c r="I283" s="386"/>
      <c r="J283" s="386"/>
      <c r="K283" s="386"/>
      <c r="L283" s="386"/>
      <c r="M283" s="386"/>
      <c r="N283" s="313"/>
      <c r="O283" s="385"/>
      <c r="P283" s="314"/>
      <c r="Q283" s="385"/>
      <c r="R283" s="268"/>
      <c r="S283" s="271"/>
      <c r="T283" s="259"/>
    </row>
    <row r="284" spans="1:20" s="260" customFormat="1" x14ac:dyDescent="0.3">
      <c r="A284" s="275"/>
      <c r="B284" s="272" t="s">
        <v>182</v>
      </c>
      <c r="C284" s="268"/>
      <c r="D284" s="386"/>
      <c r="E284" s="386"/>
      <c r="F284" s="386"/>
      <c r="G284" s="386"/>
      <c r="H284" s="386"/>
      <c r="I284" s="386"/>
      <c r="J284" s="386"/>
      <c r="K284" s="386"/>
      <c r="L284" s="386"/>
      <c r="M284" s="386"/>
      <c r="N284" s="390">
        <f>N282+N270+N258</f>
        <v>459</v>
      </c>
      <c r="O284" s="385"/>
      <c r="P284" s="391">
        <f>+P282+P270+P258</f>
        <v>66770</v>
      </c>
      <c r="Q284" s="385"/>
      <c r="R284" s="268"/>
      <c r="S284" s="271"/>
      <c r="T284" s="259"/>
    </row>
    <row r="285" spans="1:20" s="260" customFormat="1" x14ac:dyDescent="0.3">
      <c r="A285" s="275"/>
      <c r="B285" s="272" t="s">
        <v>247</v>
      </c>
      <c r="C285" s="272"/>
      <c r="D285" s="392"/>
      <c r="E285" s="392"/>
      <c r="F285" s="392"/>
      <c r="G285" s="392"/>
      <c r="H285" s="392"/>
      <c r="I285" s="392"/>
      <c r="J285" s="392"/>
      <c r="K285" s="392"/>
      <c r="L285" s="392"/>
      <c r="M285" s="392"/>
      <c r="N285" s="390"/>
      <c r="O285" s="393"/>
      <c r="P285" s="391">
        <f>+R171</f>
        <v>0</v>
      </c>
      <c r="Q285" s="385"/>
      <c r="R285" s="268"/>
      <c r="S285" s="271"/>
      <c r="T285" s="259"/>
    </row>
    <row r="286" spans="1:20" s="260" customFormat="1" x14ac:dyDescent="0.3">
      <c r="A286" s="275"/>
      <c r="B286" s="272" t="s">
        <v>126</v>
      </c>
      <c r="C286" s="272"/>
      <c r="D286" s="392"/>
      <c r="E286" s="392"/>
      <c r="F286" s="392"/>
      <c r="G286" s="392"/>
      <c r="H286" s="392"/>
      <c r="I286" s="392"/>
      <c r="J286" s="392"/>
      <c r="K286" s="392"/>
      <c r="L286" s="392"/>
      <c r="M286" s="392"/>
      <c r="N286" s="390"/>
      <c r="O286" s="393"/>
      <c r="P286" s="391">
        <f>+P284+P285</f>
        <v>66770</v>
      </c>
      <c r="Q286" s="385"/>
      <c r="R286" s="268"/>
      <c r="S286" s="271"/>
      <c r="T286" s="259"/>
    </row>
    <row r="287" spans="1:20" s="260" customFormat="1" x14ac:dyDescent="0.3">
      <c r="A287" s="275"/>
      <c r="B287" s="272" t="s">
        <v>181</v>
      </c>
      <c r="C287" s="268"/>
      <c r="D287" s="386"/>
      <c r="E287" s="386"/>
      <c r="F287" s="386"/>
      <c r="G287" s="386"/>
      <c r="H287" s="386"/>
      <c r="I287" s="386"/>
      <c r="J287" s="386"/>
      <c r="K287" s="386"/>
      <c r="L287" s="386"/>
      <c r="M287" s="386"/>
      <c r="N287" s="390"/>
      <c r="O287" s="385"/>
      <c r="P287" s="391">
        <f>+R72</f>
        <v>66770</v>
      </c>
      <c r="Q287" s="385"/>
      <c r="R287" s="268"/>
      <c r="S287" s="271"/>
      <c r="T287" s="259"/>
    </row>
    <row r="288" spans="1:20" s="260" customFormat="1" x14ac:dyDescent="0.3">
      <c r="A288" s="275"/>
      <c r="B288" s="272"/>
      <c r="C288" s="268"/>
      <c r="D288" s="386"/>
      <c r="E288" s="386"/>
      <c r="F288" s="386"/>
      <c r="G288" s="386"/>
      <c r="H288" s="386"/>
      <c r="I288" s="386"/>
      <c r="J288" s="386"/>
      <c r="K288" s="386"/>
      <c r="L288" s="386"/>
      <c r="M288" s="386"/>
      <c r="N288" s="390"/>
      <c r="O288" s="385"/>
      <c r="P288" s="391"/>
      <c r="Q288" s="385"/>
      <c r="R288" s="268"/>
      <c r="S288" s="271"/>
      <c r="T288" s="259"/>
    </row>
    <row r="289" spans="1:20" s="260" customFormat="1" x14ac:dyDescent="0.3">
      <c r="A289" s="275"/>
      <c r="B289" s="272" t="s">
        <v>221</v>
      </c>
      <c r="C289" s="268"/>
      <c r="D289" s="386"/>
      <c r="E289" s="386"/>
      <c r="F289" s="386"/>
      <c r="G289" s="386"/>
      <c r="H289" s="386"/>
      <c r="I289" s="386"/>
      <c r="J289" s="386"/>
      <c r="K289" s="386"/>
      <c r="L289" s="386"/>
      <c r="M289" s="386"/>
      <c r="N289" s="390"/>
      <c r="O289" s="385"/>
      <c r="P289" s="394">
        <f>(J30+R138)/R30</f>
        <v>0.18795834715664636</v>
      </c>
      <c r="Q289" s="385"/>
      <c r="R289" s="268"/>
      <c r="S289" s="271"/>
      <c r="T289" s="259"/>
    </row>
    <row r="290" spans="1:20" s="260" customFormat="1" x14ac:dyDescent="0.3">
      <c r="A290" s="255"/>
      <c r="B290" s="256"/>
      <c r="C290" s="256"/>
      <c r="D290" s="395"/>
      <c r="E290" s="395"/>
      <c r="F290" s="395"/>
      <c r="G290" s="395"/>
      <c r="H290" s="395"/>
      <c r="I290" s="395"/>
      <c r="J290" s="395"/>
      <c r="K290" s="395"/>
      <c r="L290" s="395"/>
      <c r="M290" s="395"/>
      <c r="N290" s="395"/>
      <c r="O290" s="395"/>
      <c r="P290" s="396"/>
      <c r="Q290" s="395"/>
      <c r="R290" s="256"/>
      <c r="S290" s="258"/>
      <c r="T290" s="259"/>
    </row>
    <row r="291" spans="1:20" s="260" customFormat="1" x14ac:dyDescent="0.3">
      <c r="A291" s="255"/>
      <c r="B291" s="254" t="s">
        <v>75</v>
      </c>
      <c r="C291" s="256"/>
      <c r="D291" s="397" t="s">
        <v>79</v>
      </c>
      <c r="E291" s="254"/>
      <c r="F291" s="254" t="s">
        <v>80</v>
      </c>
      <c r="G291" s="256"/>
      <c r="H291" s="254"/>
      <c r="I291" s="256"/>
      <c r="J291" s="256"/>
      <c r="K291" s="256"/>
      <c r="L291" s="256"/>
      <c r="M291" s="256"/>
      <c r="N291" s="256"/>
      <c r="O291" s="256"/>
      <c r="P291" s="256"/>
      <c r="Q291" s="256"/>
      <c r="R291" s="256"/>
      <c r="S291" s="258"/>
      <c r="T291" s="259"/>
    </row>
    <row r="292" spans="1:20" s="260" customFormat="1" x14ac:dyDescent="0.3">
      <c r="A292" s="255"/>
      <c r="B292" s="256"/>
      <c r="C292" s="256"/>
      <c r="D292" s="256"/>
      <c r="E292" s="256"/>
      <c r="F292" s="256"/>
      <c r="G292" s="256"/>
      <c r="H292" s="256"/>
      <c r="I292" s="256"/>
      <c r="J292" s="256"/>
      <c r="K292" s="256"/>
      <c r="L292" s="256"/>
      <c r="M292" s="256"/>
      <c r="N292" s="256"/>
      <c r="O292" s="256"/>
      <c r="P292" s="256"/>
      <c r="Q292" s="256"/>
      <c r="R292" s="256"/>
      <c r="S292" s="258"/>
      <c r="T292" s="259"/>
    </row>
    <row r="293" spans="1:20" s="260" customFormat="1" x14ac:dyDescent="0.3">
      <c r="A293" s="255"/>
      <c r="B293" s="254" t="s">
        <v>212</v>
      </c>
      <c r="C293" s="254"/>
      <c r="D293" s="398" t="s">
        <v>147</v>
      </c>
      <c r="E293" s="254"/>
      <c r="F293" s="458" t="s">
        <v>272</v>
      </c>
      <c r="G293" s="254"/>
      <c r="H293" s="254"/>
      <c r="I293" s="256"/>
      <c r="J293" s="256"/>
      <c r="K293" s="256"/>
      <c r="L293" s="256"/>
      <c r="M293" s="256"/>
      <c r="N293" s="256"/>
      <c r="O293" s="256"/>
      <c r="P293" s="256"/>
      <c r="Q293" s="256"/>
      <c r="R293" s="256"/>
      <c r="S293" s="258"/>
      <c r="T293" s="259"/>
    </row>
    <row r="294" spans="1:20" s="260" customFormat="1" x14ac:dyDescent="0.3">
      <c r="A294" s="255"/>
      <c r="B294" s="254" t="s">
        <v>213</v>
      </c>
      <c r="C294" s="254"/>
      <c r="D294" s="398" t="s">
        <v>114</v>
      </c>
      <c r="E294" s="254"/>
      <c r="F294" s="458" t="s">
        <v>273</v>
      </c>
      <c r="G294" s="254"/>
      <c r="H294" s="254"/>
      <c r="I294" s="256"/>
      <c r="J294" s="256"/>
      <c r="K294" s="256"/>
      <c r="L294" s="256"/>
      <c r="M294" s="256"/>
      <c r="N294" s="256"/>
      <c r="O294" s="256"/>
      <c r="P294" s="256"/>
      <c r="Q294" s="256"/>
      <c r="R294" s="256"/>
      <c r="S294" s="258"/>
      <c r="T294" s="259"/>
    </row>
    <row r="295" spans="1:20" s="260" customFormat="1" x14ac:dyDescent="0.3">
      <c r="A295" s="255"/>
      <c r="B295" s="254"/>
      <c r="C295" s="254"/>
      <c r="D295" s="256"/>
      <c r="E295" s="256"/>
      <c r="F295" s="256"/>
      <c r="G295" s="256"/>
      <c r="H295" s="256"/>
      <c r="I295" s="256"/>
      <c r="J295" s="256"/>
      <c r="K295" s="256"/>
      <c r="L295" s="256"/>
      <c r="M295" s="256"/>
      <c r="N295" s="256"/>
      <c r="O295" s="256"/>
      <c r="P295" s="256"/>
      <c r="Q295" s="256"/>
      <c r="R295" s="256"/>
      <c r="S295" s="258"/>
      <c r="T295" s="259"/>
    </row>
    <row r="296" spans="1:20" s="260" customFormat="1" x14ac:dyDescent="0.3">
      <c r="A296" s="255"/>
      <c r="B296" s="254"/>
      <c r="C296" s="254"/>
      <c r="D296" s="256"/>
      <c r="E296" s="256"/>
      <c r="F296" s="256"/>
      <c r="G296" s="256"/>
      <c r="H296" s="256"/>
      <c r="I296" s="256"/>
      <c r="J296" s="256"/>
      <c r="K296" s="256"/>
      <c r="L296" s="256"/>
      <c r="M296" s="256"/>
      <c r="N296" s="256"/>
      <c r="O296" s="256"/>
      <c r="P296" s="256"/>
      <c r="Q296" s="256"/>
      <c r="R296" s="256"/>
      <c r="S296" s="258"/>
      <c r="T296" s="259"/>
    </row>
    <row r="297" spans="1:20" s="260" customFormat="1" ht="18.600000000000001" thickBot="1" x14ac:dyDescent="0.4">
      <c r="A297" s="255"/>
      <c r="B297" s="399" t="str">
        <f>B196</f>
        <v>PM21 INVESTOR REPORT QUARTER ENDING MAY 2018</v>
      </c>
      <c r="C297" s="254"/>
      <c r="D297" s="256"/>
      <c r="E297" s="256"/>
      <c r="F297" s="256"/>
      <c r="G297" s="256"/>
      <c r="H297" s="256"/>
      <c r="I297" s="256"/>
      <c r="J297" s="256"/>
      <c r="K297" s="256"/>
      <c r="L297" s="256"/>
      <c r="M297" s="256"/>
      <c r="N297" s="256"/>
      <c r="O297" s="256"/>
      <c r="P297" s="256"/>
      <c r="Q297" s="256"/>
      <c r="R297" s="256"/>
      <c r="S297" s="311"/>
      <c r="T297" s="259"/>
    </row>
    <row r="298" spans="1:20" x14ac:dyDescent="0.3">
      <c r="A298" s="400"/>
      <c r="B298" s="400"/>
      <c r="C298" s="400"/>
      <c r="D298" s="400"/>
      <c r="E298" s="400"/>
      <c r="F298" s="400"/>
      <c r="G298" s="400"/>
      <c r="H298" s="400"/>
      <c r="I298" s="400"/>
      <c r="J298" s="400"/>
      <c r="K298" s="400"/>
      <c r="L298" s="400"/>
      <c r="M298" s="400"/>
      <c r="N298" s="400"/>
      <c r="O298" s="400"/>
      <c r="P298" s="400"/>
      <c r="Q298" s="400"/>
      <c r="R298" s="400"/>
      <c r="S298" s="400"/>
    </row>
  </sheetData>
  <hyperlinks>
    <hyperlink ref="K9" r:id="rId1"/>
    <hyperlink ref="N234"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298"/>
  <sheetViews>
    <sheetView showGridLines="0" showOutlineSymbols="0" zoomScale="70" zoomScaleNormal="70" workbookViewId="0"/>
  </sheetViews>
  <sheetFormatPr defaultColWidth="9.6328125" defaultRowHeight="15.6" x14ac:dyDescent="0.3"/>
  <cols>
    <col min="1" max="1" width="4" style="242" customWidth="1"/>
    <col min="2" max="2" width="71.1796875" style="242" customWidth="1"/>
    <col min="3" max="3" width="2.1796875" style="242" customWidth="1"/>
    <col min="4" max="4" width="16.1796875" style="242" customWidth="1"/>
    <col min="5" max="5" width="2.90625" style="242" customWidth="1"/>
    <col min="6" max="6" width="16.1796875" style="242" customWidth="1"/>
    <col min="7" max="7" width="2.1796875" style="242" customWidth="1"/>
    <col min="8" max="8" width="17.90625" style="242" customWidth="1"/>
    <col min="9" max="9" width="2.36328125" style="242" customWidth="1"/>
    <col min="10" max="10" width="14.90625" style="242" customWidth="1"/>
    <col min="11" max="11" width="2.36328125" style="242" customWidth="1"/>
    <col min="12" max="12" width="15.54296875" style="242" customWidth="1"/>
    <col min="13" max="13" width="2.1796875" style="242" customWidth="1"/>
    <col min="14" max="14" width="15.54296875" style="242" customWidth="1"/>
    <col min="15" max="16" width="12.6328125" style="242" customWidth="1"/>
    <col min="17" max="17" width="8.36328125" style="242" customWidth="1"/>
    <col min="18" max="18" width="14.6328125" style="242" customWidth="1"/>
    <col min="19" max="19" width="11.81640625" style="242" customWidth="1"/>
    <col min="20" max="16384" width="9.6328125" style="242"/>
  </cols>
  <sheetData>
    <row r="1" spans="1:20" ht="21" x14ac:dyDescent="0.4">
      <c r="A1" s="237"/>
      <c r="B1" s="238" t="s">
        <v>225</v>
      </c>
      <c r="C1" s="239"/>
      <c r="D1" s="239"/>
      <c r="E1" s="239"/>
      <c r="F1" s="239"/>
      <c r="G1" s="239"/>
      <c r="H1" s="239"/>
      <c r="I1" s="239"/>
      <c r="J1" s="239"/>
      <c r="K1" s="239"/>
      <c r="L1" s="239"/>
      <c r="M1" s="239"/>
      <c r="N1" s="239"/>
      <c r="O1" s="239"/>
      <c r="P1" s="239"/>
      <c r="Q1" s="239"/>
      <c r="R1" s="239"/>
      <c r="S1" s="240"/>
      <c r="T1" s="241"/>
    </row>
    <row r="2" spans="1:20" x14ac:dyDescent="0.3">
      <c r="A2" s="243"/>
      <c r="B2" s="244"/>
      <c r="C2" s="245"/>
      <c r="D2" s="245"/>
      <c r="E2" s="245"/>
      <c r="F2" s="245"/>
      <c r="G2" s="245"/>
      <c r="H2" s="245"/>
      <c r="I2" s="245"/>
      <c r="J2" s="245"/>
      <c r="K2" s="245"/>
      <c r="L2" s="245"/>
      <c r="M2" s="245"/>
      <c r="N2" s="245"/>
      <c r="O2" s="245"/>
      <c r="P2" s="245"/>
      <c r="Q2" s="245"/>
      <c r="R2" s="245"/>
      <c r="S2" s="246"/>
      <c r="T2" s="241"/>
    </row>
    <row r="3" spans="1:20" x14ac:dyDescent="0.3">
      <c r="A3" s="247"/>
      <c r="B3" s="248" t="s">
        <v>230</v>
      </c>
      <c r="C3" s="245"/>
      <c r="D3" s="245"/>
      <c r="E3" s="245"/>
      <c r="F3" s="245"/>
      <c r="G3" s="245"/>
      <c r="H3" s="245"/>
      <c r="I3" s="245"/>
      <c r="J3" s="245"/>
      <c r="K3" s="245"/>
      <c r="L3" s="245"/>
      <c r="M3" s="245"/>
      <c r="N3" s="245"/>
      <c r="O3" s="245"/>
      <c r="P3" s="245"/>
      <c r="Q3" s="245"/>
      <c r="R3" s="245"/>
      <c r="S3" s="246"/>
      <c r="T3" s="241"/>
    </row>
    <row r="4" spans="1:20" x14ac:dyDescent="0.3">
      <c r="A4" s="243"/>
      <c r="B4" s="244"/>
      <c r="C4" s="245"/>
      <c r="D4" s="245"/>
      <c r="E4" s="245"/>
      <c r="F4" s="245"/>
      <c r="G4" s="245"/>
      <c r="H4" s="245"/>
      <c r="I4" s="245"/>
      <c r="J4" s="245"/>
      <c r="K4" s="245"/>
      <c r="L4" s="245"/>
      <c r="M4" s="245"/>
      <c r="N4" s="245"/>
      <c r="O4" s="245"/>
      <c r="P4" s="245"/>
      <c r="Q4" s="245"/>
      <c r="R4" s="245"/>
      <c r="S4" s="246"/>
      <c r="T4" s="241"/>
    </row>
    <row r="5" spans="1:20" x14ac:dyDescent="0.3">
      <c r="A5" s="243"/>
      <c r="B5" s="249" t="s">
        <v>109</v>
      </c>
      <c r="C5" s="245"/>
      <c r="D5" s="245"/>
      <c r="E5" s="245"/>
      <c r="F5" s="245"/>
      <c r="G5" s="245"/>
      <c r="H5" s="245"/>
      <c r="I5" s="245"/>
      <c r="J5" s="245"/>
      <c r="K5" s="245"/>
      <c r="L5" s="245"/>
      <c r="M5" s="245"/>
      <c r="N5" s="245"/>
      <c r="O5" s="245"/>
      <c r="P5" s="245"/>
      <c r="Q5" s="245"/>
      <c r="R5" s="245"/>
      <c r="S5" s="246"/>
      <c r="T5" s="241"/>
    </row>
    <row r="6" spans="1:20" x14ac:dyDescent="0.3">
      <c r="A6" s="243"/>
      <c r="B6" s="249" t="s">
        <v>111</v>
      </c>
      <c r="C6" s="245"/>
      <c r="D6" s="245"/>
      <c r="E6" s="245"/>
      <c r="F6" s="245"/>
      <c r="G6" s="245"/>
      <c r="H6" s="245"/>
      <c r="I6" s="245"/>
      <c r="J6" s="245"/>
      <c r="K6" s="245"/>
      <c r="L6" s="245"/>
      <c r="M6" s="245"/>
      <c r="N6" s="245"/>
      <c r="O6" s="245"/>
      <c r="P6" s="245"/>
      <c r="Q6" s="245"/>
      <c r="R6" s="245"/>
      <c r="S6" s="246"/>
      <c r="T6" s="241"/>
    </row>
    <row r="7" spans="1:20" x14ac:dyDescent="0.3">
      <c r="A7" s="243"/>
      <c r="B7" s="249" t="s">
        <v>110</v>
      </c>
      <c r="C7" s="245"/>
      <c r="D7" s="245"/>
      <c r="E7" s="245"/>
      <c r="F7" s="245"/>
      <c r="G7" s="245"/>
      <c r="H7" s="245"/>
      <c r="I7" s="245"/>
      <c r="J7" s="245"/>
      <c r="K7" s="245"/>
      <c r="L7" s="245"/>
      <c r="M7" s="245"/>
      <c r="N7" s="245"/>
      <c r="O7" s="245"/>
      <c r="P7" s="245"/>
      <c r="Q7" s="245"/>
      <c r="R7" s="245"/>
      <c r="S7" s="246"/>
      <c r="T7" s="241"/>
    </row>
    <row r="8" spans="1:20" x14ac:dyDescent="0.3">
      <c r="A8" s="243"/>
      <c r="B8" s="250"/>
      <c r="C8" s="245"/>
      <c r="D8" s="245"/>
      <c r="E8" s="245"/>
      <c r="F8" s="245"/>
      <c r="G8" s="245"/>
      <c r="H8" s="245"/>
      <c r="I8" s="245"/>
      <c r="J8" s="245"/>
      <c r="K8" s="245"/>
      <c r="L8" s="245"/>
      <c r="M8" s="245"/>
      <c r="N8" s="245"/>
      <c r="O8" s="245"/>
      <c r="P8" s="245"/>
      <c r="Q8" s="245"/>
      <c r="R8" s="245"/>
      <c r="S8" s="246"/>
      <c r="T8" s="241"/>
    </row>
    <row r="9" spans="1:20" ht="18" x14ac:dyDescent="0.35">
      <c r="A9" s="243"/>
      <c r="B9" s="251" t="s">
        <v>127</v>
      </c>
      <c r="C9" s="245"/>
      <c r="D9" s="245"/>
      <c r="E9" s="252"/>
      <c r="F9" s="245"/>
      <c r="G9" s="245"/>
      <c r="H9" s="252"/>
      <c r="I9" s="245"/>
      <c r="J9" s="252"/>
      <c r="K9" s="236" t="s">
        <v>271</v>
      </c>
      <c r="L9" s="252"/>
      <c r="M9" s="245"/>
      <c r="N9" s="245"/>
      <c r="O9" s="245"/>
      <c r="P9" s="245"/>
      <c r="Q9" s="245"/>
      <c r="R9" s="245"/>
      <c r="S9" s="246"/>
      <c r="T9" s="241"/>
    </row>
    <row r="10" spans="1:20" x14ac:dyDescent="0.3">
      <c r="A10" s="243"/>
      <c r="B10" s="250"/>
      <c r="C10" s="253"/>
      <c r="D10" s="245"/>
      <c r="E10" s="245"/>
      <c r="F10" s="245"/>
      <c r="G10" s="245"/>
      <c r="H10" s="245"/>
      <c r="I10" s="245"/>
      <c r="J10" s="245"/>
      <c r="K10" s="245"/>
      <c r="L10" s="245"/>
      <c r="M10" s="245"/>
      <c r="N10" s="245"/>
      <c r="O10" s="245"/>
      <c r="P10" s="245"/>
      <c r="Q10" s="245"/>
      <c r="R10" s="245"/>
      <c r="S10" s="246"/>
      <c r="T10" s="241"/>
    </row>
    <row r="11" spans="1:20" x14ac:dyDescent="0.3">
      <c r="A11" s="243"/>
      <c r="B11" s="254" t="s">
        <v>0</v>
      </c>
      <c r="C11" s="245"/>
      <c r="D11" s="245"/>
      <c r="E11" s="245"/>
      <c r="F11" s="245"/>
      <c r="G11" s="245"/>
      <c r="H11" s="245"/>
      <c r="I11" s="245"/>
      <c r="J11" s="245"/>
      <c r="K11" s="245"/>
      <c r="L11" s="245"/>
      <c r="M11" s="245"/>
      <c r="N11" s="245"/>
      <c r="O11" s="245"/>
      <c r="P11" s="245"/>
      <c r="Q11" s="245"/>
      <c r="R11" s="245"/>
      <c r="S11" s="246"/>
      <c r="T11" s="241"/>
    </row>
    <row r="12" spans="1:20" ht="16.2" thickBot="1" x14ac:dyDescent="0.35">
      <c r="A12" s="243"/>
      <c r="B12" s="253"/>
      <c r="C12" s="245"/>
      <c r="D12" s="245"/>
      <c r="E12" s="245"/>
      <c r="F12" s="245"/>
      <c r="G12" s="245"/>
      <c r="H12" s="245"/>
      <c r="I12" s="245"/>
      <c r="J12" s="245"/>
      <c r="K12" s="245"/>
      <c r="L12" s="245"/>
      <c r="M12" s="245"/>
      <c r="N12" s="245"/>
      <c r="O12" s="245"/>
      <c r="P12" s="245"/>
      <c r="Q12" s="245"/>
      <c r="R12" s="245"/>
      <c r="S12" s="246"/>
      <c r="T12" s="241"/>
    </row>
    <row r="13" spans="1:20" x14ac:dyDescent="0.3">
      <c r="A13" s="237"/>
      <c r="B13" s="239"/>
      <c r="C13" s="239"/>
      <c r="D13" s="239"/>
      <c r="E13" s="239"/>
      <c r="F13" s="239"/>
      <c r="G13" s="239"/>
      <c r="H13" s="239"/>
      <c r="I13" s="239"/>
      <c r="J13" s="239"/>
      <c r="K13" s="239"/>
      <c r="L13" s="239"/>
      <c r="M13" s="239"/>
      <c r="N13" s="239"/>
      <c r="O13" s="239"/>
      <c r="P13" s="239"/>
      <c r="Q13" s="239"/>
      <c r="R13" s="239"/>
      <c r="S13" s="240"/>
      <c r="T13" s="241"/>
    </row>
    <row r="14" spans="1:20" s="260" customFormat="1" x14ac:dyDescent="0.3">
      <c r="A14" s="255"/>
      <c r="B14" s="254" t="s">
        <v>1</v>
      </c>
      <c r="C14" s="256"/>
      <c r="D14" s="256"/>
      <c r="E14" s="256"/>
      <c r="F14" s="256"/>
      <c r="G14" s="256"/>
      <c r="H14" s="256"/>
      <c r="I14" s="256"/>
      <c r="J14" s="256"/>
      <c r="K14" s="256"/>
      <c r="L14" s="256"/>
      <c r="M14" s="256"/>
      <c r="N14" s="256"/>
      <c r="O14" s="256"/>
      <c r="P14" s="256"/>
      <c r="Q14" s="256"/>
      <c r="R14" s="257" t="s">
        <v>226</v>
      </c>
      <c r="S14" s="258"/>
      <c r="T14" s="259"/>
    </row>
    <row r="15" spans="1:20" s="260" customFormat="1" x14ac:dyDescent="0.3">
      <c r="A15" s="255"/>
      <c r="B15" s="254" t="s">
        <v>2</v>
      </c>
      <c r="C15" s="256"/>
      <c r="D15" s="261"/>
      <c r="E15" s="261"/>
      <c r="F15" s="261"/>
      <c r="G15" s="261"/>
      <c r="H15" s="261"/>
      <c r="I15" s="261"/>
      <c r="J15" s="261"/>
      <c r="K15" s="261"/>
      <c r="L15" s="261"/>
      <c r="M15" s="261"/>
      <c r="N15" s="262"/>
      <c r="O15" s="262"/>
      <c r="P15" s="262" t="s">
        <v>156</v>
      </c>
      <c r="Q15" s="262">
        <v>1</v>
      </c>
      <c r="R15" s="257"/>
      <c r="S15" s="258"/>
      <c r="T15" s="259"/>
    </row>
    <row r="16" spans="1:20" s="260" customFormat="1" x14ac:dyDescent="0.3">
      <c r="A16" s="255"/>
      <c r="B16" s="254" t="s">
        <v>3</v>
      </c>
      <c r="C16" s="256"/>
      <c r="D16" s="261"/>
      <c r="E16" s="261"/>
      <c r="F16" s="261"/>
      <c r="G16" s="261"/>
      <c r="H16" s="261"/>
      <c r="I16" s="261"/>
      <c r="J16" s="261"/>
      <c r="K16" s="261"/>
      <c r="L16" s="261"/>
      <c r="M16" s="261"/>
      <c r="N16" s="262"/>
      <c r="O16" s="262"/>
      <c r="P16" s="262" t="s">
        <v>156</v>
      </c>
      <c r="Q16" s="262">
        <v>1</v>
      </c>
      <c r="R16" s="257"/>
      <c r="S16" s="258"/>
      <c r="T16" s="259"/>
    </row>
    <row r="17" spans="1:23" s="260" customFormat="1" x14ac:dyDescent="0.3">
      <c r="A17" s="255"/>
      <c r="B17" s="254" t="s">
        <v>4</v>
      </c>
      <c r="C17" s="256"/>
      <c r="D17" s="256"/>
      <c r="E17" s="256"/>
      <c r="F17" s="256"/>
      <c r="G17" s="256"/>
      <c r="H17" s="256"/>
      <c r="I17" s="256"/>
      <c r="J17" s="256"/>
      <c r="K17" s="256"/>
      <c r="L17" s="256"/>
      <c r="M17" s="256"/>
      <c r="N17" s="256"/>
      <c r="O17" s="256"/>
      <c r="P17" s="256"/>
      <c r="Q17" s="256"/>
      <c r="R17" s="263">
        <v>41956</v>
      </c>
      <c r="S17" s="258"/>
      <c r="T17" s="259"/>
    </row>
    <row r="18" spans="1:23" s="260" customFormat="1" x14ac:dyDescent="0.3">
      <c r="A18" s="255"/>
      <c r="B18" s="254" t="s">
        <v>5</v>
      </c>
      <c r="C18" s="256"/>
      <c r="D18" s="256"/>
      <c r="E18" s="256"/>
      <c r="F18" s="256"/>
      <c r="G18" s="256"/>
      <c r="H18" s="256"/>
      <c r="I18" s="256"/>
      <c r="J18" s="256"/>
      <c r="K18" s="256"/>
      <c r="L18" s="256"/>
      <c r="M18" s="256"/>
      <c r="N18" s="256"/>
      <c r="O18" s="256"/>
      <c r="P18" s="256"/>
      <c r="Q18" s="256"/>
      <c r="R18" s="263">
        <v>43364</v>
      </c>
      <c r="S18" s="258"/>
      <c r="T18" s="259"/>
    </row>
    <row r="19" spans="1:23" s="260" customFormat="1" x14ac:dyDescent="0.3">
      <c r="A19" s="255"/>
      <c r="B19" s="256"/>
      <c r="C19" s="256"/>
      <c r="D19" s="256"/>
      <c r="E19" s="256"/>
      <c r="F19" s="256"/>
      <c r="G19" s="256"/>
      <c r="H19" s="256"/>
      <c r="I19" s="256"/>
      <c r="J19" s="256"/>
      <c r="K19" s="256"/>
      <c r="L19" s="256"/>
      <c r="M19" s="256"/>
      <c r="N19" s="256"/>
      <c r="O19" s="256"/>
      <c r="P19" s="256"/>
      <c r="Q19" s="256"/>
      <c r="R19" s="264"/>
      <c r="S19" s="258"/>
      <c r="T19" s="259"/>
    </row>
    <row r="20" spans="1:23" s="260" customFormat="1" x14ac:dyDescent="0.3">
      <c r="A20" s="255"/>
      <c r="B20" s="265" t="s">
        <v>6</v>
      </c>
      <c r="C20" s="256"/>
      <c r="D20" s="256"/>
      <c r="E20" s="256"/>
      <c r="F20" s="256"/>
      <c r="G20" s="256"/>
      <c r="H20" s="256"/>
      <c r="I20" s="256"/>
      <c r="J20" s="256"/>
      <c r="K20" s="256"/>
      <c r="L20" s="256"/>
      <c r="M20" s="256"/>
      <c r="N20" s="256"/>
      <c r="O20" s="256"/>
      <c r="P20" s="264" t="s">
        <v>85</v>
      </c>
      <c r="Q20" s="256"/>
      <c r="R20" s="256"/>
      <c r="S20" s="258"/>
      <c r="T20" s="259"/>
    </row>
    <row r="21" spans="1:23" x14ac:dyDescent="0.3">
      <c r="A21" s="243"/>
      <c r="B21" s="245"/>
      <c r="C21" s="245"/>
      <c r="D21" s="245"/>
      <c r="E21" s="245"/>
      <c r="F21" s="245"/>
      <c r="G21" s="245"/>
      <c r="H21" s="245"/>
      <c r="I21" s="245"/>
      <c r="J21" s="245"/>
      <c r="K21" s="245"/>
      <c r="L21" s="245"/>
      <c r="M21" s="245"/>
      <c r="N21" s="245"/>
      <c r="O21" s="245"/>
      <c r="P21" s="245"/>
      <c r="Q21" s="245"/>
      <c r="R21" s="266"/>
      <c r="S21" s="246"/>
      <c r="T21" s="241"/>
    </row>
    <row r="22" spans="1:23" x14ac:dyDescent="0.3">
      <c r="A22" s="424"/>
      <c r="B22" s="428"/>
      <c r="C22" s="429"/>
      <c r="D22" s="429" t="s">
        <v>152</v>
      </c>
      <c r="E22" s="429"/>
      <c r="F22" s="429" t="s">
        <v>185</v>
      </c>
      <c r="G22" s="429"/>
      <c r="H22" s="429" t="s">
        <v>186</v>
      </c>
      <c r="I22" s="429"/>
      <c r="J22" s="429" t="s">
        <v>187</v>
      </c>
      <c r="K22" s="429"/>
      <c r="L22" s="429"/>
      <c r="M22" s="429"/>
      <c r="N22" s="429"/>
      <c r="O22" s="430"/>
      <c r="P22" s="430"/>
      <c r="Q22" s="428"/>
      <c r="R22" s="428"/>
      <c r="S22" s="426"/>
      <c r="T22" s="241"/>
    </row>
    <row r="23" spans="1:23" s="260" customFormat="1" x14ac:dyDescent="0.3">
      <c r="A23" s="255"/>
      <c r="B23" s="302" t="s">
        <v>183</v>
      </c>
      <c r="C23" s="427"/>
      <c r="D23" s="427" t="s">
        <v>112</v>
      </c>
      <c r="E23" s="427"/>
      <c r="F23" s="427" t="s">
        <v>184</v>
      </c>
      <c r="G23" s="427"/>
      <c r="H23" s="427" t="s">
        <v>188</v>
      </c>
      <c r="I23" s="427"/>
      <c r="J23" s="427" t="s">
        <v>154</v>
      </c>
      <c r="K23" s="427"/>
      <c r="L23" s="427"/>
      <c r="M23" s="427"/>
      <c r="N23" s="427"/>
      <c r="O23" s="427"/>
      <c r="P23" s="427"/>
      <c r="Q23" s="302"/>
      <c r="R23" s="302"/>
      <c r="S23" s="258"/>
      <c r="T23" s="259"/>
    </row>
    <row r="24" spans="1:23" s="260" customFormat="1" x14ac:dyDescent="0.3">
      <c r="A24" s="267"/>
      <c r="B24" s="268" t="s">
        <v>216</v>
      </c>
      <c r="C24" s="269"/>
      <c r="D24" s="270" t="s">
        <v>218</v>
      </c>
      <c r="E24" s="270"/>
      <c r="F24" s="270" t="s">
        <v>219</v>
      </c>
      <c r="G24" s="270"/>
      <c r="H24" s="270" t="s">
        <v>220</v>
      </c>
      <c r="I24" s="270"/>
      <c r="J24" s="270" t="s">
        <v>154</v>
      </c>
      <c r="K24" s="270"/>
      <c r="L24" s="270"/>
      <c r="M24" s="270"/>
      <c r="N24" s="270"/>
      <c r="O24" s="269"/>
      <c r="P24" s="270"/>
      <c r="Q24" s="268"/>
      <c r="R24" s="268"/>
      <c r="S24" s="271"/>
      <c r="T24" s="259"/>
    </row>
    <row r="25" spans="1:23" s="260" customFormat="1" x14ac:dyDescent="0.3">
      <c r="A25" s="267"/>
      <c r="B25" s="272" t="s">
        <v>201</v>
      </c>
      <c r="C25" s="269"/>
      <c r="D25" s="269" t="s">
        <v>112</v>
      </c>
      <c r="E25" s="269"/>
      <c r="F25" s="269" t="s">
        <v>112</v>
      </c>
      <c r="G25" s="269"/>
      <c r="H25" s="269" t="s">
        <v>276</v>
      </c>
      <c r="I25" s="269"/>
      <c r="J25" s="269" t="s">
        <v>154</v>
      </c>
      <c r="K25" s="269"/>
      <c r="L25" s="269"/>
      <c r="M25" s="269"/>
      <c r="N25" s="269"/>
      <c r="O25" s="269"/>
      <c r="P25" s="270"/>
      <c r="Q25" s="268"/>
      <c r="R25" s="268"/>
      <c r="S25" s="271"/>
      <c r="T25" s="259"/>
      <c r="U25" s="273"/>
      <c r="W25" s="274"/>
    </row>
    <row r="26" spans="1:23" s="260" customFormat="1" x14ac:dyDescent="0.3">
      <c r="A26" s="275"/>
      <c r="B26" s="272" t="s">
        <v>217</v>
      </c>
      <c r="C26" s="270"/>
      <c r="D26" s="269" t="s">
        <v>218</v>
      </c>
      <c r="E26" s="269"/>
      <c r="F26" s="269" t="s">
        <v>218</v>
      </c>
      <c r="G26" s="269"/>
      <c r="H26" s="269" t="s">
        <v>277</v>
      </c>
      <c r="I26" s="269"/>
      <c r="J26" s="269" t="s">
        <v>154</v>
      </c>
      <c r="K26" s="269"/>
      <c r="L26" s="269"/>
      <c r="M26" s="269"/>
      <c r="N26" s="269"/>
      <c r="O26" s="270"/>
      <c r="P26" s="276"/>
      <c r="Q26" s="268"/>
      <c r="R26" s="268"/>
      <c r="S26" s="271"/>
      <c r="T26" s="259"/>
      <c r="U26" s="273"/>
      <c r="W26" s="274"/>
    </row>
    <row r="27" spans="1:23" s="260" customFormat="1" x14ac:dyDescent="0.3">
      <c r="A27" s="275"/>
      <c r="B27" s="268" t="s">
        <v>7</v>
      </c>
      <c r="C27" s="277"/>
      <c r="D27" s="270" t="s">
        <v>231</v>
      </c>
      <c r="E27" s="270"/>
      <c r="F27" s="270" t="s">
        <v>232</v>
      </c>
      <c r="G27" s="270"/>
      <c r="H27" s="270" t="s">
        <v>233</v>
      </c>
      <c r="I27" s="270"/>
      <c r="J27" s="270" t="s">
        <v>234</v>
      </c>
      <c r="K27" s="270"/>
      <c r="L27" s="270"/>
      <c r="M27" s="270"/>
      <c r="N27" s="270"/>
      <c r="O27" s="278"/>
      <c r="P27" s="278"/>
      <c r="Q27" s="277"/>
      <c r="R27" s="278"/>
      <c r="S27" s="279"/>
      <c r="T27" s="259"/>
      <c r="U27" s="273"/>
      <c r="W27" s="274"/>
    </row>
    <row r="28" spans="1:23" s="260" customFormat="1" x14ac:dyDescent="0.3">
      <c r="A28" s="267"/>
      <c r="B28" s="268" t="s">
        <v>106</v>
      </c>
      <c r="C28" s="280"/>
      <c r="D28" s="281">
        <v>217900</v>
      </c>
      <c r="E28" s="282"/>
      <c r="F28" s="281">
        <v>17700</v>
      </c>
      <c r="G28" s="283"/>
      <c r="H28" s="281">
        <v>8100</v>
      </c>
      <c r="I28" s="278"/>
      <c r="J28" s="281">
        <v>6300</v>
      </c>
      <c r="K28" s="278"/>
      <c r="L28" s="282"/>
      <c r="M28" s="278"/>
      <c r="N28" s="282"/>
      <c r="O28" s="284"/>
      <c r="P28" s="284"/>
      <c r="Q28" s="280"/>
      <c r="R28" s="278">
        <f>SUM(D28:J28)</f>
        <v>250000</v>
      </c>
      <c r="S28" s="279"/>
      <c r="T28" s="259"/>
    </row>
    <row r="29" spans="1:23" s="260" customFormat="1" x14ac:dyDescent="0.3">
      <c r="A29" s="275"/>
      <c r="B29" s="268" t="s">
        <v>105</v>
      </c>
      <c r="C29" s="277"/>
      <c r="D29" s="281">
        <f>D28*D32</f>
        <v>34670.112580000001</v>
      </c>
      <c r="E29" s="282"/>
      <c r="F29" s="281">
        <f>F28*F32</f>
        <v>17700</v>
      </c>
      <c r="G29" s="281"/>
      <c r="H29" s="281">
        <f>H28*H32</f>
        <v>8100</v>
      </c>
      <c r="I29" s="278"/>
      <c r="J29" s="281">
        <f>J28*J32</f>
        <v>6300</v>
      </c>
      <c r="K29" s="278"/>
      <c r="L29" s="282"/>
      <c r="M29" s="278"/>
      <c r="N29" s="282"/>
      <c r="O29" s="278"/>
      <c r="P29" s="278"/>
      <c r="Q29" s="277"/>
      <c r="R29" s="278">
        <f>SUM(D29:J29)</f>
        <v>66770.112580000001</v>
      </c>
      <c r="S29" s="279"/>
      <c r="T29" s="259"/>
    </row>
    <row r="30" spans="1:23" s="260" customFormat="1" x14ac:dyDescent="0.3">
      <c r="A30" s="275"/>
      <c r="B30" s="272" t="s">
        <v>107</v>
      </c>
      <c r="C30" s="277"/>
      <c r="D30" s="285">
        <f>D28*D31</f>
        <v>29357.710579999999</v>
      </c>
      <c r="E30" s="285"/>
      <c r="F30" s="285">
        <f t="shared" ref="F30:J30" si="0">F28*F31</f>
        <v>17700</v>
      </c>
      <c r="G30" s="285"/>
      <c r="H30" s="285">
        <f>H28*H31</f>
        <v>8100</v>
      </c>
      <c r="I30" s="285"/>
      <c r="J30" s="285">
        <f t="shared" si="0"/>
        <v>6300</v>
      </c>
      <c r="K30" s="284"/>
      <c r="L30" s="286"/>
      <c r="M30" s="284"/>
      <c r="N30" s="286"/>
      <c r="O30" s="278"/>
      <c r="P30" s="278"/>
      <c r="Q30" s="277"/>
      <c r="R30" s="284">
        <f>SUM(D30:J30)</f>
        <v>61457.710579999999</v>
      </c>
      <c r="S30" s="279"/>
      <c r="T30" s="259"/>
    </row>
    <row r="31" spans="1:23" s="409" customFormat="1" x14ac:dyDescent="0.3">
      <c r="A31" s="401"/>
      <c r="B31" s="402" t="s">
        <v>103</v>
      </c>
      <c r="C31" s="403"/>
      <c r="D31" s="404">
        <v>0.13473019999999999</v>
      </c>
      <c r="E31" s="404"/>
      <c r="F31" s="404">
        <v>1</v>
      </c>
      <c r="G31" s="404"/>
      <c r="H31" s="404">
        <v>1</v>
      </c>
      <c r="I31" s="404"/>
      <c r="J31" s="404">
        <v>1</v>
      </c>
      <c r="K31" s="404"/>
      <c r="L31" s="404"/>
      <c r="M31" s="404"/>
      <c r="N31" s="404"/>
      <c r="O31" s="405"/>
      <c r="P31" s="405"/>
      <c r="Q31" s="403"/>
      <c r="R31" s="406"/>
      <c r="S31" s="407"/>
      <c r="T31" s="408"/>
    </row>
    <row r="32" spans="1:23" s="409" customFormat="1" x14ac:dyDescent="0.3">
      <c r="A32" s="401"/>
      <c r="B32" s="402" t="s">
        <v>104</v>
      </c>
      <c r="C32" s="403"/>
      <c r="D32" s="404">
        <v>0.15911020000000001</v>
      </c>
      <c r="E32" s="404"/>
      <c r="F32" s="404">
        <v>1</v>
      </c>
      <c r="G32" s="404"/>
      <c r="H32" s="404">
        <v>1</v>
      </c>
      <c r="I32" s="404"/>
      <c r="J32" s="404">
        <v>1</v>
      </c>
      <c r="K32" s="404"/>
      <c r="L32" s="404"/>
      <c r="M32" s="404"/>
      <c r="N32" s="404"/>
      <c r="O32" s="410"/>
      <c r="P32" s="411"/>
      <c r="Q32" s="403"/>
      <c r="R32" s="410"/>
      <c r="S32" s="407"/>
      <c r="T32" s="408"/>
    </row>
    <row r="33" spans="1:21" s="260" customFormat="1" x14ac:dyDescent="0.3">
      <c r="A33" s="275"/>
      <c r="B33" s="268" t="s">
        <v>8</v>
      </c>
      <c r="C33" s="268"/>
      <c r="D33" s="276" t="s">
        <v>250</v>
      </c>
      <c r="E33" s="276"/>
      <c r="F33" s="276" t="s">
        <v>251</v>
      </c>
      <c r="G33" s="276"/>
      <c r="H33" s="276" t="s">
        <v>252</v>
      </c>
      <c r="I33" s="276"/>
      <c r="J33" s="276" t="s">
        <v>253</v>
      </c>
      <c r="K33" s="276"/>
      <c r="L33" s="276"/>
      <c r="M33" s="276"/>
      <c r="N33" s="276"/>
      <c r="O33" s="290"/>
      <c r="P33" s="291"/>
      <c r="Q33" s="268"/>
      <c r="R33" s="268"/>
      <c r="S33" s="271"/>
      <c r="T33" s="259"/>
    </row>
    <row r="34" spans="1:21" s="260" customFormat="1" x14ac:dyDescent="0.3">
      <c r="A34" s="275"/>
      <c r="B34" s="268" t="s">
        <v>9</v>
      </c>
      <c r="C34" s="292"/>
      <c r="D34" s="291">
        <v>1.4307500000000001E-2</v>
      </c>
      <c r="E34" s="291"/>
      <c r="F34" s="291">
        <v>2.0307499999999999E-2</v>
      </c>
      <c r="G34" s="291"/>
      <c r="H34" s="291">
        <v>2.3807499999999999E-2</v>
      </c>
      <c r="I34" s="291"/>
      <c r="J34" s="291">
        <v>2.7307499999999998E-2</v>
      </c>
      <c r="K34" s="291"/>
      <c r="L34" s="291"/>
      <c r="M34" s="290"/>
      <c r="N34" s="291"/>
      <c r="O34" s="276"/>
      <c r="P34" s="276"/>
      <c r="Q34" s="268"/>
      <c r="R34" s="290">
        <f>SUMPRODUCT(D34:J34,D29:J29)/R29</f>
        <v>1.8277090431383997E-2</v>
      </c>
      <c r="S34" s="271"/>
      <c r="T34" s="259"/>
    </row>
    <row r="35" spans="1:21" s="260" customFormat="1" x14ac:dyDescent="0.3">
      <c r="A35" s="275"/>
      <c r="B35" s="268" t="s">
        <v>10</v>
      </c>
      <c r="C35" s="292"/>
      <c r="D35" s="291">
        <v>1.40591E-2</v>
      </c>
      <c r="E35" s="291"/>
      <c r="F35" s="291">
        <v>2.00591E-2</v>
      </c>
      <c r="G35" s="291"/>
      <c r="H35" s="291">
        <v>2.3559099999999999E-2</v>
      </c>
      <c r="I35" s="291"/>
      <c r="J35" s="291">
        <v>2.7059099999999999E-2</v>
      </c>
      <c r="K35" s="291"/>
      <c r="L35" s="291"/>
      <c r="M35" s="290"/>
      <c r="N35" s="291"/>
      <c r="O35" s="276"/>
      <c r="P35" s="276"/>
      <c r="Q35" s="268"/>
      <c r="R35" s="268"/>
      <c r="S35" s="271"/>
      <c r="T35" s="259"/>
    </row>
    <row r="36" spans="1:21" s="260" customFormat="1" x14ac:dyDescent="0.3">
      <c r="A36" s="275"/>
      <c r="B36" s="268" t="s">
        <v>155</v>
      </c>
      <c r="C36" s="268"/>
      <c r="D36" s="292">
        <v>43449</v>
      </c>
      <c r="E36" s="292"/>
      <c r="F36" s="292">
        <v>43449</v>
      </c>
      <c r="G36" s="292"/>
      <c r="H36" s="292">
        <v>43449</v>
      </c>
      <c r="I36" s="292"/>
      <c r="J36" s="292">
        <v>43449</v>
      </c>
      <c r="K36" s="292"/>
      <c r="L36" s="292"/>
      <c r="M36" s="292"/>
      <c r="N36" s="292"/>
      <c r="O36" s="276"/>
      <c r="P36" s="276"/>
      <c r="Q36" s="268"/>
      <c r="R36" s="268"/>
      <c r="S36" s="271"/>
      <c r="T36" s="259"/>
    </row>
    <row r="37" spans="1:21" s="260" customFormat="1" x14ac:dyDescent="0.3">
      <c r="A37" s="275"/>
      <c r="B37" s="268" t="s">
        <v>11</v>
      </c>
      <c r="C37" s="268"/>
      <c r="D37" s="292" t="s">
        <v>97</v>
      </c>
      <c r="E37" s="292"/>
      <c r="F37" s="292" t="s">
        <v>97</v>
      </c>
      <c r="G37" s="276"/>
      <c r="H37" s="292" t="s">
        <v>97</v>
      </c>
      <c r="I37" s="276"/>
      <c r="J37" s="292" t="s">
        <v>97</v>
      </c>
      <c r="K37" s="276"/>
      <c r="L37" s="292"/>
      <c r="M37" s="276"/>
      <c r="N37" s="292"/>
      <c r="O37" s="276"/>
      <c r="P37" s="276"/>
      <c r="Q37" s="268"/>
      <c r="R37" s="268"/>
      <c r="S37" s="271"/>
      <c r="T37" s="259"/>
    </row>
    <row r="38" spans="1:21" s="260" customFormat="1" x14ac:dyDescent="0.3">
      <c r="A38" s="275"/>
      <c r="B38" s="268" t="s">
        <v>98</v>
      </c>
      <c r="C38" s="268"/>
      <c r="D38" s="276" t="s">
        <v>97</v>
      </c>
      <c r="E38" s="276"/>
      <c r="F38" s="276" t="s">
        <v>97</v>
      </c>
      <c r="G38" s="276"/>
      <c r="H38" s="276" t="s">
        <v>97</v>
      </c>
      <c r="I38" s="276"/>
      <c r="J38" s="276" t="s">
        <v>97</v>
      </c>
      <c r="K38" s="276"/>
      <c r="L38" s="276"/>
      <c r="M38" s="276"/>
      <c r="N38" s="276"/>
      <c r="O38" s="293"/>
      <c r="P38" s="293"/>
      <c r="Q38" s="293"/>
      <c r="R38" s="293"/>
      <c r="S38" s="271"/>
      <c r="T38" s="259"/>
    </row>
    <row r="39" spans="1:21" s="260" customFormat="1" x14ac:dyDescent="0.3">
      <c r="A39" s="275"/>
      <c r="B39" s="268"/>
      <c r="C39" s="268"/>
      <c r="D39" s="276"/>
      <c r="E39" s="276"/>
      <c r="F39" s="276"/>
      <c r="G39" s="276"/>
      <c r="H39" s="276"/>
      <c r="I39" s="276"/>
      <c r="J39" s="276"/>
      <c r="K39" s="276"/>
      <c r="L39" s="276"/>
      <c r="M39" s="276"/>
      <c r="N39" s="276"/>
      <c r="O39" s="268"/>
      <c r="P39" s="268"/>
      <c r="Q39" s="268"/>
      <c r="R39" s="290" t="s">
        <v>130</v>
      </c>
      <c r="S39" s="271"/>
      <c r="T39" s="259"/>
    </row>
    <row r="40" spans="1:21" s="260" customFormat="1" x14ac:dyDescent="0.3">
      <c r="A40" s="275"/>
      <c r="B40" s="268" t="s">
        <v>202</v>
      </c>
      <c r="C40" s="268"/>
      <c r="D40" s="276"/>
      <c r="E40" s="276"/>
      <c r="F40" s="276"/>
      <c r="G40" s="276"/>
      <c r="H40" s="276"/>
      <c r="I40" s="276"/>
      <c r="J40" s="276"/>
      <c r="K40" s="276"/>
      <c r="L40" s="276"/>
      <c r="M40" s="276"/>
      <c r="N40" s="276"/>
      <c r="O40" s="268"/>
      <c r="P40" s="268"/>
      <c r="Q40" s="268"/>
      <c r="R40" s="290">
        <f>SUM(F28:J28)/D28</f>
        <v>0.14731528223955942</v>
      </c>
      <c r="S40" s="271"/>
      <c r="T40" s="259"/>
    </row>
    <row r="41" spans="1:21" s="260" customFormat="1" x14ac:dyDescent="0.3">
      <c r="A41" s="275"/>
      <c r="B41" s="268" t="s">
        <v>203</v>
      </c>
      <c r="C41" s="268"/>
      <c r="D41" s="268"/>
      <c r="E41" s="268"/>
      <c r="F41" s="268"/>
      <c r="G41" s="268"/>
      <c r="H41" s="268"/>
      <c r="I41" s="268"/>
      <c r="J41" s="268"/>
      <c r="K41" s="268"/>
      <c r="L41" s="268"/>
      <c r="M41" s="268"/>
      <c r="N41" s="268"/>
      <c r="O41" s="268"/>
      <c r="P41" s="268"/>
      <c r="Q41" s="268"/>
      <c r="R41" s="290">
        <f>SUM(F30:J30)/D30</f>
        <v>1.0934095120437692</v>
      </c>
      <c r="S41" s="271"/>
      <c r="T41" s="259"/>
    </row>
    <row r="42" spans="1:21" s="260" customFormat="1" x14ac:dyDescent="0.3">
      <c r="A42" s="275"/>
      <c r="B42" s="268" t="s">
        <v>204</v>
      </c>
      <c r="C42" s="268"/>
      <c r="D42" s="268"/>
      <c r="E42" s="268"/>
      <c r="F42" s="268"/>
      <c r="G42" s="268"/>
      <c r="H42" s="268"/>
      <c r="I42" s="268"/>
      <c r="J42" s="268"/>
      <c r="K42" s="268"/>
      <c r="L42" s="268"/>
      <c r="M42" s="268"/>
      <c r="N42" s="268"/>
      <c r="O42" s="268"/>
      <c r="P42" s="276"/>
      <c r="Q42" s="276"/>
      <c r="R42" s="278" t="s">
        <v>149</v>
      </c>
      <c r="S42" s="271"/>
      <c r="T42" s="259"/>
    </row>
    <row r="43" spans="1:21" s="260" customFormat="1" x14ac:dyDescent="0.3">
      <c r="A43" s="275"/>
      <c r="B43" s="268"/>
      <c r="C43" s="268"/>
      <c r="D43" s="268"/>
      <c r="E43" s="268"/>
      <c r="F43" s="268"/>
      <c r="G43" s="268"/>
      <c r="H43" s="268"/>
      <c r="I43" s="268"/>
      <c r="J43" s="268"/>
      <c r="K43" s="268"/>
      <c r="L43" s="268"/>
      <c r="M43" s="268"/>
      <c r="N43" s="268"/>
      <c r="O43" s="268"/>
      <c r="P43" s="268"/>
      <c r="Q43" s="268"/>
      <c r="R43" s="294"/>
      <c r="S43" s="271"/>
      <c r="T43" s="259"/>
    </row>
    <row r="44" spans="1:21" s="260" customFormat="1" x14ac:dyDescent="0.3">
      <c r="A44" s="275"/>
      <c r="B44" s="268" t="s">
        <v>205</v>
      </c>
      <c r="C44" s="268"/>
      <c r="D44" s="268"/>
      <c r="E44" s="268"/>
      <c r="F44" s="268"/>
      <c r="G44" s="268"/>
      <c r="H44" s="268"/>
      <c r="I44" s="268"/>
      <c r="J44" s="268"/>
      <c r="K44" s="268"/>
      <c r="L44" s="268"/>
      <c r="M44" s="268"/>
      <c r="N44" s="268"/>
      <c r="O44" s="268"/>
      <c r="P44" s="268"/>
      <c r="Q44" s="268"/>
      <c r="R44" s="295" t="s">
        <v>91</v>
      </c>
      <c r="S44" s="271"/>
      <c r="T44" s="259"/>
    </row>
    <row r="45" spans="1:21" s="260" customFormat="1" x14ac:dyDescent="0.3">
      <c r="A45" s="275"/>
      <c r="B45" s="272" t="s">
        <v>131</v>
      </c>
      <c r="C45" s="272"/>
      <c r="D45" s="272"/>
      <c r="E45" s="272"/>
      <c r="F45" s="272"/>
      <c r="G45" s="272"/>
      <c r="H45" s="272"/>
      <c r="I45" s="272"/>
      <c r="J45" s="272"/>
      <c r="K45" s="272"/>
      <c r="L45" s="272"/>
      <c r="M45" s="272"/>
      <c r="N45" s="272"/>
      <c r="O45" s="272"/>
      <c r="P45" s="296"/>
      <c r="Q45" s="296"/>
      <c r="R45" s="297">
        <v>43360</v>
      </c>
      <c r="S45" s="271"/>
      <c r="T45" s="259"/>
    </row>
    <row r="46" spans="1:21" s="260" customFormat="1" x14ac:dyDescent="0.3">
      <c r="A46" s="275"/>
      <c r="B46" s="268" t="s">
        <v>99</v>
      </c>
      <c r="C46" s="268"/>
      <c r="D46" s="298"/>
      <c r="E46" s="298"/>
      <c r="F46" s="298"/>
      <c r="G46" s="298"/>
      <c r="H46" s="298"/>
      <c r="I46" s="298"/>
      <c r="J46" s="298"/>
      <c r="K46" s="298"/>
      <c r="L46" s="298"/>
      <c r="M46" s="298"/>
      <c r="N46" s="268">
        <f>+R46-P46+1</f>
        <v>92</v>
      </c>
      <c r="O46" s="268"/>
      <c r="P46" s="299">
        <v>43174</v>
      </c>
      <c r="Q46" s="300"/>
      <c r="R46" s="299">
        <v>43265</v>
      </c>
      <c r="S46" s="271"/>
      <c r="T46" s="259"/>
    </row>
    <row r="47" spans="1:21" s="260" customFormat="1" x14ac:dyDescent="0.3">
      <c r="A47" s="275"/>
      <c r="B47" s="268" t="s">
        <v>100</v>
      </c>
      <c r="C47" s="268"/>
      <c r="D47" s="268"/>
      <c r="E47" s="268"/>
      <c r="F47" s="268"/>
      <c r="G47" s="268"/>
      <c r="H47" s="268"/>
      <c r="I47" s="268"/>
      <c r="J47" s="268"/>
      <c r="K47" s="268"/>
      <c r="L47" s="268"/>
      <c r="M47" s="268"/>
      <c r="N47" s="268">
        <f>+R47-P47+1</f>
        <v>94</v>
      </c>
      <c r="O47" s="268"/>
      <c r="P47" s="299">
        <v>43266</v>
      </c>
      <c r="Q47" s="300"/>
      <c r="R47" s="299">
        <v>43359</v>
      </c>
      <c r="S47" s="271"/>
      <c r="T47" s="259"/>
    </row>
    <row r="48" spans="1:21" s="260" customFormat="1" x14ac:dyDescent="0.3">
      <c r="A48" s="275"/>
      <c r="B48" s="268" t="s">
        <v>206</v>
      </c>
      <c r="C48" s="268"/>
      <c r="D48" s="268"/>
      <c r="E48" s="268"/>
      <c r="F48" s="268"/>
      <c r="G48" s="268"/>
      <c r="H48" s="268"/>
      <c r="I48" s="268"/>
      <c r="J48" s="268"/>
      <c r="K48" s="268"/>
      <c r="L48" s="268"/>
      <c r="M48" s="268"/>
      <c r="N48" s="268"/>
      <c r="O48" s="268"/>
      <c r="P48" s="299"/>
      <c r="Q48" s="300"/>
      <c r="R48" s="299" t="s">
        <v>118</v>
      </c>
      <c r="S48" s="271"/>
      <c r="T48" s="259"/>
      <c r="U48" s="301"/>
    </row>
    <row r="49" spans="1:20" s="260" customFormat="1" x14ac:dyDescent="0.3">
      <c r="A49" s="275"/>
      <c r="B49" s="268" t="s">
        <v>12</v>
      </c>
      <c r="C49" s="268"/>
      <c r="D49" s="268"/>
      <c r="E49" s="268"/>
      <c r="F49" s="268"/>
      <c r="G49" s="268"/>
      <c r="H49" s="268"/>
      <c r="I49" s="268"/>
      <c r="J49" s="268"/>
      <c r="K49" s="268"/>
      <c r="L49" s="268"/>
      <c r="M49" s="268"/>
      <c r="N49" s="268"/>
      <c r="O49" s="268"/>
      <c r="P49" s="299"/>
      <c r="Q49" s="300"/>
      <c r="R49" s="299">
        <v>43346</v>
      </c>
      <c r="S49" s="271"/>
      <c r="T49" s="259"/>
    </row>
    <row r="50" spans="1:20" s="260" customFormat="1" x14ac:dyDescent="0.3">
      <c r="A50" s="255"/>
      <c r="B50" s="302"/>
      <c r="C50" s="302"/>
      <c r="D50" s="302"/>
      <c r="E50" s="302"/>
      <c r="F50" s="302"/>
      <c r="G50" s="302"/>
      <c r="H50" s="302"/>
      <c r="I50" s="302"/>
      <c r="J50" s="302"/>
      <c r="K50" s="302"/>
      <c r="L50" s="302"/>
      <c r="M50" s="302"/>
      <c r="N50" s="302"/>
      <c r="O50" s="302"/>
      <c r="P50" s="303"/>
      <c r="Q50" s="304"/>
      <c r="R50" s="303"/>
      <c r="S50" s="258"/>
      <c r="T50" s="259"/>
    </row>
    <row r="51" spans="1:20" s="260" customFormat="1" x14ac:dyDescent="0.3">
      <c r="A51" s="255"/>
      <c r="B51" s="256"/>
      <c r="C51" s="256"/>
      <c r="D51" s="256"/>
      <c r="E51" s="256"/>
      <c r="F51" s="256"/>
      <c r="G51" s="256"/>
      <c r="H51" s="256"/>
      <c r="I51" s="256"/>
      <c r="J51" s="256"/>
      <c r="K51" s="256"/>
      <c r="L51" s="256"/>
      <c r="M51" s="256"/>
      <c r="N51" s="256"/>
      <c r="O51" s="256"/>
      <c r="P51" s="305"/>
      <c r="Q51" s="306"/>
      <c r="R51" s="305"/>
      <c r="S51" s="258"/>
      <c r="T51" s="259"/>
    </row>
    <row r="52" spans="1:20" s="260" customFormat="1" ht="18.600000000000001" thickBot="1" x14ac:dyDescent="0.4">
      <c r="A52" s="307"/>
      <c r="B52" s="308" t="s">
        <v>279</v>
      </c>
      <c r="C52" s="309"/>
      <c r="D52" s="309"/>
      <c r="E52" s="309"/>
      <c r="F52" s="309"/>
      <c r="G52" s="309"/>
      <c r="H52" s="309"/>
      <c r="I52" s="309"/>
      <c r="J52" s="309"/>
      <c r="K52" s="309"/>
      <c r="L52" s="309"/>
      <c r="M52" s="309"/>
      <c r="N52" s="309"/>
      <c r="O52" s="309"/>
      <c r="P52" s="309"/>
      <c r="Q52" s="309"/>
      <c r="R52" s="310"/>
      <c r="S52" s="311"/>
      <c r="T52" s="259"/>
    </row>
    <row r="53" spans="1:20" x14ac:dyDescent="0.3">
      <c r="A53" s="424"/>
      <c r="B53" s="431" t="s">
        <v>13</v>
      </c>
      <c r="C53" s="425"/>
      <c r="D53" s="425"/>
      <c r="E53" s="425"/>
      <c r="F53" s="425"/>
      <c r="G53" s="425"/>
      <c r="H53" s="425"/>
      <c r="I53" s="425"/>
      <c r="J53" s="425"/>
      <c r="K53" s="425"/>
      <c r="L53" s="425"/>
      <c r="M53" s="425"/>
      <c r="N53" s="425"/>
      <c r="O53" s="425"/>
      <c r="P53" s="425"/>
      <c r="Q53" s="425"/>
      <c r="R53" s="432"/>
      <c r="S53" s="425"/>
      <c r="T53" s="241"/>
    </row>
    <row r="54" spans="1:20" x14ac:dyDescent="0.3">
      <c r="A54" s="243"/>
      <c r="B54" s="253"/>
      <c r="C54" s="245"/>
      <c r="D54" s="245"/>
      <c r="E54" s="245"/>
      <c r="F54" s="245"/>
      <c r="G54" s="245"/>
      <c r="H54" s="245"/>
      <c r="I54" s="245"/>
      <c r="J54" s="245"/>
      <c r="K54" s="245"/>
      <c r="L54" s="245"/>
      <c r="M54" s="245"/>
      <c r="N54" s="245"/>
      <c r="O54" s="245"/>
      <c r="P54" s="245"/>
      <c r="Q54" s="245"/>
      <c r="R54" s="312"/>
      <c r="S54" s="246"/>
      <c r="T54" s="241"/>
    </row>
    <row r="55" spans="1:20" s="409" customFormat="1" ht="46.8" x14ac:dyDescent="0.3">
      <c r="A55" s="412"/>
      <c r="B55" s="413" t="s">
        <v>14</v>
      </c>
      <c r="C55" s="414"/>
      <c r="D55" s="414"/>
      <c r="E55" s="414"/>
      <c r="F55" s="414" t="s">
        <v>76</v>
      </c>
      <c r="G55" s="414"/>
      <c r="H55" s="414" t="s">
        <v>78</v>
      </c>
      <c r="I55" s="414"/>
      <c r="J55" s="414" t="s">
        <v>165</v>
      </c>
      <c r="K55" s="414"/>
      <c r="L55" s="414" t="s">
        <v>166</v>
      </c>
      <c r="M55" s="414"/>
      <c r="N55" s="414" t="s">
        <v>81</v>
      </c>
      <c r="O55" s="414"/>
      <c r="P55" s="414" t="s">
        <v>86</v>
      </c>
      <c r="Q55" s="414"/>
      <c r="R55" s="415" t="s">
        <v>92</v>
      </c>
      <c r="S55" s="416"/>
      <c r="T55" s="408"/>
    </row>
    <row r="56" spans="1:20" s="260" customFormat="1" x14ac:dyDescent="0.3">
      <c r="A56" s="275"/>
      <c r="B56" s="268" t="s">
        <v>15</v>
      </c>
      <c r="C56" s="313"/>
      <c r="D56" s="313"/>
      <c r="E56" s="313"/>
      <c r="F56" s="313">
        <v>224374</v>
      </c>
      <c r="G56" s="313"/>
      <c r="H56" s="314">
        <v>66770</v>
      </c>
      <c r="I56" s="313"/>
      <c r="J56" s="314">
        <v>46</v>
      </c>
      <c r="K56" s="313"/>
      <c r="L56" s="313">
        <v>4078</v>
      </c>
      <c r="M56" s="313"/>
      <c r="N56" s="313">
        <v>78</v>
      </c>
      <c r="O56" s="313"/>
      <c r="P56" s="313">
        <v>1266</v>
      </c>
      <c r="Q56" s="313"/>
      <c r="R56" s="314">
        <f>H56-J56-L56+N56-P56</f>
        <v>61458</v>
      </c>
      <c r="S56" s="271"/>
      <c r="T56" s="259"/>
    </row>
    <row r="57" spans="1:20" s="260" customFormat="1" x14ac:dyDescent="0.3">
      <c r="A57" s="275"/>
      <c r="B57" s="268" t="s">
        <v>16</v>
      </c>
      <c r="C57" s="313"/>
      <c r="D57" s="313"/>
      <c r="E57" s="313"/>
      <c r="F57" s="313">
        <v>0</v>
      </c>
      <c r="G57" s="313"/>
      <c r="H57" s="314">
        <v>0</v>
      </c>
      <c r="I57" s="313"/>
      <c r="J57" s="314">
        <v>0</v>
      </c>
      <c r="K57" s="313"/>
      <c r="L57" s="313">
        <v>0</v>
      </c>
      <c r="M57" s="313"/>
      <c r="N57" s="313">
        <v>0</v>
      </c>
      <c r="O57" s="313"/>
      <c r="P57" s="313">
        <v>0</v>
      </c>
      <c r="Q57" s="313"/>
      <c r="R57" s="314">
        <f>F57-J57-L57</f>
        <v>0</v>
      </c>
      <c r="S57" s="271"/>
      <c r="T57" s="259"/>
    </row>
    <row r="58" spans="1:20" s="260" customFormat="1" x14ac:dyDescent="0.3">
      <c r="A58" s="275"/>
      <c r="B58" s="268"/>
      <c r="C58" s="313"/>
      <c r="D58" s="313"/>
      <c r="E58" s="313"/>
      <c r="F58" s="313"/>
      <c r="G58" s="313"/>
      <c r="H58" s="314"/>
      <c r="I58" s="313"/>
      <c r="J58" s="314"/>
      <c r="K58" s="313"/>
      <c r="L58" s="313"/>
      <c r="M58" s="313"/>
      <c r="N58" s="313"/>
      <c r="O58" s="313"/>
      <c r="P58" s="313"/>
      <c r="Q58" s="313"/>
      <c r="R58" s="314"/>
      <c r="S58" s="271"/>
      <c r="T58" s="259"/>
    </row>
    <row r="59" spans="1:20" s="260" customFormat="1" x14ac:dyDescent="0.3">
      <c r="A59" s="275"/>
      <c r="B59" s="268" t="s">
        <v>17</v>
      </c>
      <c r="C59" s="313"/>
      <c r="D59" s="313"/>
      <c r="E59" s="313"/>
      <c r="F59" s="313">
        <f>SUM(F56:F58)</f>
        <v>224374</v>
      </c>
      <c r="G59" s="313"/>
      <c r="H59" s="313">
        <f>H56+H57</f>
        <v>66770</v>
      </c>
      <c r="I59" s="313"/>
      <c r="J59" s="313">
        <f>J56+J57</f>
        <v>46</v>
      </c>
      <c r="K59" s="313"/>
      <c r="L59" s="313">
        <f>SUM(L56:L58)</f>
        <v>4078</v>
      </c>
      <c r="M59" s="313"/>
      <c r="N59" s="313">
        <f>SUM(N56:N58)</f>
        <v>78</v>
      </c>
      <c r="O59" s="313"/>
      <c r="P59" s="313">
        <f>SUM(P56:P58)</f>
        <v>1266</v>
      </c>
      <c r="Q59" s="313"/>
      <c r="R59" s="313">
        <f>SUM(R56:R58)</f>
        <v>61458</v>
      </c>
      <c r="S59" s="271"/>
      <c r="T59" s="259"/>
    </row>
    <row r="60" spans="1:20" x14ac:dyDescent="0.3">
      <c r="A60" s="243"/>
      <c r="B60" s="315"/>
      <c r="C60" s="316"/>
      <c r="D60" s="316"/>
      <c r="E60" s="316"/>
      <c r="F60" s="316"/>
      <c r="G60" s="316"/>
      <c r="H60" s="316"/>
      <c r="I60" s="316"/>
      <c r="J60" s="316"/>
      <c r="K60" s="316"/>
      <c r="L60" s="316"/>
      <c r="M60" s="316"/>
      <c r="N60" s="316"/>
      <c r="O60" s="316"/>
      <c r="P60" s="316"/>
      <c r="Q60" s="316"/>
      <c r="R60" s="317"/>
      <c r="S60" s="246"/>
      <c r="T60" s="241"/>
    </row>
    <row r="61" spans="1:20" x14ac:dyDescent="0.3">
      <c r="A61" s="243"/>
      <c r="B61" s="248" t="s">
        <v>18</v>
      </c>
      <c r="C61" s="318"/>
      <c r="D61" s="318"/>
      <c r="E61" s="318"/>
      <c r="F61" s="318"/>
      <c r="G61" s="318"/>
      <c r="H61" s="318"/>
      <c r="I61" s="318"/>
      <c r="J61" s="318"/>
      <c r="K61" s="318"/>
      <c r="L61" s="318"/>
      <c r="M61" s="318"/>
      <c r="N61" s="318"/>
      <c r="O61" s="318"/>
      <c r="P61" s="318"/>
      <c r="Q61" s="318"/>
      <c r="R61" s="319"/>
      <c r="S61" s="246"/>
      <c r="T61" s="241"/>
    </row>
    <row r="62" spans="1:20" x14ac:dyDescent="0.3">
      <c r="A62" s="243"/>
      <c r="B62" s="245"/>
      <c r="C62" s="318"/>
      <c r="D62" s="318"/>
      <c r="E62" s="318"/>
      <c r="F62" s="318"/>
      <c r="G62" s="318"/>
      <c r="H62" s="318"/>
      <c r="I62" s="318"/>
      <c r="J62" s="318"/>
      <c r="K62" s="318"/>
      <c r="L62" s="318"/>
      <c r="M62" s="318"/>
      <c r="N62" s="318"/>
      <c r="O62" s="318"/>
      <c r="P62" s="318"/>
      <c r="Q62" s="318"/>
      <c r="R62" s="319"/>
      <c r="S62" s="246"/>
      <c r="T62" s="241"/>
    </row>
    <row r="63" spans="1:20" s="260" customFormat="1" x14ac:dyDescent="0.3">
      <c r="A63" s="275"/>
      <c r="B63" s="268" t="s">
        <v>15</v>
      </c>
      <c r="C63" s="313"/>
      <c r="D63" s="313"/>
      <c r="E63" s="313"/>
      <c r="F63" s="313"/>
      <c r="G63" s="313"/>
      <c r="H63" s="313"/>
      <c r="I63" s="313"/>
      <c r="J63" s="313"/>
      <c r="K63" s="313"/>
      <c r="L63" s="313"/>
      <c r="M63" s="313"/>
      <c r="N63" s="313"/>
      <c r="O63" s="313"/>
      <c r="P63" s="313"/>
      <c r="Q63" s="313"/>
      <c r="R63" s="313"/>
      <c r="S63" s="271"/>
      <c r="T63" s="259"/>
    </row>
    <row r="64" spans="1:20" s="260" customFormat="1" x14ac:dyDescent="0.3">
      <c r="A64" s="275"/>
      <c r="B64" s="268" t="s">
        <v>16</v>
      </c>
      <c r="C64" s="313"/>
      <c r="D64" s="313"/>
      <c r="E64" s="313"/>
      <c r="F64" s="313"/>
      <c r="G64" s="313"/>
      <c r="H64" s="313"/>
      <c r="I64" s="313"/>
      <c r="J64" s="313"/>
      <c r="K64" s="313"/>
      <c r="L64" s="313"/>
      <c r="M64" s="313"/>
      <c r="N64" s="313"/>
      <c r="O64" s="313"/>
      <c r="P64" s="313"/>
      <c r="Q64" s="313"/>
      <c r="R64" s="313"/>
      <c r="S64" s="271"/>
      <c r="T64" s="259"/>
    </row>
    <row r="65" spans="1:20" s="260" customFormat="1" x14ac:dyDescent="0.3">
      <c r="A65" s="275"/>
      <c r="B65" s="268"/>
      <c r="C65" s="313"/>
      <c r="D65" s="313"/>
      <c r="E65" s="313"/>
      <c r="F65" s="313"/>
      <c r="G65" s="313"/>
      <c r="H65" s="313"/>
      <c r="I65" s="313"/>
      <c r="J65" s="313"/>
      <c r="K65" s="313"/>
      <c r="L65" s="313"/>
      <c r="M65" s="313"/>
      <c r="N65" s="313"/>
      <c r="O65" s="313"/>
      <c r="P65" s="313"/>
      <c r="Q65" s="313"/>
      <c r="R65" s="313"/>
      <c r="S65" s="271"/>
      <c r="T65" s="259"/>
    </row>
    <row r="66" spans="1:20" s="260" customFormat="1" x14ac:dyDescent="0.3">
      <c r="A66" s="275"/>
      <c r="B66" s="268" t="s">
        <v>17</v>
      </c>
      <c r="C66" s="313"/>
      <c r="D66" s="313"/>
      <c r="E66" s="313"/>
      <c r="F66" s="313"/>
      <c r="G66" s="313"/>
      <c r="H66" s="313"/>
      <c r="I66" s="313"/>
      <c r="J66" s="313"/>
      <c r="K66" s="313"/>
      <c r="L66" s="313"/>
      <c r="M66" s="313"/>
      <c r="N66" s="313"/>
      <c r="O66" s="313"/>
      <c r="P66" s="313"/>
      <c r="Q66" s="313"/>
      <c r="R66" s="313"/>
      <c r="S66" s="271"/>
      <c r="T66" s="259"/>
    </row>
    <row r="67" spans="1:20" s="260" customFormat="1" x14ac:dyDescent="0.3">
      <c r="A67" s="275"/>
      <c r="B67" s="268"/>
      <c r="C67" s="313"/>
      <c r="D67" s="313"/>
      <c r="E67" s="313"/>
      <c r="F67" s="313"/>
      <c r="G67" s="313"/>
      <c r="H67" s="313"/>
      <c r="I67" s="313"/>
      <c r="J67" s="313"/>
      <c r="K67" s="313"/>
      <c r="L67" s="313"/>
      <c r="M67" s="313"/>
      <c r="N67" s="313"/>
      <c r="O67" s="313"/>
      <c r="P67" s="313"/>
      <c r="Q67" s="313"/>
      <c r="R67" s="313"/>
      <c r="S67" s="271"/>
      <c r="T67" s="259"/>
    </row>
    <row r="68" spans="1:20" s="260" customFormat="1" x14ac:dyDescent="0.3">
      <c r="A68" s="275"/>
      <c r="B68" s="268" t="s">
        <v>19</v>
      </c>
      <c r="C68" s="313"/>
      <c r="D68" s="313"/>
      <c r="E68" s="313"/>
      <c r="F68" s="313">
        <v>0</v>
      </c>
      <c r="G68" s="313"/>
      <c r="H68" s="313">
        <v>0</v>
      </c>
      <c r="I68" s="313"/>
      <c r="J68" s="313"/>
      <c r="K68" s="313"/>
      <c r="L68" s="313"/>
      <c r="M68" s="313"/>
      <c r="N68" s="313"/>
      <c r="O68" s="313"/>
      <c r="P68" s="313"/>
      <c r="Q68" s="313"/>
      <c r="R68" s="314">
        <v>0</v>
      </c>
      <c r="S68" s="271"/>
      <c r="T68" s="259"/>
    </row>
    <row r="69" spans="1:20" s="260" customFormat="1" x14ac:dyDescent="0.3">
      <c r="A69" s="275"/>
      <c r="B69" s="268" t="s">
        <v>215</v>
      </c>
      <c r="C69" s="313"/>
      <c r="D69" s="313"/>
      <c r="E69" s="313"/>
      <c r="F69" s="313">
        <v>23451</v>
      </c>
      <c r="G69" s="313"/>
      <c r="H69" s="313">
        <v>0</v>
      </c>
      <c r="I69" s="313"/>
      <c r="J69" s="313">
        <v>0</v>
      </c>
      <c r="K69" s="313"/>
      <c r="L69" s="313">
        <v>0</v>
      </c>
      <c r="M69" s="313"/>
      <c r="N69" s="313"/>
      <c r="O69" s="313"/>
      <c r="P69" s="313"/>
      <c r="Q69" s="313"/>
      <c r="R69" s="313">
        <v>0</v>
      </c>
      <c r="S69" s="271"/>
      <c r="T69" s="259"/>
    </row>
    <row r="70" spans="1:20" s="260" customFormat="1" x14ac:dyDescent="0.3">
      <c r="A70" s="275"/>
      <c r="B70" s="268" t="s">
        <v>235</v>
      </c>
      <c r="C70" s="313"/>
      <c r="D70" s="313"/>
      <c r="E70" s="313"/>
      <c r="F70" s="313">
        <v>2175</v>
      </c>
      <c r="G70" s="313"/>
      <c r="H70" s="313">
        <v>0</v>
      </c>
      <c r="I70" s="313"/>
      <c r="J70" s="313"/>
      <c r="K70" s="313"/>
      <c r="L70" s="313"/>
      <c r="M70" s="313"/>
      <c r="N70" s="313">
        <v>0</v>
      </c>
      <c r="O70" s="313"/>
      <c r="P70" s="313"/>
      <c r="Q70" s="313"/>
      <c r="R70" s="313">
        <f>+H70+N70</f>
        <v>0</v>
      </c>
      <c r="S70" s="271"/>
      <c r="T70" s="259"/>
    </row>
    <row r="71" spans="1:20" s="260" customFormat="1" x14ac:dyDescent="0.3">
      <c r="A71" s="275"/>
      <c r="B71" s="268" t="s">
        <v>20</v>
      </c>
      <c r="C71" s="313"/>
      <c r="D71" s="313"/>
      <c r="E71" s="313"/>
      <c r="F71" s="313">
        <v>0</v>
      </c>
      <c r="G71" s="313"/>
      <c r="H71" s="313">
        <v>0</v>
      </c>
      <c r="I71" s="313"/>
      <c r="J71" s="313"/>
      <c r="K71" s="313"/>
      <c r="L71" s="313"/>
      <c r="M71" s="313"/>
      <c r="N71" s="313"/>
      <c r="O71" s="313"/>
      <c r="P71" s="313"/>
      <c r="Q71" s="313"/>
      <c r="R71" s="313">
        <v>0</v>
      </c>
      <c r="S71" s="271"/>
      <c r="T71" s="259"/>
    </row>
    <row r="72" spans="1:20" s="260" customFormat="1" x14ac:dyDescent="0.3">
      <c r="A72" s="275"/>
      <c r="B72" s="268" t="s">
        <v>21</v>
      </c>
      <c r="C72" s="313"/>
      <c r="D72" s="313"/>
      <c r="E72" s="313"/>
      <c r="F72" s="313">
        <f>SUM(F59:F71)</f>
        <v>250000</v>
      </c>
      <c r="G72" s="313"/>
      <c r="H72" s="313">
        <f>SUM(H59:H71)</f>
        <v>66770</v>
      </c>
      <c r="I72" s="313"/>
      <c r="J72" s="313"/>
      <c r="K72" s="313"/>
      <c r="L72" s="313"/>
      <c r="M72" s="313"/>
      <c r="N72" s="313"/>
      <c r="O72" s="313"/>
      <c r="P72" s="313"/>
      <c r="Q72" s="313"/>
      <c r="R72" s="313">
        <f>SUM(R59:R71)</f>
        <v>61458</v>
      </c>
      <c r="S72" s="271"/>
      <c r="T72" s="259"/>
    </row>
    <row r="73" spans="1:20" x14ac:dyDescent="0.3">
      <c r="A73" s="243"/>
      <c r="B73" s="315"/>
      <c r="C73" s="316"/>
      <c r="D73" s="316"/>
      <c r="E73" s="316"/>
      <c r="F73" s="316"/>
      <c r="G73" s="316"/>
      <c r="H73" s="316"/>
      <c r="I73" s="316"/>
      <c r="J73" s="316"/>
      <c r="K73" s="316"/>
      <c r="L73" s="316"/>
      <c r="M73" s="316"/>
      <c r="N73" s="316"/>
      <c r="O73" s="316"/>
      <c r="P73" s="316"/>
      <c r="Q73" s="316"/>
      <c r="R73" s="317"/>
      <c r="S73" s="246"/>
      <c r="T73" s="241"/>
    </row>
    <row r="74" spans="1:20" x14ac:dyDescent="0.3">
      <c r="A74" s="243"/>
      <c r="B74" s="245"/>
      <c r="C74" s="245"/>
      <c r="D74" s="245"/>
      <c r="E74" s="245"/>
      <c r="F74" s="245"/>
      <c r="G74" s="245"/>
      <c r="H74" s="245"/>
      <c r="I74" s="245"/>
      <c r="J74" s="245"/>
      <c r="K74" s="245"/>
      <c r="L74" s="245"/>
      <c r="M74" s="245"/>
      <c r="N74" s="245"/>
      <c r="O74" s="245"/>
      <c r="P74" s="245"/>
      <c r="Q74" s="245"/>
      <c r="R74" s="245"/>
      <c r="S74" s="246"/>
      <c r="T74" s="241"/>
    </row>
    <row r="75" spans="1:20" x14ac:dyDescent="0.3">
      <c r="A75" s="424"/>
      <c r="B75" s="434" t="s">
        <v>22</v>
      </c>
      <c r="C75" s="434"/>
      <c r="D75" s="435"/>
      <c r="E75" s="435"/>
      <c r="F75" s="435"/>
      <c r="G75" s="435"/>
      <c r="H75" s="436" t="s">
        <v>77</v>
      </c>
      <c r="I75" s="435"/>
      <c r="J75" s="437">
        <f>+P197</f>
        <v>43343</v>
      </c>
      <c r="K75" s="435"/>
      <c r="L75" s="435"/>
      <c r="M75" s="435"/>
      <c r="N75" s="435"/>
      <c r="O75" s="435"/>
      <c r="P75" s="435" t="s">
        <v>87</v>
      </c>
      <c r="Q75" s="435"/>
      <c r="R75" s="435" t="s">
        <v>93</v>
      </c>
      <c r="S75" s="426"/>
      <c r="T75" s="241"/>
    </row>
    <row r="76" spans="1:20" s="260" customFormat="1" x14ac:dyDescent="0.3">
      <c r="A76" s="255"/>
      <c r="B76" s="302" t="s">
        <v>23</v>
      </c>
      <c r="C76" s="302"/>
      <c r="D76" s="302"/>
      <c r="E76" s="302"/>
      <c r="F76" s="302"/>
      <c r="G76" s="302"/>
      <c r="H76" s="302"/>
      <c r="I76" s="302"/>
      <c r="J76" s="302"/>
      <c r="K76" s="302"/>
      <c r="L76" s="302"/>
      <c r="M76" s="302"/>
      <c r="N76" s="302"/>
      <c r="O76" s="302"/>
      <c r="P76" s="327">
        <v>0</v>
      </c>
      <c r="Q76" s="302"/>
      <c r="R76" s="433">
        <v>0</v>
      </c>
      <c r="S76" s="258"/>
      <c r="T76" s="259"/>
    </row>
    <row r="77" spans="1:20" s="260" customFormat="1" x14ac:dyDescent="0.3">
      <c r="A77" s="275"/>
      <c r="B77" s="268" t="s">
        <v>248</v>
      </c>
      <c r="C77" s="268"/>
      <c r="D77" s="293"/>
      <c r="E77" s="293"/>
      <c r="F77" s="293"/>
      <c r="G77" s="320"/>
      <c r="H77" s="293"/>
      <c r="I77" s="268"/>
      <c r="J77" s="321"/>
      <c r="K77" s="268"/>
      <c r="L77" s="268"/>
      <c r="M77" s="268"/>
      <c r="N77" s="268"/>
      <c r="O77" s="268"/>
      <c r="P77" s="313">
        <f>-N70</f>
        <v>0</v>
      </c>
      <c r="Q77" s="268"/>
      <c r="R77" s="314"/>
      <c r="S77" s="271"/>
      <c r="T77" s="259"/>
    </row>
    <row r="78" spans="1:20" s="260" customFormat="1" x14ac:dyDescent="0.3">
      <c r="A78" s="275"/>
      <c r="B78" s="268" t="s">
        <v>249</v>
      </c>
      <c r="C78" s="268"/>
      <c r="D78" s="293"/>
      <c r="E78" s="293"/>
      <c r="F78" s="293"/>
      <c r="G78" s="320"/>
      <c r="H78" s="293"/>
      <c r="I78" s="268"/>
      <c r="J78" s="321"/>
      <c r="K78" s="268"/>
      <c r="L78" s="268"/>
      <c r="M78" s="268"/>
      <c r="N78" s="268"/>
      <c r="O78" s="268"/>
      <c r="P78" s="313">
        <v>0</v>
      </c>
      <c r="Q78" s="268"/>
      <c r="R78" s="314"/>
      <c r="S78" s="271"/>
      <c r="T78" s="259"/>
    </row>
    <row r="79" spans="1:20" s="260" customFormat="1" x14ac:dyDescent="0.3">
      <c r="A79" s="275"/>
      <c r="B79" s="268" t="s">
        <v>24</v>
      </c>
      <c r="C79" s="268"/>
      <c r="D79" s="293"/>
      <c r="E79" s="293"/>
      <c r="F79" s="293"/>
      <c r="G79" s="320"/>
      <c r="H79" s="293"/>
      <c r="I79" s="268"/>
      <c r="J79" s="321"/>
      <c r="K79" s="268"/>
      <c r="L79" s="268"/>
      <c r="M79" s="268"/>
      <c r="N79" s="268"/>
      <c r="O79" s="268"/>
      <c r="P79" s="313">
        <f>+J56+L56+P56</f>
        <v>5390</v>
      </c>
      <c r="Q79" s="268"/>
      <c r="R79" s="314"/>
      <c r="S79" s="271"/>
      <c r="T79" s="259"/>
    </row>
    <row r="80" spans="1:20" s="260" customFormat="1" x14ac:dyDescent="0.3">
      <c r="A80" s="275"/>
      <c r="B80" s="268" t="s">
        <v>135</v>
      </c>
      <c r="C80" s="268"/>
      <c r="D80" s="293"/>
      <c r="E80" s="293"/>
      <c r="F80" s="293"/>
      <c r="G80" s="320"/>
      <c r="H80" s="293"/>
      <c r="I80" s="268"/>
      <c r="J80" s="321"/>
      <c r="K80" s="268"/>
      <c r="L80" s="268"/>
      <c r="M80" s="268"/>
      <c r="N80" s="268"/>
      <c r="O80" s="268"/>
      <c r="P80" s="313"/>
      <c r="Q80" s="268"/>
      <c r="R80" s="314">
        <f>1008-234</f>
        <v>774</v>
      </c>
      <c r="S80" s="271"/>
      <c r="T80" s="259"/>
    </row>
    <row r="81" spans="1:20" s="260" customFormat="1" x14ac:dyDescent="0.3">
      <c r="A81" s="275"/>
      <c r="B81" s="268" t="s">
        <v>133</v>
      </c>
      <c r="C81" s="268"/>
      <c r="D81" s="293"/>
      <c r="E81" s="293"/>
      <c r="F81" s="293"/>
      <c r="G81" s="320"/>
      <c r="H81" s="293"/>
      <c r="I81" s="268"/>
      <c r="J81" s="321"/>
      <c r="K81" s="268"/>
      <c r="L81" s="268"/>
      <c r="M81" s="268"/>
      <c r="N81" s="268"/>
      <c r="O81" s="268"/>
      <c r="P81" s="313"/>
      <c r="Q81" s="268"/>
      <c r="R81" s="314">
        <v>37</v>
      </c>
      <c r="S81" s="271"/>
      <c r="T81" s="259"/>
    </row>
    <row r="82" spans="1:20" s="260" customFormat="1" x14ac:dyDescent="0.3">
      <c r="A82" s="275"/>
      <c r="B82" s="268" t="s">
        <v>134</v>
      </c>
      <c r="C82" s="268"/>
      <c r="D82" s="293"/>
      <c r="E82" s="293"/>
      <c r="F82" s="293"/>
      <c r="G82" s="320"/>
      <c r="H82" s="293"/>
      <c r="I82" s="268"/>
      <c r="J82" s="321"/>
      <c r="K82" s="268"/>
      <c r="L82" s="268"/>
      <c r="M82" s="268"/>
      <c r="N82" s="268"/>
      <c r="O82" s="268"/>
      <c r="P82" s="313"/>
      <c r="Q82" s="268"/>
      <c r="R82" s="314">
        <v>14</v>
      </c>
      <c r="S82" s="271"/>
      <c r="T82" s="259"/>
    </row>
    <row r="83" spans="1:20" s="260" customFormat="1" x14ac:dyDescent="0.3">
      <c r="A83" s="275"/>
      <c r="B83" s="268" t="s">
        <v>143</v>
      </c>
      <c r="C83" s="268"/>
      <c r="D83" s="293"/>
      <c r="E83" s="293"/>
      <c r="F83" s="293"/>
      <c r="G83" s="320"/>
      <c r="H83" s="293"/>
      <c r="I83" s="268"/>
      <c r="J83" s="321"/>
      <c r="K83" s="268"/>
      <c r="L83" s="268"/>
      <c r="M83" s="268"/>
      <c r="N83" s="268"/>
      <c r="O83" s="268"/>
      <c r="P83" s="313"/>
      <c r="Q83" s="268"/>
      <c r="R83" s="314">
        <v>0</v>
      </c>
      <c r="S83" s="271"/>
      <c r="T83" s="259"/>
    </row>
    <row r="84" spans="1:20" s="260" customFormat="1" x14ac:dyDescent="0.3">
      <c r="A84" s="275"/>
      <c r="B84" s="268" t="s">
        <v>145</v>
      </c>
      <c r="C84" s="268"/>
      <c r="D84" s="293"/>
      <c r="E84" s="293"/>
      <c r="F84" s="293"/>
      <c r="G84" s="320"/>
      <c r="H84" s="293"/>
      <c r="I84" s="268"/>
      <c r="J84" s="321"/>
      <c r="K84" s="268"/>
      <c r="L84" s="268"/>
      <c r="M84" s="268"/>
      <c r="N84" s="268"/>
      <c r="O84" s="268"/>
      <c r="P84" s="313"/>
      <c r="Q84" s="268"/>
      <c r="R84" s="314">
        <v>101</v>
      </c>
      <c r="S84" s="271"/>
      <c r="T84" s="259"/>
    </row>
    <row r="85" spans="1:20" s="260" customFormat="1" x14ac:dyDescent="0.3">
      <c r="A85" s="275"/>
      <c r="B85" s="268" t="s">
        <v>167</v>
      </c>
      <c r="C85" s="268"/>
      <c r="D85" s="293"/>
      <c r="E85" s="293"/>
      <c r="F85" s="293"/>
      <c r="G85" s="320"/>
      <c r="H85" s="293"/>
      <c r="I85" s="268"/>
      <c r="J85" s="321"/>
      <c r="K85" s="268"/>
      <c r="L85" s="268"/>
      <c r="M85" s="268"/>
      <c r="N85" s="268"/>
      <c r="O85" s="268"/>
      <c r="P85" s="313"/>
      <c r="Q85" s="268"/>
      <c r="R85" s="314">
        <v>0</v>
      </c>
      <c r="S85" s="271"/>
      <c r="T85" s="259"/>
    </row>
    <row r="86" spans="1:20" s="260" customFormat="1" x14ac:dyDescent="0.3">
      <c r="A86" s="275"/>
      <c r="B86" s="268" t="s">
        <v>168</v>
      </c>
      <c r="C86" s="268"/>
      <c r="D86" s="293"/>
      <c r="E86" s="293"/>
      <c r="F86" s="293"/>
      <c r="G86" s="320"/>
      <c r="H86" s="293"/>
      <c r="I86" s="268"/>
      <c r="J86" s="321"/>
      <c r="K86" s="268"/>
      <c r="L86" s="268"/>
      <c r="M86" s="268"/>
      <c r="N86" s="268"/>
      <c r="O86" s="268"/>
      <c r="P86" s="313"/>
      <c r="Q86" s="268"/>
      <c r="R86" s="314">
        <v>0</v>
      </c>
      <c r="S86" s="271"/>
      <c r="T86" s="259"/>
    </row>
    <row r="87" spans="1:20" s="260" customFormat="1" x14ac:dyDescent="0.3">
      <c r="A87" s="275"/>
      <c r="B87" s="268" t="s">
        <v>169</v>
      </c>
      <c r="C87" s="268"/>
      <c r="D87" s="268"/>
      <c r="E87" s="268"/>
      <c r="F87" s="268"/>
      <c r="G87" s="268"/>
      <c r="H87" s="268"/>
      <c r="I87" s="268"/>
      <c r="J87" s="268"/>
      <c r="K87" s="268"/>
      <c r="L87" s="268"/>
      <c r="M87" s="268"/>
      <c r="N87" s="268"/>
      <c r="O87" s="268"/>
      <c r="P87" s="313"/>
      <c r="Q87" s="268"/>
      <c r="R87" s="314">
        <v>0</v>
      </c>
      <c r="S87" s="271"/>
      <c r="T87" s="259"/>
    </row>
    <row r="88" spans="1:20" s="260" customFormat="1" x14ac:dyDescent="0.3">
      <c r="A88" s="275"/>
      <c r="B88" s="268" t="s">
        <v>227</v>
      </c>
      <c r="C88" s="268"/>
      <c r="D88" s="268"/>
      <c r="E88" s="268"/>
      <c r="F88" s="268"/>
      <c r="G88" s="268"/>
      <c r="H88" s="268"/>
      <c r="I88" s="268"/>
      <c r="J88" s="268"/>
      <c r="K88" s="268"/>
      <c r="L88" s="268"/>
      <c r="M88" s="268"/>
      <c r="N88" s="268"/>
      <c r="O88" s="268"/>
      <c r="P88" s="313"/>
      <c r="Q88" s="268"/>
      <c r="R88" s="314">
        <v>0</v>
      </c>
      <c r="S88" s="271"/>
      <c r="T88" s="259"/>
    </row>
    <row r="89" spans="1:20" s="260" customFormat="1" x14ac:dyDescent="0.3">
      <c r="A89" s="275"/>
      <c r="B89" s="268" t="s">
        <v>25</v>
      </c>
      <c r="C89" s="268"/>
      <c r="D89" s="268"/>
      <c r="E89" s="268"/>
      <c r="F89" s="268"/>
      <c r="G89" s="268"/>
      <c r="H89" s="268"/>
      <c r="I89" s="268"/>
      <c r="J89" s="268"/>
      <c r="K89" s="268"/>
      <c r="L89" s="268"/>
      <c r="M89" s="268"/>
      <c r="N89" s="268"/>
      <c r="O89" s="268"/>
      <c r="P89" s="313">
        <f>SUM(P76:P88)</f>
        <v>5390</v>
      </c>
      <c r="Q89" s="268"/>
      <c r="R89" s="313">
        <f>SUM(R76:R88)</f>
        <v>926</v>
      </c>
      <c r="S89" s="271"/>
      <c r="T89" s="259"/>
    </row>
    <row r="90" spans="1:20" s="260" customFormat="1" x14ac:dyDescent="0.3">
      <c r="A90" s="275"/>
      <c r="B90" s="268" t="s">
        <v>26</v>
      </c>
      <c r="C90" s="268"/>
      <c r="D90" s="268"/>
      <c r="E90" s="268"/>
      <c r="F90" s="268"/>
      <c r="G90" s="268"/>
      <c r="H90" s="268"/>
      <c r="I90" s="268"/>
      <c r="J90" s="268"/>
      <c r="K90" s="268"/>
      <c r="L90" s="268"/>
      <c r="M90" s="268"/>
      <c r="N90" s="268"/>
      <c r="O90" s="268"/>
      <c r="P90" s="313">
        <f>-R90</f>
        <v>0</v>
      </c>
      <c r="Q90" s="268"/>
      <c r="R90" s="314">
        <v>0</v>
      </c>
      <c r="S90" s="271"/>
      <c r="T90" s="259"/>
    </row>
    <row r="91" spans="1:20" s="260" customFormat="1" x14ac:dyDescent="0.3">
      <c r="A91" s="275"/>
      <c r="B91" s="268" t="s">
        <v>150</v>
      </c>
      <c r="C91" s="268"/>
      <c r="D91" s="268"/>
      <c r="E91" s="268"/>
      <c r="F91" s="268"/>
      <c r="G91" s="268"/>
      <c r="H91" s="268"/>
      <c r="I91" s="268"/>
      <c r="J91" s="268"/>
      <c r="K91" s="268"/>
      <c r="L91" s="268"/>
      <c r="M91" s="268"/>
      <c r="N91" s="268"/>
      <c r="O91" s="268"/>
      <c r="P91" s="313"/>
      <c r="Q91" s="268"/>
      <c r="R91" s="314">
        <v>0</v>
      </c>
      <c r="S91" s="271"/>
      <c r="T91" s="259"/>
    </row>
    <row r="92" spans="1:20" s="260" customFormat="1" x14ac:dyDescent="0.3">
      <c r="A92" s="275"/>
      <c r="B92" s="268" t="s">
        <v>27</v>
      </c>
      <c r="C92" s="268"/>
      <c r="D92" s="268"/>
      <c r="E92" s="268"/>
      <c r="F92" s="268"/>
      <c r="G92" s="268"/>
      <c r="H92" s="268"/>
      <c r="I92" s="268"/>
      <c r="J92" s="268"/>
      <c r="K92" s="268"/>
      <c r="L92" s="268"/>
      <c r="M92" s="268"/>
      <c r="N92" s="268"/>
      <c r="O92" s="268"/>
      <c r="P92" s="313">
        <f>P89+P90</f>
        <v>5390</v>
      </c>
      <c r="Q92" s="268"/>
      <c r="R92" s="313">
        <f>R89+R90+R91</f>
        <v>926</v>
      </c>
      <c r="S92" s="271"/>
      <c r="T92" s="259"/>
    </row>
    <row r="93" spans="1:20" x14ac:dyDescent="0.3">
      <c r="A93" s="287"/>
      <c r="B93" s="417" t="s">
        <v>28</v>
      </c>
      <c r="C93" s="288"/>
      <c r="D93" s="288"/>
      <c r="E93" s="288"/>
      <c r="F93" s="288"/>
      <c r="G93" s="288"/>
      <c r="H93" s="288"/>
      <c r="I93" s="288"/>
      <c r="J93" s="288"/>
      <c r="K93" s="288"/>
      <c r="L93" s="288"/>
      <c r="M93" s="288"/>
      <c r="N93" s="288"/>
      <c r="O93" s="288"/>
      <c r="P93" s="322"/>
      <c r="Q93" s="323"/>
      <c r="R93" s="324"/>
      <c r="S93" s="289"/>
      <c r="T93" s="241"/>
    </row>
    <row r="94" spans="1:20" s="260" customFormat="1" x14ac:dyDescent="0.3">
      <c r="A94" s="275">
        <v>1</v>
      </c>
      <c r="B94" s="268" t="s">
        <v>180</v>
      </c>
      <c r="C94" s="268"/>
      <c r="D94" s="268"/>
      <c r="E94" s="268"/>
      <c r="F94" s="268"/>
      <c r="G94" s="268"/>
      <c r="H94" s="268"/>
      <c r="I94" s="268"/>
      <c r="J94" s="268"/>
      <c r="K94" s="268"/>
      <c r="L94" s="268"/>
      <c r="M94" s="268"/>
      <c r="N94" s="268"/>
      <c r="O94" s="268"/>
      <c r="P94" s="313"/>
      <c r="Q94" s="268"/>
      <c r="R94" s="314">
        <v>0</v>
      </c>
      <c r="S94" s="271"/>
      <c r="T94" s="259"/>
    </row>
    <row r="95" spans="1:20" s="260" customFormat="1" x14ac:dyDescent="0.3">
      <c r="A95" s="275">
        <v>2</v>
      </c>
      <c r="B95" s="268" t="s">
        <v>214</v>
      </c>
      <c r="C95" s="268"/>
      <c r="D95" s="268"/>
      <c r="E95" s="268"/>
      <c r="F95" s="268"/>
      <c r="G95" s="268"/>
      <c r="H95" s="268"/>
      <c r="I95" s="268"/>
      <c r="J95" s="268"/>
      <c r="K95" s="268"/>
      <c r="L95" s="268"/>
      <c r="M95" s="268"/>
      <c r="N95" s="268"/>
      <c r="O95" s="268"/>
      <c r="P95" s="268"/>
      <c r="Q95" s="268"/>
      <c r="R95" s="314">
        <v>-3</v>
      </c>
      <c r="S95" s="271"/>
      <c r="T95" s="259"/>
    </row>
    <row r="96" spans="1:20" s="260" customFormat="1" x14ac:dyDescent="0.3">
      <c r="A96" s="275">
        <v>3</v>
      </c>
      <c r="B96" s="268" t="s">
        <v>267</v>
      </c>
      <c r="C96" s="268"/>
      <c r="D96" s="268"/>
      <c r="E96" s="268"/>
      <c r="F96" s="268"/>
      <c r="G96" s="268"/>
      <c r="H96" s="268"/>
      <c r="I96" s="268"/>
      <c r="J96" s="268"/>
      <c r="K96" s="268"/>
      <c r="L96" s="268"/>
      <c r="M96" s="268"/>
      <c r="N96" s="268"/>
      <c r="O96" s="268"/>
      <c r="P96" s="268"/>
      <c r="Q96" s="268"/>
      <c r="R96" s="314">
        <f>-26-2-3</f>
        <v>-31</v>
      </c>
      <c r="S96" s="271"/>
      <c r="T96" s="259"/>
    </row>
    <row r="97" spans="1:21" s="260" customFormat="1" x14ac:dyDescent="0.3">
      <c r="A97" s="275">
        <v>4</v>
      </c>
      <c r="B97" s="268" t="s">
        <v>96</v>
      </c>
      <c r="C97" s="268"/>
      <c r="D97" s="268"/>
      <c r="E97" s="268"/>
      <c r="F97" s="268"/>
      <c r="G97" s="268"/>
      <c r="H97" s="268"/>
      <c r="I97" s="268"/>
      <c r="J97" s="268"/>
      <c r="K97" s="268"/>
      <c r="L97" s="268"/>
      <c r="M97" s="268"/>
      <c r="N97" s="268"/>
      <c r="O97" s="268"/>
      <c r="P97" s="268"/>
      <c r="Q97" s="268"/>
      <c r="R97" s="314">
        <v>-21</v>
      </c>
      <c r="S97" s="271"/>
      <c r="T97" s="259"/>
    </row>
    <row r="98" spans="1:21" s="260" customFormat="1" x14ac:dyDescent="0.3">
      <c r="A98" s="275">
        <v>5</v>
      </c>
      <c r="B98" s="268" t="s">
        <v>157</v>
      </c>
      <c r="C98" s="268"/>
      <c r="D98" s="268"/>
      <c r="E98" s="268"/>
      <c r="F98" s="268"/>
      <c r="G98" s="268"/>
      <c r="H98" s="268"/>
      <c r="I98" s="268"/>
      <c r="J98" s="268"/>
      <c r="K98" s="268"/>
      <c r="L98" s="268"/>
      <c r="M98" s="268"/>
      <c r="N98" s="268"/>
      <c r="O98" s="268"/>
      <c r="P98" s="268"/>
      <c r="Q98" s="268"/>
      <c r="R98" s="314">
        <v>-128</v>
      </c>
      <c r="S98" s="271"/>
      <c r="T98" s="259"/>
      <c r="U98" s="325"/>
    </row>
    <row r="99" spans="1:21" s="260" customFormat="1" x14ac:dyDescent="0.3">
      <c r="A99" s="275">
        <v>6</v>
      </c>
      <c r="B99" s="268" t="s">
        <v>207</v>
      </c>
      <c r="C99" s="268"/>
      <c r="D99" s="268"/>
      <c r="E99" s="268"/>
      <c r="F99" s="268"/>
      <c r="G99" s="268"/>
      <c r="H99" s="268"/>
      <c r="I99" s="268"/>
      <c r="J99" s="268"/>
      <c r="K99" s="268"/>
      <c r="L99" s="268"/>
      <c r="M99" s="268"/>
      <c r="N99" s="268"/>
      <c r="O99" s="268"/>
      <c r="P99" s="268"/>
      <c r="Q99" s="268"/>
      <c r="R99" s="314">
        <v>-93</v>
      </c>
      <c r="S99" s="271"/>
      <c r="T99" s="259"/>
      <c r="U99" s="325"/>
    </row>
    <row r="100" spans="1:21" s="260" customFormat="1" x14ac:dyDescent="0.3">
      <c r="A100" s="275">
        <v>7</v>
      </c>
      <c r="B100" s="268" t="s">
        <v>208</v>
      </c>
      <c r="C100" s="268"/>
      <c r="D100" s="268"/>
      <c r="E100" s="268"/>
      <c r="F100" s="268"/>
      <c r="G100" s="268"/>
      <c r="H100" s="268"/>
      <c r="I100" s="268"/>
      <c r="J100" s="268"/>
      <c r="K100" s="268"/>
      <c r="L100" s="268"/>
      <c r="M100" s="268"/>
      <c r="N100" s="268"/>
      <c r="O100" s="268"/>
      <c r="P100" s="268"/>
      <c r="Q100" s="268"/>
      <c r="R100" s="314">
        <v>-50</v>
      </c>
      <c r="S100" s="271"/>
      <c r="T100" s="259"/>
      <c r="U100" s="325"/>
    </row>
    <row r="101" spans="1:21" s="260" customFormat="1" x14ac:dyDescent="0.3">
      <c r="A101" s="275">
        <v>8</v>
      </c>
      <c r="B101" s="268" t="s">
        <v>158</v>
      </c>
      <c r="C101" s="268"/>
      <c r="D101" s="268"/>
      <c r="E101" s="268"/>
      <c r="F101" s="268"/>
      <c r="G101" s="268"/>
      <c r="H101" s="268"/>
      <c r="I101" s="268"/>
      <c r="J101" s="268"/>
      <c r="K101" s="268"/>
      <c r="L101" s="268"/>
      <c r="M101" s="268"/>
      <c r="N101" s="268"/>
      <c r="O101" s="268"/>
      <c r="P101" s="268"/>
      <c r="Q101" s="268"/>
      <c r="R101" s="314">
        <v>0</v>
      </c>
      <c r="S101" s="271"/>
      <c r="T101" s="259"/>
      <c r="U101" s="325"/>
    </row>
    <row r="102" spans="1:21" s="260" customFormat="1" x14ac:dyDescent="0.3">
      <c r="A102" s="275">
        <v>9</v>
      </c>
      <c r="B102" s="268" t="s">
        <v>37</v>
      </c>
      <c r="C102" s="268"/>
      <c r="D102" s="268"/>
      <c r="E102" s="268"/>
      <c r="F102" s="268"/>
      <c r="G102" s="268"/>
      <c r="H102" s="268"/>
      <c r="I102" s="268"/>
      <c r="J102" s="268"/>
      <c r="K102" s="268"/>
      <c r="L102" s="268"/>
      <c r="M102" s="268"/>
      <c r="N102" s="268"/>
      <c r="O102" s="268"/>
      <c r="P102" s="313">
        <f>-R102</f>
        <v>0</v>
      </c>
      <c r="Q102" s="268"/>
      <c r="R102" s="314">
        <v>0</v>
      </c>
      <c r="S102" s="271"/>
      <c r="T102" s="259"/>
    </row>
    <row r="103" spans="1:21" s="260" customFormat="1" x14ac:dyDescent="0.3">
      <c r="A103" s="275">
        <v>10</v>
      </c>
      <c r="B103" s="268" t="s">
        <v>101</v>
      </c>
      <c r="C103" s="268"/>
      <c r="D103" s="268"/>
      <c r="E103" s="268"/>
      <c r="F103" s="268"/>
      <c r="G103" s="268"/>
      <c r="H103" s="268"/>
      <c r="I103" s="268"/>
      <c r="J103" s="268"/>
      <c r="K103" s="268"/>
      <c r="L103" s="268"/>
      <c r="M103" s="268"/>
      <c r="N103" s="268"/>
      <c r="O103" s="268"/>
      <c r="P103" s="268"/>
      <c r="Q103" s="268"/>
      <c r="R103" s="314">
        <v>0</v>
      </c>
      <c r="S103" s="271"/>
      <c r="T103" s="259"/>
    </row>
    <row r="104" spans="1:21" s="260" customFormat="1" x14ac:dyDescent="0.3">
      <c r="A104" s="275">
        <v>11</v>
      </c>
      <c r="B104" s="268" t="s">
        <v>29</v>
      </c>
      <c r="C104" s="268"/>
      <c r="D104" s="268"/>
      <c r="E104" s="268"/>
      <c r="F104" s="268"/>
      <c r="G104" s="268"/>
      <c r="H104" s="268"/>
      <c r="I104" s="268"/>
      <c r="J104" s="268"/>
      <c r="K104" s="268"/>
      <c r="L104" s="268"/>
      <c r="M104" s="268"/>
      <c r="N104" s="268"/>
      <c r="O104" s="268"/>
      <c r="P104" s="268"/>
      <c r="Q104" s="268"/>
      <c r="R104" s="314">
        <v>-20</v>
      </c>
      <c r="S104" s="271"/>
      <c r="T104" s="259"/>
    </row>
    <row r="105" spans="1:21" s="260" customFormat="1" x14ac:dyDescent="0.3">
      <c r="A105" s="275">
        <v>12</v>
      </c>
      <c r="B105" s="268" t="s">
        <v>138</v>
      </c>
      <c r="C105" s="268"/>
      <c r="D105" s="268"/>
      <c r="E105" s="268"/>
      <c r="F105" s="268"/>
      <c r="G105" s="268"/>
      <c r="H105" s="268"/>
      <c r="I105" s="268"/>
      <c r="J105" s="268"/>
      <c r="K105" s="268"/>
      <c r="L105" s="268"/>
      <c r="M105" s="268"/>
      <c r="N105" s="268"/>
      <c r="O105" s="268"/>
      <c r="P105" s="268"/>
      <c r="Q105" s="268"/>
      <c r="R105" s="314">
        <v>0</v>
      </c>
      <c r="S105" s="271"/>
      <c r="T105" s="259"/>
    </row>
    <row r="106" spans="1:21" s="260" customFormat="1" x14ac:dyDescent="0.3">
      <c r="A106" s="275">
        <v>13</v>
      </c>
      <c r="B106" s="268" t="s">
        <v>209</v>
      </c>
      <c r="C106" s="268"/>
      <c r="D106" s="268"/>
      <c r="E106" s="268"/>
      <c r="F106" s="268"/>
      <c r="G106" s="268"/>
      <c r="H106" s="268"/>
      <c r="I106" s="268"/>
      <c r="J106" s="268"/>
      <c r="K106" s="268"/>
      <c r="L106" s="268"/>
      <c r="M106" s="268"/>
      <c r="N106" s="268"/>
      <c r="O106" s="268"/>
      <c r="P106" s="268"/>
      <c r="Q106" s="268"/>
      <c r="R106" s="314">
        <v>-44</v>
      </c>
      <c r="S106" s="271"/>
      <c r="T106" s="259"/>
    </row>
    <row r="107" spans="1:21" s="260" customFormat="1" x14ac:dyDescent="0.3">
      <c r="A107" s="275">
        <v>14</v>
      </c>
      <c r="B107" s="268" t="s">
        <v>159</v>
      </c>
      <c r="C107" s="268"/>
      <c r="D107" s="268"/>
      <c r="E107" s="268"/>
      <c r="F107" s="268"/>
      <c r="G107" s="268"/>
      <c r="H107" s="268"/>
      <c r="I107" s="268"/>
      <c r="J107" s="268"/>
      <c r="K107" s="268"/>
      <c r="L107" s="268"/>
      <c r="M107" s="268"/>
      <c r="N107" s="268"/>
      <c r="O107" s="268"/>
      <c r="P107" s="268"/>
      <c r="Q107" s="268"/>
      <c r="R107" s="314">
        <v>0</v>
      </c>
      <c r="S107" s="271"/>
      <c r="T107" s="259"/>
    </row>
    <row r="108" spans="1:21" s="260" customFormat="1" x14ac:dyDescent="0.3">
      <c r="A108" s="275">
        <v>15</v>
      </c>
      <c r="B108" s="268" t="s">
        <v>237</v>
      </c>
      <c r="C108" s="268"/>
      <c r="D108" s="268"/>
      <c r="E108" s="268"/>
      <c r="F108" s="268"/>
      <c r="G108" s="268"/>
      <c r="H108" s="268"/>
      <c r="I108" s="268"/>
      <c r="J108" s="268"/>
      <c r="K108" s="268"/>
      <c r="L108" s="268"/>
      <c r="M108" s="268"/>
      <c r="N108" s="268"/>
      <c r="O108" s="268"/>
      <c r="P108" s="268"/>
      <c r="Q108" s="268"/>
      <c r="R108" s="314">
        <v>-25</v>
      </c>
      <c r="S108" s="271"/>
      <c r="T108" s="259"/>
    </row>
    <row r="109" spans="1:21" s="260" customFormat="1" x14ac:dyDescent="0.3">
      <c r="A109" s="275">
        <v>16</v>
      </c>
      <c r="B109" s="268" t="s">
        <v>170</v>
      </c>
      <c r="C109" s="268"/>
      <c r="D109" s="268"/>
      <c r="E109" s="268"/>
      <c r="F109" s="268"/>
      <c r="G109" s="268"/>
      <c r="H109" s="268"/>
      <c r="I109" s="268"/>
      <c r="J109" s="268"/>
      <c r="K109" s="268"/>
      <c r="L109" s="268"/>
      <c r="M109" s="268"/>
      <c r="N109" s="268"/>
      <c r="O109" s="268"/>
      <c r="P109" s="268"/>
      <c r="Q109" s="268"/>
      <c r="R109" s="314">
        <f>-4-158</f>
        <v>-162</v>
      </c>
      <c r="S109" s="271"/>
      <c r="T109" s="259"/>
    </row>
    <row r="110" spans="1:21" s="260" customFormat="1" x14ac:dyDescent="0.3">
      <c r="A110" s="275">
        <v>17</v>
      </c>
      <c r="B110" s="268" t="s">
        <v>175</v>
      </c>
      <c r="C110" s="268"/>
      <c r="D110" s="268"/>
      <c r="E110" s="268"/>
      <c r="F110" s="268"/>
      <c r="G110" s="268"/>
      <c r="H110" s="268"/>
      <c r="I110" s="268"/>
      <c r="J110" s="268"/>
      <c r="K110" s="268"/>
      <c r="L110" s="268"/>
      <c r="M110" s="268"/>
      <c r="N110" s="268"/>
      <c r="O110" s="268"/>
      <c r="P110" s="268"/>
      <c r="Q110" s="268"/>
      <c r="R110" s="314">
        <f>-R92-SUM(R94:R109)</f>
        <v>-349</v>
      </c>
      <c r="S110" s="271"/>
      <c r="T110" s="259"/>
    </row>
    <row r="111" spans="1:21" s="260" customFormat="1" x14ac:dyDescent="0.3">
      <c r="A111" s="275">
        <v>18</v>
      </c>
      <c r="B111" s="268" t="s">
        <v>176</v>
      </c>
      <c r="C111" s="268"/>
      <c r="D111" s="268"/>
      <c r="E111" s="268"/>
      <c r="F111" s="268"/>
      <c r="G111" s="268"/>
      <c r="H111" s="268"/>
      <c r="I111" s="268"/>
      <c r="J111" s="268"/>
      <c r="K111" s="268"/>
      <c r="L111" s="268"/>
      <c r="M111" s="268"/>
      <c r="N111" s="268"/>
      <c r="O111" s="268"/>
      <c r="P111" s="313">
        <f>-R111</f>
        <v>0</v>
      </c>
      <c r="Q111" s="268"/>
      <c r="R111" s="314">
        <v>0</v>
      </c>
      <c r="S111" s="271"/>
      <c r="T111" s="259"/>
    </row>
    <row r="112" spans="1:21" x14ac:dyDescent="0.3">
      <c r="A112" s="287"/>
      <c r="B112" s="417" t="s">
        <v>30</v>
      </c>
      <c r="C112" s="288"/>
      <c r="D112" s="288"/>
      <c r="E112" s="288"/>
      <c r="F112" s="288"/>
      <c r="G112" s="288"/>
      <c r="H112" s="288"/>
      <c r="I112" s="288"/>
      <c r="J112" s="288"/>
      <c r="K112" s="288"/>
      <c r="L112" s="288"/>
      <c r="M112" s="288"/>
      <c r="N112" s="288"/>
      <c r="O112" s="288"/>
      <c r="P112" s="323"/>
      <c r="Q112" s="323"/>
      <c r="R112" s="326"/>
      <c r="S112" s="289"/>
      <c r="T112" s="241"/>
    </row>
    <row r="113" spans="1:20" s="260" customFormat="1" x14ac:dyDescent="0.3">
      <c r="A113" s="275"/>
      <c r="B113" s="268" t="s">
        <v>238</v>
      </c>
      <c r="C113" s="268"/>
      <c r="D113" s="268"/>
      <c r="E113" s="268"/>
      <c r="F113" s="268"/>
      <c r="G113" s="268"/>
      <c r="H113" s="268"/>
      <c r="I113" s="268"/>
      <c r="J113" s="268"/>
      <c r="K113" s="268"/>
      <c r="L113" s="268"/>
      <c r="M113" s="268"/>
      <c r="N113" s="268"/>
      <c r="O113" s="268"/>
      <c r="P113" s="313">
        <f>-P179</f>
        <v>0</v>
      </c>
      <c r="Q113" s="313"/>
      <c r="R113" s="314"/>
      <c r="S113" s="271"/>
      <c r="T113" s="259"/>
    </row>
    <row r="114" spans="1:20" s="260" customFormat="1" x14ac:dyDescent="0.3">
      <c r="A114" s="275"/>
      <c r="B114" s="268" t="s">
        <v>239</v>
      </c>
      <c r="C114" s="268"/>
      <c r="D114" s="268"/>
      <c r="E114" s="268"/>
      <c r="F114" s="268"/>
      <c r="G114" s="268"/>
      <c r="H114" s="268"/>
      <c r="I114" s="268"/>
      <c r="J114" s="268"/>
      <c r="K114" s="268"/>
      <c r="L114" s="268"/>
      <c r="M114" s="268"/>
      <c r="N114" s="268"/>
      <c r="O114" s="268"/>
      <c r="P114" s="313">
        <f>-O179</f>
        <v>-78</v>
      </c>
      <c r="Q114" s="313"/>
      <c r="R114" s="314"/>
      <c r="S114" s="271"/>
      <c r="T114" s="259"/>
    </row>
    <row r="115" spans="1:20" s="260" customFormat="1" x14ac:dyDescent="0.3">
      <c r="A115" s="275"/>
      <c r="B115" s="268" t="s">
        <v>160</v>
      </c>
      <c r="C115" s="268"/>
      <c r="D115" s="268"/>
      <c r="E115" s="268"/>
      <c r="F115" s="268"/>
      <c r="G115" s="268"/>
      <c r="H115" s="268"/>
      <c r="I115" s="268"/>
      <c r="J115" s="268"/>
      <c r="K115" s="268"/>
      <c r="L115" s="268"/>
      <c r="M115" s="268"/>
      <c r="N115" s="268"/>
      <c r="O115" s="268"/>
      <c r="P115" s="313">
        <v>-5312</v>
      </c>
      <c r="Q115" s="313"/>
      <c r="R115" s="314"/>
      <c r="S115" s="271"/>
      <c r="T115" s="259"/>
    </row>
    <row r="116" spans="1:20" s="260" customFormat="1" x14ac:dyDescent="0.3">
      <c r="A116" s="275"/>
      <c r="B116" s="268" t="s">
        <v>189</v>
      </c>
      <c r="C116" s="268"/>
      <c r="D116" s="268"/>
      <c r="E116" s="268"/>
      <c r="F116" s="268"/>
      <c r="G116" s="268"/>
      <c r="H116" s="268"/>
      <c r="I116" s="268"/>
      <c r="J116" s="268"/>
      <c r="K116" s="268"/>
      <c r="L116" s="268"/>
      <c r="M116" s="268"/>
      <c r="N116" s="268"/>
      <c r="O116" s="268"/>
      <c r="P116" s="313">
        <v>0</v>
      </c>
      <c r="Q116" s="313"/>
      <c r="R116" s="314"/>
      <c r="S116" s="271"/>
      <c r="T116" s="259"/>
    </row>
    <row r="117" spans="1:20" s="260" customFormat="1" x14ac:dyDescent="0.3">
      <c r="A117" s="275"/>
      <c r="B117" s="268" t="s">
        <v>190</v>
      </c>
      <c r="C117" s="268"/>
      <c r="D117" s="268"/>
      <c r="E117" s="268"/>
      <c r="F117" s="268"/>
      <c r="G117" s="268"/>
      <c r="H117" s="268"/>
      <c r="I117" s="268"/>
      <c r="J117" s="268"/>
      <c r="K117" s="268"/>
      <c r="L117" s="268"/>
      <c r="M117" s="268"/>
      <c r="N117" s="268"/>
      <c r="O117" s="268"/>
      <c r="P117" s="313">
        <v>0</v>
      </c>
      <c r="Q117" s="313"/>
      <c r="R117" s="314"/>
      <c r="S117" s="271"/>
      <c r="T117" s="259"/>
    </row>
    <row r="118" spans="1:20" s="260" customFormat="1" x14ac:dyDescent="0.3">
      <c r="A118" s="275"/>
      <c r="B118" s="268" t="s">
        <v>191</v>
      </c>
      <c r="C118" s="268"/>
      <c r="D118" s="268"/>
      <c r="E118" s="268"/>
      <c r="F118" s="268"/>
      <c r="G118" s="268"/>
      <c r="H118" s="268"/>
      <c r="I118" s="268"/>
      <c r="J118" s="268"/>
      <c r="K118" s="268"/>
      <c r="L118" s="268"/>
      <c r="M118" s="268"/>
      <c r="N118" s="268"/>
      <c r="O118" s="268"/>
      <c r="P118" s="313">
        <v>0</v>
      </c>
      <c r="Q118" s="313"/>
      <c r="R118" s="314"/>
      <c r="S118" s="271"/>
      <c r="T118" s="259"/>
    </row>
    <row r="119" spans="1:20" s="260" customFormat="1" x14ac:dyDescent="0.3">
      <c r="A119" s="275"/>
      <c r="B119" s="268" t="s">
        <v>31</v>
      </c>
      <c r="C119" s="268"/>
      <c r="D119" s="268"/>
      <c r="E119" s="268"/>
      <c r="F119" s="268"/>
      <c r="G119" s="268"/>
      <c r="H119" s="268"/>
      <c r="I119" s="268"/>
      <c r="J119" s="268"/>
      <c r="K119" s="268"/>
      <c r="L119" s="268"/>
      <c r="M119" s="268"/>
      <c r="N119" s="268"/>
      <c r="O119" s="268"/>
      <c r="P119" s="313">
        <f>SUM(P113:P118)</f>
        <v>-5390</v>
      </c>
      <c r="Q119" s="313"/>
      <c r="R119" s="313">
        <f>SUM(R93:R118)</f>
        <v>-926</v>
      </c>
      <c r="S119" s="271"/>
      <c r="T119" s="259"/>
    </row>
    <row r="120" spans="1:20" s="260" customFormat="1" x14ac:dyDescent="0.3">
      <c r="A120" s="275"/>
      <c r="B120" s="268" t="s">
        <v>32</v>
      </c>
      <c r="C120" s="268"/>
      <c r="D120" s="268"/>
      <c r="E120" s="268"/>
      <c r="F120" s="268"/>
      <c r="G120" s="268"/>
      <c r="H120" s="268"/>
      <c r="I120" s="268"/>
      <c r="J120" s="268"/>
      <c r="K120" s="268"/>
      <c r="L120" s="268"/>
      <c r="M120" s="268"/>
      <c r="N120" s="268"/>
      <c r="O120" s="268"/>
      <c r="P120" s="313">
        <f>P92+P119+P102+P111</f>
        <v>0</v>
      </c>
      <c r="Q120" s="313"/>
      <c r="R120" s="313">
        <f>R92+R119</f>
        <v>0</v>
      </c>
      <c r="S120" s="271"/>
      <c r="T120" s="259"/>
    </row>
    <row r="121" spans="1:20" s="260" customFormat="1" x14ac:dyDescent="0.3">
      <c r="A121" s="255"/>
      <c r="B121" s="302"/>
      <c r="C121" s="302"/>
      <c r="D121" s="302"/>
      <c r="E121" s="302"/>
      <c r="F121" s="302"/>
      <c r="G121" s="302"/>
      <c r="H121" s="302"/>
      <c r="I121" s="302"/>
      <c r="J121" s="302"/>
      <c r="K121" s="302"/>
      <c r="L121" s="302"/>
      <c r="M121" s="302"/>
      <c r="N121" s="302"/>
      <c r="O121" s="302"/>
      <c r="P121" s="327"/>
      <c r="Q121" s="327"/>
      <c r="R121" s="327"/>
      <c r="S121" s="258"/>
      <c r="T121" s="259"/>
    </row>
    <row r="122" spans="1:20" s="260" customFormat="1" x14ac:dyDescent="0.3">
      <c r="A122" s="255"/>
      <c r="B122" s="256"/>
      <c r="C122" s="256"/>
      <c r="D122" s="256"/>
      <c r="E122" s="256"/>
      <c r="F122" s="256"/>
      <c r="G122" s="256"/>
      <c r="H122" s="256"/>
      <c r="I122" s="256"/>
      <c r="J122" s="256"/>
      <c r="K122" s="256"/>
      <c r="L122" s="256"/>
      <c r="M122" s="256"/>
      <c r="N122" s="256"/>
      <c r="O122" s="256"/>
      <c r="P122" s="256"/>
      <c r="Q122" s="256"/>
      <c r="R122" s="328"/>
      <c r="S122" s="258"/>
      <c r="T122" s="259"/>
    </row>
    <row r="123" spans="1:20" s="260" customFormat="1" ht="18.600000000000001" thickBot="1" x14ac:dyDescent="0.4">
      <c r="A123" s="307"/>
      <c r="B123" s="308" t="str">
        <f>B52</f>
        <v>PM21 INVESTOR REPORT QUARTER ENDING AUGUST 2018</v>
      </c>
      <c r="C123" s="309"/>
      <c r="D123" s="309"/>
      <c r="E123" s="309"/>
      <c r="F123" s="309"/>
      <c r="G123" s="309"/>
      <c r="H123" s="309"/>
      <c r="I123" s="309"/>
      <c r="J123" s="309"/>
      <c r="K123" s="309"/>
      <c r="L123" s="309"/>
      <c r="M123" s="309"/>
      <c r="N123" s="309"/>
      <c r="O123" s="309"/>
      <c r="P123" s="309"/>
      <c r="Q123" s="309"/>
      <c r="R123" s="329"/>
      <c r="S123" s="311"/>
      <c r="T123" s="259"/>
    </row>
    <row r="124" spans="1:20" x14ac:dyDescent="0.3">
      <c r="A124" s="438"/>
      <c r="B124" s="439" t="s">
        <v>33</v>
      </c>
      <c r="C124" s="440"/>
      <c r="D124" s="440"/>
      <c r="E124" s="440"/>
      <c r="F124" s="440"/>
      <c r="G124" s="440"/>
      <c r="H124" s="440"/>
      <c r="I124" s="440"/>
      <c r="J124" s="440"/>
      <c r="K124" s="440"/>
      <c r="L124" s="440"/>
      <c r="M124" s="440"/>
      <c r="N124" s="440"/>
      <c r="O124" s="440"/>
      <c r="P124" s="440"/>
      <c r="Q124" s="440"/>
      <c r="R124" s="441"/>
      <c r="S124" s="442"/>
      <c r="T124" s="241"/>
    </row>
    <row r="125" spans="1:20" x14ac:dyDescent="0.3">
      <c r="A125" s="243"/>
      <c r="B125" s="330"/>
      <c r="C125" s="245"/>
      <c r="D125" s="245"/>
      <c r="E125" s="245"/>
      <c r="F125" s="245"/>
      <c r="G125" s="245"/>
      <c r="H125" s="245"/>
      <c r="I125" s="245"/>
      <c r="J125" s="245"/>
      <c r="K125" s="245"/>
      <c r="L125" s="245"/>
      <c r="M125" s="245"/>
      <c r="N125" s="245"/>
      <c r="O125" s="245"/>
      <c r="P125" s="245"/>
      <c r="Q125" s="245"/>
      <c r="R125" s="312"/>
      <c r="S125" s="246"/>
      <c r="T125" s="241"/>
    </row>
    <row r="126" spans="1:20" x14ac:dyDescent="0.3">
      <c r="A126" s="243"/>
      <c r="B126" s="418" t="s">
        <v>34</v>
      </c>
      <c r="C126" s="245"/>
      <c r="D126" s="245"/>
      <c r="E126" s="245"/>
      <c r="F126" s="245"/>
      <c r="G126" s="245"/>
      <c r="H126" s="245"/>
      <c r="I126" s="245"/>
      <c r="J126" s="245"/>
      <c r="K126" s="245"/>
      <c r="L126" s="245"/>
      <c r="M126" s="245"/>
      <c r="N126" s="245"/>
      <c r="O126" s="245"/>
      <c r="P126" s="245"/>
      <c r="Q126" s="245"/>
      <c r="R126" s="312"/>
      <c r="S126" s="246"/>
      <c r="T126" s="241"/>
    </row>
    <row r="127" spans="1:20" s="260" customFormat="1" x14ac:dyDescent="0.3">
      <c r="A127" s="275"/>
      <c r="B127" s="268" t="s">
        <v>35</v>
      </c>
      <c r="C127" s="268"/>
      <c r="D127" s="268"/>
      <c r="E127" s="268"/>
      <c r="F127" s="268"/>
      <c r="G127" s="268"/>
      <c r="H127" s="268"/>
      <c r="I127" s="268"/>
      <c r="J127" s="268"/>
      <c r="K127" s="268"/>
      <c r="L127" s="268"/>
      <c r="M127" s="268"/>
      <c r="N127" s="268"/>
      <c r="O127" s="268"/>
      <c r="P127" s="268"/>
      <c r="Q127" s="268"/>
      <c r="R127" s="314">
        <f>+R28*0.025</f>
        <v>6250</v>
      </c>
      <c r="S127" s="271"/>
      <c r="T127" s="259"/>
    </row>
    <row r="128" spans="1:20" s="260" customFormat="1" x14ac:dyDescent="0.3">
      <c r="A128" s="275"/>
      <c r="B128" s="268" t="s">
        <v>36</v>
      </c>
      <c r="C128" s="268"/>
      <c r="D128" s="268"/>
      <c r="E128" s="268"/>
      <c r="F128" s="268"/>
      <c r="G128" s="268"/>
      <c r="H128" s="268"/>
      <c r="I128" s="268"/>
      <c r="J128" s="268"/>
      <c r="K128" s="268"/>
      <c r="L128" s="268"/>
      <c r="M128" s="268"/>
      <c r="N128" s="268"/>
      <c r="O128" s="268"/>
      <c r="P128" s="268"/>
      <c r="Q128" s="268"/>
      <c r="R128" s="314">
        <v>0</v>
      </c>
      <c r="S128" s="271"/>
      <c r="T128" s="259"/>
    </row>
    <row r="129" spans="1:21" s="260" customFormat="1" x14ac:dyDescent="0.3">
      <c r="A129" s="275"/>
      <c r="B129" s="268" t="s">
        <v>172</v>
      </c>
      <c r="C129" s="268"/>
      <c r="D129" s="268"/>
      <c r="E129" s="268"/>
      <c r="F129" s="268"/>
      <c r="G129" s="268"/>
      <c r="H129" s="268"/>
      <c r="I129" s="268"/>
      <c r="J129" s="268"/>
      <c r="K129" s="268"/>
      <c r="L129" s="268"/>
      <c r="M129" s="268"/>
      <c r="N129" s="268"/>
      <c r="O129" s="268"/>
      <c r="P129" s="268"/>
      <c r="Q129" s="268"/>
      <c r="R129" s="314">
        <f>R127-R130</f>
        <v>4871.0572355000004</v>
      </c>
      <c r="S129" s="271"/>
      <c r="T129" s="259"/>
    </row>
    <row r="130" spans="1:21" s="260" customFormat="1" x14ac:dyDescent="0.3">
      <c r="A130" s="275"/>
      <c r="B130" s="268" t="s">
        <v>240</v>
      </c>
      <c r="C130" s="268"/>
      <c r="D130" s="268"/>
      <c r="E130" s="268"/>
      <c r="F130" s="268"/>
      <c r="G130" s="268"/>
      <c r="H130" s="268"/>
      <c r="I130" s="268"/>
      <c r="J130" s="268"/>
      <c r="K130" s="268"/>
      <c r="L130" s="268"/>
      <c r="M130" s="268"/>
      <c r="N130" s="268"/>
      <c r="O130" s="268"/>
      <c r="P130" s="268"/>
      <c r="Q130" s="268"/>
      <c r="R130" s="314">
        <f>SUM(D30:H30)*0.025</f>
        <v>1378.9427645000001</v>
      </c>
      <c r="S130" s="271"/>
      <c r="T130" s="259"/>
    </row>
    <row r="131" spans="1:21" s="260" customFormat="1" x14ac:dyDescent="0.3">
      <c r="A131" s="275"/>
      <c r="B131" s="268" t="s">
        <v>108</v>
      </c>
      <c r="C131" s="268"/>
      <c r="D131" s="268"/>
      <c r="E131" s="268"/>
      <c r="F131" s="268"/>
      <c r="G131" s="268"/>
      <c r="H131" s="268"/>
      <c r="I131" s="268"/>
      <c r="J131" s="268"/>
      <c r="K131" s="268"/>
      <c r="L131" s="268"/>
      <c r="M131" s="268"/>
      <c r="N131" s="268"/>
      <c r="O131" s="268"/>
      <c r="P131" s="268"/>
      <c r="Q131" s="268"/>
      <c r="R131" s="314"/>
      <c r="S131" s="271"/>
      <c r="T131" s="259"/>
    </row>
    <row r="132" spans="1:21" s="260" customFormat="1" x14ac:dyDescent="0.3">
      <c r="A132" s="275"/>
      <c r="B132" s="268" t="s">
        <v>157</v>
      </c>
      <c r="C132" s="268"/>
      <c r="D132" s="268"/>
      <c r="E132" s="268"/>
      <c r="F132" s="268"/>
      <c r="G132" s="268"/>
      <c r="H132" s="268"/>
      <c r="I132" s="268"/>
      <c r="J132" s="268"/>
      <c r="K132" s="268"/>
      <c r="L132" s="268"/>
      <c r="M132" s="268"/>
      <c r="N132" s="268"/>
      <c r="O132" s="268"/>
      <c r="P132" s="268"/>
      <c r="Q132" s="268"/>
      <c r="R132" s="314">
        <v>0</v>
      </c>
      <c r="S132" s="271"/>
      <c r="T132" s="259"/>
    </row>
    <row r="133" spans="1:21" s="260" customFormat="1" x14ac:dyDescent="0.3">
      <c r="A133" s="275"/>
      <c r="B133" s="268" t="s">
        <v>207</v>
      </c>
      <c r="C133" s="268"/>
      <c r="D133" s="268"/>
      <c r="E133" s="268"/>
      <c r="F133" s="268"/>
      <c r="G133" s="268"/>
      <c r="H133" s="268"/>
      <c r="I133" s="268"/>
      <c r="J133" s="268"/>
      <c r="K133" s="268"/>
      <c r="L133" s="268"/>
      <c r="M133" s="268"/>
      <c r="N133" s="268"/>
      <c r="O133" s="268"/>
      <c r="P133" s="268"/>
      <c r="Q133" s="268"/>
      <c r="R133" s="314">
        <v>0</v>
      </c>
      <c r="S133" s="271"/>
      <c r="T133" s="259"/>
    </row>
    <row r="134" spans="1:21" s="260" customFormat="1" x14ac:dyDescent="0.3">
      <c r="A134" s="275"/>
      <c r="B134" s="268" t="s">
        <v>208</v>
      </c>
      <c r="C134" s="268"/>
      <c r="D134" s="268"/>
      <c r="E134" s="268"/>
      <c r="F134" s="268"/>
      <c r="G134" s="268"/>
      <c r="H134" s="268"/>
      <c r="I134" s="268"/>
      <c r="J134" s="268"/>
      <c r="K134" s="268"/>
      <c r="L134" s="268"/>
      <c r="M134" s="268"/>
      <c r="N134" s="268"/>
      <c r="O134" s="268"/>
      <c r="P134" s="268"/>
      <c r="Q134" s="268"/>
      <c r="R134" s="314">
        <v>0</v>
      </c>
      <c r="S134" s="271"/>
      <c r="T134" s="259"/>
    </row>
    <row r="135" spans="1:21" s="260" customFormat="1" x14ac:dyDescent="0.3">
      <c r="A135" s="275"/>
      <c r="B135" s="268" t="s">
        <v>37</v>
      </c>
      <c r="C135" s="268"/>
      <c r="D135" s="268"/>
      <c r="E135" s="268"/>
      <c r="F135" s="268"/>
      <c r="G135" s="268"/>
      <c r="H135" s="268"/>
      <c r="I135" s="268"/>
      <c r="J135" s="268"/>
      <c r="K135" s="268"/>
      <c r="L135" s="268"/>
      <c r="M135" s="268"/>
      <c r="N135" s="268"/>
      <c r="O135" s="268"/>
      <c r="P135" s="268"/>
      <c r="Q135" s="268"/>
      <c r="R135" s="314">
        <v>0</v>
      </c>
      <c r="S135" s="271"/>
      <c r="T135" s="259"/>
    </row>
    <row r="136" spans="1:21" s="260" customFormat="1" x14ac:dyDescent="0.3">
      <c r="A136" s="275"/>
      <c r="B136" s="268" t="s">
        <v>102</v>
      </c>
      <c r="C136" s="268"/>
      <c r="D136" s="268"/>
      <c r="E136" s="268"/>
      <c r="F136" s="268"/>
      <c r="G136" s="268"/>
      <c r="H136" s="268"/>
      <c r="I136" s="268"/>
      <c r="J136" s="268"/>
      <c r="K136" s="268"/>
      <c r="L136" s="268"/>
      <c r="M136" s="268"/>
      <c r="N136" s="268"/>
      <c r="O136" s="268"/>
      <c r="P136" s="268"/>
      <c r="Q136" s="268"/>
      <c r="R136" s="314">
        <v>0</v>
      </c>
      <c r="S136" s="271"/>
      <c r="T136" s="259"/>
    </row>
    <row r="137" spans="1:21" s="260" customFormat="1" x14ac:dyDescent="0.3">
      <c r="A137" s="275"/>
      <c r="B137" s="268" t="s">
        <v>228</v>
      </c>
      <c r="C137" s="268"/>
      <c r="D137" s="268"/>
      <c r="E137" s="268"/>
      <c r="F137" s="268"/>
      <c r="G137" s="268"/>
      <c r="H137" s="268"/>
      <c r="I137" s="268"/>
      <c r="J137" s="268"/>
      <c r="K137" s="268"/>
      <c r="L137" s="268"/>
      <c r="M137" s="268"/>
      <c r="N137" s="268"/>
      <c r="O137" s="268"/>
      <c r="P137" s="268"/>
      <c r="Q137" s="268"/>
      <c r="R137" s="314">
        <v>0</v>
      </c>
      <c r="S137" s="271"/>
      <c r="T137" s="259"/>
      <c r="U137" s="325"/>
    </row>
    <row r="138" spans="1:21" s="260" customFormat="1" x14ac:dyDescent="0.3">
      <c r="A138" s="275"/>
      <c r="B138" s="268" t="s">
        <v>38</v>
      </c>
      <c r="C138" s="268"/>
      <c r="D138" s="268"/>
      <c r="E138" s="268"/>
      <c r="F138" s="268"/>
      <c r="G138" s="268"/>
      <c r="H138" s="268"/>
      <c r="I138" s="268"/>
      <c r="J138" s="268"/>
      <c r="K138" s="268"/>
      <c r="L138" s="268"/>
      <c r="M138" s="268"/>
      <c r="N138" s="268"/>
      <c r="O138" s="268"/>
      <c r="P138" s="268"/>
      <c r="Q138" s="268"/>
      <c r="R138" s="314">
        <f>SUM(R128:R137)</f>
        <v>6250</v>
      </c>
      <c r="S138" s="271"/>
      <c r="T138" s="259"/>
    </row>
    <row r="139" spans="1:21" x14ac:dyDescent="0.3">
      <c r="A139" s="243"/>
      <c r="B139" s="315"/>
      <c r="C139" s="315"/>
      <c r="D139" s="315"/>
      <c r="E139" s="315"/>
      <c r="F139" s="315"/>
      <c r="G139" s="315"/>
      <c r="H139" s="315"/>
      <c r="I139" s="315"/>
      <c r="J139" s="315"/>
      <c r="K139" s="315"/>
      <c r="L139" s="315"/>
      <c r="M139" s="315"/>
      <c r="N139" s="315"/>
      <c r="O139" s="315"/>
      <c r="P139" s="315"/>
      <c r="Q139" s="315"/>
      <c r="R139" s="331"/>
      <c r="S139" s="246"/>
      <c r="T139" s="241"/>
    </row>
    <row r="140" spans="1:21" x14ac:dyDescent="0.3">
      <c r="A140" s="243"/>
      <c r="B140" s="418" t="s">
        <v>222</v>
      </c>
      <c r="C140" s="245"/>
      <c r="D140" s="245"/>
      <c r="E140" s="245"/>
      <c r="F140" s="245"/>
      <c r="G140" s="245"/>
      <c r="H140" s="245"/>
      <c r="I140" s="245"/>
      <c r="J140" s="245"/>
      <c r="K140" s="245"/>
      <c r="L140" s="245"/>
      <c r="M140" s="245"/>
      <c r="N140" s="245"/>
      <c r="O140" s="245"/>
      <c r="P140" s="245"/>
      <c r="Q140" s="245"/>
      <c r="R140" s="312"/>
      <c r="S140" s="246"/>
      <c r="T140" s="241"/>
    </row>
    <row r="141" spans="1:21" s="260" customFormat="1" x14ac:dyDescent="0.3">
      <c r="A141" s="275"/>
      <c r="B141" s="268" t="s">
        <v>256</v>
      </c>
      <c r="C141" s="268"/>
      <c r="D141" s="268"/>
      <c r="E141" s="268"/>
      <c r="F141" s="268"/>
      <c r="G141" s="268"/>
      <c r="H141" s="268"/>
      <c r="I141" s="268"/>
      <c r="J141" s="268"/>
      <c r="K141" s="268"/>
      <c r="L141" s="268"/>
      <c r="M141" s="268"/>
      <c r="N141" s="268"/>
      <c r="O141" s="268"/>
      <c r="P141" s="268"/>
      <c r="Q141" s="268"/>
      <c r="R141" s="314">
        <v>0</v>
      </c>
      <c r="S141" s="271"/>
      <c r="T141" s="259"/>
    </row>
    <row r="142" spans="1:21" s="260" customFormat="1" x14ac:dyDescent="0.3">
      <c r="A142" s="275"/>
      <c r="B142" s="268" t="s">
        <v>210</v>
      </c>
      <c r="C142" s="268"/>
      <c r="D142" s="268"/>
      <c r="E142" s="268"/>
      <c r="F142" s="268"/>
      <c r="G142" s="268"/>
      <c r="H142" s="268"/>
      <c r="I142" s="268"/>
      <c r="J142" s="268"/>
      <c r="K142" s="268"/>
      <c r="L142" s="268"/>
      <c r="M142" s="268"/>
      <c r="N142" s="268"/>
      <c r="O142" s="268"/>
      <c r="P142" s="268"/>
      <c r="Q142" s="268"/>
      <c r="R142" s="314">
        <f>+J69</f>
        <v>0</v>
      </c>
      <c r="S142" s="271"/>
      <c r="T142" s="259"/>
    </row>
    <row r="143" spans="1:21" s="260" customFormat="1" x14ac:dyDescent="0.3">
      <c r="A143" s="275"/>
      <c r="B143" s="268" t="s">
        <v>224</v>
      </c>
      <c r="C143" s="268"/>
      <c r="D143" s="268"/>
      <c r="E143" s="268"/>
      <c r="F143" s="268"/>
      <c r="G143" s="268"/>
      <c r="H143" s="268"/>
      <c r="I143" s="268"/>
      <c r="J143" s="268"/>
      <c r="K143" s="268"/>
      <c r="L143" s="268"/>
      <c r="M143" s="268"/>
      <c r="N143" s="268"/>
      <c r="O143" s="268"/>
      <c r="P143" s="268"/>
      <c r="Q143" s="268"/>
      <c r="R143" s="314">
        <f>R141+R142</f>
        <v>0</v>
      </c>
      <c r="S143" s="271"/>
      <c r="T143" s="259"/>
    </row>
    <row r="144" spans="1:21" x14ac:dyDescent="0.3">
      <c r="A144" s="243"/>
      <c r="B144" s="332"/>
      <c r="C144" s="332"/>
      <c r="D144" s="332"/>
      <c r="E144" s="332"/>
      <c r="F144" s="332"/>
      <c r="G144" s="332"/>
      <c r="H144" s="332"/>
      <c r="I144" s="332"/>
      <c r="J144" s="332"/>
      <c r="K144" s="332"/>
      <c r="L144" s="332"/>
      <c r="M144" s="332"/>
      <c r="N144" s="332"/>
      <c r="O144" s="332"/>
      <c r="P144" s="332"/>
      <c r="Q144" s="332"/>
      <c r="R144" s="333"/>
      <c r="S144" s="246"/>
      <c r="T144" s="241"/>
    </row>
    <row r="145" spans="1:252" x14ac:dyDescent="0.3">
      <c r="A145" s="243"/>
      <c r="B145" s="418" t="s">
        <v>241</v>
      </c>
      <c r="C145" s="332"/>
      <c r="D145" s="332"/>
      <c r="E145" s="332"/>
      <c r="F145" s="332"/>
      <c r="G145" s="332"/>
      <c r="H145" s="332"/>
      <c r="I145" s="332"/>
      <c r="J145" s="332"/>
      <c r="K145" s="332"/>
      <c r="L145" s="332"/>
      <c r="M145" s="332"/>
      <c r="N145" s="332"/>
      <c r="O145" s="332"/>
      <c r="P145" s="332"/>
      <c r="Q145" s="332"/>
      <c r="R145" s="333"/>
      <c r="S145" s="246"/>
      <c r="T145" s="241"/>
    </row>
    <row r="146" spans="1:252" s="260" customFormat="1" x14ac:dyDescent="0.3">
      <c r="A146" s="334"/>
      <c r="B146" s="335" t="s">
        <v>255</v>
      </c>
      <c r="C146" s="335"/>
      <c r="D146" s="335"/>
      <c r="E146" s="335"/>
      <c r="F146" s="335"/>
      <c r="G146" s="335"/>
      <c r="H146" s="335"/>
      <c r="I146" s="335"/>
      <c r="J146" s="335"/>
      <c r="K146" s="335"/>
      <c r="L146" s="335"/>
      <c r="M146" s="335"/>
      <c r="N146" s="335"/>
      <c r="O146" s="335"/>
      <c r="P146" s="335"/>
      <c r="Q146" s="335"/>
      <c r="R146" s="336">
        <v>0</v>
      </c>
      <c r="S146" s="337"/>
      <c r="T146" s="259"/>
    </row>
    <row r="147" spans="1:252" s="260" customFormat="1" x14ac:dyDescent="0.3">
      <c r="A147" s="334"/>
      <c r="B147" s="335" t="s">
        <v>243</v>
      </c>
      <c r="C147" s="335"/>
      <c r="D147" s="335"/>
      <c r="E147" s="335"/>
      <c r="F147" s="335"/>
      <c r="G147" s="335"/>
      <c r="H147" s="335"/>
      <c r="I147" s="335"/>
      <c r="J147" s="335"/>
      <c r="K147" s="335"/>
      <c r="L147" s="335"/>
      <c r="M147" s="335"/>
      <c r="N147" s="335"/>
      <c r="O147" s="335"/>
      <c r="P147" s="335"/>
      <c r="Q147" s="335"/>
      <c r="R147" s="336">
        <f>P78</f>
        <v>0</v>
      </c>
      <c r="S147" s="337"/>
      <c r="T147" s="259"/>
    </row>
    <row r="148" spans="1:252" s="260" customFormat="1" x14ac:dyDescent="0.3">
      <c r="A148" s="334"/>
      <c r="B148" s="335" t="s">
        <v>244</v>
      </c>
      <c r="C148" s="335"/>
      <c r="D148" s="335"/>
      <c r="E148" s="335"/>
      <c r="F148" s="335"/>
      <c r="G148" s="335"/>
      <c r="H148" s="335"/>
      <c r="I148" s="335"/>
      <c r="J148" s="335"/>
      <c r="K148" s="335"/>
      <c r="L148" s="335"/>
      <c r="M148" s="335"/>
      <c r="N148" s="335"/>
      <c r="O148" s="335"/>
      <c r="P148" s="335"/>
      <c r="Q148" s="335"/>
      <c r="R148" s="336">
        <v>0</v>
      </c>
      <c r="S148" s="337"/>
      <c r="T148" s="259"/>
    </row>
    <row r="149" spans="1:252" s="260" customFormat="1" x14ac:dyDescent="0.3">
      <c r="A149" s="334"/>
      <c r="B149" s="335" t="s">
        <v>245</v>
      </c>
      <c r="C149" s="335"/>
      <c r="D149" s="335"/>
      <c r="E149" s="335"/>
      <c r="F149" s="335"/>
      <c r="G149" s="335"/>
      <c r="H149" s="335"/>
      <c r="I149" s="335"/>
      <c r="J149" s="335"/>
      <c r="K149" s="335"/>
      <c r="L149" s="335"/>
      <c r="M149" s="335"/>
      <c r="N149" s="335"/>
      <c r="O149" s="335"/>
      <c r="P149" s="335"/>
      <c r="Q149" s="335"/>
      <c r="R149" s="336">
        <f>R146+R147+R148</f>
        <v>0</v>
      </c>
      <c r="S149" s="337"/>
      <c r="T149" s="259"/>
    </row>
    <row r="150" spans="1:252" x14ac:dyDescent="0.3">
      <c r="A150" s="243"/>
      <c r="B150" s="315"/>
      <c r="C150" s="315"/>
      <c r="D150" s="315"/>
      <c r="E150" s="315"/>
      <c r="F150" s="315"/>
      <c r="G150" s="315"/>
      <c r="H150" s="315"/>
      <c r="I150" s="315"/>
      <c r="J150" s="315"/>
      <c r="K150" s="315"/>
      <c r="L150" s="315"/>
      <c r="M150" s="315"/>
      <c r="N150" s="315"/>
      <c r="O150" s="315"/>
      <c r="P150" s="315"/>
      <c r="Q150" s="315"/>
      <c r="R150" s="331"/>
      <c r="S150" s="246"/>
      <c r="T150" s="241"/>
    </row>
    <row r="151" spans="1:252" x14ac:dyDescent="0.3">
      <c r="A151" s="243"/>
      <c r="B151" s="418" t="s">
        <v>39</v>
      </c>
      <c r="C151" s="245"/>
      <c r="D151" s="245"/>
      <c r="E151" s="245"/>
      <c r="F151" s="245"/>
      <c r="G151" s="245"/>
      <c r="H151" s="245"/>
      <c r="I151" s="245"/>
      <c r="J151" s="245"/>
      <c r="K151" s="245"/>
      <c r="L151" s="245"/>
      <c r="M151" s="245"/>
      <c r="N151" s="245"/>
      <c r="O151" s="245"/>
      <c r="P151" s="245"/>
      <c r="Q151" s="245"/>
      <c r="R151" s="338"/>
      <c r="S151" s="246"/>
      <c r="T151" s="241"/>
    </row>
    <row r="152" spans="1:252" s="260" customFormat="1" x14ac:dyDescent="0.3">
      <c r="A152" s="275"/>
      <c r="B152" s="268" t="s">
        <v>40</v>
      </c>
      <c r="C152" s="268"/>
      <c r="D152" s="268"/>
      <c r="E152" s="268"/>
      <c r="F152" s="268"/>
      <c r="G152" s="268"/>
      <c r="H152" s="268"/>
      <c r="I152" s="268"/>
      <c r="J152" s="268"/>
      <c r="K152" s="268"/>
      <c r="L152" s="268"/>
      <c r="M152" s="268"/>
      <c r="N152" s="268"/>
      <c r="O152" s="268"/>
      <c r="P152" s="268"/>
      <c r="Q152" s="268"/>
      <c r="R152" s="314">
        <v>0</v>
      </c>
      <c r="S152" s="271"/>
      <c r="T152" s="259"/>
    </row>
    <row r="153" spans="1:252" s="260" customFormat="1" x14ac:dyDescent="0.3">
      <c r="A153" s="275"/>
      <c r="B153" s="268" t="s">
        <v>41</v>
      </c>
      <c r="C153" s="268"/>
      <c r="D153" s="268"/>
      <c r="E153" s="268"/>
      <c r="F153" s="268"/>
      <c r="G153" s="268"/>
      <c r="H153" s="268"/>
      <c r="I153" s="268"/>
      <c r="J153" s="268"/>
      <c r="K153" s="268"/>
      <c r="L153" s="268"/>
      <c r="M153" s="268"/>
      <c r="N153" s="268"/>
      <c r="O153" s="268"/>
      <c r="P153" s="268"/>
      <c r="Q153" s="268"/>
      <c r="R153" s="314">
        <v>0</v>
      </c>
      <c r="S153" s="271"/>
      <c r="T153" s="259"/>
    </row>
    <row r="154" spans="1:252" s="260" customFormat="1" x14ac:dyDescent="0.3">
      <c r="A154" s="275"/>
      <c r="B154" s="268" t="s">
        <v>42</v>
      </c>
      <c r="C154" s="268"/>
      <c r="D154" s="268"/>
      <c r="E154" s="268"/>
      <c r="F154" s="268"/>
      <c r="G154" s="268"/>
      <c r="H154" s="268"/>
      <c r="I154" s="268"/>
      <c r="J154" s="268"/>
      <c r="K154" s="268"/>
      <c r="L154" s="268"/>
      <c r="M154" s="268"/>
      <c r="N154" s="268"/>
      <c r="O154" s="268"/>
      <c r="P154" s="268"/>
      <c r="Q154" s="268"/>
      <c r="R154" s="314">
        <f>R153+R152</f>
        <v>0</v>
      </c>
      <c r="S154" s="271"/>
      <c r="T154" s="259"/>
    </row>
    <row r="155" spans="1:252" s="260" customFormat="1" x14ac:dyDescent="0.3">
      <c r="A155" s="275"/>
      <c r="B155" s="268" t="s">
        <v>179</v>
      </c>
      <c r="C155" s="268"/>
      <c r="D155" s="268"/>
      <c r="E155" s="268"/>
      <c r="F155" s="268"/>
      <c r="G155" s="268"/>
      <c r="H155" s="268"/>
      <c r="I155" s="268"/>
      <c r="J155" s="268"/>
      <c r="K155" s="268"/>
      <c r="L155" s="268"/>
      <c r="M155" s="268"/>
      <c r="N155" s="268"/>
      <c r="O155" s="268"/>
      <c r="P155" s="268"/>
      <c r="Q155" s="268"/>
      <c r="R155" s="314">
        <f>R102</f>
        <v>0</v>
      </c>
      <c r="S155" s="271"/>
      <c r="T155" s="259"/>
    </row>
    <row r="156" spans="1:252" s="260" customFormat="1" x14ac:dyDescent="0.3">
      <c r="A156" s="275"/>
      <c r="B156" s="268" t="s">
        <v>43</v>
      </c>
      <c r="C156" s="268"/>
      <c r="D156" s="268"/>
      <c r="E156" s="268"/>
      <c r="F156" s="268"/>
      <c r="G156" s="268"/>
      <c r="H156" s="268"/>
      <c r="I156" s="268"/>
      <c r="J156" s="268"/>
      <c r="K156" s="268"/>
      <c r="L156" s="268"/>
      <c r="M156" s="268"/>
      <c r="N156" s="268"/>
      <c r="O156" s="268"/>
      <c r="P156" s="268"/>
      <c r="Q156" s="268"/>
      <c r="R156" s="314">
        <f>R154+R155</f>
        <v>0</v>
      </c>
      <c r="S156" s="271"/>
      <c r="T156" s="259"/>
    </row>
    <row r="157" spans="1:252" s="260" customFormat="1" x14ac:dyDescent="0.3">
      <c r="A157" s="275"/>
      <c r="B157" s="268" t="s">
        <v>150</v>
      </c>
      <c r="C157" s="268"/>
      <c r="D157" s="268"/>
      <c r="E157" s="268"/>
      <c r="F157" s="268"/>
      <c r="G157" s="268"/>
      <c r="H157" s="268"/>
      <c r="I157" s="268"/>
      <c r="J157" s="268"/>
      <c r="K157" s="268"/>
      <c r="L157" s="268"/>
      <c r="M157" s="268"/>
      <c r="N157" s="268"/>
      <c r="O157" s="268"/>
      <c r="P157" s="268"/>
      <c r="Q157" s="268"/>
      <c r="R157" s="314">
        <f>-R91</f>
        <v>0</v>
      </c>
      <c r="S157" s="271"/>
      <c r="T157" s="259"/>
    </row>
    <row r="158" spans="1:252" ht="16.2" thickBot="1" x14ac:dyDescent="0.35">
      <c r="A158" s="243"/>
      <c r="B158" s="315"/>
      <c r="C158" s="315"/>
      <c r="D158" s="315"/>
      <c r="E158" s="315"/>
      <c r="F158" s="315"/>
      <c r="G158" s="315"/>
      <c r="H158" s="315"/>
      <c r="I158" s="315"/>
      <c r="J158" s="315"/>
      <c r="K158" s="315"/>
      <c r="L158" s="315"/>
      <c r="M158" s="315"/>
      <c r="N158" s="315"/>
      <c r="O158" s="315"/>
      <c r="P158" s="315"/>
      <c r="Q158" s="315"/>
      <c r="R158" s="331"/>
      <c r="S158" s="246"/>
      <c r="T158" s="241"/>
    </row>
    <row r="159" spans="1:252" x14ac:dyDescent="0.3">
      <c r="A159" s="237"/>
      <c r="B159" s="239"/>
      <c r="C159" s="239"/>
      <c r="D159" s="239"/>
      <c r="E159" s="239"/>
      <c r="F159" s="239"/>
      <c r="G159" s="239"/>
      <c r="H159" s="239"/>
      <c r="I159" s="239"/>
      <c r="J159" s="239"/>
      <c r="K159" s="239"/>
      <c r="L159" s="239"/>
      <c r="M159" s="239"/>
      <c r="N159" s="239"/>
      <c r="O159" s="239"/>
      <c r="P159" s="239"/>
      <c r="Q159" s="239"/>
      <c r="R159" s="339"/>
      <c r="S159" s="240"/>
      <c r="T159" s="241"/>
    </row>
    <row r="160" spans="1:252" s="341" customFormat="1" x14ac:dyDescent="0.3">
      <c r="A160" s="243"/>
      <c r="B160" s="418" t="s">
        <v>223</v>
      </c>
      <c r="C160" s="315"/>
      <c r="D160" s="315"/>
      <c r="E160" s="315"/>
      <c r="F160" s="315"/>
      <c r="G160" s="315"/>
      <c r="H160" s="315"/>
      <c r="I160" s="315"/>
      <c r="J160" s="315"/>
      <c r="K160" s="315"/>
      <c r="L160" s="315"/>
      <c r="M160" s="315"/>
      <c r="N160" s="315"/>
      <c r="O160" s="315"/>
      <c r="P160" s="315"/>
      <c r="Q160" s="315"/>
      <c r="R160" s="340"/>
      <c r="S160" s="246"/>
      <c r="T160" s="241"/>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c r="EI160" s="242"/>
      <c r="EJ160" s="242"/>
      <c r="EK160" s="242"/>
      <c r="EL160" s="242"/>
      <c r="EM160" s="242"/>
      <c r="EN160" s="242"/>
      <c r="EO160" s="242"/>
      <c r="EP160" s="242"/>
      <c r="EQ160" s="242"/>
      <c r="ER160" s="242"/>
      <c r="ES160" s="242"/>
      <c r="ET160" s="242"/>
      <c r="EU160" s="242"/>
      <c r="EV160" s="242"/>
      <c r="EW160" s="242"/>
      <c r="EX160" s="242"/>
      <c r="EY160" s="242"/>
      <c r="EZ160" s="242"/>
      <c r="FA160" s="242"/>
      <c r="FB160" s="242"/>
      <c r="FC160" s="242"/>
      <c r="FD160" s="242"/>
      <c r="FE160" s="242"/>
      <c r="FF160" s="242"/>
      <c r="FG160" s="242"/>
      <c r="FH160" s="242"/>
      <c r="FI160" s="242"/>
      <c r="FJ160" s="242"/>
      <c r="FK160" s="242"/>
      <c r="FL160" s="242"/>
      <c r="FM160" s="242"/>
      <c r="FN160" s="242"/>
      <c r="FO160" s="242"/>
      <c r="FP160" s="242"/>
      <c r="FQ160" s="242"/>
      <c r="FR160" s="242"/>
      <c r="FS160" s="242"/>
      <c r="FT160" s="242"/>
      <c r="FU160" s="242"/>
      <c r="FV160" s="242"/>
      <c r="FW160" s="242"/>
      <c r="FX160" s="242"/>
      <c r="FY160" s="242"/>
      <c r="FZ160" s="242"/>
      <c r="GA160" s="242"/>
      <c r="GB160" s="242"/>
      <c r="GC160" s="242"/>
      <c r="GD160" s="242"/>
      <c r="GE160" s="242"/>
      <c r="GF160" s="242"/>
      <c r="GG160" s="242"/>
      <c r="GH160" s="242"/>
      <c r="GI160" s="242"/>
      <c r="GJ160" s="242"/>
      <c r="GK160" s="242"/>
      <c r="GL160" s="242"/>
      <c r="GM160" s="242"/>
      <c r="GN160" s="242"/>
      <c r="GO160" s="242"/>
      <c r="GP160" s="242"/>
      <c r="GQ160" s="242"/>
      <c r="GR160" s="242"/>
      <c r="GS160" s="242"/>
      <c r="GT160" s="242"/>
      <c r="GU160" s="242"/>
      <c r="GV160" s="242"/>
      <c r="GW160" s="242"/>
      <c r="GX160" s="242"/>
      <c r="GY160" s="242"/>
      <c r="GZ160" s="242"/>
      <c r="HA160" s="242"/>
      <c r="HB160" s="242"/>
      <c r="HC160" s="242"/>
      <c r="HD160" s="242"/>
      <c r="HE160" s="242"/>
      <c r="HF160" s="242"/>
      <c r="HG160" s="242"/>
      <c r="HH160" s="242"/>
      <c r="HI160" s="242"/>
      <c r="HJ160" s="242"/>
      <c r="HK160" s="242"/>
      <c r="HL160" s="242"/>
      <c r="HM160" s="242"/>
      <c r="HN160" s="242"/>
      <c r="HO160" s="242"/>
      <c r="HP160" s="242"/>
      <c r="HQ160" s="242"/>
      <c r="HR160" s="242"/>
      <c r="HS160" s="242"/>
      <c r="HT160" s="242"/>
      <c r="HU160" s="242"/>
      <c r="HV160" s="242"/>
      <c r="HW160" s="242"/>
      <c r="HX160" s="242"/>
      <c r="HY160" s="242"/>
      <c r="HZ160" s="242"/>
      <c r="IA160" s="242"/>
      <c r="IB160" s="242"/>
      <c r="IC160" s="242"/>
      <c r="ID160" s="242"/>
      <c r="IE160" s="242"/>
      <c r="IF160" s="242"/>
      <c r="IG160" s="242"/>
      <c r="IH160" s="242"/>
      <c r="II160" s="242"/>
      <c r="IJ160" s="242"/>
      <c r="IK160" s="242"/>
      <c r="IL160" s="242"/>
      <c r="IM160" s="242"/>
      <c r="IN160" s="242"/>
      <c r="IO160" s="242"/>
      <c r="IP160" s="242"/>
      <c r="IQ160" s="242"/>
      <c r="IR160" s="242"/>
    </row>
    <row r="161" spans="1:252" s="342" customFormat="1" x14ac:dyDescent="0.3">
      <c r="A161" s="275"/>
      <c r="B161" s="268" t="s">
        <v>141</v>
      </c>
      <c r="C161" s="268"/>
      <c r="D161" s="268"/>
      <c r="E161" s="268"/>
      <c r="F161" s="268"/>
      <c r="G161" s="268"/>
      <c r="H161" s="268"/>
      <c r="I161" s="268"/>
      <c r="J161" s="268"/>
      <c r="K161" s="268"/>
      <c r="L161" s="268"/>
      <c r="M161" s="268"/>
      <c r="N161" s="268"/>
      <c r="O161" s="268"/>
      <c r="P161" s="268"/>
      <c r="Q161" s="268"/>
      <c r="R161" s="314">
        <f>+'May 18'!R164</f>
        <v>491</v>
      </c>
      <c r="S161" s="271"/>
      <c r="T161" s="259"/>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60"/>
      <c r="BS161" s="260"/>
      <c r="BT161" s="260"/>
      <c r="BU161" s="260"/>
      <c r="BV161" s="260"/>
      <c r="BW161" s="260"/>
      <c r="BX161" s="260"/>
      <c r="BY161" s="260"/>
      <c r="BZ161" s="260"/>
      <c r="CA161" s="260"/>
      <c r="CB161" s="260"/>
      <c r="CC161" s="260"/>
      <c r="CD161" s="260"/>
      <c r="CE161" s="260"/>
      <c r="CF161" s="260"/>
      <c r="CG161" s="260"/>
      <c r="CH161" s="260"/>
      <c r="CI161" s="260"/>
      <c r="CJ161" s="260"/>
      <c r="CK161" s="260"/>
      <c r="CL161" s="260"/>
      <c r="CM161" s="260"/>
      <c r="CN161" s="260"/>
      <c r="CO161" s="260"/>
      <c r="CP161" s="260"/>
      <c r="CQ161" s="260"/>
      <c r="CR161" s="260"/>
      <c r="CS161" s="260"/>
      <c r="CT161" s="260"/>
      <c r="CU161" s="260"/>
      <c r="CV161" s="260"/>
      <c r="CW161" s="260"/>
      <c r="CX161" s="260"/>
      <c r="CY161" s="260"/>
      <c r="CZ161" s="260"/>
      <c r="DA161" s="260"/>
      <c r="DB161" s="260"/>
      <c r="DC161" s="260"/>
      <c r="DD161" s="260"/>
      <c r="DE161" s="260"/>
      <c r="DF161" s="260"/>
      <c r="DG161" s="260"/>
      <c r="DH161" s="260"/>
      <c r="DI161" s="260"/>
      <c r="DJ161" s="260"/>
      <c r="DK161" s="260"/>
      <c r="DL161" s="260"/>
      <c r="DM161" s="260"/>
      <c r="DN161" s="260"/>
      <c r="DO161" s="260"/>
      <c r="DP161" s="260"/>
      <c r="DQ161" s="260"/>
      <c r="DR161" s="260"/>
      <c r="DS161" s="260"/>
      <c r="DT161" s="260"/>
      <c r="DU161" s="260"/>
      <c r="DV161" s="260"/>
      <c r="DW161" s="260"/>
      <c r="DX161" s="260"/>
      <c r="DY161" s="260"/>
      <c r="DZ161" s="260"/>
      <c r="EA161" s="260"/>
      <c r="EB161" s="260"/>
      <c r="EC161" s="260"/>
      <c r="ED161" s="260"/>
      <c r="EE161" s="260"/>
      <c r="EF161" s="260"/>
      <c r="EG161" s="260"/>
      <c r="EH161" s="260"/>
      <c r="EI161" s="260"/>
      <c r="EJ161" s="260"/>
      <c r="EK161" s="260"/>
      <c r="EL161" s="260"/>
      <c r="EM161" s="260"/>
      <c r="EN161" s="260"/>
      <c r="EO161" s="260"/>
      <c r="EP161" s="260"/>
      <c r="EQ161" s="260"/>
      <c r="ER161" s="260"/>
      <c r="ES161" s="260"/>
      <c r="ET161" s="260"/>
      <c r="EU161" s="260"/>
      <c r="EV161" s="260"/>
      <c r="EW161" s="260"/>
      <c r="EX161" s="260"/>
      <c r="EY161" s="260"/>
      <c r="EZ161" s="260"/>
      <c r="FA161" s="260"/>
      <c r="FB161" s="260"/>
      <c r="FC161" s="260"/>
      <c r="FD161" s="260"/>
      <c r="FE161" s="260"/>
      <c r="FF161" s="260"/>
      <c r="FG161" s="260"/>
      <c r="FH161" s="260"/>
      <c r="FI161" s="260"/>
      <c r="FJ161" s="260"/>
      <c r="FK161" s="260"/>
      <c r="FL161" s="260"/>
      <c r="FM161" s="260"/>
      <c r="FN161" s="260"/>
      <c r="FO161" s="260"/>
      <c r="FP161" s="260"/>
      <c r="FQ161" s="260"/>
      <c r="FR161" s="260"/>
      <c r="FS161" s="260"/>
      <c r="FT161" s="260"/>
      <c r="FU161" s="260"/>
      <c r="FV161" s="260"/>
      <c r="FW161" s="260"/>
      <c r="FX161" s="260"/>
      <c r="FY161" s="260"/>
      <c r="FZ161" s="260"/>
      <c r="GA161" s="260"/>
      <c r="GB161" s="260"/>
      <c r="GC161" s="260"/>
      <c r="GD161" s="260"/>
      <c r="GE161" s="260"/>
      <c r="GF161" s="260"/>
      <c r="GG161" s="260"/>
      <c r="GH161" s="260"/>
      <c r="GI161" s="260"/>
      <c r="GJ161" s="260"/>
      <c r="GK161" s="260"/>
      <c r="GL161" s="260"/>
      <c r="GM161" s="260"/>
      <c r="GN161" s="260"/>
      <c r="GO161" s="260"/>
      <c r="GP161" s="260"/>
      <c r="GQ161" s="260"/>
      <c r="GR161" s="260"/>
      <c r="GS161" s="260"/>
      <c r="GT161" s="260"/>
      <c r="GU161" s="260"/>
      <c r="GV161" s="260"/>
      <c r="GW161" s="260"/>
      <c r="GX161" s="260"/>
      <c r="GY161" s="260"/>
      <c r="GZ161" s="260"/>
      <c r="HA161" s="260"/>
      <c r="HB161" s="260"/>
      <c r="HC161" s="260"/>
      <c r="HD161" s="260"/>
      <c r="HE161" s="260"/>
      <c r="HF161" s="260"/>
      <c r="HG161" s="260"/>
      <c r="HH161" s="260"/>
      <c r="HI161" s="260"/>
      <c r="HJ161" s="260"/>
      <c r="HK161" s="260"/>
      <c r="HL161" s="260"/>
      <c r="HM161" s="260"/>
      <c r="HN161" s="260"/>
      <c r="HO161" s="260"/>
      <c r="HP161" s="260"/>
      <c r="HQ161" s="260"/>
      <c r="HR161" s="260"/>
      <c r="HS161" s="260"/>
      <c r="HT161" s="260"/>
      <c r="HU161" s="260"/>
      <c r="HV161" s="260"/>
      <c r="HW161" s="260"/>
      <c r="HX161" s="260"/>
      <c r="HY161" s="260"/>
      <c r="HZ161" s="260"/>
      <c r="IA161" s="260"/>
      <c r="IB161" s="260"/>
      <c r="IC161" s="260"/>
      <c r="ID161" s="260"/>
      <c r="IE161" s="260"/>
      <c r="IF161" s="260"/>
      <c r="IG161" s="260"/>
      <c r="IH161" s="260"/>
      <c r="II161" s="260"/>
      <c r="IJ161" s="260"/>
      <c r="IK161" s="260"/>
      <c r="IL161" s="260"/>
      <c r="IM161" s="260"/>
      <c r="IN161" s="260"/>
      <c r="IO161" s="260"/>
      <c r="IP161" s="260"/>
      <c r="IQ161" s="260"/>
      <c r="IR161" s="260"/>
    </row>
    <row r="162" spans="1:252" s="342" customFormat="1" x14ac:dyDescent="0.3">
      <c r="A162" s="275"/>
      <c r="B162" s="268" t="s">
        <v>268</v>
      </c>
      <c r="C162" s="268"/>
      <c r="D162" s="268"/>
      <c r="E162" s="268"/>
      <c r="F162" s="268"/>
      <c r="G162" s="268"/>
      <c r="H162" s="268"/>
      <c r="I162" s="268"/>
      <c r="J162" s="268"/>
      <c r="K162" s="268"/>
      <c r="L162" s="268"/>
      <c r="M162" s="268"/>
      <c r="N162" s="268"/>
      <c r="O162" s="268"/>
      <c r="P162" s="268"/>
      <c r="Q162" s="268"/>
      <c r="R162" s="314">
        <v>0</v>
      </c>
      <c r="S162" s="271"/>
      <c r="T162" s="259"/>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c r="AX162" s="260"/>
      <c r="AY162" s="260"/>
      <c r="AZ162" s="260"/>
      <c r="BA162" s="260"/>
      <c r="BB162" s="260"/>
      <c r="BC162" s="260"/>
      <c r="BD162" s="260"/>
      <c r="BE162" s="260"/>
      <c r="BF162" s="260"/>
      <c r="BG162" s="260"/>
      <c r="BH162" s="260"/>
      <c r="BI162" s="260"/>
      <c r="BJ162" s="260"/>
      <c r="BK162" s="260"/>
      <c r="BL162" s="260"/>
      <c r="BM162" s="260"/>
      <c r="BN162" s="260"/>
      <c r="BO162" s="260"/>
      <c r="BP162" s="260"/>
      <c r="BQ162" s="260"/>
      <c r="BR162" s="260"/>
      <c r="BS162" s="260"/>
      <c r="BT162" s="260"/>
      <c r="BU162" s="260"/>
      <c r="BV162" s="260"/>
      <c r="BW162" s="260"/>
      <c r="BX162" s="260"/>
      <c r="BY162" s="260"/>
      <c r="BZ162" s="260"/>
      <c r="CA162" s="260"/>
      <c r="CB162" s="260"/>
      <c r="CC162" s="260"/>
      <c r="CD162" s="260"/>
      <c r="CE162" s="260"/>
      <c r="CF162" s="260"/>
      <c r="CG162" s="260"/>
      <c r="CH162" s="260"/>
      <c r="CI162" s="260"/>
      <c r="CJ162" s="260"/>
      <c r="CK162" s="260"/>
      <c r="CL162" s="260"/>
      <c r="CM162" s="260"/>
      <c r="CN162" s="260"/>
      <c r="CO162" s="260"/>
      <c r="CP162" s="260"/>
      <c r="CQ162" s="260"/>
      <c r="CR162" s="260"/>
      <c r="CS162" s="260"/>
      <c r="CT162" s="260"/>
      <c r="CU162" s="260"/>
      <c r="CV162" s="260"/>
      <c r="CW162" s="260"/>
      <c r="CX162" s="260"/>
      <c r="CY162" s="260"/>
      <c r="CZ162" s="260"/>
      <c r="DA162" s="260"/>
      <c r="DB162" s="260"/>
      <c r="DC162" s="260"/>
      <c r="DD162" s="260"/>
      <c r="DE162" s="260"/>
      <c r="DF162" s="260"/>
      <c r="DG162" s="260"/>
      <c r="DH162" s="260"/>
      <c r="DI162" s="260"/>
      <c r="DJ162" s="260"/>
      <c r="DK162" s="260"/>
      <c r="DL162" s="260"/>
      <c r="DM162" s="260"/>
      <c r="DN162" s="260"/>
      <c r="DO162" s="260"/>
      <c r="DP162" s="260"/>
      <c r="DQ162" s="260"/>
      <c r="DR162" s="260"/>
      <c r="DS162" s="260"/>
      <c r="DT162" s="260"/>
      <c r="DU162" s="260"/>
      <c r="DV162" s="260"/>
      <c r="DW162" s="260"/>
      <c r="DX162" s="260"/>
      <c r="DY162" s="260"/>
      <c r="DZ162" s="260"/>
      <c r="EA162" s="260"/>
      <c r="EB162" s="260"/>
      <c r="EC162" s="260"/>
      <c r="ED162" s="260"/>
      <c r="EE162" s="260"/>
      <c r="EF162" s="260"/>
      <c r="EG162" s="260"/>
      <c r="EH162" s="260"/>
      <c r="EI162" s="260"/>
      <c r="EJ162" s="260"/>
      <c r="EK162" s="260"/>
      <c r="EL162" s="260"/>
      <c r="EM162" s="260"/>
      <c r="EN162" s="260"/>
      <c r="EO162" s="260"/>
      <c r="EP162" s="260"/>
      <c r="EQ162" s="260"/>
      <c r="ER162" s="260"/>
      <c r="ES162" s="260"/>
      <c r="ET162" s="260"/>
      <c r="EU162" s="260"/>
      <c r="EV162" s="260"/>
      <c r="EW162" s="260"/>
      <c r="EX162" s="260"/>
      <c r="EY162" s="260"/>
      <c r="EZ162" s="260"/>
      <c r="FA162" s="260"/>
      <c r="FB162" s="260"/>
      <c r="FC162" s="260"/>
      <c r="FD162" s="260"/>
      <c r="FE162" s="260"/>
      <c r="FF162" s="260"/>
      <c r="FG162" s="260"/>
      <c r="FH162" s="260"/>
      <c r="FI162" s="260"/>
      <c r="FJ162" s="260"/>
      <c r="FK162" s="260"/>
      <c r="FL162" s="260"/>
      <c r="FM162" s="260"/>
      <c r="FN162" s="260"/>
      <c r="FO162" s="260"/>
      <c r="FP162" s="260"/>
      <c r="FQ162" s="260"/>
      <c r="FR162" s="260"/>
      <c r="FS162" s="260"/>
      <c r="FT162" s="260"/>
      <c r="FU162" s="260"/>
      <c r="FV162" s="260"/>
      <c r="FW162" s="260"/>
      <c r="FX162" s="260"/>
      <c r="FY162" s="260"/>
      <c r="FZ162" s="260"/>
      <c r="GA162" s="260"/>
      <c r="GB162" s="260"/>
      <c r="GC162" s="260"/>
      <c r="GD162" s="260"/>
      <c r="GE162" s="260"/>
      <c r="GF162" s="260"/>
      <c r="GG162" s="260"/>
      <c r="GH162" s="260"/>
      <c r="GI162" s="260"/>
      <c r="GJ162" s="260"/>
      <c r="GK162" s="260"/>
      <c r="GL162" s="260"/>
      <c r="GM162" s="260"/>
      <c r="GN162" s="260"/>
      <c r="GO162" s="260"/>
      <c r="GP162" s="260"/>
      <c r="GQ162" s="260"/>
      <c r="GR162" s="260"/>
      <c r="GS162" s="260"/>
      <c r="GT162" s="260"/>
      <c r="GU162" s="260"/>
      <c r="GV162" s="260"/>
      <c r="GW162" s="260"/>
      <c r="GX162" s="260"/>
      <c r="GY162" s="260"/>
      <c r="GZ162" s="260"/>
      <c r="HA162" s="260"/>
      <c r="HB162" s="260"/>
      <c r="HC162" s="260"/>
      <c r="HD162" s="260"/>
      <c r="HE162" s="260"/>
      <c r="HF162" s="260"/>
      <c r="HG162" s="260"/>
      <c r="HH162" s="260"/>
      <c r="HI162" s="260"/>
      <c r="HJ162" s="260"/>
      <c r="HK162" s="260"/>
      <c r="HL162" s="260"/>
      <c r="HM162" s="260"/>
      <c r="HN162" s="260"/>
      <c r="HO162" s="260"/>
      <c r="HP162" s="260"/>
      <c r="HQ162" s="260"/>
      <c r="HR162" s="260"/>
      <c r="HS162" s="260"/>
      <c r="HT162" s="260"/>
      <c r="HU162" s="260"/>
      <c r="HV162" s="260"/>
      <c r="HW162" s="260"/>
      <c r="HX162" s="260"/>
      <c r="HY162" s="260"/>
      <c r="HZ162" s="260"/>
      <c r="IA162" s="260"/>
      <c r="IB162" s="260"/>
      <c r="IC162" s="260"/>
      <c r="ID162" s="260"/>
      <c r="IE162" s="260"/>
      <c r="IF162" s="260"/>
      <c r="IG162" s="260"/>
      <c r="IH162" s="260"/>
      <c r="II162" s="260"/>
      <c r="IJ162" s="260"/>
      <c r="IK162" s="260"/>
      <c r="IL162" s="260"/>
      <c r="IM162" s="260"/>
      <c r="IN162" s="260"/>
      <c r="IO162" s="260"/>
      <c r="IP162" s="260"/>
      <c r="IQ162" s="260"/>
      <c r="IR162" s="260"/>
    </row>
    <row r="163" spans="1:252" s="342" customFormat="1" x14ac:dyDescent="0.3">
      <c r="A163" s="275"/>
      <c r="B163" s="268" t="s">
        <v>144</v>
      </c>
      <c r="C163" s="268"/>
      <c r="D163" s="268"/>
      <c r="E163" s="268"/>
      <c r="F163" s="268"/>
      <c r="G163" s="268"/>
      <c r="H163" s="268"/>
      <c r="I163" s="268"/>
      <c r="J163" s="268"/>
      <c r="K163" s="268"/>
      <c r="L163" s="268"/>
      <c r="M163" s="268"/>
      <c r="N163" s="268"/>
      <c r="O163" s="268"/>
      <c r="P163" s="268"/>
      <c r="Q163" s="268"/>
      <c r="R163" s="314">
        <f>R84</f>
        <v>101</v>
      </c>
      <c r="S163" s="271"/>
      <c r="T163" s="259"/>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0"/>
      <c r="CE163" s="260"/>
      <c r="CF163" s="260"/>
      <c r="CG163" s="260"/>
      <c r="CH163" s="260"/>
      <c r="CI163" s="260"/>
      <c r="CJ163" s="260"/>
      <c r="CK163" s="260"/>
      <c r="CL163" s="260"/>
      <c r="CM163" s="260"/>
      <c r="CN163" s="260"/>
      <c r="CO163" s="260"/>
      <c r="CP163" s="260"/>
      <c r="CQ163" s="260"/>
      <c r="CR163" s="260"/>
      <c r="CS163" s="260"/>
      <c r="CT163" s="260"/>
      <c r="CU163" s="260"/>
      <c r="CV163" s="260"/>
      <c r="CW163" s="260"/>
      <c r="CX163" s="260"/>
      <c r="CY163" s="260"/>
      <c r="CZ163" s="260"/>
      <c r="DA163" s="260"/>
      <c r="DB163" s="260"/>
      <c r="DC163" s="260"/>
      <c r="DD163" s="260"/>
      <c r="DE163" s="260"/>
      <c r="DF163" s="260"/>
      <c r="DG163" s="260"/>
      <c r="DH163" s="260"/>
      <c r="DI163" s="260"/>
      <c r="DJ163" s="260"/>
      <c r="DK163" s="260"/>
      <c r="DL163" s="260"/>
      <c r="DM163" s="260"/>
      <c r="DN163" s="260"/>
      <c r="DO163" s="260"/>
      <c r="DP163" s="260"/>
      <c r="DQ163" s="260"/>
      <c r="DR163" s="260"/>
      <c r="DS163" s="260"/>
      <c r="DT163" s="260"/>
      <c r="DU163" s="260"/>
      <c r="DV163" s="260"/>
      <c r="DW163" s="260"/>
      <c r="DX163" s="260"/>
      <c r="DY163" s="260"/>
      <c r="DZ163" s="260"/>
      <c r="EA163" s="260"/>
      <c r="EB163" s="260"/>
      <c r="EC163" s="260"/>
      <c r="ED163" s="260"/>
      <c r="EE163" s="260"/>
      <c r="EF163" s="260"/>
      <c r="EG163" s="260"/>
      <c r="EH163" s="260"/>
      <c r="EI163" s="260"/>
      <c r="EJ163" s="260"/>
      <c r="EK163" s="260"/>
      <c r="EL163" s="260"/>
      <c r="EM163" s="260"/>
      <c r="EN163" s="260"/>
      <c r="EO163" s="260"/>
      <c r="EP163" s="260"/>
      <c r="EQ163" s="260"/>
      <c r="ER163" s="260"/>
      <c r="ES163" s="260"/>
      <c r="ET163" s="260"/>
      <c r="EU163" s="260"/>
      <c r="EV163" s="260"/>
      <c r="EW163" s="260"/>
      <c r="EX163" s="260"/>
      <c r="EY163" s="260"/>
      <c r="EZ163" s="260"/>
      <c r="FA163" s="260"/>
      <c r="FB163" s="260"/>
      <c r="FC163" s="260"/>
      <c r="FD163" s="260"/>
      <c r="FE163" s="260"/>
      <c r="FF163" s="260"/>
      <c r="FG163" s="260"/>
      <c r="FH163" s="260"/>
      <c r="FI163" s="260"/>
      <c r="FJ163" s="260"/>
      <c r="FK163" s="260"/>
      <c r="FL163" s="260"/>
      <c r="FM163" s="260"/>
      <c r="FN163" s="260"/>
      <c r="FO163" s="260"/>
      <c r="FP163" s="260"/>
      <c r="FQ163" s="260"/>
      <c r="FR163" s="260"/>
      <c r="FS163" s="260"/>
      <c r="FT163" s="260"/>
      <c r="FU163" s="260"/>
      <c r="FV163" s="260"/>
      <c r="FW163" s="260"/>
      <c r="FX163" s="260"/>
      <c r="FY163" s="260"/>
      <c r="FZ163" s="260"/>
      <c r="GA163" s="260"/>
      <c r="GB163" s="260"/>
      <c r="GC163" s="260"/>
      <c r="GD163" s="260"/>
      <c r="GE163" s="260"/>
      <c r="GF163" s="260"/>
      <c r="GG163" s="260"/>
      <c r="GH163" s="260"/>
      <c r="GI163" s="260"/>
      <c r="GJ163" s="260"/>
      <c r="GK163" s="260"/>
      <c r="GL163" s="260"/>
      <c r="GM163" s="260"/>
      <c r="GN163" s="260"/>
      <c r="GO163" s="260"/>
      <c r="GP163" s="260"/>
      <c r="GQ163" s="260"/>
      <c r="GR163" s="260"/>
      <c r="GS163" s="260"/>
      <c r="GT163" s="260"/>
      <c r="GU163" s="260"/>
      <c r="GV163" s="260"/>
      <c r="GW163" s="260"/>
      <c r="GX163" s="260"/>
      <c r="GY163" s="260"/>
      <c r="GZ163" s="260"/>
      <c r="HA163" s="260"/>
      <c r="HB163" s="260"/>
      <c r="HC163" s="260"/>
      <c r="HD163" s="260"/>
      <c r="HE163" s="260"/>
      <c r="HF163" s="260"/>
      <c r="HG163" s="260"/>
      <c r="HH163" s="260"/>
      <c r="HI163" s="260"/>
      <c r="HJ163" s="260"/>
      <c r="HK163" s="260"/>
      <c r="HL163" s="260"/>
      <c r="HM163" s="260"/>
      <c r="HN163" s="260"/>
      <c r="HO163" s="260"/>
      <c r="HP163" s="260"/>
      <c r="HQ163" s="260"/>
      <c r="HR163" s="260"/>
      <c r="HS163" s="260"/>
      <c r="HT163" s="260"/>
      <c r="HU163" s="260"/>
      <c r="HV163" s="260"/>
      <c r="HW163" s="260"/>
      <c r="HX163" s="260"/>
      <c r="HY163" s="260"/>
      <c r="HZ163" s="260"/>
      <c r="IA163" s="260"/>
      <c r="IB163" s="260"/>
      <c r="IC163" s="260"/>
      <c r="ID163" s="260"/>
      <c r="IE163" s="260"/>
      <c r="IF163" s="260"/>
      <c r="IG163" s="260"/>
      <c r="IH163" s="260"/>
      <c r="II163" s="260"/>
      <c r="IJ163" s="260"/>
      <c r="IK163" s="260"/>
      <c r="IL163" s="260"/>
      <c r="IM163" s="260"/>
      <c r="IN163" s="260"/>
      <c r="IO163" s="260"/>
      <c r="IP163" s="260"/>
      <c r="IQ163" s="260"/>
      <c r="IR163" s="260"/>
    </row>
    <row r="164" spans="1:252" s="342" customFormat="1" x14ac:dyDescent="0.3">
      <c r="A164" s="275"/>
      <c r="B164" s="268" t="s">
        <v>142</v>
      </c>
      <c r="C164" s="268"/>
      <c r="D164" s="268"/>
      <c r="E164" s="268"/>
      <c r="F164" s="268"/>
      <c r="G164" s="268"/>
      <c r="H164" s="268"/>
      <c r="I164" s="268"/>
      <c r="J164" s="268"/>
      <c r="K164" s="268"/>
      <c r="L164" s="268"/>
      <c r="M164" s="268"/>
      <c r="N164" s="268"/>
      <c r="O164" s="268"/>
      <c r="P164" s="268"/>
      <c r="Q164" s="268"/>
      <c r="R164" s="314">
        <f>+R161+R162-R163</f>
        <v>390</v>
      </c>
      <c r="S164" s="271"/>
      <c r="T164" s="259"/>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0"/>
      <c r="BW164" s="260"/>
      <c r="BX164" s="260"/>
      <c r="BY164" s="260"/>
      <c r="BZ164" s="260"/>
      <c r="CA164" s="260"/>
      <c r="CB164" s="260"/>
      <c r="CC164" s="260"/>
      <c r="CD164" s="260"/>
      <c r="CE164" s="260"/>
      <c r="CF164" s="260"/>
      <c r="CG164" s="260"/>
      <c r="CH164" s="260"/>
      <c r="CI164" s="260"/>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0"/>
      <c r="DF164" s="260"/>
      <c r="DG164" s="260"/>
      <c r="DH164" s="260"/>
      <c r="DI164" s="260"/>
      <c r="DJ164" s="260"/>
      <c r="DK164" s="260"/>
      <c r="DL164" s="260"/>
      <c r="DM164" s="260"/>
      <c r="DN164" s="260"/>
      <c r="DO164" s="260"/>
      <c r="DP164" s="260"/>
      <c r="DQ164" s="260"/>
      <c r="DR164" s="260"/>
      <c r="DS164" s="260"/>
      <c r="DT164" s="260"/>
      <c r="DU164" s="260"/>
      <c r="DV164" s="260"/>
      <c r="DW164" s="260"/>
      <c r="DX164" s="260"/>
      <c r="DY164" s="260"/>
      <c r="DZ164" s="260"/>
      <c r="EA164" s="260"/>
      <c r="EB164" s="260"/>
      <c r="EC164" s="260"/>
      <c r="ED164" s="260"/>
      <c r="EE164" s="260"/>
      <c r="EF164" s="260"/>
      <c r="EG164" s="260"/>
      <c r="EH164" s="260"/>
      <c r="EI164" s="260"/>
      <c r="EJ164" s="260"/>
      <c r="EK164" s="260"/>
      <c r="EL164" s="260"/>
      <c r="EM164" s="260"/>
      <c r="EN164" s="260"/>
      <c r="EO164" s="260"/>
      <c r="EP164" s="260"/>
      <c r="EQ164" s="260"/>
      <c r="ER164" s="260"/>
      <c r="ES164" s="260"/>
      <c r="ET164" s="260"/>
      <c r="EU164" s="260"/>
      <c r="EV164" s="260"/>
      <c r="EW164" s="260"/>
      <c r="EX164" s="260"/>
      <c r="EY164" s="260"/>
      <c r="EZ164" s="260"/>
      <c r="FA164" s="260"/>
      <c r="FB164" s="260"/>
      <c r="FC164" s="260"/>
      <c r="FD164" s="260"/>
      <c r="FE164" s="260"/>
      <c r="FF164" s="260"/>
      <c r="FG164" s="260"/>
      <c r="FH164" s="260"/>
      <c r="FI164" s="260"/>
      <c r="FJ164" s="260"/>
      <c r="FK164" s="260"/>
      <c r="FL164" s="260"/>
      <c r="FM164" s="260"/>
      <c r="FN164" s="260"/>
      <c r="FO164" s="260"/>
      <c r="FP164" s="260"/>
      <c r="FQ164" s="260"/>
      <c r="FR164" s="260"/>
      <c r="FS164" s="260"/>
      <c r="FT164" s="260"/>
      <c r="FU164" s="260"/>
      <c r="FV164" s="260"/>
      <c r="FW164" s="260"/>
      <c r="FX164" s="260"/>
      <c r="FY164" s="260"/>
      <c r="FZ164" s="260"/>
      <c r="GA164" s="260"/>
      <c r="GB164" s="260"/>
      <c r="GC164" s="260"/>
      <c r="GD164" s="260"/>
      <c r="GE164" s="260"/>
      <c r="GF164" s="260"/>
      <c r="GG164" s="260"/>
      <c r="GH164" s="260"/>
      <c r="GI164" s="260"/>
      <c r="GJ164" s="260"/>
      <c r="GK164" s="260"/>
      <c r="GL164" s="260"/>
      <c r="GM164" s="260"/>
      <c r="GN164" s="260"/>
      <c r="GO164" s="260"/>
      <c r="GP164" s="260"/>
      <c r="GQ164" s="260"/>
      <c r="GR164" s="260"/>
      <c r="GS164" s="260"/>
      <c r="GT164" s="260"/>
      <c r="GU164" s="260"/>
      <c r="GV164" s="260"/>
      <c r="GW164" s="260"/>
      <c r="GX164" s="260"/>
      <c r="GY164" s="260"/>
      <c r="GZ164" s="260"/>
      <c r="HA164" s="260"/>
      <c r="HB164" s="260"/>
      <c r="HC164" s="260"/>
      <c r="HD164" s="260"/>
      <c r="HE164" s="260"/>
      <c r="HF164" s="260"/>
      <c r="HG164" s="260"/>
      <c r="HH164" s="260"/>
      <c r="HI164" s="260"/>
      <c r="HJ164" s="260"/>
      <c r="HK164" s="260"/>
      <c r="HL164" s="260"/>
      <c r="HM164" s="260"/>
      <c r="HN164" s="260"/>
      <c r="HO164" s="260"/>
      <c r="HP164" s="260"/>
      <c r="HQ164" s="260"/>
      <c r="HR164" s="260"/>
      <c r="HS164" s="260"/>
      <c r="HT164" s="260"/>
      <c r="HU164" s="260"/>
      <c r="HV164" s="260"/>
      <c r="HW164" s="260"/>
      <c r="HX164" s="260"/>
      <c r="HY164" s="260"/>
      <c r="HZ164" s="260"/>
      <c r="IA164" s="260"/>
      <c r="IB164" s="260"/>
      <c r="IC164" s="260"/>
      <c r="ID164" s="260"/>
      <c r="IE164" s="260"/>
      <c r="IF164" s="260"/>
      <c r="IG164" s="260"/>
      <c r="IH164" s="260"/>
      <c r="II164" s="260"/>
      <c r="IJ164" s="260"/>
      <c r="IK164" s="260"/>
      <c r="IL164" s="260"/>
      <c r="IM164" s="260"/>
      <c r="IN164" s="260"/>
      <c r="IO164" s="260"/>
      <c r="IP164" s="260"/>
      <c r="IQ164" s="260"/>
      <c r="IR164" s="260"/>
    </row>
    <row r="165" spans="1:252" s="344" customFormat="1" ht="16.2" thickBot="1" x14ac:dyDescent="0.35">
      <c r="A165" s="343"/>
      <c r="B165" s="315"/>
      <c r="C165" s="315"/>
      <c r="D165" s="315"/>
      <c r="E165" s="315"/>
      <c r="F165" s="315"/>
      <c r="G165" s="315"/>
      <c r="H165" s="315"/>
      <c r="I165" s="315"/>
      <c r="J165" s="315"/>
      <c r="K165" s="315"/>
      <c r="L165" s="315"/>
      <c r="M165" s="315"/>
      <c r="N165" s="315"/>
      <c r="O165" s="315"/>
      <c r="P165" s="315"/>
      <c r="Q165" s="315"/>
      <c r="R165" s="331"/>
      <c r="S165" s="246"/>
      <c r="T165" s="241"/>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42"/>
      <c r="BD165" s="242"/>
      <c r="BE165" s="242"/>
      <c r="BF165" s="242"/>
      <c r="BG165" s="242"/>
      <c r="BH165" s="242"/>
      <c r="BI165" s="242"/>
      <c r="BJ165" s="242"/>
      <c r="BK165" s="242"/>
      <c r="BL165" s="242"/>
      <c r="BM165" s="242"/>
      <c r="BN165" s="242"/>
      <c r="BO165" s="242"/>
      <c r="BP165" s="242"/>
      <c r="BQ165" s="242"/>
      <c r="BR165" s="242"/>
      <c r="BS165" s="242"/>
      <c r="BT165" s="242"/>
      <c r="BU165" s="242"/>
      <c r="BV165" s="242"/>
      <c r="BW165" s="242"/>
      <c r="BX165" s="242"/>
      <c r="BY165" s="242"/>
      <c r="BZ165" s="242"/>
      <c r="CA165" s="242"/>
      <c r="CB165" s="242"/>
      <c r="CC165" s="242"/>
      <c r="CD165" s="242"/>
      <c r="CE165" s="242"/>
      <c r="CF165" s="242"/>
      <c r="CG165" s="242"/>
      <c r="CH165" s="242"/>
      <c r="CI165" s="242"/>
      <c r="CJ165" s="242"/>
      <c r="CK165" s="242"/>
      <c r="CL165" s="242"/>
      <c r="CM165" s="242"/>
      <c r="CN165" s="242"/>
      <c r="CO165" s="242"/>
      <c r="CP165" s="242"/>
      <c r="CQ165" s="242"/>
      <c r="CR165" s="242"/>
      <c r="CS165" s="242"/>
      <c r="CT165" s="242"/>
      <c r="CU165" s="242"/>
      <c r="CV165" s="242"/>
      <c r="CW165" s="242"/>
      <c r="CX165" s="242"/>
      <c r="CY165" s="242"/>
      <c r="CZ165" s="242"/>
      <c r="DA165" s="242"/>
      <c r="DB165" s="242"/>
      <c r="DC165" s="242"/>
      <c r="DD165" s="242"/>
      <c r="DE165" s="242"/>
      <c r="DF165" s="242"/>
      <c r="DG165" s="242"/>
      <c r="DH165" s="242"/>
      <c r="DI165" s="242"/>
      <c r="DJ165" s="242"/>
      <c r="DK165" s="242"/>
      <c r="DL165" s="242"/>
      <c r="DM165" s="242"/>
      <c r="DN165" s="242"/>
      <c r="DO165" s="242"/>
      <c r="DP165" s="242"/>
      <c r="DQ165" s="242"/>
      <c r="DR165" s="242"/>
      <c r="DS165" s="242"/>
      <c r="DT165" s="242"/>
      <c r="DU165" s="242"/>
      <c r="DV165" s="242"/>
      <c r="DW165" s="242"/>
      <c r="DX165" s="242"/>
      <c r="DY165" s="242"/>
      <c r="DZ165" s="242"/>
      <c r="EA165" s="242"/>
      <c r="EB165" s="242"/>
      <c r="EC165" s="242"/>
      <c r="ED165" s="242"/>
      <c r="EE165" s="242"/>
      <c r="EF165" s="242"/>
      <c r="EG165" s="242"/>
      <c r="EH165" s="242"/>
      <c r="EI165" s="242"/>
      <c r="EJ165" s="242"/>
      <c r="EK165" s="242"/>
      <c r="EL165" s="242"/>
      <c r="EM165" s="242"/>
      <c r="EN165" s="242"/>
      <c r="EO165" s="242"/>
      <c r="EP165" s="242"/>
      <c r="EQ165" s="242"/>
      <c r="ER165" s="242"/>
      <c r="ES165" s="242"/>
      <c r="ET165" s="242"/>
      <c r="EU165" s="242"/>
      <c r="EV165" s="242"/>
      <c r="EW165" s="242"/>
      <c r="EX165" s="242"/>
      <c r="EY165" s="242"/>
      <c r="EZ165" s="242"/>
      <c r="FA165" s="242"/>
      <c r="FB165" s="242"/>
      <c r="FC165" s="242"/>
      <c r="FD165" s="242"/>
      <c r="FE165" s="242"/>
      <c r="FF165" s="242"/>
      <c r="FG165" s="242"/>
      <c r="FH165" s="242"/>
      <c r="FI165" s="242"/>
      <c r="FJ165" s="242"/>
      <c r="FK165" s="242"/>
      <c r="FL165" s="242"/>
      <c r="FM165" s="242"/>
      <c r="FN165" s="242"/>
      <c r="FO165" s="242"/>
      <c r="FP165" s="242"/>
      <c r="FQ165" s="242"/>
      <c r="FR165" s="242"/>
      <c r="FS165" s="242"/>
      <c r="FT165" s="242"/>
      <c r="FU165" s="242"/>
      <c r="FV165" s="242"/>
      <c r="FW165" s="242"/>
      <c r="FX165" s="242"/>
      <c r="FY165" s="242"/>
      <c r="FZ165" s="242"/>
      <c r="GA165" s="242"/>
      <c r="GB165" s="242"/>
      <c r="GC165" s="242"/>
      <c r="GD165" s="242"/>
      <c r="GE165" s="242"/>
      <c r="GF165" s="242"/>
      <c r="GG165" s="242"/>
      <c r="GH165" s="242"/>
      <c r="GI165" s="242"/>
      <c r="GJ165" s="242"/>
      <c r="GK165" s="242"/>
      <c r="GL165" s="242"/>
      <c r="GM165" s="242"/>
      <c r="GN165" s="242"/>
      <c r="GO165" s="242"/>
      <c r="GP165" s="242"/>
      <c r="GQ165" s="242"/>
      <c r="GR165" s="242"/>
      <c r="GS165" s="242"/>
      <c r="GT165" s="242"/>
      <c r="GU165" s="242"/>
      <c r="GV165" s="242"/>
      <c r="GW165" s="242"/>
      <c r="GX165" s="242"/>
      <c r="GY165" s="242"/>
      <c r="GZ165" s="242"/>
      <c r="HA165" s="242"/>
      <c r="HB165" s="242"/>
      <c r="HC165" s="242"/>
      <c r="HD165" s="242"/>
      <c r="HE165" s="242"/>
      <c r="HF165" s="242"/>
      <c r="HG165" s="242"/>
      <c r="HH165" s="242"/>
      <c r="HI165" s="242"/>
      <c r="HJ165" s="242"/>
      <c r="HK165" s="242"/>
      <c r="HL165" s="242"/>
      <c r="HM165" s="242"/>
      <c r="HN165" s="242"/>
      <c r="HO165" s="242"/>
      <c r="HP165" s="242"/>
      <c r="HQ165" s="242"/>
      <c r="HR165" s="242"/>
      <c r="HS165" s="242"/>
      <c r="HT165" s="242"/>
      <c r="HU165" s="242"/>
      <c r="HV165" s="242"/>
      <c r="HW165" s="242"/>
      <c r="HX165" s="242"/>
      <c r="HY165" s="242"/>
      <c r="HZ165" s="242"/>
      <c r="IA165" s="242"/>
      <c r="IB165" s="242"/>
      <c r="IC165" s="242"/>
      <c r="ID165" s="242"/>
      <c r="IE165" s="242"/>
      <c r="IF165" s="242"/>
      <c r="IG165" s="242"/>
      <c r="IH165" s="242"/>
      <c r="II165" s="242"/>
      <c r="IJ165" s="242"/>
      <c r="IK165" s="242"/>
      <c r="IL165" s="242"/>
      <c r="IM165" s="242"/>
      <c r="IN165" s="242"/>
      <c r="IO165" s="242"/>
      <c r="IP165" s="242"/>
      <c r="IQ165" s="242"/>
      <c r="IR165" s="242"/>
    </row>
    <row r="166" spans="1:252" s="345" customFormat="1" x14ac:dyDescent="0.3">
      <c r="A166" s="237"/>
      <c r="B166" s="239"/>
      <c r="C166" s="239"/>
      <c r="D166" s="239"/>
      <c r="E166" s="239"/>
      <c r="F166" s="239"/>
      <c r="G166" s="239"/>
      <c r="H166" s="239"/>
      <c r="I166" s="239"/>
      <c r="J166" s="239"/>
      <c r="K166" s="239"/>
      <c r="L166" s="239"/>
      <c r="M166" s="239"/>
      <c r="N166" s="239"/>
      <c r="O166" s="239"/>
      <c r="P166" s="239"/>
      <c r="Q166" s="239"/>
      <c r="R166" s="339"/>
      <c r="S166" s="240"/>
      <c r="T166" s="241"/>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c r="AV166" s="242"/>
      <c r="AW166" s="242"/>
      <c r="AX166" s="242"/>
      <c r="AY166" s="242"/>
      <c r="AZ166" s="242"/>
      <c r="BA166" s="242"/>
      <c r="BB166" s="242"/>
      <c r="BC166" s="242"/>
      <c r="BD166" s="242"/>
      <c r="BE166" s="242"/>
      <c r="BF166" s="242"/>
      <c r="BG166" s="242"/>
      <c r="BH166" s="242"/>
      <c r="BI166" s="242"/>
      <c r="BJ166" s="242"/>
      <c r="BK166" s="242"/>
      <c r="BL166" s="242"/>
      <c r="BM166" s="242"/>
      <c r="BN166" s="242"/>
      <c r="BO166" s="242"/>
      <c r="BP166" s="242"/>
      <c r="BQ166" s="242"/>
      <c r="BR166" s="242"/>
      <c r="BS166" s="242"/>
      <c r="BT166" s="242"/>
      <c r="BU166" s="242"/>
      <c r="BV166" s="242"/>
      <c r="BW166" s="242"/>
      <c r="BX166" s="242"/>
      <c r="BY166" s="242"/>
      <c r="BZ166" s="242"/>
      <c r="CA166" s="242"/>
      <c r="CB166" s="242"/>
      <c r="CC166" s="242"/>
      <c r="CD166" s="242"/>
      <c r="CE166" s="242"/>
      <c r="CF166" s="242"/>
      <c r="CG166" s="242"/>
      <c r="CH166" s="242"/>
      <c r="CI166" s="242"/>
      <c r="CJ166" s="242"/>
      <c r="CK166" s="242"/>
      <c r="CL166" s="242"/>
      <c r="CM166" s="242"/>
      <c r="CN166" s="242"/>
      <c r="CO166" s="242"/>
      <c r="CP166" s="242"/>
      <c r="CQ166" s="242"/>
      <c r="CR166" s="242"/>
      <c r="CS166" s="242"/>
      <c r="CT166" s="242"/>
      <c r="CU166" s="242"/>
      <c r="CV166" s="242"/>
      <c r="CW166" s="242"/>
      <c r="CX166" s="242"/>
      <c r="CY166" s="242"/>
      <c r="CZ166" s="242"/>
      <c r="DA166" s="242"/>
      <c r="DB166" s="242"/>
      <c r="DC166" s="242"/>
      <c r="DD166" s="242"/>
      <c r="DE166" s="242"/>
      <c r="DF166" s="242"/>
      <c r="DG166" s="242"/>
      <c r="DH166" s="242"/>
      <c r="DI166" s="242"/>
      <c r="DJ166" s="242"/>
      <c r="DK166" s="242"/>
      <c r="DL166" s="242"/>
      <c r="DM166" s="242"/>
      <c r="DN166" s="242"/>
      <c r="DO166" s="242"/>
      <c r="DP166" s="242"/>
      <c r="DQ166" s="242"/>
      <c r="DR166" s="242"/>
      <c r="DS166" s="242"/>
      <c r="DT166" s="242"/>
      <c r="DU166" s="242"/>
      <c r="DV166" s="242"/>
      <c r="DW166" s="242"/>
      <c r="DX166" s="242"/>
      <c r="DY166" s="242"/>
      <c r="DZ166" s="242"/>
      <c r="EA166" s="242"/>
      <c r="EB166" s="242"/>
      <c r="EC166" s="242"/>
      <c r="ED166" s="242"/>
      <c r="EE166" s="242"/>
      <c r="EF166" s="242"/>
      <c r="EG166" s="242"/>
      <c r="EH166" s="242"/>
      <c r="EI166" s="242"/>
      <c r="EJ166" s="242"/>
      <c r="EK166" s="242"/>
      <c r="EL166" s="242"/>
      <c r="EM166" s="242"/>
      <c r="EN166" s="242"/>
      <c r="EO166" s="242"/>
      <c r="EP166" s="242"/>
      <c r="EQ166" s="242"/>
      <c r="ER166" s="242"/>
      <c r="ES166" s="242"/>
      <c r="ET166" s="242"/>
      <c r="EU166" s="242"/>
      <c r="EV166" s="242"/>
      <c r="EW166" s="242"/>
      <c r="EX166" s="242"/>
      <c r="EY166" s="242"/>
      <c r="EZ166" s="242"/>
      <c r="FA166" s="242"/>
      <c r="FB166" s="242"/>
      <c r="FC166" s="242"/>
      <c r="FD166" s="242"/>
      <c r="FE166" s="242"/>
      <c r="FF166" s="242"/>
      <c r="FG166" s="242"/>
      <c r="FH166" s="242"/>
      <c r="FI166" s="242"/>
      <c r="FJ166" s="242"/>
      <c r="FK166" s="242"/>
      <c r="FL166" s="242"/>
      <c r="FM166" s="242"/>
      <c r="FN166" s="242"/>
      <c r="FO166" s="242"/>
      <c r="FP166" s="242"/>
      <c r="FQ166" s="242"/>
      <c r="FR166" s="242"/>
      <c r="FS166" s="242"/>
      <c r="FT166" s="242"/>
      <c r="FU166" s="242"/>
      <c r="FV166" s="242"/>
      <c r="FW166" s="242"/>
      <c r="FX166" s="242"/>
      <c r="FY166" s="242"/>
      <c r="FZ166" s="242"/>
      <c r="GA166" s="242"/>
      <c r="GB166" s="242"/>
      <c r="GC166" s="242"/>
      <c r="GD166" s="242"/>
      <c r="GE166" s="242"/>
      <c r="GF166" s="242"/>
      <c r="GG166" s="242"/>
      <c r="GH166" s="242"/>
      <c r="GI166" s="242"/>
      <c r="GJ166" s="242"/>
      <c r="GK166" s="242"/>
      <c r="GL166" s="242"/>
      <c r="GM166" s="242"/>
      <c r="GN166" s="242"/>
      <c r="GO166" s="242"/>
      <c r="GP166" s="242"/>
      <c r="GQ166" s="242"/>
      <c r="GR166" s="242"/>
      <c r="GS166" s="242"/>
      <c r="GT166" s="242"/>
      <c r="GU166" s="242"/>
      <c r="GV166" s="242"/>
      <c r="GW166" s="242"/>
      <c r="GX166" s="242"/>
      <c r="GY166" s="242"/>
      <c r="GZ166" s="242"/>
      <c r="HA166" s="242"/>
      <c r="HB166" s="242"/>
      <c r="HC166" s="242"/>
      <c r="HD166" s="242"/>
      <c r="HE166" s="242"/>
      <c r="HF166" s="242"/>
      <c r="HG166" s="242"/>
      <c r="HH166" s="242"/>
      <c r="HI166" s="242"/>
      <c r="HJ166" s="242"/>
      <c r="HK166" s="242"/>
      <c r="HL166" s="242"/>
      <c r="HM166" s="242"/>
      <c r="HN166" s="242"/>
      <c r="HO166" s="242"/>
      <c r="HP166" s="242"/>
      <c r="HQ166" s="242"/>
      <c r="HR166" s="242"/>
      <c r="HS166" s="242"/>
      <c r="HT166" s="242"/>
      <c r="HU166" s="242"/>
      <c r="HV166" s="242"/>
      <c r="HW166" s="242"/>
      <c r="HX166" s="242"/>
      <c r="HY166" s="242"/>
      <c r="HZ166" s="242"/>
      <c r="IA166" s="242"/>
      <c r="IB166" s="242"/>
      <c r="IC166" s="242"/>
      <c r="ID166" s="242"/>
      <c r="IE166" s="242"/>
      <c r="IF166" s="242"/>
      <c r="IG166" s="242"/>
      <c r="IH166" s="242"/>
      <c r="II166" s="242"/>
      <c r="IJ166" s="242"/>
      <c r="IK166" s="242"/>
      <c r="IL166" s="242"/>
      <c r="IM166" s="242"/>
      <c r="IN166" s="242"/>
      <c r="IO166" s="242"/>
      <c r="IP166" s="242"/>
      <c r="IQ166" s="242"/>
      <c r="IR166" s="242"/>
    </row>
    <row r="167" spans="1:252" x14ac:dyDescent="0.3">
      <c r="A167" s="243"/>
      <c r="B167" s="418" t="s">
        <v>44</v>
      </c>
      <c r="C167" s="245"/>
      <c r="D167" s="245"/>
      <c r="E167" s="245"/>
      <c r="F167" s="245"/>
      <c r="G167" s="245"/>
      <c r="H167" s="245"/>
      <c r="I167" s="245"/>
      <c r="J167" s="245"/>
      <c r="K167" s="245"/>
      <c r="L167" s="245"/>
      <c r="M167" s="245"/>
      <c r="N167" s="245"/>
      <c r="O167" s="245"/>
      <c r="P167" s="245"/>
      <c r="Q167" s="245"/>
      <c r="R167" s="312"/>
      <c r="S167" s="246"/>
      <c r="T167" s="241"/>
    </row>
    <row r="168" spans="1:252" x14ac:dyDescent="0.3">
      <c r="A168" s="243"/>
      <c r="B168" s="330"/>
      <c r="C168" s="245"/>
      <c r="D168" s="245"/>
      <c r="E168" s="245"/>
      <c r="F168" s="245"/>
      <c r="G168" s="245"/>
      <c r="H168" s="245"/>
      <c r="I168" s="245"/>
      <c r="J168" s="245"/>
      <c r="K168" s="245"/>
      <c r="L168" s="245"/>
      <c r="M168" s="245"/>
      <c r="N168" s="245"/>
      <c r="O168" s="245"/>
      <c r="P168" s="245"/>
      <c r="Q168" s="245"/>
      <c r="R168" s="312"/>
      <c r="S168" s="246"/>
      <c r="T168" s="241"/>
    </row>
    <row r="169" spans="1:252" s="260" customFormat="1" x14ac:dyDescent="0.3">
      <c r="A169" s="275"/>
      <c r="B169" s="268" t="s">
        <v>177</v>
      </c>
      <c r="C169" s="268"/>
      <c r="D169" s="268"/>
      <c r="E169" s="268"/>
      <c r="F169" s="268"/>
      <c r="G169" s="268"/>
      <c r="H169" s="268"/>
      <c r="I169" s="268"/>
      <c r="J169" s="268"/>
      <c r="K169" s="268"/>
      <c r="L169" s="268"/>
      <c r="M169" s="268"/>
      <c r="N169" s="268"/>
      <c r="O169" s="268"/>
      <c r="P169" s="268"/>
      <c r="Q169" s="268"/>
      <c r="R169" s="314">
        <f>+R59</f>
        <v>61458</v>
      </c>
      <c r="S169" s="271"/>
      <c r="T169" s="259"/>
    </row>
    <row r="170" spans="1:252" s="260" customFormat="1" x14ac:dyDescent="0.3">
      <c r="A170" s="275"/>
      <c r="B170" s="268" t="s">
        <v>178</v>
      </c>
      <c r="C170" s="268"/>
      <c r="D170" s="268"/>
      <c r="E170" s="268"/>
      <c r="F170" s="268"/>
      <c r="G170" s="268"/>
      <c r="H170" s="268"/>
      <c r="I170" s="268"/>
      <c r="J170" s="268"/>
      <c r="K170" s="268"/>
      <c r="L170" s="268"/>
      <c r="M170" s="268"/>
      <c r="N170" s="268"/>
      <c r="O170" s="268"/>
      <c r="P170" s="268"/>
      <c r="Q170" s="268"/>
      <c r="R170" s="314">
        <f>+R69</f>
        <v>0</v>
      </c>
      <c r="S170" s="271"/>
      <c r="T170" s="259"/>
    </row>
    <row r="171" spans="1:252" s="260" customFormat="1" x14ac:dyDescent="0.3">
      <c r="A171" s="275"/>
      <c r="B171" s="268" t="s">
        <v>246</v>
      </c>
      <c r="C171" s="268"/>
      <c r="D171" s="268"/>
      <c r="E171" s="268"/>
      <c r="F171" s="268"/>
      <c r="G171" s="268"/>
      <c r="H171" s="268"/>
      <c r="I171" s="268"/>
      <c r="J171" s="268"/>
      <c r="K171" s="268"/>
      <c r="L171" s="268"/>
      <c r="M171" s="268"/>
      <c r="N171" s="268"/>
      <c r="O171" s="268"/>
      <c r="P171" s="268"/>
      <c r="Q171" s="268"/>
      <c r="R171" s="314">
        <f>+R70</f>
        <v>0</v>
      </c>
      <c r="S171" s="271"/>
      <c r="T171" s="259"/>
    </row>
    <row r="172" spans="1:252" s="260" customFormat="1" x14ac:dyDescent="0.3">
      <c r="A172" s="275"/>
      <c r="B172" s="268" t="s">
        <v>126</v>
      </c>
      <c r="C172" s="268"/>
      <c r="D172" s="268"/>
      <c r="E172" s="268"/>
      <c r="F172" s="268"/>
      <c r="G172" s="268"/>
      <c r="H172" s="268"/>
      <c r="I172" s="268"/>
      <c r="J172" s="268"/>
      <c r="K172" s="268"/>
      <c r="L172" s="268"/>
      <c r="M172" s="268"/>
      <c r="N172" s="268"/>
      <c r="O172" s="268"/>
      <c r="P172" s="268"/>
      <c r="Q172" s="268"/>
      <c r="R172" s="314">
        <f>+R169+R170+R171</f>
        <v>61458</v>
      </c>
      <c r="S172" s="271"/>
      <c r="T172" s="259"/>
    </row>
    <row r="173" spans="1:252" s="260" customFormat="1" x14ac:dyDescent="0.3">
      <c r="A173" s="275"/>
      <c r="B173" s="268" t="s">
        <v>45</v>
      </c>
      <c r="C173" s="268"/>
      <c r="D173" s="268"/>
      <c r="E173" s="268"/>
      <c r="F173" s="268"/>
      <c r="G173" s="268"/>
      <c r="H173" s="268"/>
      <c r="I173" s="268"/>
      <c r="J173" s="268"/>
      <c r="K173" s="268"/>
      <c r="L173" s="268"/>
      <c r="M173" s="268"/>
      <c r="N173" s="268"/>
      <c r="O173" s="268"/>
      <c r="P173" s="268"/>
      <c r="Q173" s="268"/>
      <c r="R173" s="314">
        <f>R72</f>
        <v>61458</v>
      </c>
      <c r="S173" s="271"/>
      <c r="T173" s="259"/>
    </row>
    <row r="174" spans="1:252" ht="16.2" thickBot="1" x14ac:dyDescent="0.35">
      <c r="A174" s="243"/>
      <c r="B174" s="315"/>
      <c r="C174" s="315"/>
      <c r="D174" s="315"/>
      <c r="E174" s="315"/>
      <c r="F174" s="315"/>
      <c r="G174" s="315"/>
      <c r="H174" s="315"/>
      <c r="I174" s="315"/>
      <c r="J174" s="315"/>
      <c r="K174" s="315"/>
      <c r="L174" s="315"/>
      <c r="M174" s="315"/>
      <c r="N174" s="315"/>
      <c r="O174" s="315"/>
      <c r="P174" s="315"/>
      <c r="Q174" s="315"/>
      <c r="R174" s="331"/>
      <c r="S174" s="246"/>
      <c r="T174" s="241"/>
    </row>
    <row r="175" spans="1:252" x14ac:dyDescent="0.3">
      <c r="A175" s="237"/>
      <c r="B175" s="239"/>
      <c r="C175" s="239"/>
      <c r="D175" s="239"/>
      <c r="E175" s="239"/>
      <c r="F175" s="239"/>
      <c r="G175" s="239"/>
      <c r="H175" s="239"/>
      <c r="I175" s="239"/>
      <c r="J175" s="239"/>
      <c r="K175" s="239"/>
      <c r="L175" s="239"/>
      <c r="M175" s="239"/>
      <c r="N175" s="239"/>
      <c r="O175" s="239"/>
      <c r="P175" s="239"/>
      <c r="Q175" s="239"/>
      <c r="R175" s="339"/>
      <c r="S175" s="240"/>
      <c r="T175" s="241"/>
    </row>
    <row r="176" spans="1:252" s="409" customFormat="1" x14ac:dyDescent="0.3">
      <c r="A176" s="412"/>
      <c r="B176" s="418" t="s">
        <v>46</v>
      </c>
      <c r="C176" s="419"/>
      <c r="D176" s="420"/>
      <c r="E176" s="420"/>
      <c r="F176" s="420"/>
      <c r="G176" s="420"/>
      <c r="H176" s="420"/>
      <c r="I176" s="420"/>
      <c r="J176" s="420"/>
      <c r="K176" s="420"/>
      <c r="L176" s="420"/>
      <c r="M176" s="420"/>
      <c r="N176" s="420"/>
      <c r="O176" s="420" t="s">
        <v>82</v>
      </c>
      <c r="P176" s="420" t="s">
        <v>173</v>
      </c>
      <c r="Q176" s="248"/>
      <c r="R176" s="421" t="s">
        <v>94</v>
      </c>
      <c r="S176" s="422"/>
      <c r="T176" s="408"/>
    </row>
    <row r="177" spans="1:20" s="260" customFormat="1" x14ac:dyDescent="0.3">
      <c r="A177" s="275"/>
      <c r="B177" s="268" t="s">
        <v>47</v>
      </c>
      <c r="C177" s="268"/>
      <c r="D177" s="268"/>
      <c r="E177" s="268"/>
      <c r="F177" s="268"/>
      <c r="G177" s="268"/>
      <c r="H177" s="268"/>
      <c r="I177" s="268"/>
      <c r="J177" s="268"/>
      <c r="K177" s="268"/>
      <c r="L177" s="268"/>
      <c r="M177" s="268"/>
      <c r="N177" s="268"/>
      <c r="O177" s="314">
        <f>+R28*0.05</f>
        <v>12500</v>
      </c>
      <c r="P177" s="293"/>
      <c r="Q177" s="268"/>
      <c r="R177" s="314"/>
      <c r="S177" s="271"/>
      <c r="T177" s="259"/>
    </row>
    <row r="178" spans="1:20" s="260" customFormat="1" x14ac:dyDescent="0.3">
      <c r="A178" s="275"/>
      <c r="B178" s="268" t="s">
        <v>48</v>
      </c>
      <c r="C178" s="268"/>
      <c r="D178" s="268"/>
      <c r="E178" s="268"/>
      <c r="F178" s="268"/>
      <c r="G178" s="268"/>
      <c r="H178" s="268"/>
      <c r="I178" s="268"/>
      <c r="J178" s="268"/>
      <c r="K178" s="268"/>
      <c r="L178" s="268"/>
      <c r="M178" s="268"/>
      <c r="N178" s="268"/>
      <c r="O178" s="314">
        <f>+'May 18'!O180</f>
        <v>1069</v>
      </c>
      <c r="P178" s="314">
        <f>+'May 18'!P180</f>
        <v>517</v>
      </c>
      <c r="Q178" s="268"/>
      <c r="R178" s="314">
        <f>O178+P178</f>
        <v>1586</v>
      </c>
      <c r="S178" s="271"/>
      <c r="T178" s="259"/>
    </row>
    <row r="179" spans="1:20" s="260" customFormat="1" x14ac:dyDescent="0.3">
      <c r="A179" s="275"/>
      <c r="B179" s="268" t="s">
        <v>49</v>
      </c>
      <c r="C179" s="268"/>
      <c r="D179" s="268"/>
      <c r="E179" s="268"/>
      <c r="F179" s="268"/>
      <c r="G179" s="268"/>
      <c r="H179" s="268"/>
      <c r="I179" s="268"/>
      <c r="J179" s="268"/>
      <c r="K179" s="268"/>
      <c r="L179" s="268"/>
      <c r="M179" s="268"/>
      <c r="N179" s="268"/>
      <c r="O179" s="313">
        <v>78</v>
      </c>
      <c r="P179" s="313">
        <v>0</v>
      </c>
      <c r="Q179" s="268"/>
      <c r="R179" s="314">
        <f>O179+P179</f>
        <v>78</v>
      </c>
      <c r="S179" s="271"/>
      <c r="T179" s="259"/>
    </row>
    <row r="180" spans="1:20" s="260" customFormat="1" x14ac:dyDescent="0.3">
      <c r="A180" s="275"/>
      <c r="B180" s="268" t="s">
        <v>50</v>
      </c>
      <c r="C180" s="268"/>
      <c r="D180" s="268"/>
      <c r="E180" s="268"/>
      <c r="F180" s="268"/>
      <c r="G180" s="268"/>
      <c r="H180" s="268"/>
      <c r="I180" s="268"/>
      <c r="J180" s="268"/>
      <c r="K180" s="268"/>
      <c r="L180" s="268"/>
      <c r="M180" s="268"/>
      <c r="N180" s="268"/>
      <c r="O180" s="314">
        <f>O178+O179</f>
        <v>1147</v>
      </c>
      <c r="P180" s="314">
        <f>P179+P178</f>
        <v>517</v>
      </c>
      <c r="Q180" s="268"/>
      <c r="R180" s="314">
        <f>O180+P180</f>
        <v>1664</v>
      </c>
      <c r="S180" s="271"/>
      <c r="T180" s="259"/>
    </row>
    <row r="181" spans="1:20" s="260" customFormat="1" x14ac:dyDescent="0.3">
      <c r="A181" s="275"/>
      <c r="B181" s="268" t="s">
        <v>51</v>
      </c>
      <c r="C181" s="268"/>
      <c r="D181" s="268"/>
      <c r="E181" s="268"/>
      <c r="F181" s="268"/>
      <c r="G181" s="268"/>
      <c r="H181" s="268"/>
      <c r="I181" s="268"/>
      <c r="J181" s="268"/>
      <c r="K181" s="268"/>
      <c r="L181" s="268"/>
      <c r="M181" s="268"/>
      <c r="N181" s="268"/>
      <c r="O181" s="314">
        <f>O177-O180-P180</f>
        <v>10836</v>
      </c>
      <c r="P181" s="293"/>
      <c r="Q181" s="268"/>
      <c r="R181" s="314"/>
      <c r="S181" s="271"/>
      <c r="T181" s="259"/>
    </row>
    <row r="182" spans="1:20" ht="16.2" thickBot="1" x14ac:dyDescent="0.35">
      <c r="A182" s="243"/>
      <c r="B182" s="315"/>
      <c r="C182" s="315"/>
      <c r="D182" s="315"/>
      <c r="E182" s="315"/>
      <c r="F182" s="315"/>
      <c r="G182" s="315"/>
      <c r="H182" s="315"/>
      <c r="I182" s="315"/>
      <c r="J182" s="315"/>
      <c r="K182" s="315"/>
      <c r="L182" s="315"/>
      <c r="M182" s="315"/>
      <c r="N182" s="315"/>
      <c r="O182" s="315"/>
      <c r="P182" s="315"/>
      <c r="Q182" s="315"/>
      <c r="R182" s="331"/>
      <c r="S182" s="246"/>
      <c r="T182" s="241"/>
    </row>
    <row r="183" spans="1:20" x14ac:dyDescent="0.3">
      <c r="A183" s="237"/>
      <c r="B183" s="239"/>
      <c r="C183" s="239"/>
      <c r="D183" s="239"/>
      <c r="E183" s="239"/>
      <c r="F183" s="239"/>
      <c r="G183" s="239"/>
      <c r="H183" s="239"/>
      <c r="I183" s="239"/>
      <c r="J183" s="239"/>
      <c r="K183" s="239"/>
      <c r="L183" s="239"/>
      <c r="M183" s="239"/>
      <c r="N183" s="239"/>
      <c r="O183" s="239"/>
      <c r="P183" s="239"/>
      <c r="Q183" s="239"/>
      <c r="R183" s="339"/>
      <c r="S183" s="240"/>
      <c r="T183" s="241"/>
    </row>
    <row r="184" spans="1:20" x14ac:dyDescent="0.3">
      <c r="A184" s="243"/>
      <c r="B184" s="418" t="s">
        <v>52</v>
      </c>
      <c r="C184" s="245"/>
      <c r="D184" s="245"/>
      <c r="E184" s="245"/>
      <c r="F184" s="245"/>
      <c r="G184" s="245"/>
      <c r="H184" s="245"/>
      <c r="I184" s="245"/>
      <c r="J184" s="245"/>
      <c r="K184" s="245"/>
      <c r="L184" s="245"/>
      <c r="M184" s="245"/>
      <c r="N184" s="245"/>
      <c r="O184" s="245"/>
      <c r="P184" s="245"/>
      <c r="Q184" s="245"/>
      <c r="R184" s="346"/>
      <c r="S184" s="246"/>
      <c r="T184" s="241"/>
    </row>
    <row r="185" spans="1:20" s="260" customFormat="1" x14ac:dyDescent="0.3">
      <c r="A185" s="275"/>
      <c r="B185" s="268" t="s">
        <v>53</v>
      </c>
      <c r="C185" s="268"/>
      <c r="D185" s="268"/>
      <c r="E185" s="268"/>
      <c r="F185" s="268"/>
      <c r="G185" s="268"/>
      <c r="H185" s="268"/>
      <c r="I185" s="268"/>
      <c r="J185" s="268"/>
      <c r="K185" s="268"/>
      <c r="L185" s="268"/>
      <c r="M185" s="268"/>
      <c r="N185" s="268"/>
      <c r="O185" s="268"/>
      <c r="P185" s="268"/>
      <c r="Q185" s="268"/>
      <c r="R185" s="347">
        <f>(R92+R94+R95+R96+R97)/-(R98)</f>
        <v>6.8046875</v>
      </c>
      <c r="S185" s="271" t="s">
        <v>95</v>
      </c>
      <c r="T185" s="259"/>
    </row>
    <row r="186" spans="1:20" s="260" customFormat="1" x14ac:dyDescent="0.3">
      <c r="A186" s="275"/>
      <c r="B186" s="268" t="s">
        <v>54</v>
      </c>
      <c r="C186" s="268"/>
      <c r="D186" s="268"/>
      <c r="E186" s="268"/>
      <c r="F186" s="268"/>
      <c r="G186" s="268"/>
      <c r="H186" s="268"/>
      <c r="I186" s="268"/>
      <c r="J186" s="268"/>
      <c r="K186" s="268"/>
      <c r="L186" s="268"/>
      <c r="M186" s="268"/>
      <c r="N186" s="268"/>
      <c r="O186" s="268"/>
      <c r="P186" s="268"/>
      <c r="Q186" s="268"/>
      <c r="R186" s="348">
        <v>4</v>
      </c>
      <c r="S186" s="271" t="s">
        <v>95</v>
      </c>
      <c r="T186" s="259"/>
    </row>
    <row r="187" spans="1:20" s="260" customFormat="1" x14ac:dyDescent="0.3">
      <c r="A187" s="275"/>
      <c r="B187" s="268" t="s">
        <v>192</v>
      </c>
      <c r="C187" s="268"/>
      <c r="D187" s="268"/>
      <c r="E187" s="268"/>
      <c r="F187" s="268"/>
      <c r="G187" s="268"/>
      <c r="H187" s="268"/>
      <c r="I187" s="268"/>
      <c r="J187" s="268"/>
      <c r="K187" s="268"/>
      <c r="L187" s="268"/>
      <c r="M187" s="268"/>
      <c r="N187" s="268"/>
      <c r="O187" s="268"/>
      <c r="P187" s="268"/>
      <c r="Q187" s="268"/>
      <c r="R187" s="347">
        <f>(R92+R94+R95+R96+R97+R98)/-(R99)</f>
        <v>7.989247311827957</v>
      </c>
      <c r="S187" s="271" t="s">
        <v>95</v>
      </c>
      <c r="T187" s="259"/>
    </row>
    <row r="188" spans="1:20" s="260" customFormat="1" x14ac:dyDescent="0.3">
      <c r="A188" s="275"/>
      <c r="B188" s="268" t="s">
        <v>193</v>
      </c>
      <c r="C188" s="268"/>
      <c r="D188" s="268"/>
      <c r="E188" s="268"/>
      <c r="F188" s="268"/>
      <c r="G188" s="268"/>
      <c r="H188" s="268"/>
      <c r="I188" s="268"/>
      <c r="J188" s="268"/>
      <c r="K188" s="268"/>
      <c r="L188" s="268"/>
      <c r="M188" s="268"/>
      <c r="N188" s="268"/>
      <c r="O188" s="268"/>
      <c r="P188" s="268"/>
      <c r="Q188" s="268"/>
      <c r="R188" s="348">
        <v>16.670000000000002</v>
      </c>
      <c r="S188" s="271" t="s">
        <v>95</v>
      </c>
      <c r="T188" s="259"/>
    </row>
    <row r="189" spans="1:20" s="260" customFormat="1" x14ac:dyDescent="0.3">
      <c r="A189" s="275"/>
      <c r="B189" s="268" t="s">
        <v>194</v>
      </c>
      <c r="C189" s="268"/>
      <c r="D189" s="268"/>
      <c r="E189" s="268"/>
      <c r="F189" s="268"/>
      <c r="G189" s="268"/>
      <c r="H189" s="268"/>
      <c r="I189" s="268"/>
      <c r="J189" s="268"/>
      <c r="K189" s="268"/>
      <c r="L189" s="268"/>
      <c r="M189" s="268"/>
      <c r="N189" s="268"/>
      <c r="O189" s="268"/>
      <c r="P189" s="268"/>
      <c r="Q189" s="268"/>
      <c r="R189" s="347">
        <f>(R92+R94+R95+R96+R97+R98+R99)/-(R100)</f>
        <v>13</v>
      </c>
      <c r="S189" s="271" t="s">
        <v>95</v>
      </c>
      <c r="T189" s="259"/>
    </row>
    <row r="190" spans="1:20" s="260" customFormat="1" x14ac:dyDescent="0.3">
      <c r="A190" s="275"/>
      <c r="B190" s="268" t="s">
        <v>195</v>
      </c>
      <c r="C190" s="268"/>
      <c r="D190" s="268"/>
      <c r="E190" s="268"/>
      <c r="F190" s="268"/>
      <c r="G190" s="268"/>
      <c r="H190" s="268"/>
      <c r="I190" s="268"/>
      <c r="J190" s="268"/>
      <c r="K190" s="268"/>
      <c r="L190" s="268"/>
      <c r="M190" s="268"/>
      <c r="N190" s="268"/>
      <c r="O190" s="268"/>
      <c r="P190" s="268"/>
      <c r="Q190" s="268"/>
      <c r="R190" s="348">
        <v>28.97</v>
      </c>
      <c r="S190" s="271" t="s">
        <v>95</v>
      </c>
      <c r="T190" s="259"/>
    </row>
    <row r="191" spans="1:20" s="260" customFormat="1" x14ac:dyDescent="0.3">
      <c r="A191" s="275"/>
      <c r="B191" s="268" t="s">
        <v>196</v>
      </c>
      <c r="C191" s="268"/>
      <c r="D191" s="268"/>
      <c r="E191" s="268"/>
      <c r="F191" s="268"/>
      <c r="G191" s="268"/>
      <c r="H191" s="268"/>
      <c r="I191" s="268"/>
      <c r="J191" s="268"/>
      <c r="K191" s="268"/>
      <c r="L191" s="268"/>
      <c r="M191" s="268"/>
      <c r="N191" s="268"/>
      <c r="O191" s="268"/>
      <c r="P191" s="268"/>
      <c r="Q191" s="268"/>
      <c r="R191" s="347">
        <f>(R92+R94+R95+R96+R97+R98+R99+R100+R101+R102+R103+R104+R105)/-(R106)</f>
        <v>13.181818181818182</v>
      </c>
      <c r="S191" s="271" t="s">
        <v>95</v>
      </c>
      <c r="T191" s="259"/>
    </row>
    <row r="192" spans="1:20" s="260" customFormat="1" x14ac:dyDescent="0.3">
      <c r="A192" s="275"/>
      <c r="B192" s="268" t="s">
        <v>197</v>
      </c>
      <c r="C192" s="268"/>
      <c r="D192" s="268"/>
      <c r="E192" s="268"/>
      <c r="F192" s="268"/>
      <c r="G192" s="268"/>
      <c r="H192" s="268"/>
      <c r="I192" s="268"/>
      <c r="J192" s="268"/>
      <c r="K192" s="268"/>
      <c r="L192" s="268"/>
      <c r="M192" s="268"/>
      <c r="N192" s="268"/>
      <c r="O192" s="268"/>
      <c r="P192" s="268"/>
      <c r="Q192" s="268"/>
      <c r="R192" s="348">
        <v>30.68</v>
      </c>
      <c r="S192" s="271" t="s">
        <v>95</v>
      </c>
      <c r="T192" s="259"/>
    </row>
    <row r="193" spans="1:20" s="260" customFormat="1" x14ac:dyDescent="0.3">
      <c r="A193" s="275"/>
      <c r="B193" s="268"/>
      <c r="C193" s="268"/>
      <c r="D193" s="268"/>
      <c r="E193" s="268"/>
      <c r="F193" s="268"/>
      <c r="G193" s="268"/>
      <c r="H193" s="268"/>
      <c r="I193" s="268"/>
      <c r="J193" s="268"/>
      <c r="K193" s="268"/>
      <c r="L193" s="268"/>
      <c r="M193" s="268"/>
      <c r="N193" s="268"/>
      <c r="O193" s="268"/>
      <c r="P193" s="268"/>
      <c r="Q193" s="268"/>
      <c r="R193" s="268"/>
      <c r="S193" s="271"/>
      <c r="T193" s="259"/>
    </row>
    <row r="194" spans="1:20" s="260" customFormat="1" x14ac:dyDescent="0.3">
      <c r="A194" s="255"/>
      <c r="B194" s="302"/>
      <c r="C194" s="302"/>
      <c r="D194" s="302"/>
      <c r="E194" s="302"/>
      <c r="F194" s="302"/>
      <c r="G194" s="302"/>
      <c r="H194" s="302"/>
      <c r="I194" s="302"/>
      <c r="J194" s="302"/>
      <c r="K194" s="302"/>
      <c r="L194" s="302"/>
      <c r="M194" s="302"/>
      <c r="N194" s="302"/>
      <c r="O194" s="302"/>
      <c r="P194" s="302"/>
      <c r="Q194" s="302"/>
      <c r="R194" s="302"/>
      <c r="S194" s="258"/>
      <c r="T194" s="259"/>
    </row>
    <row r="195" spans="1:20" s="260" customFormat="1" x14ac:dyDescent="0.3">
      <c r="A195" s="255"/>
      <c r="B195" s="256"/>
      <c r="C195" s="256"/>
      <c r="D195" s="256"/>
      <c r="E195" s="256"/>
      <c r="F195" s="256"/>
      <c r="G195" s="256"/>
      <c r="H195" s="256"/>
      <c r="I195" s="256"/>
      <c r="J195" s="256"/>
      <c r="K195" s="256"/>
      <c r="L195" s="256"/>
      <c r="M195" s="256"/>
      <c r="N195" s="256"/>
      <c r="O195" s="256"/>
      <c r="P195" s="256"/>
      <c r="Q195" s="256"/>
      <c r="R195" s="256"/>
      <c r="S195" s="258"/>
      <c r="T195" s="259"/>
    </row>
    <row r="196" spans="1:20" s="260" customFormat="1" ht="18.600000000000001" thickBot="1" x14ac:dyDescent="0.4">
      <c r="A196" s="307"/>
      <c r="B196" s="308" t="str">
        <f>B123</f>
        <v>PM21 INVESTOR REPORT QUARTER ENDING AUGUST 2018</v>
      </c>
      <c r="C196" s="309"/>
      <c r="D196" s="309"/>
      <c r="E196" s="309"/>
      <c r="F196" s="309"/>
      <c r="G196" s="309"/>
      <c r="H196" s="309"/>
      <c r="I196" s="309"/>
      <c r="J196" s="309"/>
      <c r="K196" s="309"/>
      <c r="L196" s="309"/>
      <c r="M196" s="309"/>
      <c r="N196" s="309"/>
      <c r="O196" s="309"/>
      <c r="P196" s="309"/>
      <c r="Q196" s="309"/>
      <c r="R196" s="309"/>
      <c r="S196" s="311"/>
      <c r="T196" s="259"/>
    </row>
    <row r="197" spans="1:20" x14ac:dyDescent="0.3">
      <c r="A197" s="438"/>
      <c r="B197" s="439" t="s">
        <v>55</v>
      </c>
      <c r="C197" s="443"/>
      <c r="D197" s="444"/>
      <c r="E197" s="444"/>
      <c r="F197" s="444"/>
      <c r="G197" s="444"/>
      <c r="H197" s="444"/>
      <c r="I197" s="444"/>
      <c r="J197" s="444"/>
      <c r="K197" s="444"/>
      <c r="L197" s="444"/>
      <c r="M197" s="444"/>
      <c r="N197" s="444"/>
      <c r="O197" s="444"/>
      <c r="P197" s="444">
        <v>43343</v>
      </c>
      <c r="Q197" s="440"/>
      <c r="R197" s="440"/>
      <c r="S197" s="442"/>
      <c r="T197" s="241"/>
    </row>
    <row r="198" spans="1:20" x14ac:dyDescent="0.3">
      <c r="A198" s="349"/>
      <c r="B198" s="350"/>
      <c r="C198" s="351"/>
      <c r="D198" s="352"/>
      <c r="E198" s="352"/>
      <c r="F198" s="352"/>
      <c r="G198" s="352"/>
      <c r="H198" s="352"/>
      <c r="I198" s="352"/>
      <c r="J198" s="352"/>
      <c r="K198" s="352"/>
      <c r="L198" s="352"/>
      <c r="M198" s="352"/>
      <c r="N198" s="352"/>
      <c r="O198" s="352"/>
      <c r="P198" s="352"/>
      <c r="Q198" s="245"/>
      <c r="R198" s="245"/>
      <c r="S198" s="246"/>
      <c r="T198" s="241"/>
    </row>
    <row r="199" spans="1:20" s="260" customFormat="1" x14ac:dyDescent="0.3">
      <c r="A199" s="275"/>
      <c r="B199" s="268" t="s">
        <v>56</v>
      </c>
      <c r="C199" s="353"/>
      <c r="D199" s="296"/>
      <c r="E199" s="296"/>
      <c r="F199" s="296"/>
      <c r="G199" s="296"/>
      <c r="H199" s="296"/>
      <c r="I199" s="296"/>
      <c r="J199" s="296"/>
      <c r="K199" s="296"/>
      <c r="L199" s="296"/>
      <c r="M199" s="296"/>
      <c r="N199" s="296"/>
      <c r="O199" s="296"/>
      <c r="P199" s="290">
        <v>4.1349999999999998E-2</v>
      </c>
      <c r="Q199" s="268"/>
      <c r="R199" s="268"/>
      <c r="S199" s="271"/>
      <c r="T199" s="259"/>
    </row>
    <row r="200" spans="1:20" s="260" customFormat="1" x14ac:dyDescent="0.3">
      <c r="A200" s="275"/>
      <c r="B200" s="268" t="s">
        <v>161</v>
      </c>
      <c r="C200" s="353"/>
      <c r="D200" s="296"/>
      <c r="E200" s="296"/>
      <c r="F200" s="296"/>
      <c r="G200" s="296"/>
      <c r="H200" s="296"/>
      <c r="I200" s="296"/>
      <c r="J200" s="296"/>
      <c r="K200" s="296"/>
      <c r="L200" s="296"/>
      <c r="M200" s="296"/>
      <c r="N200" s="296"/>
      <c r="O200" s="296"/>
      <c r="P200" s="290">
        <v>1.50706E-2</v>
      </c>
      <c r="Q200" s="268"/>
      <c r="R200" s="268"/>
      <c r="S200" s="271"/>
      <c r="T200" s="259"/>
    </row>
    <row r="201" spans="1:20" s="260" customFormat="1" x14ac:dyDescent="0.3">
      <c r="A201" s="275"/>
      <c r="B201" s="268" t="s">
        <v>57</v>
      </c>
      <c r="C201" s="353"/>
      <c r="D201" s="296"/>
      <c r="E201" s="296"/>
      <c r="F201" s="296"/>
      <c r="G201" s="296"/>
      <c r="H201" s="296"/>
      <c r="I201" s="296"/>
      <c r="J201" s="296"/>
      <c r="K201" s="296"/>
      <c r="L201" s="296"/>
      <c r="M201" s="296"/>
      <c r="N201" s="296"/>
      <c r="O201" s="296"/>
      <c r="P201" s="290">
        <f>P199-P200</f>
        <v>2.6279399999999998E-2</v>
      </c>
      <c r="Q201" s="268"/>
      <c r="R201" s="268"/>
      <c r="S201" s="271"/>
      <c r="T201" s="259"/>
    </row>
    <row r="202" spans="1:20" s="260" customFormat="1" x14ac:dyDescent="0.3">
      <c r="A202" s="275"/>
      <c r="B202" s="268" t="s">
        <v>164</v>
      </c>
      <c r="C202" s="353"/>
      <c r="D202" s="296"/>
      <c r="E202" s="296"/>
      <c r="F202" s="296"/>
      <c r="G202" s="296"/>
      <c r="H202" s="296"/>
      <c r="I202" s="296"/>
      <c r="J202" s="296"/>
      <c r="K202" s="296"/>
      <c r="L202" s="296"/>
      <c r="M202" s="296"/>
      <c r="N202" s="296"/>
      <c r="O202" s="296"/>
      <c r="P202" s="290">
        <v>4.6307500000000001E-2</v>
      </c>
      <c r="Q202" s="268"/>
      <c r="R202" s="268"/>
      <c r="S202" s="271"/>
      <c r="T202" s="259"/>
    </row>
    <row r="203" spans="1:20" s="260" customFormat="1" x14ac:dyDescent="0.3">
      <c r="A203" s="275"/>
      <c r="B203" s="268" t="s">
        <v>58</v>
      </c>
      <c r="C203" s="353"/>
      <c r="D203" s="296"/>
      <c r="E203" s="296"/>
      <c r="F203" s="296"/>
      <c r="G203" s="296"/>
      <c r="H203" s="296"/>
      <c r="I203" s="296"/>
      <c r="J203" s="296"/>
      <c r="K203" s="296"/>
      <c r="L203" s="296"/>
      <c r="M203" s="296"/>
      <c r="N203" s="296"/>
      <c r="O203" s="296"/>
      <c r="P203" s="290">
        <v>4.827E-2</v>
      </c>
      <c r="Q203" s="268"/>
      <c r="R203" s="268"/>
      <c r="S203" s="271"/>
      <c r="T203" s="259"/>
    </row>
    <row r="204" spans="1:20" s="260" customFormat="1" x14ac:dyDescent="0.3">
      <c r="A204" s="275"/>
      <c r="B204" s="268" t="s">
        <v>162</v>
      </c>
      <c r="C204" s="353"/>
      <c r="D204" s="296"/>
      <c r="E204" s="296"/>
      <c r="F204" s="296"/>
      <c r="G204" s="296"/>
      <c r="H204" s="296"/>
      <c r="I204" s="296"/>
      <c r="J204" s="296"/>
      <c r="K204" s="296"/>
      <c r="L204" s="296"/>
      <c r="M204" s="296"/>
      <c r="N204" s="296"/>
      <c r="O204" s="296"/>
      <c r="P204" s="290">
        <f>R34</f>
        <v>1.8277090431383997E-2</v>
      </c>
      <c r="Q204" s="268"/>
      <c r="R204" s="268"/>
      <c r="S204" s="271"/>
      <c r="T204" s="259"/>
    </row>
    <row r="205" spans="1:20" s="260" customFormat="1" x14ac:dyDescent="0.3">
      <c r="A205" s="275"/>
      <c r="B205" s="268" t="s">
        <v>59</v>
      </c>
      <c r="C205" s="353"/>
      <c r="D205" s="296"/>
      <c r="E205" s="296"/>
      <c r="F205" s="296"/>
      <c r="G205" s="296"/>
      <c r="H205" s="296"/>
      <c r="I205" s="296"/>
      <c r="J205" s="296"/>
      <c r="K205" s="296"/>
      <c r="L205" s="296"/>
      <c r="M205" s="296"/>
      <c r="N205" s="296"/>
      <c r="O205" s="296"/>
      <c r="P205" s="290">
        <f>P203-P204</f>
        <v>2.9992909568616003E-2</v>
      </c>
      <c r="Q205" s="268"/>
      <c r="R205" s="268"/>
      <c r="S205" s="271"/>
      <c r="T205" s="259"/>
    </row>
    <row r="206" spans="1:20" s="260" customFormat="1" x14ac:dyDescent="0.3">
      <c r="A206" s="275"/>
      <c r="B206" s="268" t="s">
        <v>139</v>
      </c>
      <c r="C206" s="353"/>
      <c r="D206" s="296"/>
      <c r="E206" s="296"/>
      <c r="F206" s="296"/>
      <c r="G206" s="296"/>
      <c r="H206" s="296"/>
      <c r="I206" s="296"/>
      <c r="J206" s="296"/>
      <c r="K206" s="296"/>
      <c r="L206" s="296"/>
      <c r="M206" s="296"/>
      <c r="N206" s="296"/>
      <c r="O206" s="296"/>
      <c r="P206" s="290">
        <f>(+R92+R94)/H72</f>
        <v>1.3868503819080426E-2</v>
      </c>
      <c r="Q206" s="268"/>
      <c r="R206" s="268"/>
      <c r="S206" s="271"/>
      <c r="T206" s="259"/>
    </row>
    <row r="207" spans="1:20" s="260" customFormat="1" x14ac:dyDescent="0.3">
      <c r="A207" s="275"/>
      <c r="B207" s="268" t="s">
        <v>132</v>
      </c>
      <c r="C207" s="353"/>
      <c r="D207" s="296"/>
      <c r="E207" s="296"/>
      <c r="F207" s="296"/>
      <c r="G207" s="296"/>
      <c r="H207" s="296"/>
      <c r="I207" s="296"/>
      <c r="J207" s="296"/>
      <c r="K207" s="296"/>
      <c r="L207" s="296"/>
      <c r="M207" s="296"/>
      <c r="N207" s="296"/>
      <c r="O207" s="296"/>
      <c r="P207" s="354">
        <v>15507</v>
      </c>
      <c r="Q207" s="268"/>
      <c r="R207" s="268"/>
      <c r="S207" s="271"/>
      <c r="T207" s="259"/>
    </row>
    <row r="208" spans="1:20" s="260" customFormat="1" x14ac:dyDescent="0.3">
      <c r="A208" s="275"/>
      <c r="B208" s="268" t="s">
        <v>198</v>
      </c>
      <c r="C208" s="353"/>
      <c r="D208" s="296"/>
      <c r="E208" s="296"/>
      <c r="F208" s="296"/>
      <c r="G208" s="296"/>
      <c r="H208" s="296"/>
      <c r="I208" s="296"/>
      <c r="J208" s="296"/>
      <c r="K208" s="296"/>
      <c r="L208" s="296"/>
      <c r="M208" s="296"/>
      <c r="N208" s="296"/>
      <c r="O208" s="296"/>
      <c r="P208" s="354">
        <v>15507</v>
      </c>
      <c r="Q208" s="268"/>
      <c r="R208" s="268"/>
      <c r="S208" s="271"/>
      <c r="T208" s="259"/>
    </row>
    <row r="209" spans="1:20" s="260" customFormat="1" x14ac:dyDescent="0.3">
      <c r="A209" s="275"/>
      <c r="B209" s="268" t="s">
        <v>199</v>
      </c>
      <c r="C209" s="353"/>
      <c r="D209" s="296"/>
      <c r="E209" s="296"/>
      <c r="F209" s="296"/>
      <c r="G209" s="296"/>
      <c r="H209" s="296"/>
      <c r="I209" s="296"/>
      <c r="J209" s="296"/>
      <c r="K209" s="296"/>
      <c r="L209" s="296"/>
      <c r="M209" s="296"/>
      <c r="N209" s="296"/>
      <c r="O209" s="296"/>
      <c r="P209" s="354">
        <v>15507</v>
      </c>
      <c r="Q209" s="268"/>
      <c r="R209" s="268"/>
      <c r="S209" s="271"/>
      <c r="T209" s="259"/>
    </row>
    <row r="210" spans="1:20" s="260" customFormat="1" x14ac:dyDescent="0.3">
      <c r="A210" s="275"/>
      <c r="B210" s="268" t="s">
        <v>200</v>
      </c>
      <c r="C210" s="353"/>
      <c r="D210" s="296"/>
      <c r="E210" s="296"/>
      <c r="F210" s="296"/>
      <c r="G210" s="296"/>
      <c r="H210" s="296"/>
      <c r="I210" s="296"/>
      <c r="J210" s="296"/>
      <c r="K210" s="296"/>
      <c r="L210" s="296"/>
      <c r="M210" s="296"/>
      <c r="N210" s="296"/>
      <c r="O210" s="296"/>
      <c r="P210" s="354">
        <v>15507</v>
      </c>
      <c r="Q210" s="268"/>
      <c r="R210" s="268"/>
      <c r="S210" s="271"/>
      <c r="T210" s="259"/>
    </row>
    <row r="211" spans="1:20" s="260" customFormat="1" x14ac:dyDescent="0.3">
      <c r="A211" s="275"/>
      <c r="B211" s="268" t="s">
        <v>60</v>
      </c>
      <c r="C211" s="353"/>
      <c r="D211" s="296"/>
      <c r="E211" s="296"/>
      <c r="F211" s="296"/>
      <c r="G211" s="296"/>
      <c r="H211" s="296"/>
      <c r="I211" s="296"/>
      <c r="J211" s="296"/>
      <c r="K211" s="296"/>
      <c r="L211" s="296"/>
      <c r="M211" s="296"/>
      <c r="N211" s="296"/>
      <c r="O211" s="296"/>
      <c r="P211" s="294">
        <v>20.170000000000002</v>
      </c>
      <c r="Q211" s="268" t="s">
        <v>90</v>
      </c>
      <c r="R211" s="268"/>
      <c r="S211" s="271"/>
      <c r="T211" s="259"/>
    </row>
    <row r="212" spans="1:20" s="260" customFormat="1" x14ac:dyDescent="0.3">
      <c r="A212" s="275"/>
      <c r="B212" s="268" t="s">
        <v>61</v>
      </c>
      <c r="C212" s="353"/>
      <c r="D212" s="296"/>
      <c r="E212" s="296"/>
      <c r="F212" s="296"/>
      <c r="G212" s="296"/>
      <c r="H212" s="296"/>
      <c r="I212" s="296"/>
      <c r="J212" s="296"/>
      <c r="K212" s="296"/>
      <c r="L212" s="296"/>
      <c r="M212" s="296"/>
      <c r="N212" s="296"/>
      <c r="O212" s="296"/>
      <c r="P212" s="294">
        <v>15.92</v>
      </c>
      <c r="Q212" s="268" t="s">
        <v>90</v>
      </c>
      <c r="R212" s="268"/>
      <c r="S212" s="271"/>
      <c r="T212" s="259"/>
    </row>
    <row r="213" spans="1:20" s="260" customFormat="1" x14ac:dyDescent="0.3">
      <c r="A213" s="275"/>
      <c r="B213" s="268" t="s">
        <v>62</v>
      </c>
      <c r="C213" s="353"/>
      <c r="D213" s="296"/>
      <c r="E213" s="296"/>
      <c r="F213" s="296"/>
      <c r="G213" s="296"/>
      <c r="H213" s="296"/>
      <c r="I213" s="296"/>
      <c r="J213" s="296"/>
      <c r="K213" s="296"/>
      <c r="L213" s="296"/>
      <c r="M213" s="296"/>
      <c r="N213" s="296"/>
      <c r="O213" s="296"/>
      <c r="P213" s="290">
        <f>(+J56+L56+P56)/H56</f>
        <v>8.0724876441515644E-2</v>
      </c>
      <c r="Q213" s="268"/>
      <c r="R213" s="268"/>
      <c r="S213" s="271"/>
      <c r="T213" s="259"/>
    </row>
    <row r="214" spans="1:20" s="260" customFormat="1" x14ac:dyDescent="0.3">
      <c r="A214" s="275"/>
      <c r="B214" s="268" t="s">
        <v>63</v>
      </c>
      <c r="C214" s="353"/>
      <c r="D214" s="296"/>
      <c r="E214" s="296"/>
      <c r="F214" s="296"/>
      <c r="G214" s="296"/>
      <c r="H214" s="296"/>
      <c r="I214" s="296"/>
      <c r="J214" s="296"/>
      <c r="K214" s="296"/>
      <c r="L214" s="296"/>
      <c r="M214" s="296"/>
      <c r="N214" s="296"/>
      <c r="O214" s="296"/>
      <c r="P214" s="290">
        <v>0.30630000000000002</v>
      </c>
      <c r="Q214" s="268"/>
      <c r="R214" s="268"/>
      <c r="S214" s="271"/>
      <c r="T214" s="259"/>
    </row>
    <row r="215" spans="1:20" x14ac:dyDescent="0.3">
      <c r="A215" s="349"/>
      <c r="B215" s="355"/>
      <c r="C215" s="355"/>
      <c r="D215" s="315"/>
      <c r="E215" s="315"/>
      <c r="F215" s="315"/>
      <c r="G215" s="315"/>
      <c r="H215" s="315"/>
      <c r="I215" s="315"/>
      <c r="J215" s="315"/>
      <c r="K215" s="315"/>
      <c r="L215" s="315"/>
      <c r="M215" s="315"/>
      <c r="N215" s="315"/>
      <c r="O215" s="315"/>
      <c r="P215" s="331"/>
      <c r="Q215" s="315"/>
      <c r="R215" s="356"/>
      <c r="S215" s="246"/>
      <c r="T215" s="241"/>
    </row>
    <row r="216" spans="1:20" x14ac:dyDescent="0.3">
      <c r="A216" s="445"/>
      <c r="B216" s="434" t="s">
        <v>64</v>
      </c>
      <c r="C216" s="435"/>
      <c r="D216" s="435"/>
      <c r="E216" s="435"/>
      <c r="F216" s="435"/>
      <c r="G216" s="435"/>
      <c r="H216" s="435"/>
      <c r="I216" s="435"/>
      <c r="J216" s="435"/>
      <c r="K216" s="435"/>
      <c r="L216" s="435"/>
      <c r="M216" s="435"/>
      <c r="N216" s="435"/>
      <c r="O216" s="435" t="s">
        <v>83</v>
      </c>
      <c r="P216" s="451" t="s">
        <v>88</v>
      </c>
      <c r="Q216" s="428"/>
      <c r="R216" s="428"/>
      <c r="S216" s="426"/>
      <c r="T216" s="241"/>
    </row>
    <row r="217" spans="1:20" s="260" customFormat="1" x14ac:dyDescent="0.3">
      <c r="A217" s="446"/>
      <c r="B217" s="302" t="s">
        <v>65</v>
      </c>
      <c r="C217" s="327"/>
      <c r="D217" s="447"/>
      <c r="E217" s="447"/>
      <c r="F217" s="447"/>
      <c r="G217" s="447"/>
      <c r="H217" s="447"/>
      <c r="I217" s="447"/>
      <c r="J217" s="447"/>
      <c r="K217" s="447"/>
      <c r="L217" s="447"/>
      <c r="M217" s="447"/>
      <c r="N217" s="447"/>
      <c r="O217" s="447">
        <v>0</v>
      </c>
      <c r="P217" s="448">
        <v>0</v>
      </c>
      <c r="Q217" s="302"/>
      <c r="R217" s="449"/>
      <c r="S217" s="450"/>
      <c r="T217" s="259"/>
    </row>
    <row r="218" spans="1:20" s="260" customFormat="1" x14ac:dyDescent="0.3">
      <c r="A218" s="357"/>
      <c r="B218" s="268" t="s">
        <v>113</v>
      </c>
      <c r="C218" s="313"/>
      <c r="D218" s="276"/>
      <c r="E218" s="276"/>
      <c r="F218" s="276"/>
      <c r="G218" s="276"/>
      <c r="H218" s="276"/>
      <c r="I218" s="276"/>
      <c r="J218" s="276"/>
      <c r="K218" s="276"/>
      <c r="L218" s="276"/>
      <c r="M218" s="276"/>
      <c r="N218" s="276"/>
      <c r="O218" s="358">
        <f>+N270</f>
        <v>1</v>
      </c>
      <c r="P218" s="359">
        <f>+P270</f>
        <v>196</v>
      </c>
      <c r="Q218" s="268"/>
      <c r="R218" s="360"/>
      <c r="S218" s="361"/>
      <c r="T218" s="259"/>
    </row>
    <row r="219" spans="1:20" s="260" customFormat="1" x14ac:dyDescent="0.3">
      <c r="A219" s="357"/>
      <c r="B219" s="268" t="s">
        <v>66</v>
      </c>
      <c r="C219" s="313"/>
      <c r="D219" s="276"/>
      <c r="E219" s="276"/>
      <c r="F219" s="276"/>
      <c r="G219" s="276"/>
      <c r="H219" s="276"/>
      <c r="I219" s="276"/>
      <c r="J219" s="276"/>
      <c r="K219" s="276"/>
      <c r="L219" s="276"/>
      <c r="M219" s="276"/>
      <c r="N219" s="276"/>
      <c r="O219" s="358">
        <f>+N282</f>
        <v>0</v>
      </c>
      <c r="P219" s="359">
        <f>+P282</f>
        <v>0</v>
      </c>
      <c r="Q219" s="268"/>
      <c r="R219" s="360"/>
      <c r="S219" s="361"/>
      <c r="T219" s="259"/>
    </row>
    <row r="220" spans="1:20" x14ac:dyDescent="0.3">
      <c r="A220" s="362"/>
      <c r="B220" s="402" t="s">
        <v>263</v>
      </c>
      <c r="C220" s="363"/>
      <c r="D220" s="288"/>
      <c r="E220" s="288"/>
      <c r="F220" s="288"/>
      <c r="G220" s="288"/>
      <c r="H220" s="288"/>
      <c r="I220" s="288"/>
      <c r="J220" s="288"/>
      <c r="K220" s="288"/>
      <c r="L220" s="288"/>
      <c r="M220" s="288"/>
      <c r="N220" s="288"/>
      <c r="O220" s="323"/>
      <c r="P220" s="359">
        <f>+P56</f>
        <v>1266</v>
      </c>
      <c r="Q220" s="288"/>
      <c r="R220" s="364"/>
      <c r="S220" s="365"/>
      <c r="T220" s="241"/>
    </row>
    <row r="221" spans="1:20" x14ac:dyDescent="0.3">
      <c r="A221" s="362"/>
      <c r="B221" s="402" t="s">
        <v>140</v>
      </c>
      <c r="C221" s="363"/>
      <c r="D221" s="288"/>
      <c r="E221" s="288"/>
      <c r="F221" s="288"/>
      <c r="G221" s="288"/>
      <c r="H221" s="288"/>
      <c r="I221" s="288"/>
      <c r="J221" s="288"/>
      <c r="K221" s="288"/>
      <c r="L221" s="288"/>
      <c r="M221" s="288"/>
      <c r="N221" s="288"/>
      <c r="O221" s="323"/>
      <c r="P221" s="359">
        <f>-J69</f>
        <v>0</v>
      </c>
      <c r="Q221" s="288"/>
      <c r="R221" s="364"/>
      <c r="S221" s="365"/>
      <c r="T221" s="241"/>
    </row>
    <row r="222" spans="1:20" x14ac:dyDescent="0.3">
      <c r="A222" s="366"/>
      <c r="B222" s="402" t="s">
        <v>67</v>
      </c>
      <c r="C222" s="367"/>
      <c r="D222" s="288"/>
      <c r="E222" s="288"/>
      <c r="F222" s="288"/>
      <c r="G222" s="288"/>
      <c r="H222" s="288"/>
      <c r="I222" s="288"/>
      <c r="J222" s="288"/>
      <c r="K222" s="288"/>
      <c r="L222" s="288"/>
      <c r="M222" s="288"/>
      <c r="N222" s="288"/>
      <c r="O222" s="323"/>
      <c r="P222" s="368"/>
      <c r="Q222" s="288"/>
      <c r="R222" s="364"/>
      <c r="S222" s="369"/>
      <c r="T222" s="241"/>
    </row>
    <row r="223" spans="1:20" s="260" customFormat="1" x14ac:dyDescent="0.3">
      <c r="A223" s="370"/>
      <c r="B223" s="268" t="s">
        <v>68</v>
      </c>
      <c r="C223" s="268"/>
      <c r="D223" s="268"/>
      <c r="E223" s="268"/>
      <c r="F223" s="268"/>
      <c r="G223" s="268"/>
      <c r="H223" s="268"/>
      <c r="I223" s="268"/>
      <c r="J223" s="268"/>
      <c r="K223" s="268"/>
      <c r="L223" s="268"/>
      <c r="M223" s="268"/>
      <c r="N223" s="268"/>
      <c r="O223" s="276"/>
      <c r="P223" s="359">
        <f>R153</f>
        <v>0</v>
      </c>
      <c r="Q223" s="268"/>
      <c r="R223" s="360"/>
      <c r="S223" s="371"/>
      <c r="T223" s="259"/>
    </row>
    <row r="224" spans="1:20" s="260" customFormat="1" x14ac:dyDescent="0.3">
      <c r="A224" s="357"/>
      <c r="B224" s="268" t="s">
        <v>69</v>
      </c>
      <c r="C224" s="313"/>
      <c r="D224" s="268"/>
      <c r="E224" s="268"/>
      <c r="F224" s="268"/>
      <c r="G224" s="268"/>
      <c r="H224" s="268"/>
      <c r="I224" s="268"/>
      <c r="J224" s="268"/>
      <c r="K224" s="268"/>
      <c r="L224" s="268"/>
      <c r="M224" s="268"/>
      <c r="N224" s="268"/>
      <c r="O224" s="276"/>
      <c r="P224" s="359">
        <f>'May 18'!P224+P223</f>
        <v>0</v>
      </c>
      <c r="Q224" s="268"/>
      <c r="R224" s="360"/>
      <c r="S224" s="371"/>
      <c r="T224" s="259"/>
    </row>
    <row r="225" spans="1:20" x14ac:dyDescent="0.3">
      <c r="A225" s="366"/>
      <c r="B225" s="402" t="s">
        <v>151</v>
      </c>
      <c r="C225" s="367"/>
      <c r="D225" s="288"/>
      <c r="E225" s="288"/>
      <c r="F225" s="288"/>
      <c r="G225" s="288"/>
      <c r="H225" s="288"/>
      <c r="I225" s="288"/>
      <c r="J225" s="288"/>
      <c r="K225" s="288"/>
      <c r="L225" s="288"/>
      <c r="M225" s="288"/>
      <c r="N225" s="288"/>
      <c r="O225" s="372"/>
      <c r="P225" s="368"/>
      <c r="Q225" s="288"/>
      <c r="R225" s="364"/>
      <c r="S225" s="369"/>
      <c r="T225" s="241"/>
    </row>
    <row r="226" spans="1:20" s="260" customFormat="1" x14ac:dyDescent="0.3">
      <c r="A226" s="370"/>
      <c r="B226" s="268" t="s">
        <v>163</v>
      </c>
      <c r="C226" s="268"/>
      <c r="D226" s="268"/>
      <c r="E226" s="268"/>
      <c r="F226" s="268"/>
      <c r="G226" s="268"/>
      <c r="H226" s="268"/>
      <c r="I226" s="268"/>
      <c r="J226" s="268"/>
      <c r="K226" s="268"/>
      <c r="L226" s="268"/>
      <c r="M226" s="268"/>
      <c r="N226" s="268"/>
      <c r="O226" s="276">
        <v>0</v>
      </c>
      <c r="P226" s="359">
        <v>0</v>
      </c>
      <c r="Q226" s="268"/>
      <c r="R226" s="360"/>
      <c r="S226" s="371"/>
      <c r="T226" s="259"/>
    </row>
    <row r="227" spans="1:20" s="260" customFormat="1" x14ac:dyDescent="0.3">
      <c r="A227" s="357"/>
      <c r="B227" s="268" t="s">
        <v>70</v>
      </c>
      <c r="C227" s="293"/>
      <c r="D227" s="268"/>
      <c r="E227" s="268"/>
      <c r="F227" s="268"/>
      <c r="G227" s="268"/>
      <c r="H227" s="268"/>
      <c r="I227" s="268"/>
      <c r="J227" s="268"/>
      <c r="K227" s="268"/>
      <c r="L227" s="268"/>
      <c r="M227" s="268"/>
      <c r="N227" s="268"/>
      <c r="O227" s="268"/>
      <c r="P227" s="373">
        <v>0</v>
      </c>
      <c r="Q227" s="268"/>
      <c r="R227" s="360"/>
      <c r="S227" s="371"/>
      <c r="T227" s="259"/>
    </row>
    <row r="228" spans="1:20" s="260" customFormat="1" x14ac:dyDescent="0.3">
      <c r="A228" s="357"/>
      <c r="B228" s="268" t="s">
        <v>71</v>
      </c>
      <c r="C228" s="293"/>
      <c r="D228" s="268"/>
      <c r="E228" s="268"/>
      <c r="F228" s="268"/>
      <c r="G228" s="268"/>
      <c r="H228" s="268"/>
      <c r="I228" s="268"/>
      <c r="J228" s="268"/>
      <c r="K228" s="268"/>
      <c r="L228" s="268"/>
      <c r="M228" s="268"/>
      <c r="N228" s="268"/>
      <c r="O228" s="268"/>
      <c r="P228" s="373">
        <v>0</v>
      </c>
      <c r="Q228" s="268"/>
      <c r="R228" s="360"/>
      <c r="S228" s="371"/>
      <c r="T228" s="259"/>
    </row>
    <row r="229" spans="1:20" x14ac:dyDescent="0.3">
      <c r="A229" s="362"/>
      <c r="B229" s="402" t="s">
        <v>136</v>
      </c>
      <c r="C229" s="374"/>
      <c r="D229" s="288"/>
      <c r="E229" s="288"/>
      <c r="F229" s="288"/>
      <c r="G229" s="288"/>
      <c r="H229" s="288"/>
      <c r="I229" s="288"/>
      <c r="J229" s="288"/>
      <c r="K229" s="288"/>
      <c r="L229" s="288"/>
      <c r="M229" s="288"/>
      <c r="N229" s="288"/>
      <c r="O229" s="323"/>
      <c r="P229" s="375"/>
      <c r="Q229" s="288"/>
      <c r="R229" s="364"/>
      <c r="S229" s="369"/>
      <c r="T229" s="241"/>
    </row>
    <row r="230" spans="1:20" s="260" customFormat="1" x14ac:dyDescent="0.3">
      <c r="A230" s="357"/>
      <c r="B230" s="268" t="s">
        <v>163</v>
      </c>
      <c r="C230" s="293"/>
      <c r="D230" s="268"/>
      <c r="E230" s="268"/>
      <c r="F230" s="268"/>
      <c r="G230" s="268"/>
      <c r="H230" s="268"/>
      <c r="I230" s="268"/>
      <c r="J230" s="268"/>
      <c r="K230" s="268"/>
      <c r="L230" s="268"/>
      <c r="M230" s="268"/>
      <c r="N230" s="268"/>
      <c r="O230" s="276">
        <v>0</v>
      </c>
      <c r="P230" s="359">
        <v>0</v>
      </c>
      <c r="Q230" s="268"/>
      <c r="R230" s="360"/>
      <c r="S230" s="371"/>
      <c r="T230" s="259"/>
    </row>
    <row r="231" spans="1:20" s="260" customFormat="1" x14ac:dyDescent="0.3">
      <c r="A231" s="357"/>
      <c r="B231" s="268" t="s">
        <v>137</v>
      </c>
      <c r="C231" s="293"/>
      <c r="D231" s="268"/>
      <c r="E231" s="268"/>
      <c r="F231" s="268"/>
      <c r="G231" s="268"/>
      <c r="H231" s="268"/>
      <c r="I231" s="268"/>
      <c r="J231" s="268"/>
      <c r="K231" s="268"/>
      <c r="L231" s="268"/>
      <c r="M231" s="268"/>
      <c r="N231" s="268"/>
      <c r="O231" s="268"/>
      <c r="P231" s="373">
        <v>0</v>
      </c>
      <c r="Q231" s="268"/>
      <c r="R231" s="360"/>
      <c r="S231" s="371"/>
      <c r="T231" s="259"/>
    </row>
    <row r="232" spans="1:20" x14ac:dyDescent="0.3">
      <c r="A232" s="362"/>
      <c r="B232" s="367"/>
      <c r="C232" s="374"/>
      <c r="D232" s="288"/>
      <c r="E232" s="288"/>
      <c r="F232" s="288"/>
      <c r="G232" s="288"/>
      <c r="H232" s="288"/>
      <c r="I232" s="288"/>
      <c r="J232" s="288"/>
      <c r="K232" s="288"/>
      <c r="L232" s="288"/>
      <c r="M232" s="288"/>
      <c r="N232" s="288"/>
      <c r="O232" s="323"/>
      <c r="P232" s="375"/>
      <c r="Q232" s="288"/>
      <c r="R232" s="364"/>
      <c r="S232" s="369"/>
      <c r="T232" s="241"/>
    </row>
    <row r="233" spans="1:20" x14ac:dyDescent="0.3">
      <c r="A233" s="362"/>
      <c r="B233" s="367"/>
      <c r="C233" s="374"/>
      <c r="D233" s="288"/>
      <c r="E233" s="288"/>
      <c r="F233" s="288"/>
      <c r="G233" s="288"/>
      <c r="H233" s="288"/>
      <c r="I233" s="288"/>
      <c r="J233" s="288"/>
      <c r="K233" s="288"/>
      <c r="L233" s="288"/>
      <c r="M233" s="288"/>
      <c r="N233" s="288"/>
      <c r="O233" s="288"/>
      <c r="P233" s="376"/>
      <c r="Q233" s="288"/>
      <c r="R233" s="364"/>
      <c r="S233" s="369"/>
      <c r="T233" s="241"/>
    </row>
    <row r="234" spans="1:20" ht="18" x14ac:dyDescent="0.35">
      <c r="A234" s="362"/>
      <c r="B234" s="423" t="s">
        <v>129</v>
      </c>
      <c r="C234" s="374"/>
      <c r="D234" s="288"/>
      <c r="E234" s="288"/>
      <c r="F234" s="288"/>
      <c r="G234" s="288"/>
      <c r="H234" s="288"/>
      <c r="I234" s="288"/>
      <c r="J234" s="288"/>
      <c r="K234" s="288"/>
      <c r="L234" s="377"/>
      <c r="M234" s="288"/>
      <c r="N234" s="459" t="s">
        <v>271</v>
      </c>
      <c r="O234" s="377"/>
      <c r="P234" s="376"/>
      <c r="Q234" s="288"/>
      <c r="R234" s="364"/>
      <c r="S234" s="369"/>
      <c r="T234" s="241"/>
    </row>
    <row r="235" spans="1:20" ht="18" x14ac:dyDescent="0.35">
      <c r="A235" s="378"/>
      <c r="B235" s="379"/>
      <c r="C235" s="380"/>
      <c r="D235" s="315"/>
      <c r="E235" s="315"/>
      <c r="F235" s="315"/>
      <c r="G235" s="315"/>
      <c r="H235" s="315"/>
      <c r="I235" s="315"/>
      <c r="J235" s="315"/>
      <c r="K235" s="315"/>
      <c r="L235" s="381"/>
      <c r="M235" s="315"/>
      <c r="N235" s="315"/>
      <c r="O235" s="315"/>
      <c r="P235" s="382"/>
      <c r="Q235" s="315"/>
      <c r="R235" s="356"/>
      <c r="S235" s="383"/>
      <c r="T235" s="241"/>
    </row>
    <row r="236" spans="1:20" x14ac:dyDescent="0.3">
      <c r="A236" s="424"/>
      <c r="B236" s="434" t="s">
        <v>153</v>
      </c>
      <c r="C236" s="435"/>
      <c r="D236" s="435"/>
      <c r="E236" s="435"/>
      <c r="F236" s="435"/>
      <c r="G236" s="435"/>
      <c r="H236" s="435"/>
      <c r="I236" s="435"/>
      <c r="J236" s="435"/>
      <c r="K236" s="435"/>
      <c r="L236" s="435"/>
      <c r="M236" s="435"/>
      <c r="N236" s="451" t="s">
        <v>83</v>
      </c>
      <c r="O236" s="435" t="s">
        <v>84</v>
      </c>
      <c r="P236" s="451" t="s">
        <v>89</v>
      </c>
      <c r="Q236" s="435" t="s">
        <v>84</v>
      </c>
      <c r="R236" s="428"/>
      <c r="S236" s="452"/>
      <c r="T236" s="241"/>
    </row>
    <row r="237" spans="1:20" s="260" customFormat="1" x14ac:dyDescent="0.3">
      <c r="A237" s="255"/>
      <c r="B237" s="327" t="s">
        <v>72</v>
      </c>
      <c r="C237" s="453"/>
      <c r="D237" s="453"/>
      <c r="E237" s="453"/>
      <c r="F237" s="453"/>
      <c r="G237" s="453"/>
      <c r="H237" s="453"/>
      <c r="I237" s="453"/>
      <c r="J237" s="453"/>
      <c r="K237" s="453"/>
      <c r="L237" s="453"/>
      <c r="M237" s="453"/>
      <c r="N237" s="327">
        <f t="shared" ref="N237:N244" si="1">+N249+N261+N273</f>
        <v>418</v>
      </c>
      <c r="O237" s="454">
        <f>N237/$N$246</f>
        <v>0.99761336515513122</v>
      </c>
      <c r="P237" s="433">
        <f t="shared" ref="P237:P244" si="2">+P249+P261+P273</f>
        <v>61262</v>
      </c>
      <c r="Q237" s="454">
        <f t="shared" ref="Q237:Q244" si="3">P237/$P$246</f>
        <v>0.99681083016043481</v>
      </c>
      <c r="R237" s="449"/>
      <c r="S237" s="455"/>
      <c r="T237" s="259"/>
    </row>
    <row r="238" spans="1:20" s="260" customFormat="1" x14ac:dyDescent="0.3">
      <c r="A238" s="275"/>
      <c r="B238" s="313" t="s">
        <v>73</v>
      </c>
      <c r="C238" s="384"/>
      <c r="D238" s="384"/>
      <c r="E238" s="384"/>
      <c r="F238" s="384"/>
      <c r="G238" s="384"/>
      <c r="H238" s="384"/>
      <c r="I238" s="384"/>
      <c r="J238" s="384"/>
      <c r="K238" s="384"/>
      <c r="L238" s="384"/>
      <c r="M238" s="384"/>
      <c r="N238" s="313">
        <f t="shared" si="1"/>
        <v>0</v>
      </c>
      <c r="O238" s="385">
        <f>N238/$N$246</f>
        <v>0</v>
      </c>
      <c r="P238" s="314">
        <f t="shared" si="2"/>
        <v>0</v>
      </c>
      <c r="Q238" s="385">
        <f t="shared" si="3"/>
        <v>0</v>
      </c>
      <c r="R238" s="360"/>
      <c r="S238" s="371"/>
      <c r="T238" s="259"/>
    </row>
    <row r="239" spans="1:20" s="260" customFormat="1" x14ac:dyDescent="0.3">
      <c r="A239" s="275"/>
      <c r="B239" s="313" t="s">
        <v>74</v>
      </c>
      <c r="C239" s="384"/>
      <c r="D239" s="384"/>
      <c r="E239" s="384"/>
      <c r="F239" s="384"/>
      <c r="G239" s="384"/>
      <c r="H239" s="384"/>
      <c r="I239" s="384"/>
      <c r="J239" s="384"/>
      <c r="K239" s="384"/>
      <c r="L239" s="384"/>
      <c r="M239" s="384"/>
      <c r="N239" s="313">
        <f t="shared" si="1"/>
        <v>0</v>
      </c>
      <c r="O239" s="385">
        <f t="shared" ref="O239:O244" si="4">N239/$N$246</f>
        <v>0</v>
      </c>
      <c r="P239" s="314">
        <f t="shared" si="2"/>
        <v>0</v>
      </c>
      <c r="Q239" s="385">
        <f t="shared" si="3"/>
        <v>0</v>
      </c>
      <c r="R239" s="360"/>
      <c r="S239" s="371"/>
      <c r="T239" s="259"/>
    </row>
    <row r="240" spans="1:20" s="260" customFormat="1" x14ac:dyDescent="0.3">
      <c r="A240" s="275"/>
      <c r="B240" s="313" t="s">
        <v>119</v>
      </c>
      <c r="C240" s="384"/>
      <c r="D240" s="384"/>
      <c r="E240" s="384"/>
      <c r="F240" s="384"/>
      <c r="G240" s="384"/>
      <c r="H240" s="384"/>
      <c r="I240" s="384"/>
      <c r="J240" s="384"/>
      <c r="K240" s="384"/>
      <c r="L240" s="384"/>
      <c r="M240" s="384"/>
      <c r="N240" s="313">
        <f t="shared" si="1"/>
        <v>0</v>
      </c>
      <c r="O240" s="385">
        <f t="shared" si="4"/>
        <v>0</v>
      </c>
      <c r="P240" s="314">
        <f t="shared" si="2"/>
        <v>0</v>
      </c>
      <c r="Q240" s="385">
        <f t="shared" si="3"/>
        <v>0</v>
      </c>
      <c r="R240" s="360"/>
      <c r="S240" s="371"/>
      <c r="T240" s="259"/>
    </row>
    <row r="241" spans="1:21" s="260" customFormat="1" x14ac:dyDescent="0.3">
      <c r="A241" s="275"/>
      <c r="B241" s="313" t="s">
        <v>120</v>
      </c>
      <c r="C241" s="384"/>
      <c r="D241" s="384"/>
      <c r="E241" s="384"/>
      <c r="F241" s="384"/>
      <c r="G241" s="384"/>
      <c r="H241" s="384"/>
      <c r="I241" s="384"/>
      <c r="J241" s="384"/>
      <c r="K241" s="384"/>
      <c r="L241" s="384"/>
      <c r="M241" s="384"/>
      <c r="N241" s="313">
        <f t="shared" si="1"/>
        <v>0</v>
      </c>
      <c r="O241" s="385">
        <f t="shared" si="4"/>
        <v>0</v>
      </c>
      <c r="P241" s="314">
        <f t="shared" si="2"/>
        <v>0</v>
      </c>
      <c r="Q241" s="385">
        <f t="shared" si="3"/>
        <v>0</v>
      </c>
      <c r="R241" s="360"/>
      <c r="S241" s="371"/>
      <c r="T241" s="259"/>
    </row>
    <row r="242" spans="1:21" s="260" customFormat="1" x14ac:dyDescent="0.3">
      <c r="A242" s="275"/>
      <c r="B242" s="313" t="s">
        <v>121</v>
      </c>
      <c r="C242" s="384"/>
      <c r="D242" s="384"/>
      <c r="E242" s="384"/>
      <c r="F242" s="384"/>
      <c r="G242" s="384"/>
      <c r="H242" s="384"/>
      <c r="I242" s="384"/>
      <c r="J242" s="384"/>
      <c r="K242" s="384"/>
      <c r="L242" s="384"/>
      <c r="M242" s="384"/>
      <c r="N242" s="313">
        <f t="shared" si="1"/>
        <v>0</v>
      </c>
      <c r="O242" s="385">
        <f t="shared" si="4"/>
        <v>0</v>
      </c>
      <c r="P242" s="314">
        <f t="shared" si="2"/>
        <v>0</v>
      </c>
      <c r="Q242" s="385">
        <f t="shared" si="3"/>
        <v>0</v>
      </c>
      <c r="R242" s="360"/>
      <c r="S242" s="371"/>
      <c r="T242" s="259"/>
    </row>
    <row r="243" spans="1:21" s="260" customFormat="1" x14ac:dyDescent="0.3">
      <c r="A243" s="275"/>
      <c r="B243" s="313" t="s">
        <v>122</v>
      </c>
      <c r="C243" s="384"/>
      <c r="D243" s="384"/>
      <c r="E243" s="384"/>
      <c r="F243" s="384"/>
      <c r="G243" s="384"/>
      <c r="H243" s="384"/>
      <c r="I243" s="384"/>
      <c r="J243" s="384"/>
      <c r="K243" s="384"/>
      <c r="L243" s="384"/>
      <c r="M243" s="384"/>
      <c r="N243" s="313">
        <f t="shared" si="1"/>
        <v>0</v>
      </c>
      <c r="O243" s="385">
        <f t="shared" si="4"/>
        <v>0</v>
      </c>
      <c r="P243" s="314">
        <f t="shared" si="2"/>
        <v>0</v>
      </c>
      <c r="Q243" s="385">
        <f t="shared" si="3"/>
        <v>0</v>
      </c>
      <c r="R243" s="360"/>
      <c r="S243" s="371"/>
      <c r="T243" s="259"/>
    </row>
    <row r="244" spans="1:21" s="260" customFormat="1" x14ac:dyDescent="0.3">
      <c r="A244" s="275"/>
      <c r="B244" s="313" t="s">
        <v>123</v>
      </c>
      <c r="C244" s="384"/>
      <c r="D244" s="384"/>
      <c r="E244" s="384"/>
      <c r="F244" s="384"/>
      <c r="G244" s="384"/>
      <c r="H244" s="384"/>
      <c r="I244" s="384"/>
      <c r="J244" s="384"/>
      <c r="K244" s="384"/>
      <c r="L244" s="384"/>
      <c r="M244" s="384"/>
      <c r="N244" s="313">
        <f t="shared" si="1"/>
        <v>1</v>
      </c>
      <c r="O244" s="385">
        <f t="shared" si="4"/>
        <v>2.3866348448687352E-3</v>
      </c>
      <c r="P244" s="314">
        <f t="shared" si="2"/>
        <v>196</v>
      </c>
      <c r="Q244" s="385">
        <f t="shared" si="3"/>
        <v>3.1891698395652315E-3</v>
      </c>
      <c r="R244" s="360"/>
      <c r="S244" s="371"/>
      <c r="T244" s="259"/>
    </row>
    <row r="245" spans="1:21" s="260" customFormat="1" x14ac:dyDescent="0.3">
      <c r="A245" s="275"/>
      <c r="B245" s="313"/>
      <c r="C245" s="384"/>
      <c r="D245" s="384"/>
      <c r="E245" s="384"/>
      <c r="F245" s="384"/>
      <c r="G245" s="384"/>
      <c r="H245" s="384"/>
      <c r="I245" s="384"/>
      <c r="J245" s="384"/>
      <c r="K245" s="384"/>
      <c r="L245" s="384"/>
      <c r="M245" s="384"/>
      <c r="N245" s="313"/>
      <c r="O245" s="385"/>
      <c r="P245" s="314"/>
      <c r="Q245" s="385"/>
      <c r="R245" s="360"/>
      <c r="S245" s="371"/>
      <c r="T245" s="259"/>
    </row>
    <row r="246" spans="1:21" s="260" customFormat="1" x14ac:dyDescent="0.3">
      <c r="A246" s="275"/>
      <c r="B246" s="268" t="s">
        <v>94</v>
      </c>
      <c r="C246" s="268"/>
      <c r="D246" s="386"/>
      <c r="E246" s="386"/>
      <c r="F246" s="386"/>
      <c r="G246" s="386"/>
      <c r="H246" s="386"/>
      <c r="I246" s="386"/>
      <c r="J246" s="386"/>
      <c r="K246" s="386"/>
      <c r="L246" s="386"/>
      <c r="M246" s="386"/>
      <c r="N246" s="313">
        <f>SUM(N237:N245)</f>
        <v>419</v>
      </c>
      <c r="O246" s="385">
        <f>SUM(O237:O245)</f>
        <v>1</v>
      </c>
      <c r="P246" s="314">
        <f>SUM(P237:P245)</f>
        <v>61458</v>
      </c>
      <c r="Q246" s="385">
        <f>SUM(Q237:Q245)</f>
        <v>1</v>
      </c>
      <c r="R246" s="268"/>
      <c r="S246" s="271"/>
      <c r="T246" s="259"/>
    </row>
    <row r="247" spans="1:21" x14ac:dyDescent="0.3">
      <c r="A247" s="243"/>
      <c r="B247" s="355"/>
      <c r="C247" s="380"/>
      <c r="D247" s="315"/>
      <c r="E247" s="315"/>
      <c r="F247" s="315"/>
      <c r="G247" s="315"/>
      <c r="H247" s="315"/>
      <c r="I247" s="315"/>
      <c r="J247" s="315"/>
      <c r="K247" s="315"/>
      <c r="L247" s="315"/>
      <c r="M247" s="315"/>
      <c r="N247" s="315"/>
      <c r="O247" s="315"/>
      <c r="P247" s="382"/>
      <c r="Q247" s="315"/>
      <c r="R247" s="315"/>
      <c r="S247" s="246"/>
      <c r="T247" s="241"/>
    </row>
    <row r="248" spans="1:21" x14ac:dyDescent="0.3">
      <c r="A248" s="424"/>
      <c r="B248" s="434" t="s">
        <v>124</v>
      </c>
      <c r="C248" s="435"/>
      <c r="D248" s="435"/>
      <c r="E248" s="435"/>
      <c r="F248" s="435"/>
      <c r="G248" s="435"/>
      <c r="H248" s="435"/>
      <c r="I248" s="435"/>
      <c r="J248" s="435"/>
      <c r="K248" s="435"/>
      <c r="L248" s="435"/>
      <c r="M248" s="435"/>
      <c r="N248" s="451" t="s">
        <v>83</v>
      </c>
      <c r="O248" s="435" t="s">
        <v>84</v>
      </c>
      <c r="P248" s="451" t="s">
        <v>89</v>
      </c>
      <c r="Q248" s="435" t="s">
        <v>84</v>
      </c>
      <c r="R248" s="428"/>
      <c r="S248" s="452"/>
      <c r="T248" s="241"/>
    </row>
    <row r="249" spans="1:21" s="260" customFormat="1" x14ac:dyDescent="0.3">
      <c r="A249" s="255"/>
      <c r="B249" s="327" t="s">
        <v>72</v>
      </c>
      <c r="C249" s="453"/>
      <c r="D249" s="453"/>
      <c r="E249" s="453"/>
      <c r="F249" s="453"/>
      <c r="G249" s="453"/>
      <c r="H249" s="453"/>
      <c r="I249" s="453"/>
      <c r="J249" s="453"/>
      <c r="K249" s="453"/>
      <c r="L249" s="453"/>
      <c r="M249" s="453"/>
      <c r="N249" s="327">
        <v>418</v>
      </c>
      <c r="O249" s="454">
        <f>N249/$N$258</f>
        <v>1</v>
      </c>
      <c r="P249" s="433">
        <v>61262</v>
      </c>
      <c r="Q249" s="454">
        <f t="shared" ref="Q249:Q256" si="5">P249/$P$258</f>
        <v>1</v>
      </c>
      <c r="R249" s="449"/>
      <c r="S249" s="455"/>
      <c r="T249" s="259"/>
    </row>
    <row r="250" spans="1:21" s="260" customFormat="1" x14ac:dyDescent="0.3">
      <c r="A250" s="275"/>
      <c r="B250" s="313" t="s">
        <v>73</v>
      </c>
      <c r="C250" s="384"/>
      <c r="D250" s="384"/>
      <c r="E250" s="384"/>
      <c r="F250" s="384"/>
      <c r="G250" s="384"/>
      <c r="H250" s="384"/>
      <c r="I250" s="384"/>
      <c r="J250" s="384"/>
      <c r="K250" s="384"/>
      <c r="L250" s="384"/>
      <c r="M250" s="384"/>
      <c r="N250" s="313">
        <v>0</v>
      </c>
      <c r="O250" s="385">
        <f t="shared" ref="O250:O256" si="6">N250/$N$258</f>
        <v>0</v>
      </c>
      <c r="P250" s="314">
        <v>0</v>
      </c>
      <c r="Q250" s="385">
        <f t="shared" si="5"/>
        <v>0</v>
      </c>
      <c r="R250" s="360"/>
      <c r="S250" s="371"/>
      <c r="T250" s="259"/>
      <c r="U250" s="325"/>
    </row>
    <row r="251" spans="1:21" s="260" customFormat="1" x14ac:dyDescent="0.3">
      <c r="A251" s="275"/>
      <c r="B251" s="313" t="s">
        <v>74</v>
      </c>
      <c r="C251" s="384"/>
      <c r="D251" s="384"/>
      <c r="E251" s="384"/>
      <c r="F251" s="384"/>
      <c r="G251" s="384"/>
      <c r="H251" s="384"/>
      <c r="I251" s="384"/>
      <c r="J251" s="384"/>
      <c r="K251" s="384"/>
      <c r="L251" s="384"/>
      <c r="M251" s="384"/>
      <c r="N251" s="313">
        <v>0</v>
      </c>
      <c r="O251" s="385">
        <f t="shared" si="6"/>
        <v>0</v>
      </c>
      <c r="P251" s="314">
        <v>0</v>
      </c>
      <c r="Q251" s="385">
        <f t="shared" si="5"/>
        <v>0</v>
      </c>
      <c r="R251" s="360"/>
      <c r="S251" s="371"/>
      <c r="T251" s="259"/>
    </row>
    <row r="252" spans="1:21" s="260" customFormat="1" x14ac:dyDescent="0.3">
      <c r="A252" s="275"/>
      <c r="B252" s="313" t="s">
        <v>119</v>
      </c>
      <c r="C252" s="384"/>
      <c r="D252" s="384"/>
      <c r="E252" s="384"/>
      <c r="F252" s="384"/>
      <c r="G252" s="384"/>
      <c r="H252" s="384"/>
      <c r="I252" s="384"/>
      <c r="J252" s="384"/>
      <c r="K252" s="384"/>
      <c r="L252" s="384"/>
      <c r="M252" s="384"/>
      <c r="N252" s="313">
        <v>0</v>
      </c>
      <c r="O252" s="385">
        <f t="shared" si="6"/>
        <v>0</v>
      </c>
      <c r="P252" s="314">
        <v>0</v>
      </c>
      <c r="Q252" s="385">
        <f t="shared" si="5"/>
        <v>0</v>
      </c>
      <c r="R252" s="360"/>
      <c r="S252" s="371"/>
      <c r="T252" s="259"/>
      <c r="U252" s="325"/>
    </row>
    <row r="253" spans="1:21" s="260" customFormat="1" x14ac:dyDescent="0.3">
      <c r="A253" s="275"/>
      <c r="B253" s="313" t="s">
        <v>120</v>
      </c>
      <c r="C253" s="384"/>
      <c r="D253" s="384"/>
      <c r="E253" s="384"/>
      <c r="F253" s="384"/>
      <c r="G253" s="384"/>
      <c r="H253" s="384"/>
      <c r="I253" s="384"/>
      <c r="J253" s="384"/>
      <c r="K253" s="384"/>
      <c r="L253" s="384"/>
      <c r="M253" s="384"/>
      <c r="N253" s="313">
        <v>0</v>
      </c>
      <c r="O253" s="385">
        <f t="shared" si="6"/>
        <v>0</v>
      </c>
      <c r="P253" s="314">
        <v>0</v>
      </c>
      <c r="Q253" s="385">
        <f t="shared" si="5"/>
        <v>0</v>
      </c>
      <c r="R253" s="360"/>
      <c r="S253" s="371"/>
      <c r="T253" s="259"/>
    </row>
    <row r="254" spans="1:21" s="260" customFormat="1" x14ac:dyDescent="0.3">
      <c r="A254" s="275"/>
      <c r="B254" s="313" t="s">
        <v>121</v>
      </c>
      <c r="C254" s="384"/>
      <c r="D254" s="384"/>
      <c r="E254" s="384"/>
      <c r="F254" s="384"/>
      <c r="G254" s="384"/>
      <c r="H254" s="384"/>
      <c r="I254" s="384"/>
      <c r="J254" s="384"/>
      <c r="K254" s="384"/>
      <c r="L254" s="384"/>
      <c r="M254" s="384"/>
      <c r="N254" s="313">
        <v>0</v>
      </c>
      <c r="O254" s="385">
        <f t="shared" si="6"/>
        <v>0</v>
      </c>
      <c r="P254" s="314">
        <v>0</v>
      </c>
      <c r="Q254" s="385">
        <f t="shared" si="5"/>
        <v>0</v>
      </c>
      <c r="R254" s="360"/>
      <c r="S254" s="371"/>
      <c r="T254" s="259"/>
      <c r="U254" s="325"/>
    </row>
    <row r="255" spans="1:21" s="260" customFormat="1" x14ac:dyDescent="0.3">
      <c r="A255" s="275"/>
      <c r="B255" s="313" t="s">
        <v>122</v>
      </c>
      <c r="C255" s="384"/>
      <c r="D255" s="384"/>
      <c r="E255" s="384"/>
      <c r="F255" s="384"/>
      <c r="G255" s="384"/>
      <c r="H255" s="384"/>
      <c r="I255" s="384"/>
      <c r="J255" s="384"/>
      <c r="K255" s="384"/>
      <c r="L255" s="384"/>
      <c r="M255" s="384"/>
      <c r="N255" s="313">
        <v>0</v>
      </c>
      <c r="O255" s="385">
        <f t="shared" si="6"/>
        <v>0</v>
      </c>
      <c r="P255" s="314">
        <v>0</v>
      </c>
      <c r="Q255" s="385">
        <f t="shared" si="5"/>
        <v>0</v>
      </c>
      <c r="R255" s="360"/>
      <c r="S255" s="371"/>
      <c r="T255" s="259"/>
    </row>
    <row r="256" spans="1:21" s="260" customFormat="1" x14ac:dyDescent="0.3">
      <c r="A256" s="275"/>
      <c r="B256" s="313" t="s">
        <v>123</v>
      </c>
      <c r="C256" s="384"/>
      <c r="D256" s="384"/>
      <c r="E256" s="384"/>
      <c r="F256" s="384"/>
      <c r="G256" s="384"/>
      <c r="H256" s="384"/>
      <c r="I256" s="384"/>
      <c r="J256" s="384"/>
      <c r="K256" s="384"/>
      <c r="L256" s="384"/>
      <c r="M256" s="384"/>
      <c r="N256" s="313">
        <v>0</v>
      </c>
      <c r="O256" s="385">
        <f t="shared" si="6"/>
        <v>0</v>
      </c>
      <c r="P256" s="314">
        <v>0</v>
      </c>
      <c r="Q256" s="385">
        <f t="shared" si="5"/>
        <v>0</v>
      </c>
      <c r="R256" s="360"/>
      <c r="S256" s="371"/>
      <c r="T256" s="259"/>
      <c r="U256" s="325"/>
    </row>
    <row r="257" spans="1:20" s="260" customFormat="1" x14ac:dyDescent="0.3">
      <c r="A257" s="275"/>
      <c r="B257" s="313"/>
      <c r="C257" s="384"/>
      <c r="D257" s="384"/>
      <c r="E257" s="384"/>
      <c r="F257" s="384"/>
      <c r="G257" s="384"/>
      <c r="H257" s="384"/>
      <c r="I257" s="384"/>
      <c r="J257" s="384"/>
      <c r="K257" s="384"/>
      <c r="L257" s="384"/>
      <c r="M257" s="384"/>
      <c r="N257" s="313"/>
      <c r="O257" s="385"/>
      <c r="P257" s="314"/>
      <c r="Q257" s="385"/>
      <c r="R257" s="360"/>
      <c r="S257" s="371"/>
      <c r="T257" s="259"/>
    </row>
    <row r="258" spans="1:20" s="260" customFormat="1" x14ac:dyDescent="0.3">
      <c r="A258" s="275"/>
      <c r="B258" s="268" t="s">
        <v>94</v>
      </c>
      <c r="C258" s="268"/>
      <c r="D258" s="386"/>
      <c r="E258" s="386"/>
      <c r="F258" s="386"/>
      <c r="G258" s="386"/>
      <c r="H258" s="386"/>
      <c r="I258" s="386"/>
      <c r="J258" s="386"/>
      <c r="K258" s="386"/>
      <c r="L258" s="386"/>
      <c r="M258" s="386"/>
      <c r="N258" s="313">
        <f>SUM(N249:N257)</f>
        <v>418</v>
      </c>
      <c r="O258" s="385">
        <f>SUM(O249:O257)</f>
        <v>1</v>
      </c>
      <c r="P258" s="314">
        <f>SUM(P249:P257)</f>
        <v>61262</v>
      </c>
      <c r="Q258" s="385">
        <f>SUM(Q249:Q257)</f>
        <v>1</v>
      </c>
      <c r="R258" s="268"/>
      <c r="S258" s="271"/>
      <c r="T258" s="259"/>
    </row>
    <row r="259" spans="1:20" x14ac:dyDescent="0.3">
      <c r="A259" s="243"/>
      <c r="B259" s="315"/>
      <c r="C259" s="315"/>
      <c r="D259" s="387"/>
      <c r="E259" s="387"/>
      <c r="F259" s="387"/>
      <c r="G259" s="387"/>
      <c r="H259" s="387"/>
      <c r="I259" s="387"/>
      <c r="J259" s="387"/>
      <c r="K259" s="387"/>
      <c r="L259" s="387"/>
      <c r="M259" s="387"/>
      <c r="N259" s="316"/>
      <c r="O259" s="388"/>
      <c r="P259" s="389"/>
      <c r="Q259" s="388"/>
      <c r="R259" s="315"/>
      <c r="S259" s="246"/>
      <c r="T259" s="241"/>
    </row>
    <row r="260" spans="1:20" x14ac:dyDescent="0.3">
      <c r="A260" s="424"/>
      <c r="B260" s="434" t="s">
        <v>146</v>
      </c>
      <c r="C260" s="435"/>
      <c r="D260" s="435"/>
      <c r="E260" s="435"/>
      <c r="F260" s="435"/>
      <c r="G260" s="435"/>
      <c r="H260" s="435"/>
      <c r="I260" s="435"/>
      <c r="J260" s="435"/>
      <c r="K260" s="435"/>
      <c r="L260" s="435"/>
      <c r="M260" s="435"/>
      <c r="N260" s="451" t="s">
        <v>83</v>
      </c>
      <c r="O260" s="435" t="s">
        <v>84</v>
      </c>
      <c r="P260" s="451" t="s">
        <v>89</v>
      </c>
      <c r="Q260" s="435" t="s">
        <v>84</v>
      </c>
      <c r="R260" s="428"/>
      <c r="S260" s="426"/>
      <c r="T260" s="241"/>
    </row>
    <row r="261" spans="1:20" s="260" customFormat="1" x14ac:dyDescent="0.3">
      <c r="A261" s="255"/>
      <c r="B261" s="327" t="s">
        <v>72</v>
      </c>
      <c r="C261" s="453"/>
      <c r="D261" s="453"/>
      <c r="E261" s="453"/>
      <c r="F261" s="453"/>
      <c r="G261" s="453"/>
      <c r="H261" s="453"/>
      <c r="I261" s="453"/>
      <c r="J261" s="453"/>
      <c r="K261" s="453"/>
      <c r="L261" s="453"/>
      <c r="M261" s="453"/>
      <c r="N261" s="327">
        <v>0</v>
      </c>
      <c r="O261" s="454">
        <f>+N261/$N$270</f>
        <v>0</v>
      </c>
      <c r="P261" s="433">
        <v>0</v>
      </c>
      <c r="Q261" s="463">
        <f>+P261/$P$270</f>
        <v>0</v>
      </c>
      <c r="R261" s="302"/>
      <c r="S261" s="258"/>
      <c r="T261" s="259"/>
    </row>
    <row r="262" spans="1:20" s="260" customFormat="1" x14ac:dyDescent="0.3">
      <c r="A262" s="275"/>
      <c r="B262" s="313" t="s">
        <v>73</v>
      </c>
      <c r="C262" s="384"/>
      <c r="D262" s="384"/>
      <c r="E262" s="384"/>
      <c r="F262" s="384"/>
      <c r="G262" s="384"/>
      <c r="H262" s="384"/>
      <c r="I262" s="384"/>
      <c r="J262" s="384"/>
      <c r="K262" s="384"/>
      <c r="L262" s="384"/>
      <c r="M262" s="384"/>
      <c r="N262" s="313">
        <v>0</v>
      </c>
      <c r="O262" s="462">
        <f t="shared" ref="O262:O268" si="7">+N262/$N$270</f>
        <v>0</v>
      </c>
      <c r="P262" s="314">
        <v>0</v>
      </c>
      <c r="Q262" s="385">
        <f t="shared" ref="Q262:Q268" si="8">+P262/$P$270</f>
        <v>0</v>
      </c>
      <c r="R262" s="268"/>
      <c r="S262" s="271"/>
      <c r="T262" s="259"/>
    </row>
    <row r="263" spans="1:20" s="260" customFormat="1" x14ac:dyDescent="0.3">
      <c r="A263" s="275"/>
      <c r="B263" s="313" t="s">
        <v>74</v>
      </c>
      <c r="C263" s="384"/>
      <c r="D263" s="384"/>
      <c r="E263" s="384"/>
      <c r="F263" s="384"/>
      <c r="G263" s="384"/>
      <c r="H263" s="384"/>
      <c r="I263" s="384"/>
      <c r="J263" s="384"/>
      <c r="K263" s="384"/>
      <c r="L263" s="384"/>
      <c r="M263" s="384"/>
      <c r="N263" s="313">
        <v>0</v>
      </c>
      <c r="O263" s="460">
        <f t="shared" si="7"/>
        <v>0</v>
      </c>
      <c r="P263" s="314">
        <v>0</v>
      </c>
      <c r="Q263" s="385">
        <f t="shared" si="8"/>
        <v>0</v>
      </c>
      <c r="R263" s="268"/>
      <c r="S263" s="271"/>
      <c r="T263" s="259"/>
    </row>
    <row r="264" spans="1:20" s="260" customFormat="1" x14ac:dyDescent="0.3">
      <c r="A264" s="275"/>
      <c r="B264" s="313" t="s">
        <v>119</v>
      </c>
      <c r="C264" s="384"/>
      <c r="D264" s="384"/>
      <c r="E264" s="384"/>
      <c r="F264" s="384"/>
      <c r="G264" s="384"/>
      <c r="H264" s="384"/>
      <c r="I264" s="384"/>
      <c r="J264" s="384"/>
      <c r="K264" s="384"/>
      <c r="L264" s="384"/>
      <c r="M264" s="384"/>
      <c r="N264" s="313">
        <v>0</v>
      </c>
      <c r="O264" s="460">
        <f t="shared" si="7"/>
        <v>0</v>
      </c>
      <c r="P264" s="314">
        <v>0</v>
      </c>
      <c r="Q264" s="385">
        <f t="shared" si="8"/>
        <v>0</v>
      </c>
      <c r="R264" s="268"/>
      <c r="S264" s="271"/>
      <c r="T264" s="259"/>
    </row>
    <row r="265" spans="1:20" s="260" customFormat="1" x14ac:dyDescent="0.3">
      <c r="A265" s="275"/>
      <c r="B265" s="313" t="s">
        <v>120</v>
      </c>
      <c r="C265" s="384"/>
      <c r="D265" s="384"/>
      <c r="E265" s="384"/>
      <c r="F265" s="384"/>
      <c r="G265" s="384"/>
      <c r="H265" s="384"/>
      <c r="I265" s="384"/>
      <c r="J265" s="384"/>
      <c r="K265" s="384"/>
      <c r="L265" s="384"/>
      <c r="M265" s="384"/>
      <c r="N265" s="313">
        <v>0</v>
      </c>
      <c r="O265" s="460">
        <f t="shared" si="7"/>
        <v>0</v>
      </c>
      <c r="P265" s="314">
        <v>0</v>
      </c>
      <c r="Q265" s="385">
        <f t="shared" si="8"/>
        <v>0</v>
      </c>
      <c r="R265" s="268"/>
      <c r="S265" s="271"/>
      <c r="T265" s="259"/>
    </row>
    <row r="266" spans="1:20" s="260" customFormat="1" x14ac:dyDescent="0.3">
      <c r="A266" s="275"/>
      <c r="B266" s="313" t="s">
        <v>121</v>
      </c>
      <c r="C266" s="384"/>
      <c r="D266" s="384"/>
      <c r="E266" s="384"/>
      <c r="F266" s="384"/>
      <c r="G266" s="384"/>
      <c r="H266" s="384"/>
      <c r="I266" s="384"/>
      <c r="J266" s="384"/>
      <c r="K266" s="384"/>
      <c r="L266" s="384"/>
      <c r="M266" s="384"/>
      <c r="N266" s="313">
        <v>0</v>
      </c>
      <c r="O266" s="460">
        <f t="shared" si="7"/>
        <v>0</v>
      </c>
      <c r="P266" s="314">
        <v>0</v>
      </c>
      <c r="Q266" s="385">
        <f t="shared" si="8"/>
        <v>0</v>
      </c>
      <c r="R266" s="268"/>
      <c r="S266" s="271"/>
      <c r="T266" s="259"/>
    </row>
    <row r="267" spans="1:20" s="260" customFormat="1" x14ac:dyDescent="0.3">
      <c r="A267" s="275"/>
      <c r="B267" s="313" t="s">
        <v>122</v>
      </c>
      <c r="C267" s="384"/>
      <c r="D267" s="384"/>
      <c r="E267" s="384"/>
      <c r="F267" s="384"/>
      <c r="G267" s="384"/>
      <c r="H267" s="384"/>
      <c r="I267" s="384"/>
      <c r="J267" s="384"/>
      <c r="K267" s="384"/>
      <c r="L267" s="384"/>
      <c r="M267" s="384"/>
      <c r="N267" s="313">
        <v>0</v>
      </c>
      <c r="O267" s="461">
        <f t="shared" si="7"/>
        <v>0</v>
      </c>
      <c r="P267" s="314">
        <v>0</v>
      </c>
      <c r="Q267" s="385">
        <f t="shared" si="8"/>
        <v>0</v>
      </c>
      <c r="R267" s="268"/>
      <c r="S267" s="271"/>
      <c r="T267" s="259"/>
    </row>
    <row r="268" spans="1:20" s="260" customFormat="1" x14ac:dyDescent="0.3">
      <c r="A268" s="275"/>
      <c r="B268" s="313" t="s">
        <v>123</v>
      </c>
      <c r="C268" s="384"/>
      <c r="D268" s="384"/>
      <c r="E268" s="384"/>
      <c r="F268" s="384"/>
      <c r="G268" s="384"/>
      <c r="H268" s="384"/>
      <c r="I268" s="384"/>
      <c r="J268" s="384"/>
      <c r="K268" s="384"/>
      <c r="L268" s="384"/>
      <c r="M268" s="384"/>
      <c r="N268" s="313">
        <v>1</v>
      </c>
      <c r="O268" s="385">
        <f t="shared" si="7"/>
        <v>1</v>
      </c>
      <c r="P268" s="314">
        <v>196</v>
      </c>
      <c r="Q268" s="385">
        <f t="shared" si="8"/>
        <v>1</v>
      </c>
      <c r="R268" s="268"/>
      <c r="S268" s="271"/>
      <c r="T268" s="259"/>
    </row>
    <row r="269" spans="1:20" s="260" customFormat="1" x14ac:dyDescent="0.3">
      <c r="A269" s="275"/>
      <c r="B269" s="313"/>
      <c r="C269" s="384"/>
      <c r="D269" s="384"/>
      <c r="E269" s="384"/>
      <c r="F269" s="384"/>
      <c r="G269" s="384"/>
      <c r="H269" s="384"/>
      <c r="I269" s="384"/>
      <c r="J269" s="384"/>
      <c r="K269" s="384"/>
      <c r="L269" s="384"/>
      <c r="M269" s="384"/>
      <c r="N269" s="313"/>
      <c r="O269" s="385"/>
      <c r="P269" s="314"/>
      <c r="Q269" s="385"/>
      <c r="R269" s="268"/>
      <c r="S269" s="271"/>
      <c r="T269" s="259"/>
    </row>
    <row r="270" spans="1:20" s="260" customFormat="1" x14ac:dyDescent="0.3">
      <c r="A270" s="275"/>
      <c r="B270" s="268" t="s">
        <v>94</v>
      </c>
      <c r="C270" s="268"/>
      <c r="D270" s="386"/>
      <c r="E270" s="386"/>
      <c r="F270" s="386"/>
      <c r="G270" s="386"/>
      <c r="H270" s="386"/>
      <c r="I270" s="386"/>
      <c r="J270" s="386"/>
      <c r="K270" s="386"/>
      <c r="L270" s="386"/>
      <c r="M270" s="386"/>
      <c r="N270" s="313">
        <f>SUM(N261:N269)</f>
        <v>1</v>
      </c>
      <c r="O270" s="385">
        <f>SUM(O261:O269)</f>
        <v>1</v>
      </c>
      <c r="P270" s="314">
        <f>SUM(P261:P269)</f>
        <v>196</v>
      </c>
      <c r="Q270" s="385">
        <f>SUM(Q261:Q269)</f>
        <v>1</v>
      </c>
      <c r="R270" s="268"/>
      <c r="S270" s="271"/>
      <c r="T270" s="259"/>
    </row>
    <row r="271" spans="1:20" x14ac:dyDescent="0.3">
      <c r="A271" s="243"/>
      <c r="B271" s="315"/>
      <c r="C271" s="315"/>
      <c r="D271" s="387"/>
      <c r="E271" s="387"/>
      <c r="F271" s="387"/>
      <c r="G271" s="387"/>
      <c r="H271" s="387"/>
      <c r="I271" s="387"/>
      <c r="J271" s="387"/>
      <c r="K271" s="387"/>
      <c r="L271" s="387"/>
      <c r="M271" s="387"/>
      <c r="N271" s="316"/>
      <c r="O271" s="388"/>
      <c r="P271" s="389"/>
      <c r="Q271" s="388"/>
      <c r="R271" s="315"/>
      <c r="S271" s="246"/>
      <c r="T271" s="241"/>
    </row>
    <row r="272" spans="1:20" x14ac:dyDescent="0.3">
      <c r="A272" s="424"/>
      <c r="B272" s="434" t="s">
        <v>125</v>
      </c>
      <c r="C272" s="428"/>
      <c r="D272" s="457"/>
      <c r="E272" s="457"/>
      <c r="F272" s="457"/>
      <c r="G272" s="457"/>
      <c r="H272" s="457"/>
      <c r="I272" s="457"/>
      <c r="J272" s="457"/>
      <c r="K272" s="457"/>
      <c r="L272" s="457"/>
      <c r="M272" s="457"/>
      <c r="N272" s="451" t="s">
        <v>83</v>
      </c>
      <c r="O272" s="435" t="s">
        <v>84</v>
      </c>
      <c r="P272" s="451" t="s">
        <v>89</v>
      </c>
      <c r="Q272" s="435" t="s">
        <v>84</v>
      </c>
      <c r="R272" s="428"/>
      <c r="S272" s="426"/>
      <c r="T272" s="241"/>
    </row>
    <row r="273" spans="1:20" s="260" customFormat="1" x14ac:dyDescent="0.3">
      <c r="A273" s="255"/>
      <c r="B273" s="327" t="s">
        <v>72</v>
      </c>
      <c r="C273" s="302"/>
      <c r="D273" s="456"/>
      <c r="E273" s="456"/>
      <c r="F273" s="456"/>
      <c r="G273" s="456"/>
      <c r="H273" s="456"/>
      <c r="I273" s="456"/>
      <c r="J273" s="456"/>
      <c r="K273" s="456"/>
      <c r="L273" s="456"/>
      <c r="M273" s="456"/>
      <c r="N273" s="327">
        <v>0</v>
      </c>
      <c r="O273" s="454">
        <v>0</v>
      </c>
      <c r="P273" s="433">
        <v>0</v>
      </c>
      <c r="Q273" s="454">
        <v>0</v>
      </c>
      <c r="R273" s="302"/>
      <c r="S273" s="258"/>
      <c r="T273" s="259"/>
    </row>
    <row r="274" spans="1:20" s="260" customFormat="1" x14ac:dyDescent="0.3">
      <c r="A274" s="275"/>
      <c r="B274" s="313" t="s">
        <v>73</v>
      </c>
      <c r="C274" s="268"/>
      <c r="D274" s="386"/>
      <c r="E274" s="386"/>
      <c r="F274" s="386"/>
      <c r="G274" s="386"/>
      <c r="H274" s="386"/>
      <c r="I274" s="386"/>
      <c r="J274" s="386"/>
      <c r="K274" s="386"/>
      <c r="L274" s="386"/>
      <c r="M274" s="386"/>
      <c r="N274" s="313">
        <v>0</v>
      </c>
      <c r="O274" s="385">
        <v>0</v>
      </c>
      <c r="P274" s="314">
        <v>0</v>
      </c>
      <c r="Q274" s="385">
        <v>0</v>
      </c>
      <c r="R274" s="268"/>
      <c r="S274" s="271"/>
      <c r="T274" s="259"/>
    </row>
    <row r="275" spans="1:20" s="260" customFormat="1" x14ac:dyDescent="0.3">
      <c r="A275" s="275"/>
      <c r="B275" s="313" t="s">
        <v>74</v>
      </c>
      <c r="C275" s="268"/>
      <c r="D275" s="386"/>
      <c r="E275" s="386"/>
      <c r="F275" s="386"/>
      <c r="G275" s="386"/>
      <c r="H275" s="386"/>
      <c r="I275" s="386"/>
      <c r="J275" s="386"/>
      <c r="K275" s="386"/>
      <c r="L275" s="386"/>
      <c r="M275" s="386"/>
      <c r="N275" s="313">
        <v>0</v>
      </c>
      <c r="O275" s="385">
        <v>0</v>
      </c>
      <c r="P275" s="314">
        <v>0</v>
      </c>
      <c r="Q275" s="385">
        <v>0</v>
      </c>
      <c r="R275" s="268"/>
      <c r="S275" s="271"/>
      <c r="T275" s="259"/>
    </row>
    <row r="276" spans="1:20" s="260" customFormat="1" x14ac:dyDescent="0.3">
      <c r="A276" s="275"/>
      <c r="B276" s="313" t="s">
        <v>119</v>
      </c>
      <c r="C276" s="268"/>
      <c r="D276" s="386"/>
      <c r="E276" s="386"/>
      <c r="F276" s="386"/>
      <c r="G276" s="386"/>
      <c r="H276" s="386"/>
      <c r="I276" s="386"/>
      <c r="J276" s="386"/>
      <c r="K276" s="386"/>
      <c r="L276" s="386"/>
      <c r="M276" s="386"/>
      <c r="N276" s="313">
        <v>0</v>
      </c>
      <c r="O276" s="385">
        <v>0</v>
      </c>
      <c r="P276" s="314">
        <v>0</v>
      </c>
      <c r="Q276" s="385">
        <v>0</v>
      </c>
      <c r="R276" s="268"/>
      <c r="S276" s="271"/>
      <c r="T276" s="259"/>
    </row>
    <row r="277" spans="1:20" s="260" customFormat="1" x14ac:dyDescent="0.3">
      <c r="A277" s="275"/>
      <c r="B277" s="313" t="s">
        <v>120</v>
      </c>
      <c r="C277" s="268"/>
      <c r="D277" s="386"/>
      <c r="E277" s="386"/>
      <c r="F277" s="386"/>
      <c r="G277" s="386"/>
      <c r="H277" s="386"/>
      <c r="I277" s="386"/>
      <c r="J277" s="386"/>
      <c r="K277" s="386"/>
      <c r="L277" s="386"/>
      <c r="M277" s="386"/>
      <c r="N277" s="313">
        <v>0</v>
      </c>
      <c r="O277" s="385">
        <v>0</v>
      </c>
      <c r="P277" s="314">
        <v>0</v>
      </c>
      <c r="Q277" s="385">
        <v>0</v>
      </c>
      <c r="R277" s="268"/>
      <c r="S277" s="271"/>
      <c r="T277" s="259"/>
    </row>
    <row r="278" spans="1:20" s="260" customFormat="1" x14ac:dyDescent="0.3">
      <c r="A278" s="275"/>
      <c r="B278" s="313" t="s">
        <v>121</v>
      </c>
      <c r="C278" s="268"/>
      <c r="D278" s="386"/>
      <c r="E278" s="386"/>
      <c r="F278" s="386"/>
      <c r="G278" s="386"/>
      <c r="H278" s="386"/>
      <c r="I278" s="386"/>
      <c r="J278" s="386"/>
      <c r="K278" s="386"/>
      <c r="L278" s="386"/>
      <c r="M278" s="386"/>
      <c r="N278" s="313">
        <v>0</v>
      </c>
      <c r="O278" s="385">
        <v>0</v>
      </c>
      <c r="P278" s="314">
        <v>0</v>
      </c>
      <c r="Q278" s="385">
        <v>0</v>
      </c>
      <c r="R278" s="268"/>
      <c r="S278" s="271"/>
      <c r="T278" s="259"/>
    </row>
    <row r="279" spans="1:20" s="260" customFormat="1" x14ac:dyDescent="0.3">
      <c r="A279" s="275"/>
      <c r="B279" s="313" t="s">
        <v>122</v>
      </c>
      <c r="C279" s="268"/>
      <c r="D279" s="386"/>
      <c r="E279" s="386"/>
      <c r="F279" s="386"/>
      <c r="G279" s="386"/>
      <c r="H279" s="386"/>
      <c r="I279" s="386"/>
      <c r="J279" s="386"/>
      <c r="K279" s="386"/>
      <c r="L279" s="386"/>
      <c r="M279" s="386"/>
      <c r="N279" s="313">
        <v>0</v>
      </c>
      <c r="O279" s="385">
        <v>0</v>
      </c>
      <c r="P279" s="314">
        <v>0</v>
      </c>
      <c r="Q279" s="385">
        <v>0</v>
      </c>
      <c r="R279" s="268"/>
      <c r="S279" s="271"/>
      <c r="T279" s="259"/>
    </row>
    <row r="280" spans="1:20" s="260" customFormat="1" x14ac:dyDescent="0.3">
      <c r="A280" s="275"/>
      <c r="B280" s="313" t="s">
        <v>123</v>
      </c>
      <c r="C280" s="268"/>
      <c r="D280" s="386"/>
      <c r="E280" s="386"/>
      <c r="F280" s="386"/>
      <c r="G280" s="386"/>
      <c r="H280" s="386"/>
      <c r="I280" s="386"/>
      <c r="J280" s="386"/>
      <c r="K280" s="386"/>
      <c r="L280" s="386"/>
      <c r="M280" s="386"/>
      <c r="N280" s="313">
        <v>0</v>
      </c>
      <c r="O280" s="385">
        <v>0</v>
      </c>
      <c r="P280" s="314">
        <v>0</v>
      </c>
      <c r="Q280" s="385">
        <v>0</v>
      </c>
      <c r="R280" s="268"/>
      <c r="S280" s="271"/>
      <c r="T280" s="259"/>
    </row>
    <row r="281" spans="1:20" s="260" customFormat="1" x14ac:dyDescent="0.3">
      <c r="A281" s="275"/>
      <c r="B281" s="313"/>
      <c r="C281" s="268"/>
      <c r="D281" s="386"/>
      <c r="E281" s="386"/>
      <c r="F281" s="386"/>
      <c r="G281" s="386"/>
      <c r="H281" s="386"/>
      <c r="I281" s="386"/>
      <c r="J281" s="386"/>
      <c r="K281" s="386"/>
      <c r="L281" s="386"/>
      <c r="M281" s="386"/>
      <c r="N281" s="313"/>
      <c r="O281" s="385"/>
      <c r="P281" s="314"/>
      <c r="Q281" s="385"/>
      <c r="R281" s="268"/>
      <c r="S281" s="271"/>
      <c r="T281" s="259"/>
    </row>
    <row r="282" spans="1:20" s="260" customFormat="1" x14ac:dyDescent="0.3">
      <c r="A282" s="275"/>
      <c r="B282" s="268" t="s">
        <v>94</v>
      </c>
      <c r="C282" s="268"/>
      <c r="D282" s="386"/>
      <c r="E282" s="386"/>
      <c r="F282" s="386"/>
      <c r="G282" s="386"/>
      <c r="H282" s="386"/>
      <c r="I282" s="386"/>
      <c r="J282" s="386"/>
      <c r="K282" s="386"/>
      <c r="L282" s="386"/>
      <c r="M282" s="386"/>
      <c r="N282" s="313">
        <f>SUM(N273:N280)</f>
        <v>0</v>
      </c>
      <c r="O282" s="385">
        <f>SUM(O273:O280)</f>
        <v>0</v>
      </c>
      <c r="P282" s="314">
        <f>SUM(P273:P280)</f>
        <v>0</v>
      </c>
      <c r="Q282" s="385">
        <f>SUM(Q273:Q280)</f>
        <v>0</v>
      </c>
      <c r="R282" s="268"/>
      <c r="S282" s="271"/>
      <c r="T282" s="259"/>
    </row>
    <row r="283" spans="1:20" s="260" customFormat="1" x14ac:dyDescent="0.3">
      <c r="A283" s="275"/>
      <c r="B283" s="268"/>
      <c r="C283" s="268"/>
      <c r="D283" s="386"/>
      <c r="E283" s="386"/>
      <c r="F283" s="386"/>
      <c r="G283" s="386"/>
      <c r="H283" s="386"/>
      <c r="I283" s="386"/>
      <c r="J283" s="386"/>
      <c r="K283" s="386"/>
      <c r="L283" s="386"/>
      <c r="M283" s="386"/>
      <c r="N283" s="313"/>
      <c r="O283" s="385"/>
      <c r="P283" s="314"/>
      <c r="Q283" s="385"/>
      <c r="R283" s="268"/>
      <c r="S283" s="271"/>
      <c r="T283" s="259"/>
    </row>
    <row r="284" spans="1:20" s="260" customFormat="1" x14ac:dyDescent="0.3">
      <c r="A284" s="275"/>
      <c r="B284" s="272" t="s">
        <v>182</v>
      </c>
      <c r="C284" s="268"/>
      <c r="D284" s="386"/>
      <c r="E284" s="386"/>
      <c r="F284" s="386"/>
      <c r="G284" s="386"/>
      <c r="H284" s="386"/>
      <c r="I284" s="386"/>
      <c r="J284" s="386"/>
      <c r="K284" s="386"/>
      <c r="L284" s="386"/>
      <c r="M284" s="386"/>
      <c r="N284" s="390">
        <f>N282+N270+N258</f>
        <v>419</v>
      </c>
      <c r="O284" s="385"/>
      <c r="P284" s="391">
        <f>+P282+P270+P258</f>
        <v>61458</v>
      </c>
      <c r="Q284" s="385"/>
      <c r="R284" s="268"/>
      <c r="S284" s="271"/>
      <c r="T284" s="259"/>
    </row>
    <row r="285" spans="1:20" s="260" customFormat="1" x14ac:dyDescent="0.3">
      <c r="A285" s="275"/>
      <c r="B285" s="272" t="s">
        <v>247</v>
      </c>
      <c r="C285" s="272"/>
      <c r="D285" s="392"/>
      <c r="E285" s="392"/>
      <c r="F285" s="392"/>
      <c r="G285" s="392"/>
      <c r="H285" s="392"/>
      <c r="I285" s="392"/>
      <c r="J285" s="392"/>
      <c r="K285" s="392"/>
      <c r="L285" s="392"/>
      <c r="M285" s="392"/>
      <c r="N285" s="390"/>
      <c r="O285" s="393"/>
      <c r="P285" s="391">
        <f>+R171</f>
        <v>0</v>
      </c>
      <c r="Q285" s="385"/>
      <c r="R285" s="268"/>
      <c r="S285" s="271"/>
      <c r="T285" s="259"/>
    </row>
    <row r="286" spans="1:20" s="260" customFormat="1" x14ac:dyDescent="0.3">
      <c r="A286" s="275"/>
      <c r="B286" s="272" t="s">
        <v>126</v>
      </c>
      <c r="C286" s="272"/>
      <c r="D286" s="392"/>
      <c r="E286" s="392"/>
      <c r="F286" s="392"/>
      <c r="G286" s="392"/>
      <c r="H286" s="392"/>
      <c r="I286" s="392"/>
      <c r="J286" s="392"/>
      <c r="K286" s="392"/>
      <c r="L286" s="392"/>
      <c r="M286" s="392"/>
      <c r="N286" s="390"/>
      <c r="O286" s="393"/>
      <c r="P286" s="391">
        <f>+P284+P285</f>
        <v>61458</v>
      </c>
      <c r="Q286" s="385"/>
      <c r="R286" s="268"/>
      <c r="S286" s="271"/>
      <c r="T286" s="259"/>
    </row>
    <row r="287" spans="1:20" s="260" customFormat="1" x14ac:dyDescent="0.3">
      <c r="A287" s="275"/>
      <c r="B287" s="272" t="s">
        <v>181</v>
      </c>
      <c r="C287" s="268"/>
      <c r="D287" s="386"/>
      <c r="E287" s="386"/>
      <c r="F287" s="386"/>
      <c r="G287" s="386"/>
      <c r="H287" s="386"/>
      <c r="I287" s="386"/>
      <c r="J287" s="386"/>
      <c r="K287" s="386"/>
      <c r="L287" s="386"/>
      <c r="M287" s="386"/>
      <c r="N287" s="390"/>
      <c r="O287" s="385"/>
      <c r="P287" s="391">
        <f>+R72</f>
        <v>61458</v>
      </c>
      <c r="Q287" s="385"/>
      <c r="R287" s="268"/>
      <c r="S287" s="271"/>
      <c r="T287" s="259"/>
    </row>
    <row r="288" spans="1:20" s="260" customFormat="1" x14ac:dyDescent="0.3">
      <c r="A288" s="275"/>
      <c r="B288" s="272"/>
      <c r="C288" s="268"/>
      <c r="D288" s="386"/>
      <c r="E288" s="386"/>
      <c r="F288" s="386"/>
      <c r="G288" s="386"/>
      <c r="H288" s="386"/>
      <c r="I288" s="386"/>
      <c r="J288" s="386"/>
      <c r="K288" s="386"/>
      <c r="L288" s="386"/>
      <c r="M288" s="386"/>
      <c r="N288" s="390"/>
      <c r="O288" s="385"/>
      <c r="P288" s="391"/>
      <c r="Q288" s="385"/>
      <c r="R288" s="268"/>
      <c r="S288" s="271"/>
      <c r="T288" s="259"/>
    </row>
    <row r="289" spans="1:20" s="260" customFormat="1" x14ac:dyDescent="0.3">
      <c r="A289" s="275"/>
      <c r="B289" s="272" t="s">
        <v>221</v>
      </c>
      <c r="C289" s="268"/>
      <c r="D289" s="386"/>
      <c r="E289" s="386"/>
      <c r="F289" s="386"/>
      <c r="G289" s="386"/>
      <c r="H289" s="386"/>
      <c r="I289" s="386"/>
      <c r="J289" s="386"/>
      <c r="K289" s="386"/>
      <c r="L289" s="386"/>
      <c r="M289" s="386"/>
      <c r="N289" s="390"/>
      <c r="O289" s="385"/>
      <c r="P289" s="394">
        <f>(J30+R138)/R30</f>
        <v>0.20420545903127263</v>
      </c>
      <c r="Q289" s="385"/>
      <c r="R289" s="268"/>
      <c r="S289" s="271"/>
      <c r="T289" s="259"/>
    </row>
    <row r="290" spans="1:20" s="260" customFormat="1" x14ac:dyDescent="0.3">
      <c r="A290" s="255"/>
      <c r="B290" s="256"/>
      <c r="C290" s="256"/>
      <c r="D290" s="395"/>
      <c r="E290" s="395"/>
      <c r="F290" s="395"/>
      <c r="G290" s="395"/>
      <c r="H290" s="395"/>
      <c r="I290" s="395"/>
      <c r="J290" s="395"/>
      <c r="K290" s="395"/>
      <c r="L290" s="395"/>
      <c r="M290" s="395"/>
      <c r="N290" s="395"/>
      <c r="O290" s="395"/>
      <c r="P290" s="396"/>
      <c r="Q290" s="395"/>
      <c r="R290" s="256"/>
      <c r="S290" s="258"/>
      <c r="T290" s="259"/>
    </row>
    <row r="291" spans="1:20" s="260" customFormat="1" x14ac:dyDescent="0.3">
      <c r="A291" s="255"/>
      <c r="B291" s="254" t="s">
        <v>75</v>
      </c>
      <c r="C291" s="256"/>
      <c r="D291" s="397" t="s">
        <v>79</v>
      </c>
      <c r="E291" s="254"/>
      <c r="F291" s="254" t="s">
        <v>80</v>
      </c>
      <c r="G291" s="256"/>
      <c r="H291" s="254"/>
      <c r="I291" s="256"/>
      <c r="J291" s="256"/>
      <c r="K291" s="256"/>
      <c r="L291" s="256"/>
      <c r="M291" s="256"/>
      <c r="N291" s="256"/>
      <c r="O291" s="256"/>
      <c r="P291" s="256"/>
      <c r="Q291" s="256"/>
      <c r="R291" s="256"/>
      <c r="S291" s="258"/>
      <c r="T291" s="259"/>
    </row>
    <row r="292" spans="1:20" s="260" customFormat="1" x14ac:dyDescent="0.3">
      <c r="A292" s="255"/>
      <c r="B292" s="256"/>
      <c r="C292" s="256"/>
      <c r="D292" s="256"/>
      <c r="E292" s="256"/>
      <c r="F292" s="256"/>
      <c r="G292" s="256"/>
      <c r="H292" s="256"/>
      <c r="I292" s="256"/>
      <c r="J292" s="256"/>
      <c r="K292" s="256"/>
      <c r="L292" s="256"/>
      <c r="M292" s="256"/>
      <c r="N292" s="256"/>
      <c r="O292" s="256"/>
      <c r="P292" s="256"/>
      <c r="Q292" s="256"/>
      <c r="R292" s="256"/>
      <c r="S292" s="258"/>
      <c r="T292" s="259"/>
    </row>
    <row r="293" spans="1:20" s="260" customFormat="1" x14ac:dyDescent="0.3">
      <c r="A293" s="255"/>
      <c r="B293" s="254" t="s">
        <v>212</v>
      </c>
      <c r="C293" s="254"/>
      <c r="D293" s="398" t="s">
        <v>147</v>
      </c>
      <c r="E293" s="254"/>
      <c r="F293" s="458" t="s">
        <v>272</v>
      </c>
      <c r="G293" s="254"/>
      <c r="H293" s="254"/>
      <c r="I293" s="256"/>
      <c r="J293" s="256"/>
      <c r="K293" s="256"/>
      <c r="L293" s="256"/>
      <c r="M293" s="256"/>
      <c r="N293" s="256"/>
      <c r="O293" s="256"/>
      <c r="P293" s="256"/>
      <c r="Q293" s="256"/>
      <c r="R293" s="256"/>
      <c r="S293" s="258"/>
      <c r="T293" s="259"/>
    </row>
    <row r="294" spans="1:20" s="260" customFormat="1" x14ac:dyDescent="0.3">
      <c r="A294" s="255"/>
      <c r="B294" s="254" t="s">
        <v>213</v>
      </c>
      <c r="C294" s="254"/>
      <c r="D294" s="398" t="s">
        <v>114</v>
      </c>
      <c r="E294" s="254"/>
      <c r="F294" s="458" t="s">
        <v>273</v>
      </c>
      <c r="G294" s="254"/>
      <c r="H294" s="254"/>
      <c r="I294" s="256"/>
      <c r="J294" s="256"/>
      <c r="K294" s="256"/>
      <c r="L294" s="256"/>
      <c r="M294" s="256"/>
      <c r="N294" s="256"/>
      <c r="O294" s="256"/>
      <c r="P294" s="256"/>
      <c r="Q294" s="256"/>
      <c r="R294" s="256"/>
      <c r="S294" s="258"/>
      <c r="T294" s="259"/>
    </row>
    <row r="295" spans="1:20" s="260" customFormat="1" x14ac:dyDescent="0.3">
      <c r="A295" s="255"/>
      <c r="B295" s="254"/>
      <c r="C295" s="254"/>
      <c r="D295" s="256"/>
      <c r="E295" s="256"/>
      <c r="F295" s="256"/>
      <c r="G295" s="256"/>
      <c r="H295" s="256"/>
      <c r="I295" s="256"/>
      <c r="J295" s="256"/>
      <c r="K295" s="256"/>
      <c r="L295" s="256"/>
      <c r="M295" s="256"/>
      <c r="N295" s="256"/>
      <c r="O295" s="256"/>
      <c r="P295" s="256"/>
      <c r="Q295" s="256"/>
      <c r="R295" s="256"/>
      <c r="S295" s="258"/>
      <c r="T295" s="259"/>
    </row>
    <row r="296" spans="1:20" s="260" customFormat="1" x14ac:dyDescent="0.3">
      <c r="A296" s="255"/>
      <c r="B296" s="254"/>
      <c r="C296" s="254"/>
      <c r="D296" s="256"/>
      <c r="E296" s="256"/>
      <c r="F296" s="256"/>
      <c r="G296" s="256"/>
      <c r="H296" s="256"/>
      <c r="I296" s="256"/>
      <c r="J296" s="256"/>
      <c r="K296" s="256"/>
      <c r="L296" s="256"/>
      <c r="M296" s="256"/>
      <c r="N296" s="256"/>
      <c r="O296" s="256"/>
      <c r="P296" s="256"/>
      <c r="Q296" s="256"/>
      <c r="R296" s="256"/>
      <c r="S296" s="258"/>
      <c r="T296" s="259"/>
    </row>
    <row r="297" spans="1:20" s="260" customFormat="1" ht="18.600000000000001" thickBot="1" x14ac:dyDescent="0.4">
      <c r="A297" s="255"/>
      <c r="B297" s="399" t="str">
        <f>B196</f>
        <v>PM21 INVESTOR REPORT QUARTER ENDING AUGUST 2018</v>
      </c>
      <c r="C297" s="254"/>
      <c r="D297" s="256"/>
      <c r="E297" s="256"/>
      <c r="F297" s="256"/>
      <c r="G297" s="256"/>
      <c r="H297" s="256"/>
      <c r="I297" s="256"/>
      <c r="J297" s="256"/>
      <c r="K297" s="256"/>
      <c r="L297" s="256"/>
      <c r="M297" s="256"/>
      <c r="N297" s="256"/>
      <c r="O297" s="256"/>
      <c r="P297" s="256"/>
      <c r="Q297" s="256"/>
      <c r="R297" s="256"/>
      <c r="S297" s="311"/>
      <c r="T297" s="259"/>
    </row>
    <row r="298" spans="1:20" x14ac:dyDescent="0.3">
      <c r="A298" s="400"/>
      <c r="B298" s="400"/>
      <c r="C298" s="400"/>
      <c r="D298" s="400"/>
      <c r="E298" s="400"/>
      <c r="F298" s="400"/>
      <c r="G298" s="400"/>
      <c r="H298" s="400"/>
      <c r="I298" s="400"/>
      <c r="J298" s="400"/>
      <c r="K298" s="400"/>
      <c r="L298" s="400"/>
      <c r="M298" s="400"/>
      <c r="N298" s="400"/>
      <c r="O298" s="400"/>
      <c r="P298" s="400"/>
      <c r="Q298" s="400"/>
      <c r="R298" s="400"/>
      <c r="S298" s="400"/>
    </row>
  </sheetData>
  <hyperlinks>
    <hyperlink ref="K9" r:id="rId1"/>
    <hyperlink ref="N234"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300"/>
  <sheetViews>
    <sheetView showGridLines="0" tabSelected="1" showOutlineSymbols="0" zoomScale="70" zoomScaleNormal="70" workbookViewId="0"/>
  </sheetViews>
  <sheetFormatPr defaultColWidth="9.6328125" defaultRowHeight="15.6" x14ac:dyDescent="0.3"/>
  <cols>
    <col min="1" max="1" width="4" style="242" customWidth="1"/>
    <col min="2" max="2" width="71.1796875" style="242" customWidth="1"/>
    <col min="3" max="3" width="2.1796875" style="242" customWidth="1"/>
    <col min="4" max="4" width="16.1796875" style="242" customWidth="1"/>
    <col min="5" max="5" width="2.90625" style="242" customWidth="1"/>
    <col min="6" max="6" width="16.1796875" style="242" customWidth="1"/>
    <col min="7" max="7" width="2.1796875" style="242" customWidth="1"/>
    <col min="8" max="8" width="17.90625" style="242" customWidth="1"/>
    <col min="9" max="9" width="2.36328125" style="242" customWidth="1"/>
    <col min="10" max="10" width="14.90625" style="242" customWidth="1"/>
    <col min="11" max="11" width="2.36328125" style="242" customWidth="1"/>
    <col min="12" max="12" width="15.54296875" style="242" customWidth="1"/>
    <col min="13" max="13" width="2.1796875" style="242" customWidth="1"/>
    <col min="14" max="14" width="15.54296875" style="242" customWidth="1"/>
    <col min="15" max="16" width="12.6328125" style="242" customWidth="1"/>
    <col min="17" max="17" width="8.36328125" style="242" customWidth="1"/>
    <col min="18" max="18" width="14.6328125" style="242" customWidth="1"/>
    <col min="19" max="19" width="11.81640625" style="242" customWidth="1"/>
    <col min="20" max="16384" width="9.6328125" style="242"/>
  </cols>
  <sheetData>
    <row r="1" spans="1:20" ht="21" x14ac:dyDescent="0.4">
      <c r="A1" s="237"/>
      <c r="B1" s="238" t="s">
        <v>225</v>
      </c>
      <c r="C1" s="239"/>
      <c r="D1" s="239"/>
      <c r="E1" s="239"/>
      <c r="F1" s="239"/>
      <c r="G1" s="239"/>
      <c r="H1" s="239"/>
      <c r="I1" s="239"/>
      <c r="J1" s="239"/>
      <c r="K1" s="239"/>
      <c r="L1" s="239"/>
      <c r="M1" s="239"/>
      <c r="N1" s="239"/>
      <c r="O1" s="239"/>
      <c r="P1" s="239"/>
      <c r="Q1" s="239"/>
      <c r="R1" s="239"/>
      <c r="S1" s="240"/>
      <c r="T1" s="241"/>
    </row>
    <row r="2" spans="1:20" x14ac:dyDescent="0.3">
      <c r="A2" s="243"/>
      <c r="B2" s="244"/>
      <c r="C2" s="245"/>
      <c r="D2" s="245"/>
      <c r="E2" s="245"/>
      <c r="F2" s="245"/>
      <c r="G2" s="245"/>
      <c r="H2" s="245"/>
      <c r="I2" s="245"/>
      <c r="J2" s="245"/>
      <c r="K2" s="245"/>
      <c r="L2" s="245"/>
      <c r="M2" s="245"/>
      <c r="N2" s="245"/>
      <c r="O2" s="245"/>
      <c r="P2" s="245"/>
      <c r="Q2" s="245"/>
      <c r="R2" s="245"/>
      <c r="S2" s="246"/>
      <c r="T2" s="241"/>
    </row>
    <row r="3" spans="1:20" x14ac:dyDescent="0.3">
      <c r="A3" s="247"/>
      <c r="B3" s="248" t="s">
        <v>230</v>
      </c>
      <c r="C3" s="245"/>
      <c r="D3" s="245"/>
      <c r="E3" s="245"/>
      <c r="F3" s="245"/>
      <c r="G3" s="245"/>
      <c r="H3" s="245"/>
      <c r="I3" s="245"/>
      <c r="J3" s="245"/>
      <c r="K3" s="245"/>
      <c r="L3" s="245"/>
      <c r="M3" s="245"/>
      <c r="N3" s="245"/>
      <c r="O3" s="245"/>
      <c r="P3" s="245"/>
      <c r="Q3" s="245"/>
      <c r="R3" s="245"/>
      <c r="S3" s="246"/>
      <c r="T3" s="241"/>
    </row>
    <row r="4" spans="1:20" x14ac:dyDescent="0.3">
      <c r="A4" s="243"/>
      <c r="B4" s="244"/>
      <c r="C4" s="245"/>
      <c r="D4" s="245"/>
      <c r="E4" s="245"/>
      <c r="F4" s="245"/>
      <c r="G4" s="245"/>
      <c r="H4" s="245"/>
      <c r="I4" s="245"/>
      <c r="J4" s="245"/>
      <c r="K4" s="245"/>
      <c r="L4" s="245"/>
      <c r="M4" s="245"/>
      <c r="N4" s="245"/>
      <c r="O4" s="245"/>
      <c r="P4" s="245"/>
      <c r="Q4" s="245"/>
      <c r="R4" s="245"/>
      <c r="S4" s="246"/>
      <c r="T4" s="241"/>
    </row>
    <row r="5" spans="1:20" x14ac:dyDescent="0.3">
      <c r="A5" s="243"/>
      <c r="B5" s="249" t="s">
        <v>109</v>
      </c>
      <c r="C5" s="245"/>
      <c r="D5" s="245"/>
      <c r="E5" s="245"/>
      <c r="F5" s="245"/>
      <c r="G5" s="245"/>
      <c r="H5" s="245"/>
      <c r="I5" s="245"/>
      <c r="J5" s="245"/>
      <c r="K5" s="245"/>
      <c r="L5" s="245"/>
      <c r="M5" s="245"/>
      <c r="N5" s="245"/>
      <c r="O5" s="245"/>
      <c r="P5" s="245"/>
      <c r="Q5" s="245"/>
      <c r="R5" s="245"/>
      <c r="S5" s="246"/>
      <c r="T5" s="241"/>
    </row>
    <row r="6" spans="1:20" x14ac:dyDescent="0.3">
      <c r="A6" s="243"/>
      <c r="B6" s="249" t="s">
        <v>111</v>
      </c>
      <c r="C6" s="245"/>
      <c r="D6" s="245"/>
      <c r="E6" s="245"/>
      <c r="F6" s="245"/>
      <c r="G6" s="245"/>
      <c r="H6" s="245"/>
      <c r="I6" s="245"/>
      <c r="J6" s="245"/>
      <c r="K6" s="245"/>
      <c r="L6" s="245"/>
      <c r="M6" s="245"/>
      <c r="N6" s="245"/>
      <c r="O6" s="245"/>
      <c r="P6" s="245"/>
      <c r="Q6" s="245"/>
      <c r="R6" s="245"/>
      <c r="S6" s="246"/>
      <c r="T6" s="241"/>
    </row>
    <row r="7" spans="1:20" x14ac:dyDescent="0.3">
      <c r="A7" s="243"/>
      <c r="B7" s="249" t="s">
        <v>110</v>
      </c>
      <c r="C7" s="245"/>
      <c r="D7" s="245"/>
      <c r="E7" s="245"/>
      <c r="F7" s="245"/>
      <c r="G7" s="245"/>
      <c r="H7" s="245"/>
      <c r="I7" s="245"/>
      <c r="J7" s="245"/>
      <c r="K7" s="245"/>
      <c r="L7" s="245"/>
      <c r="M7" s="245"/>
      <c r="N7" s="245"/>
      <c r="O7" s="245"/>
      <c r="P7" s="245"/>
      <c r="Q7" s="245"/>
      <c r="R7" s="245"/>
      <c r="S7" s="246"/>
      <c r="T7" s="241"/>
    </row>
    <row r="8" spans="1:20" x14ac:dyDescent="0.3">
      <c r="A8" s="243"/>
      <c r="B8" s="250"/>
      <c r="C8" s="245"/>
      <c r="D8" s="245"/>
      <c r="E8" s="245"/>
      <c r="F8" s="245"/>
      <c r="G8" s="245"/>
      <c r="H8" s="245"/>
      <c r="I8" s="245"/>
      <c r="J8" s="245"/>
      <c r="K8" s="245"/>
      <c r="L8" s="245"/>
      <c r="M8" s="245"/>
      <c r="N8" s="245"/>
      <c r="O8" s="245"/>
      <c r="P8" s="245"/>
      <c r="Q8" s="245"/>
      <c r="R8" s="245"/>
      <c r="S8" s="246"/>
      <c r="T8" s="241"/>
    </row>
    <row r="9" spans="1:20" ht="18" x14ac:dyDescent="0.35">
      <c r="A9" s="243"/>
      <c r="B9" s="251" t="s">
        <v>127</v>
      </c>
      <c r="C9" s="245"/>
      <c r="D9" s="245"/>
      <c r="E9" s="252"/>
      <c r="F9" s="245"/>
      <c r="G9" s="245"/>
      <c r="H9" s="252"/>
      <c r="I9" s="245"/>
      <c r="J9" s="252"/>
      <c r="K9" s="236" t="s">
        <v>271</v>
      </c>
      <c r="L9" s="252"/>
      <c r="M9" s="245"/>
      <c r="N9" s="245"/>
      <c r="O9" s="245"/>
      <c r="P9" s="245"/>
      <c r="Q9" s="245"/>
      <c r="R9" s="245"/>
      <c r="S9" s="246"/>
      <c r="T9" s="241"/>
    </row>
    <row r="10" spans="1:20" x14ac:dyDescent="0.3">
      <c r="A10" s="243"/>
      <c r="B10" s="250"/>
      <c r="C10" s="253"/>
      <c r="D10" s="245"/>
      <c r="E10" s="245"/>
      <c r="F10" s="245"/>
      <c r="G10" s="245"/>
      <c r="H10" s="245"/>
      <c r="I10" s="245"/>
      <c r="J10" s="245"/>
      <c r="K10" s="245"/>
      <c r="L10" s="245"/>
      <c r="M10" s="245"/>
      <c r="N10" s="245"/>
      <c r="O10" s="245"/>
      <c r="P10" s="245"/>
      <c r="Q10" s="245"/>
      <c r="R10" s="245"/>
      <c r="S10" s="246"/>
      <c r="T10" s="241"/>
    </row>
    <row r="11" spans="1:20" x14ac:dyDescent="0.3">
      <c r="A11" s="243"/>
      <c r="B11" s="254" t="s">
        <v>0</v>
      </c>
      <c r="C11" s="245"/>
      <c r="D11" s="245"/>
      <c r="E11" s="245"/>
      <c r="F11" s="245"/>
      <c r="G11" s="245"/>
      <c r="H11" s="245"/>
      <c r="I11" s="245"/>
      <c r="J11" s="245"/>
      <c r="K11" s="245"/>
      <c r="L11" s="245"/>
      <c r="M11" s="245"/>
      <c r="N11" s="245"/>
      <c r="O11" s="245"/>
      <c r="P11" s="245"/>
      <c r="Q11" s="245"/>
      <c r="R11" s="245"/>
      <c r="S11" s="246"/>
      <c r="T11" s="241"/>
    </row>
    <row r="12" spans="1:20" ht="16.2" thickBot="1" x14ac:dyDescent="0.35">
      <c r="A12" s="243"/>
      <c r="B12" s="253"/>
      <c r="C12" s="245"/>
      <c r="D12" s="245"/>
      <c r="E12" s="245"/>
      <c r="F12" s="245"/>
      <c r="G12" s="245"/>
      <c r="H12" s="245"/>
      <c r="I12" s="245"/>
      <c r="J12" s="245"/>
      <c r="K12" s="245"/>
      <c r="L12" s="245"/>
      <c r="M12" s="245"/>
      <c r="N12" s="245"/>
      <c r="O12" s="245"/>
      <c r="P12" s="245"/>
      <c r="Q12" s="245"/>
      <c r="R12" s="245"/>
      <c r="S12" s="246"/>
      <c r="T12" s="241"/>
    </row>
    <row r="13" spans="1:20" x14ac:dyDescent="0.3">
      <c r="A13" s="237"/>
      <c r="B13" s="239"/>
      <c r="C13" s="239"/>
      <c r="D13" s="239"/>
      <c r="E13" s="239"/>
      <c r="F13" s="239"/>
      <c r="G13" s="239"/>
      <c r="H13" s="239"/>
      <c r="I13" s="239"/>
      <c r="J13" s="239"/>
      <c r="K13" s="239"/>
      <c r="L13" s="239"/>
      <c r="M13" s="239"/>
      <c r="N13" s="239"/>
      <c r="O13" s="239"/>
      <c r="P13" s="239"/>
      <c r="Q13" s="239"/>
      <c r="R13" s="239"/>
      <c r="S13" s="240"/>
      <c r="T13" s="241"/>
    </row>
    <row r="14" spans="1:20" s="260" customFormat="1" x14ac:dyDescent="0.3">
      <c r="A14" s="255"/>
      <c r="B14" s="254" t="s">
        <v>1</v>
      </c>
      <c r="C14" s="256"/>
      <c r="D14" s="256"/>
      <c r="E14" s="256"/>
      <c r="F14" s="256"/>
      <c r="G14" s="256"/>
      <c r="H14" s="256"/>
      <c r="I14" s="256"/>
      <c r="J14" s="256"/>
      <c r="K14" s="256"/>
      <c r="L14" s="256"/>
      <c r="M14" s="256"/>
      <c r="N14" s="256"/>
      <c r="O14" s="256"/>
      <c r="P14" s="256"/>
      <c r="Q14" s="256"/>
      <c r="R14" s="257" t="s">
        <v>226</v>
      </c>
      <c r="S14" s="258"/>
      <c r="T14" s="259"/>
    </row>
    <row r="15" spans="1:20" s="260" customFormat="1" x14ac:dyDescent="0.3">
      <c r="A15" s="255"/>
      <c r="B15" s="254" t="s">
        <v>2</v>
      </c>
      <c r="C15" s="256"/>
      <c r="D15" s="261"/>
      <c r="E15" s="261"/>
      <c r="F15" s="261"/>
      <c r="G15" s="261"/>
      <c r="H15" s="261"/>
      <c r="I15" s="261"/>
      <c r="J15" s="261"/>
      <c r="K15" s="261"/>
      <c r="L15" s="261"/>
      <c r="M15" s="261"/>
      <c r="N15" s="262"/>
      <c r="O15" s="262"/>
      <c r="P15" s="262" t="s">
        <v>156</v>
      </c>
      <c r="Q15" s="262">
        <v>1</v>
      </c>
      <c r="R15" s="257"/>
      <c r="S15" s="258"/>
      <c r="T15" s="259"/>
    </row>
    <row r="16" spans="1:20" s="260" customFormat="1" x14ac:dyDescent="0.3">
      <c r="A16" s="255"/>
      <c r="B16" s="254" t="s">
        <v>3</v>
      </c>
      <c r="C16" s="256"/>
      <c r="D16" s="261"/>
      <c r="E16" s="261"/>
      <c r="F16" s="261"/>
      <c r="G16" s="261"/>
      <c r="H16" s="261"/>
      <c r="I16" s="261"/>
      <c r="J16" s="261"/>
      <c r="K16" s="261"/>
      <c r="L16" s="261"/>
      <c r="M16" s="261"/>
      <c r="N16" s="262"/>
      <c r="O16" s="262"/>
      <c r="P16" s="262" t="s">
        <v>156</v>
      </c>
      <c r="Q16" s="262">
        <v>0</v>
      </c>
      <c r="R16" s="257"/>
      <c r="S16" s="258"/>
      <c r="T16" s="259"/>
    </row>
    <row r="17" spans="1:23" s="260" customFormat="1" x14ac:dyDescent="0.3">
      <c r="A17" s="255"/>
      <c r="B17" s="254" t="s">
        <v>4</v>
      </c>
      <c r="C17" s="256"/>
      <c r="D17" s="256"/>
      <c r="E17" s="256"/>
      <c r="F17" s="256"/>
      <c r="G17" s="256"/>
      <c r="H17" s="256"/>
      <c r="I17" s="256"/>
      <c r="J17" s="256"/>
      <c r="K17" s="256"/>
      <c r="L17" s="256"/>
      <c r="M17" s="256"/>
      <c r="N17" s="256"/>
      <c r="O17" s="256"/>
      <c r="P17" s="256"/>
      <c r="Q17" s="256"/>
      <c r="R17" s="263">
        <v>41956</v>
      </c>
      <c r="S17" s="258"/>
      <c r="T17" s="259"/>
    </row>
    <row r="18" spans="1:23" s="260" customFormat="1" x14ac:dyDescent="0.3">
      <c r="A18" s="255"/>
      <c r="B18" s="254" t="s">
        <v>5</v>
      </c>
      <c r="C18" s="256"/>
      <c r="D18" s="256"/>
      <c r="E18" s="256"/>
      <c r="F18" s="256"/>
      <c r="G18" s="256"/>
      <c r="H18" s="256"/>
      <c r="I18" s="256"/>
      <c r="J18" s="256"/>
      <c r="K18" s="256"/>
      <c r="L18" s="256"/>
      <c r="M18" s="256"/>
      <c r="N18" s="256"/>
      <c r="O18" s="256"/>
      <c r="P18" s="256"/>
      <c r="Q18" s="256"/>
      <c r="R18" s="263">
        <v>43454</v>
      </c>
      <c r="S18" s="258"/>
      <c r="T18" s="259"/>
    </row>
    <row r="19" spans="1:23" s="260" customFormat="1" x14ac:dyDescent="0.3">
      <c r="A19" s="255"/>
      <c r="B19" s="256"/>
      <c r="C19" s="256"/>
      <c r="D19" s="256"/>
      <c r="E19" s="256"/>
      <c r="F19" s="256"/>
      <c r="G19" s="256"/>
      <c r="H19" s="256"/>
      <c r="I19" s="256"/>
      <c r="J19" s="256"/>
      <c r="K19" s="256"/>
      <c r="L19" s="256"/>
      <c r="M19" s="256"/>
      <c r="N19" s="256"/>
      <c r="O19" s="256"/>
      <c r="P19" s="256"/>
      <c r="Q19" s="256"/>
      <c r="R19" s="264"/>
      <c r="S19" s="258"/>
      <c r="T19" s="259"/>
    </row>
    <row r="20" spans="1:23" s="260" customFormat="1" x14ac:dyDescent="0.3">
      <c r="A20" s="255"/>
      <c r="B20" s="265" t="s">
        <v>6</v>
      </c>
      <c r="C20" s="256"/>
      <c r="D20" s="256"/>
      <c r="E20" s="256"/>
      <c r="F20" s="256"/>
      <c r="G20" s="256"/>
      <c r="H20" s="256"/>
      <c r="I20" s="256"/>
      <c r="J20" s="256"/>
      <c r="K20" s="256"/>
      <c r="L20" s="256"/>
      <c r="M20" s="256"/>
      <c r="N20" s="256"/>
      <c r="O20" s="256"/>
      <c r="P20" s="264" t="s">
        <v>85</v>
      </c>
      <c r="Q20" s="256"/>
      <c r="R20" s="256"/>
      <c r="S20" s="258"/>
      <c r="T20" s="259"/>
    </row>
    <row r="21" spans="1:23" x14ac:dyDescent="0.3">
      <c r="A21" s="243"/>
      <c r="B21" s="245"/>
      <c r="C21" s="245"/>
      <c r="D21" s="245"/>
      <c r="E21" s="245"/>
      <c r="F21" s="245"/>
      <c r="G21" s="245"/>
      <c r="H21" s="245"/>
      <c r="I21" s="245"/>
      <c r="J21" s="245"/>
      <c r="K21" s="245"/>
      <c r="L21" s="245"/>
      <c r="M21" s="245"/>
      <c r="N21" s="245"/>
      <c r="O21" s="245"/>
      <c r="P21" s="245"/>
      <c r="Q21" s="245"/>
      <c r="R21" s="266"/>
      <c r="S21" s="246"/>
      <c r="T21" s="241"/>
    </row>
    <row r="22" spans="1:23" x14ac:dyDescent="0.3">
      <c r="A22" s="424"/>
      <c r="B22" s="428"/>
      <c r="C22" s="429"/>
      <c r="D22" s="429" t="s">
        <v>152</v>
      </c>
      <c r="E22" s="429"/>
      <c r="F22" s="429" t="s">
        <v>185</v>
      </c>
      <c r="G22" s="429"/>
      <c r="H22" s="429" t="s">
        <v>186</v>
      </c>
      <c r="I22" s="429"/>
      <c r="J22" s="429" t="s">
        <v>187</v>
      </c>
      <c r="K22" s="429"/>
      <c r="L22" s="429"/>
      <c r="M22" s="429"/>
      <c r="N22" s="429"/>
      <c r="O22" s="430"/>
      <c r="P22" s="430"/>
      <c r="Q22" s="428"/>
      <c r="R22" s="428"/>
      <c r="S22" s="426"/>
      <c r="T22" s="241"/>
    </row>
    <row r="23" spans="1:23" s="260" customFormat="1" x14ac:dyDescent="0.3">
      <c r="A23" s="255"/>
      <c r="B23" s="302" t="s">
        <v>183</v>
      </c>
      <c r="C23" s="427"/>
      <c r="D23" s="427" t="s">
        <v>112</v>
      </c>
      <c r="E23" s="427"/>
      <c r="F23" s="427" t="s">
        <v>184</v>
      </c>
      <c r="G23" s="427"/>
      <c r="H23" s="427" t="s">
        <v>188</v>
      </c>
      <c r="I23" s="427"/>
      <c r="J23" s="427" t="s">
        <v>154</v>
      </c>
      <c r="K23" s="427"/>
      <c r="L23" s="427"/>
      <c r="M23" s="427"/>
      <c r="N23" s="427"/>
      <c r="O23" s="427"/>
      <c r="P23" s="427"/>
      <c r="Q23" s="302"/>
      <c r="R23" s="302"/>
      <c r="S23" s="258"/>
      <c r="T23" s="259"/>
    </row>
    <row r="24" spans="1:23" s="260" customFormat="1" x14ac:dyDescent="0.3">
      <c r="A24" s="267"/>
      <c r="B24" s="268" t="s">
        <v>216</v>
      </c>
      <c r="C24" s="269"/>
      <c r="D24" s="270" t="s">
        <v>218</v>
      </c>
      <c r="E24" s="270"/>
      <c r="F24" s="270" t="s">
        <v>219</v>
      </c>
      <c r="G24" s="270"/>
      <c r="H24" s="270" t="s">
        <v>220</v>
      </c>
      <c r="I24" s="270"/>
      <c r="J24" s="270" t="s">
        <v>154</v>
      </c>
      <c r="K24" s="270"/>
      <c r="L24" s="270"/>
      <c r="M24" s="270"/>
      <c r="N24" s="270"/>
      <c r="O24" s="269"/>
      <c r="P24" s="270"/>
      <c r="Q24" s="268"/>
      <c r="R24" s="268"/>
      <c r="S24" s="271"/>
      <c r="T24" s="259"/>
    </row>
    <row r="25" spans="1:23" s="260" customFormat="1" x14ac:dyDescent="0.3">
      <c r="A25" s="267"/>
      <c r="B25" s="272" t="s">
        <v>201</v>
      </c>
      <c r="C25" s="269"/>
      <c r="D25" s="269" t="s">
        <v>112</v>
      </c>
      <c r="E25" s="269"/>
      <c r="F25" s="269" t="s">
        <v>112</v>
      </c>
      <c r="G25" s="269"/>
      <c r="H25" s="269" t="s">
        <v>276</v>
      </c>
      <c r="I25" s="269"/>
      <c r="J25" s="269" t="s">
        <v>154</v>
      </c>
      <c r="K25" s="269"/>
      <c r="L25" s="269"/>
      <c r="M25" s="269"/>
      <c r="N25" s="269"/>
      <c r="O25" s="269"/>
      <c r="P25" s="270"/>
      <c r="Q25" s="268"/>
      <c r="R25" s="268"/>
      <c r="S25" s="271"/>
      <c r="T25" s="259"/>
      <c r="U25" s="273"/>
      <c r="W25" s="274"/>
    </row>
    <row r="26" spans="1:23" s="260" customFormat="1" x14ac:dyDescent="0.3">
      <c r="A26" s="275"/>
      <c r="B26" s="272" t="s">
        <v>217</v>
      </c>
      <c r="C26" s="270"/>
      <c r="D26" s="269" t="s">
        <v>218</v>
      </c>
      <c r="E26" s="269"/>
      <c r="F26" s="269" t="s">
        <v>218</v>
      </c>
      <c r="G26" s="269"/>
      <c r="H26" s="269" t="s">
        <v>277</v>
      </c>
      <c r="I26" s="269"/>
      <c r="J26" s="269" t="s">
        <v>154</v>
      </c>
      <c r="K26" s="269"/>
      <c r="L26" s="269"/>
      <c r="M26" s="269"/>
      <c r="N26" s="269"/>
      <c r="O26" s="270"/>
      <c r="P26" s="276"/>
      <c r="Q26" s="268"/>
      <c r="R26" s="268"/>
      <c r="S26" s="271"/>
      <c r="T26" s="259"/>
      <c r="U26" s="273"/>
      <c r="W26" s="274"/>
    </row>
    <row r="27" spans="1:23" s="260" customFormat="1" x14ac:dyDescent="0.3">
      <c r="A27" s="275"/>
      <c r="B27" s="268" t="s">
        <v>7</v>
      </c>
      <c r="C27" s="277"/>
      <c r="D27" s="270" t="s">
        <v>231</v>
      </c>
      <c r="E27" s="270"/>
      <c r="F27" s="270" t="s">
        <v>232</v>
      </c>
      <c r="G27" s="270"/>
      <c r="H27" s="270" t="s">
        <v>233</v>
      </c>
      <c r="I27" s="270"/>
      <c r="J27" s="270" t="s">
        <v>234</v>
      </c>
      <c r="K27" s="270"/>
      <c r="L27" s="270"/>
      <c r="M27" s="270"/>
      <c r="N27" s="270"/>
      <c r="O27" s="278"/>
      <c r="P27" s="278"/>
      <c r="Q27" s="277"/>
      <c r="R27" s="278"/>
      <c r="S27" s="279"/>
      <c r="T27" s="259"/>
      <c r="U27" s="273"/>
      <c r="W27" s="274"/>
    </row>
    <row r="28" spans="1:23" s="260" customFormat="1" x14ac:dyDescent="0.3">
      <c r="A28" s="267"/>
      <c r="B28" s="268" t="s">
        <v>106</v>
      </c>
      <c r="C28" s="280"/>
      <c r="D28" s="281">
        <v>217900</v>
      </c>
      <c r="E28" s="282"/>
      <c r="F28" s="281">
        <v>17700</v>
      </c>
      <c r="G28" s="283"/>
      <c r="H28" s="281">
        <v>8100</v>
      </c>
      <c r="I28" s="278"/>
      <c r="J28" s="281">
        <v>6300</v>
      </c>
      <c r="K28" s="278"/>
      <c r="L28" s="282"/>
      <c r="M28" s="278"/>
      <c r="N28" s="282"/>
      <c r="O28" s="284"/>
      <c r="P28" s="284"/>
      <c r="Q28" s="280"/>
      <c r="R28" s="278">
        <f>SUM(D28:J28)</f>
        <v>250000</v>
      </c>
      <c r="S28" s="279"/>
      <c r="T28" s="259"/>
    </row>
    <row r="29" spans="1:23" s="260" customFormat="1" x14ac:dyDescent="0.3">
      <c r="A29" s="275"/>
      <c r="B29" s="268" t="s">
        <v>105</v>
      </c>
      <c r="C29" s="277"/>
      <c r="D29" s="281">
        <f>D28*D32</f>
        <v>29357.710579999999</v>
      </c>
      <c r="E29" s="282"/>
      <c r="F29" s="281">
        <f>F28*F32</f>
        <v>17700</v>
      </c>
      <c r="G29" s="281"/>
      <c r="H29" s="281">
        <f>H28*H32</f>
        <v>8100</v>
      </c>
      <c r="I29" s="278"/>
      <c r="J29" s="281">
        <f>J28*J32</f>
        <v>6300</v>
      </c>
      <c r="K29" s="278"/>
      <c r="L29" s="282"/>
      <c r="M29" s="278"/>
      <c r="N29" s="282"/>
      <c r="O29" s="278"/>
      <c r="P29" s="278"/>
      <c r="Q29" s="277"/>
      <c r="R29" s="278">
        <f>SUM(D29:J29)</f>
        <v>61457.710579999999</v>
      </c>
      <c r="S29" s="279"/>
      <c r="T29" s="259"/>
    </row>
    <row r="30" spans="1:23" s="260" customFormat="1" x14ac:dyDescent="0.3">
      <c r="A30" s="275"/>
      <c r="B30" s="272" t="s">
        <v>107</v>
      </c>
      <c r="C30" s="277"/>
      <c r="D30" s="285">
        <f>D28*D31</f>
        <v>0</v>
      </c>
      <c r="E30" s="285"/>
      <c r="F30" s="285">
        <f t="shared" ref="F30:J30" si="0">F28*F31</f>
        <v>0</v>
      </c>
      <c r="G30" s="285"/>
      <c r="H30" s="285">
        <f>H28*H31</f>
        <v>0</v>
      </c>
      <c r="I30" s="285"/>
      <c r="J30" s="285">
        <f t="shared" si="0"/>
        <v>0</v>
      </c>
      <c r="K30" s="284"/>
      <c r="L30" s="286"/>
      <c r="M30" s="284"/>
      <c r="N30" s="286"/>
      <c r="O30" s="278"/>
      <c r="P30" s="278"/>
      <c r="Q30" s="277"/>
      <c r="R30" s="284">
        <f>SUM(D30:J30)</f>
        <v>0</v>
      </c>
      <c r="S30" s="279"/>
      <c r="T30" s="259"/>
    </row>
    <row r="31" spans="1:23" s="409" customFormat="1" x14ac:dyDescent="0.3">
      <c r="A31" s="401"/>
      <c r="B31" s="402" t="s">
        <v>103</v>
      </c>
      <c r="C31" s="403"/>
      <c r="D31" s="404">
        <v>0</v>
      </c>
      <c r="E31" s="404"/>
      <c r="F31" s="404">
        <v>0</v>
      </c>
      <c r="G31" s="404"/>
      <c r="H31" s="404">
        <v>0</v>
      </c>
      <c r="I31" s="404"/>
      <c r="J31" s="404">
        <v>0</v>
      </c>
      <c r="K31" s="404"/>
      <c r="L31" s="404"/>
      <c r="M31" s="404"/>
      <c r="N31" s="404"/>
      <c r="O31" s="405"/>
      <c r="P31" s="405"/>
      <c r="Q31" s="403"/>
      <c r="R31" s="406"/>
      <c r="S31" s="407"/>
      <c r="T31" s="408"/>
    </row>
    <row r="32" spans="1:23" s="409" customFormat="1" x14ac:dyDescent="0.3">
      <c r="A32" s="401"/>
      <c r="B32" s="402" t="s">
        <v>104</v>
      </c>
      <c r="C32" s="403"/>
      <c r="D32" s="404">
        <v>0.13473019999999999</v>
      </c>
      <c r="E32" s="404"/>
      <c r="F32" s="404">
        <v>1</v>
      </c>
      <c r="G32" s="404"/>
      <c r="H32" s="404">
        <v>1</v>
      </c>
      <c r="I32" s="404"/>
      <c r="J32" s="404">
        <v>1</v>
      </c>
      <c r="K32" s="404"/>
      <c r="L32" s="404"/>
      <c r="M32" s="404"/>
      <c r="N32" s="404"/>
      <c r="O32" s="410"/>
      <c r="P32" s="411"/>
      <c r="Q32" s="403"/>
      <c r="R32" s="410"/>
      <c r="S32" s="407"/>
      <c r="T32" s="408"/>
    </row>
    <row r="33" spans="1:21" s="260" customFormat="1" x14ac:dyDescent="0.3">
      <c r="A33" s="275"/>
      <c r="B33" s="268" t="s">
        <v>8</v>
      </c>
      <c r="C33" s="268"/>
      <c r="D33" s="276" t="s">
        <v>250</v>
      </c>
      <c r="E33" s="276"/>
      <c r="F33" s="276" t="s">
        <v>251</v>
      </c>
      <c r="G33" s="276"/>
      <c r="H33" s="276" t="s">
        <v>252</v>
      </c>
      <c r="I33" s="276"/>
      <c r="J33" s="276" t="s">
        <v>253</v>
      </c>
      <c r="K33" s="276"/>
      <c r="L33" s="276"/>
      <c r="M33" s="276"/>
      <c r="N33" s="276"/>
      <c r="O33" s="290"/>
      <c r="P33" s="291"/>
      <c r="Q33" s="268"/>
      <c r="R33" s="268"/>
      <c r="S33" s="271"/>
      <c r="T33" s="259"/>
    </row>
    <row r="34" spans="1:21" s="260" customFormat="1" x14ac:dyDescent="0.3">
      <c r="A34" s="275"/>
      <c r="B34" s="268" t="s">
        <v>9</v>
      </c>
      <c r="C34" s="292"/>
      <c r="D34" s="291">
        <v>1.59731E-2</v>
      </c>
      <c r="E34" s="291"/>
      <c r="F34" s="291">
        <v>2.1973099999999999E-2</v>
      </c>
      <c r="G34" s="291"/>
      <c r="H34" s="291">
        <v>2.5473099999999999E-2</v>
      </c>
      <c r="I34" s="291"/>
      <c r="J34" s="291">
        <v>2.8973100000000002E-2</v>
      </c>
      <c r="K34" s="291"/>
      <c r="L34" s="291"/>
      <c r="M34" s="290"/>
      <c r="N34" s="291"/>
      <c r="O34" s="276"/>
      <c r="P34" s="276"/>
      <c r="Q34" s="268"/>
      <c r="R34" s="290">
        <f>SUMPRODUCT(D34:J34,D29:J29)/R29</f>
        <v>2.0285821666632575E-2</v>
      </c>
      <c r="S34" s="271"/>
      <c r="T34" s="259"/>
    </row>
    <row r="35" spans="1:21" s="260" customFormat="1" x14ac:dyDescent="0.3">
      <c r="A35" s="275"/>
      <c r="B35" s="268" t="s">
        <v>10</v>
      </c>
      <c r="C35" s="292"/>
      <c r="D35" s="291">
        <v>1.4307500000000001E-2</v>
      </c>
      <c r="E35" s="291"/>
      <c r="F35" s="291">
        <v>2.0307499999999999E-2</v>
      </c>
      <c r="G35" s="291"/>
      <c r="H35" s="291">
        <v>2.3807499999999999E-2</v>
      </c>
      <c r="I35" s="291"/>
      <c r="J35" s="291">
        <v>2.7307499999999998E-2</v>
      </c>
      <c r="K35" s="291"/>
      <c r="L35" s="291"/>
      <c r="M35" s="290"/>
      <c r="N35" s="291"/>
      <c r="O35" s="276"/>
      <c r="P35" s="276"/>
      <c r="Q35" s="268"/>
      <c r="R35" s="268"/>
      <c r="S35" s="271"/>
      <c r="T35" s="259"/>
    </row>
    <row r="36" spans="1:21" s="260" customFormat="1" x14ac:dyDescent="0.3">
      <c r="A36" s="275"/>
      <c r="B36" s="268" t="s">
        <v>155</v>
      </c>
      <c r="C36" s="268"/>
      <c r="D36" s="292">
        <v>43449</v>
      </c>
      <c r="E36" s="292"/>
      <c r="F36" s="292">
        <v>43449</v>
      </c>
      <c r="G36" s="292"/>
      <c r="H36" s="292">
        <v>43449</v>
      </c>
      <c r="I36" s="292"/>
      <c r="J36" s="292">
        <v>43449</v>
      </c>
      <c r="K36" s="292"/>
      <c r="L36" s="292"/>
      <c r="M36" s="292"/>
      <c r="N36" s="292"/>
      <c r="O36" s="276"/>
      <c r="P36" s="276"/>
      <c r="Q36" s="268"/>
      <c r="R36" s="268"/>
      <c r="S36" s="271"/>
      <c r="T36" s="259"/>
    </row>
    <row r="37" spans="1:21" s="260" customFormat="1" x14ac:dyDescent="0.3">
      <c r="A37" s="275"/>
      <c r="B37" s="268" t="s">
        <v>11</v>
      </c>
      <c r="C37" s="268"/>
      <c r="D37" s="292" t="s">
        <v>97</v>
      </c>
      <c r="E37" s="292"/>
      <c r="F37" s="292" t="s">
        <v>97</v>
      </c>
      <c r="G37" s="276"/>
      <c r="H37" s="292" t="s">
        <v>97</v>
      </c>
      <c r="I37" s="276"/>
      <c r="J37" s="292" t="s">
        <v>97</v>
      </c>
      <c r="K37" s="276"/>
      <c r="L37" s="292"/>
      <c r="M37" s="276"/>
      <c r="N37" s="292"/>
      <c r="O37" s="276"/>
      <c r="P37" s="276"/>
      <c r="Q37" s="268"/>
      <c r="R37" s="268"/>
      <c r="S37" s="271"/>
      <c r="T37" s="259"/>
    </row>
    <row r="38" spans="1:21" s="260" customFormat="1" x14ac:dyDescent="0.3">
      <c r="A38" s="275"/>
      <c r="B38" s="268" t="s">
        <v>98</v>
      </c>
      <c r="C38" s="268"/>
      <c r="D38" s="276" t="s">
        <v>97</v>
      </c>
      <c r="E38" s="276"/>
      <c r="F38" s="276" t="s">
        <v>97</v>
      </c>
      <c r="G38" s="276"/>
      <c r="H38" s="276" t="s">
        <v>97</v>
      </c>
      <c r="I38" s="276"/>
      <c r="J38" s="276" t="s">
        <v>97</v>
      </c>
      <c r="K38" s="276"/>
      <c r="L38" s="276"/>
      <c r="M38" s="276"/>
      <c r="N38" s="276"/>
      <c r="O38" s="293"/>
      <c r="P38" s="293"/>
      <c r="Q38" s="293"/>
      <c r="R38" s="293"/>
      <c r="S38" s="271"/>
      <c r="T38" s="259"/>
    </row>
    <row r="39" spans="1:21" s="260" customFormat="1" x14ac:dyDescent="0.3">
      <c r="A39" s="275"/>
      <c r="B39" s="268"/>
      <c r="C39" s="268"/>
      <c r="D39" s="276"/>
      <c r="E39" s="276"/>
      <c r="F39" s="276"/>
      <c r="G39" s="276"/>
      <c r="H39" s="276"/>
      <c r="I39" s="276"/>
      <c r="J39" s="276"/>
      <c r="K39" s="276"/>
      <c r="L39" s="276"/>
      <c r="M39" s="276"/>
      <c r="N39" s="276"/>
      <c r="O39" s="268"/>
      <c r="P39" s="268"/>
      <c r="Q39" s="268"/>
      <c r="R39" s="290" t="s">
        <v>130</v>
      </c>
      <c r="S39" s="271"/>
      <c r="T39" s="259"/>
    </row>
    <row r="40" spans="1:21" s="260" customFormat="1" x14ac:dyDescent="0.3">
      <c r="A40" s="275"/>
      <c r="B40" s="268" t="s">
        <v>202</v>
      </c>
      <c r="C40" s="268"/>
      <c r="D40" s="276"/>
      <c r="E40" s="276"/>
      <c r="F40" s="276"/>
      <c r="G40" s="276"/>
      <c r="H40" s="276"/>
      <c r="I40" s="276"/>
      <c r="J40" s="276"/>
      <c r="K40" s="276"/>
      <c r="L40" s="276"/>
      <c r="M40" s="276"/>
      <c r="N40" s="276"/>
      <c r="O40" s="268"/>
      <c r="P40" s="268"/>
      <c r="Q40" s="268"/>
      <c r="R40" s="290">
        <f>SUM(F28:J28)/D28</f>
        <v>0.14731528223955942</v>
      </c>
      <c r="S40" s="271"/>
      <c r="T40" s="259"/>
    </row>
    <row r="41" spans="1:21" s="260" customFormat="1" x14ac:dyDescent="0.3">
      <c r="A41" s="275"/>
      <c r="B41" s="268" t="s">
        <v>203</v>
      </c>
      <c r="C41" s="268"/>
      <c r="D41" s="268"/>
      <c r="E41" s="268"/>
      <c r="F41" s="268"/>
      <c r="G41" s="268"/>
      <c r="H41" s="268"/>
      <c r="I41" s="268"/>
      <c r="J41" s="268"/>
      <c r="K41" s="268"/>
      <c r="L41" s="268"/>
      <c r="M41" s="268"/>
      <c r="N41" s="268"/>
      <c r="O41" s="268"/>
      <c r="P41" s="268"/>
      <c r="Q41" s="268"/>
      <c r="R41" s="290" t="s">
        <v>97</v>
      </c>
      <c r="S41" s="271"/>
      <c r="T41" s="259"/>
    </row>
    <row r="42" spans="1:21" s="260" customFormat="1" x14ac:dyDescent="0.3">
      <c r="A42" s="275"/>
      <c r="B42" s="268" t="s">
        <v>204</v>
      </c>
      <c r="C42" s="268"/>
      <c r="D42" s="268"/>
      <c r="E42" s="268"/>
      <c r="F42" s="268"/>
      <c r="G42" s="268"/>
      <c r="H42" s="268"/>
      <c r="I42" s="268"/>
      <c r="J42" s="268"/>
      <c r="K42" s="268"/>
      <c r="L42" s="268"/>
      <c r="M42" s="268"/>
      <c r="N42" s="268"/>
      <c r="O42" s="268"/>
      <c r="P42" s="276"/>
      <c r="Q42" s="276"/>
      <c r="R42" s="278" t="s">
        <v>149</v>
      </c>
      <c r="S42" s="271"/>
      <c r="T42" s="259"/>
    </row>
    <row r="43" spans="1:21" s="260" customFormat="1" x14ac:dyDescent="0.3">
      <c r="A43" s="275"/>
      <c r="B43" s="268"/>
      <c r="C43" s="268"/>
      <c r="D43" s="268"/>
      <c r="E43" s="268"/>
      <c r="F43" s="268"/>
      <c r="G43" s="268"/>
      <c r="H43" s="268"/>
      <c r="I43" s="268"/>
      <c r="J43" s="268"/>
      <c r="K43" s="268"/>
      <c r="L43" s="268"/>
      <c r="M43" s="268"/>
      <c r="N43" s="268"/>
      <c r="O43" s="268"/>
      <c r="P43" s="268"/>
      <c r="Q43" s="268"/>
      <c r="R43" s="294"/>
      <c r="S43" s="271"/>
      <c r="T43" s="259"/>
    </row>
    <row r="44" spans="1:21" s="260" customFormat="1" x14ac:dyDescent="0.3">
      <c r="A44" s="275"/>
      <c r="B44" s="268" t="s">
        <v>205</v>
      </c>
      <c r="C44" s="268"/>
      <c r="D44" s="268"/>
      <c r="E44" s="268"/>
      <c r="F44" s="268"/>
      <c r="G44" s="268"/>
      <c r="H44" s="268"/>
      <c r="I44" s="268"/>
      <c r="J44" s="268"/>
      <c r="K44" s="268"/>
      <c r="L44" s="268"/>
      <c r="M44" s="268"/>
      <c r="N44" s="268"/>
      <c r="O44" s="268"/>
      <c r="P44" s="268"/>
      <c r="Q44" s="268"/>
      <c r="R44" s="295" t="s">
        <v>91</v>
      </c>
      <c r="S44" s="271"/>
      <c r="T44" s="259"/>
    </row>
    <row r="45" spans="1:21" s="260" customFormat="1" x14ac:dyDescent="0.3">
      <c r="A45" s="275"/>
      <c r="B45" s="272" t="s">
        <v>131</v>
      </c>
      <c r="C45" s="272"/>
      <c r="D45" s="272"/>
      <c r="E45" s="272"/>
      <c r="F45" s="272"/>
      <c r="G45" s="272"/>
      <c r="H45" s="272"/>
      <c r="I45" s="272"/>
      <c r="J45" s="272"/>
      <c r="K45" s="272"/>
      <c r="L45" s="272"/>
      <c r="M45" s="272"/>
      <c r="N45" s="272"/>
      <c r="O45" s="272"/>
      <c r="P45" s="296"/>
      <c r="Q45" s="296"/>
      <c r="R45" s="297">
        <v>43451</v>
      </c>
      <c r="S45" s="271"/>
      <c r="T45" s="259"/>
    </row>
    <row r="46" spans="1:21" s="260" customFormat="1" x14ac:dyDescent="0.3">
      <c r="A46" s="275"/>
      <c r="B46" s="268" t="s">
        <v>99</v>
      </c>
      <c r="C46" s="268"/>
      <c r="D46" s="298"/>
      <c r="E46" s="298"/>
      <c r="F46" s="298"/>
      <c r="G46" s="298"/>
      <c r="H46" s="298"/>
      <c r="I46" s="298"/>
      <c r="J46" s="298"/>
      <c r="K46" s="298"/>
      <c r="L46" s="298"/>
      <c r="M46" s="298"/>
      <c r="N46" s="268">
        <f>+R46-P46+1</f>
        <v>94</v>
      </c>
      <c r="O46" s="268"/>
      <c r="P46" s="299">
        <v>43266</v>
      </c>
      <c r="Q46" s="300"/>
      <c r="R46" s="299">
        <v>43359</v>
      </c>
      <c r="S46" s="271"/>
      <c r="T46" s="259"/>
    </row>
    <row r="47" spans="1:21" s="260" customFormat="1" x14ac:dyDescent="0.3">
      <c r="A47" s="275"/>
      <c r="B47" s="268" t="s">
        <v>100</v>
      </c>
      <c r="C47" s="268"/>
      <c r="D47" s="268"/>
      <c r="E47" s="268"/>
      <c r="F47" s="268"/>
      <c r="G47" s="268"/>
      <c r="H47" s="268"/>
      <c r="I47" s="268"/>
      <c r="J47" s="268"/>
      <c r="K47" s="268"/>
      <c r="L47" s="268"/>
      <c r="M47" s="268"/>
      <c r="N47" s="268">
        <f>+R47-P47+1</f>
        <v>91</v>
      </c>
      <c r="O47" s="268"/>
      <c r="P47" s="299">
        <v>43360</v>
      </c>
      <c r="Q47" s="300"/>
      <c r="R47" s="299">
        <v>43450</v>
      </c>
      <c r="S47" s="271"/>
      <c r="T47" s="259"/>
    </row>
    <row r="48" spans="1:21" s="260" customFormat="1" x14ac:dyDescent="0.3">
      <c r="A48" s="275"/>
      <c r="B48" s="268" t="s">
        <v>206</v>
      </c>
      <c r="C48" s="268"/>
      <c r="D48" s="268"/>
      <c r="E48" s="268"/>
      <c r="F48" s="268"/>
      <c r="G48" s="268"/>
      <c r="H48" s="268"/>
      <c r="I48" s="268"/>
      <c r="J48" s="268"/>
      <c r="K48" s="268"/>
      <c r="L48" s="268"/>
      <c r="M48" s="268"/>
      <c r="N48" s="268"/>
      <c r="O48" s="268"/>
      <c r="P48" s="299"/>
      <c r="Q48" s="300"/>
      <c r="R48" s="299" t="s">
        <v>118</v>
      </c>
      <c r="S48" s="271"/>
      <c r="T48" s="259"/>
      <c r="U48" s="301"/>
    </row>
    <row r="49" spans="1:20" s="260" customFormat="1" x14ac:dyDescent="0.3">
      <c r="A49" s="275"/>
      <c r="B49" s="268" t="s">
        <v>12</v>
      </c>
      <c r="C49" s="268"/>
      <c r="D49" s="268"/>
      <c r="E49" s="268"/>
      <c r="F49" s="268"/>
      <c r="G49" s="268"/>
      <c r="H49" s="268"/>
      <c r="I49" s="268"/>
      <c r="J49" s="268"/>
      <c r="K49" s="268"/>
      <c r="L49" s="268"/>
      <c r="M49" s="268"/>
      <c r="N49" s="268"/>
      <c r="O49" s="268"/>
      <c r="P49" s="299"/>
      <c r="Q49" s="300"/>
      <c r="R49" s="299">
        <v>43437</v>
      </c>
      <c r="S49" s="271"/>
      <c r="T49" s="259"/>
    </row>
    <row r="50" spans="1:20" s="260" customFormat="1" x14ac:dyDescent="0.3">
      <c r="A50" s="255"/>
      <c r="B50" s="302"/>
      <c r="C50" s="302"/>
      <c r="D50" s="302"/>
      <c r="E50" s="302"/>
      <c r="F50" s="302"/>
      <c r="G50" s="302"/>
      <c r="H50" s="302"/>
      <c r="I50" s="302"/>
      <c r="J50" s="302"/>
      <c r="K50" s="302"/>
      <c r="L50" s="302"/>
      <c r="M50" s="302"/>
      <c r="N50" s="302"/>
      <c r="O50" s="302"/>
      <c r="P50" s="303"/>
      <c r="Q50" s="304"/>
      <c r="R50" s="303"/>
      <c r="S50" s="258"/>
      <c r="T50" s="259"/>
    </row>
    <row r="51" spans="1:20" s="260" customFormat="1" x14ac:dyDescent="0.3">
      <c r="A51" s="255"/>
      <c r="B51" s="256"/>
      <c r="C51" s="256"/>
      <c r="D51" s="256"/>
      <c r="E51" s="256"/>
      <c r="F51" s="256"/>
      <c r="G51" s="256"/>
      <c r="H51" s="256"/>
      <c r="I51" s="256"/>
      <c r="J51" s="256"/>
      <c r="K51" s="256"/>
      <c r="L51" s="256"/>
      <c r="M51" s="256"/>
      <c r="N51" s="256"/>
      <c r="O51" s="256"/>
      <c r="P51" s="305"/>
      <c r="Q51" s="306"/>
      <c r="R51" s="305"/>
      <c r="S51" s="258"/>
      <c r="T51" s="259"/>
    </row>
    <row r="52" spans="1:20" s="260" customFormat="1" ht="18.600000000000001" thickBot="1" x14ac:dyDescent="0.4">
      <c r="A52" s="307"/>
      <c r="B52" s="308" t="s">
        <v>280</v>
      </c>
      <c r="C52" s="309"/>
      <c r="D52" s="309"/>
      <c r="E52" s="309"/>
      <c r="F52" s="309"/>
      <c r="G52" s="309"/>
      <c r="H52" s="309"/>
      <c r="I52" s="309"/>
      <c r="J52" s="309"/>
      <c r="K52" s="309"/>
      <c r="L52" s="309"/>
      <c r="M52" s="309"/>
      <c r="N52" s="309"/>
      <c r="O52" s="309"/>
      <c r="P52" s="309"/>
      <c r="Q52" s="309"/>
      <c r="R52" s="310"/>
      <c r="S52" s="311"/>
      <c r="T52" s="259"/>
    </row>
    <row r="53" spans="1:20" x14ac:dyDescent="0.3">
      <c r="A53" s="424"/>
      <c r="B53" s="431" t="s">
        <v>13</v>
      </c>
      <c r="C53" s="425"/>
      <c r="D53" s="425"/>
      <c r="E53" s="425"/>
      <c r="F53" s="425"/>
      <c r="G53" s="425"/>
      <c r="H53" s="425"/>
      <c r="I53" s="425"/>
      <c r="J53" s="425"/>
      <c r="K53" s="425"/>
      <c r="L53" s="425"/>
      <c r="M53" s="425"/>
      <c r="N53" s="425"/>
      <c r="O53" s="425"/>
      <c r="P53" s="425"/>
      <c r="Q53" s="425"/>
      <c r="R53" s="432"/>
      <c r="S53" s="425"/>
      <c r="T53" s="241"/>
    </row>
    <row r="54" spans="1:20" x14ac:dyDescent="0.3">
      <c r="A54" s="243"/>
      <c r="B54" s="253"/>
      <c r="C54" s="245"/>
      <c r="D54" s="245"/>
      <c r="E54" s="245"/>
      <c r="F54" s="245"/>
      <c r="G54" s="245"/>
      <c r="H54" s="245"/>
      <c r="I54" s="245"/>
      <c r="J54" s="245"/>
      <c r="K54" s="245"/>
      <c r="L54" s="245"/>
      <c r="M54" s="245"/>
      <c r="N54" s="245"/>
      <c r="O54" s="245"/>
      <c r="P54" s="245"/>
      <c r="Q54" s="245"/>
      <c r="R54" s="312"/>
      <c r="S54" s="246"/>
      <c r="T54" s="241"/>
    </row>
    <row r="55" spans="1:20" s="409" customFormat="1" ht="46.8" x14ac:dyDescent="0.3">
      <c r="A55" s="412"/>
      <c r="B55" s="413" t="s">
        <v>14</v>
      </c>
      <c r="C55" s="414"/>
      <c r="D55" s="414"/>
      <c r="E55" s="414"/>
      <c r="F55" s="414" t="s">
        <v>76</v>
      </c>
      <c r="G55" s="414"/>
      <c r="H55" s="414" t="s">
        <v>78</v>
      </c>
      <c r="I55" s="414"/>
      <c r="J55" s="414" t="s">
        <v>165</v>
      </c>
      <c r="K55" s="414"/>
      <c r="L55" s="414" t="s">
        <v>166</v>
      </c>
      <c r="M55" s="414"/>
      <c r="N55" s="414" t="s">
        <v>81</v>
      </c>
      <c r="O55" s="414"/>
      <c r="P55" s="414" t="s">
        <v>86</v>
      </c>
      <c r="Q55" s="414"/>
      <c r="R55" s="415" t="s">
        <v>92</v>
      </c>
      <c r="S55" s="416"/>
      <c r="T55" s="408"/>
    </row>
    <row r="56" spans="1:20" s="260" customFormat="1" x14ac:dyDescent="0.3">
      <c r="A56" s="275"/>
      <c r="B56" s="268" t="s">
        <v>15</v>
      </c>
      <c r="C56" s="313"/>
      <c r="D56" s="313"/>
      <c r="E56" s="313"/>
      <c r="F56" s="313">
        <v>224374</v>
      </c>
      <c r="G56" s="313"/>
      <c r="H56" s="314">
        <v>61458</v>
      </c>
      <c r="I56" s="313"/>
      <c r="J56" s="314">
        <v>41</v>
      </c>
      <c r="K56" s="313"/>
      <c r="L56" s="313">
        <v>55584</v>
      </c>
      <c r="M56" s="313"/>
      <c r="N56" s="313">
        <v>0</v>
      </c>
      <c r="O56" s="313"/>
      <c r="P56" s="313">
        <f>511+4204+1118</f>
        <v>5833</v>
      </c>
      <c r="Q56" s="313"/>
      <c r="R56" s="314">
        <f>H56-J56-L56+N56-P56</f>
        <v>0</v>
      </c>
      <c r="S56" s="271"/>
      <c r="T56" s="259"/>
    </row>
    <row r="57" spans="1:20" s="260" customFormat="1" x14ac:dyDescent="0.3">
      <c r="A57" s="275"/>
      <c r="B57" s="268" t="s">
        <v>16</v>
      </c>
      <c r="C57" s="313"/>
      <c r="D57" s="313"/>
      <c r="E57" s="313"/>
      <c r="F57" s="313">
        <v>0</v>
      </c>
      <c r="G57" s="313"/>
      <c r="H57" s="314">
        <v>0</v>
      </c>
      <c r="I57" s="313"/>
      <c r="J57" s="314">
        <v>0</v>
      </c>
      <c r="K57" s="313"/>
      <c r="L57" s="313">
        <v>0</v>
      </c>
      <c r="M57" s="313"/>
      <c r="N57" s="313">
        <v>0</v>
      </c>
      <c r="O57" s="313"/>
      <c r="P57" s="313">
        <v>0</v>
      </c>
      <c r="Q57" s="313"/>
      <c r="R57" s="314">
        <f>F57-J57-L57</f>
        <v>0</v>
      </c>
      <c r="S57" s="271"/>
      <c r="T57" s="259"/>
    </row>
    <row r="58" spans="1:20" s="260" customFormat="1" x14ac:dyDescent="0.3">
      <c r="A58" s="275"/>
      <c r="B58" s="268"/>
      <c r="C58" s="313"/>
      <c r="D58" s="313"/>
      <c r="E58" s="313"/>
      <c r="F58" s="313"/>
      <c r="G58" s="313"/>
      <c r="H58" s="314"/>
      <c r="I58" s="313"/>
      <c r="J58" s="314"/>
      <c r="K58" s="313"/>
      <c r="L58" s="313"/>
      <c r="M58" s="313"/>
      <c r="N58" s="313"/>
      <c r="O58" s="313"/>
      <c r="P58" s="313"/>
      <c r="Q58" s="313"/>
      <c r="R58" s="314"/>
      <c r="S58" s="271"/>
      <c r="T58" s="259"/>
    </row>
    <row r="59" spans="1:20" s="260" customFormat="1" x14ac:dyDescent="0.3">
      <c r="A59" s="275"/>
      <c r="B59" s="268" t="s">
        <v>17</v>
      </c>
      <c r="C59" s="313"/>
      <c r="D59" s="313"/>
      <c r="E59" s="313"/>
      <c r="F59" s="313">
        <f>SUM(F56:F58)</f>
        <v>224374</v>
      </c>
      <c r="G59" s="313"/>
      <c r="H59" s="313">
        <f>H56+H57</f>
        <v>61458</v>
      </c>
      <c r="I59" s="313"/>
      <c r="J59" s="313">
        <f>J56+J57</f>
        <v>41</v>
      </c>
      <c r="K59" s="313"/>
      <c r="L59" s="313">
        <f>SUM(L56:L58)</f>
        <v>55584</v>
      </c>
      <c r="M59" s="313"/>
      <c r="N59" s="313">
        <f>SUM(N56:N58)</f>
        <v>0</v>
      </c>
      <c r="O59" s="313"/>
      <c r="P59" s="313">
        <f>SUM(P56:P58)</f>
        <v>5833</v>
      </c>
      <c r="Q59" s="313"/>
      <c r="R59" s="313">
        <f>SUM(R56:R58)</f>
        <v>0</v>
      </c>
      <c r="S59" s="271"/>
      <c r="T59" s="259"/>
    </row>
    <row r="60" spans="1:20" x14ac:dyDescent="0.3">
      <c r="A60" s="243"/>
      <c r="B60" s="315"/>
      <c r="C60" s="316"/>
      <c r="D60" s="316"/>
      <c r="E60" s="316"/>
      <c r="F60" s="316"/>
      <c r="G60" s="316"/>
      <c r="H60" s="316"/>
      <c r="I60" s="316"/>
      <c r="J60" s="316"/>
      <c r="K60" s="316"/>
      <c r="L60" s="316"/>
      <c r="M60" s="316"/>
      <c r="N60" s="316"/>
      <c r="O60" s="316"/>
      <c r="P60" s="316"/>
      <c r="Q60" s="316"/>
      <c r="R60" s="317"/>
      <c r="S60" s="246"/>
      <c r="T60" s="241"/>
    </row>
    <row r="61" spans="1:20" x14ac:dyDescent="0.3">
      <c r="A61" s="243"/>
      <c r="B61" s="248" t="s">
        <v>18</v>
      </c>
      <c r="C61" s="318"/>
      <c r="D61" s="318"/>
      <c r="E61" s="318"/>
      <c r="F61" s="318"/>
      <c r="G61" s="318"/>
      <c r="H61" s="318"/>
      <c r="I61" s="318"/>
      <c r="J61" s="318"/>
      <c r="K61" s="318"/>
      <c r="L61" s="318"/>
      <c r="M61" s="318"/>
      <c r="N61" s="318"/>
      <c r="O61" s="318"/>
      <c r="P61" s="318"/>
      <c r="Q61" s="318"/>
      <c r="R61" s="319"/>
      <c r="S61" s="246"/>
      <c r="T61" s="241"/>
    </row>
    <row r="62" spans="1:20" x14ac:dyDescent="0.3">
      <c r="A62" s="243"/>
      <c r="B62" s="245"/>
      <c r="C62" s="318"/>
      <c r="D62" s="318"/>
      <c r="E62" s="318"/>
      <c r="F62" s="318"/>
      <c r="G62" s="318"/>
      <c r="H62" s="318"/>
      <c r="I62" s="318"/>
      <c r="J62" s="318"/>
      <c r="K62" s="318"/>
      <c r="L62" s="318"/>
      <c r="M62" s="318"/>
      <c r="N62" s="318"/>
      <c r="O62" s="318"/>
      <c r="P62" s="318"/>
      <c r="Q62" s="318"/>
      <c r="R62" s="319"/>
      <c r="S62" s="246"/>
      <c r="T62" s="241"/>
    </row>
    <row r="63" spans="1:20" s="260" customFormat="1" x14ac:dyDescent="0.3">
      <c r="A63" s="275"/>
      <c r="B63" s="268" t="s">
        <v>15</v>
      </c>
      <c r="C63" s="313"/>
      <c r="D63" s="313"/>
      <c r="E63" s="313"/>
      <c r="F63" s="313"/>
      <c r="G63" s="313"/>
      <c r="H63" s="313"/>
      <c r="I63" s="313"/>
      <c r="J63" s="313"/>
      <c r="K63" s="313"/>
      <c r="L63" s="313"/>
      <c r="M63" s="313"/>
      <c r="N63" s="313"/>
      <c r="O63" s="313"/>
      <c r="P63" s="313"/>
      <c r="Q63" s="313"/>
      <c r="R63" s="313"/>
      <c r="S63" s="271"/>
      <c r="T63" s="259"/>
    </row>
    <row r="64" spans="1:20" s="260" customFormat="1" x14ac:dyDescent="0.3">
      <c r="A64" s="275"/>
      <c r="B64" s="268" t="s">
        <v>16</v>
      </c>
      <c r="C64" s="313"/>
      <c r="D64" s="313"/>
      <c r="E64" s="313"/>
      <c r="F64" s="313"/>
      <c r="G64" s="313"/>
      <c r="H64" s="313"/>
      <c r="I64" s="313"/>
      <c r="J64" s="313"/>
      <c r="K64" s="313"/>
      <c r="L64" s="313"/>
      <c r="M64" s="313"/>
      <c r="N64" s="313"/>
      <c r="O64" s="313"/>
      <c r="P64" s="313"/>
      <c r="Q64" s="313"/>
      <c r="R64" s="313"/>
      <c r="S64" s="271"/>
      <c r="T64" s="259"/>
    </row>
    <row r="65" spans="1:20" s="260" customFormat="1" x14ac:dyDescent="0.3">
      <c r="A65" s="275"/>
      <c r="B65" s="268"/>
      <c r="C65" s="313"/>
      <c r="D65" s="313"/>
      <c r="E65" s="313"/>
      <c r="F65" s="313"/>
      <c r="G65" s="313"/>
      <c r="H65" s="313"/>
      <c r="I65" s="313"/>
      <c r="J65" s="313"/>
      <c r="K65" s="313"/>
      <c r="L65" s="313"/>
      <c r="M65" s="313"/>
      <c r="N65" s="313"/>
      <c r="O65" s="313"/>
      <c r="P65" s="313"/>
      <c r="Q65" s="313"/>
      <c r="R65" s="313"/>
      <c r="S65" s="271"/>
      <c r="T65" s="259"/>
    </row>
    <row r="66" spans="1:20" s="260" customFormat="1" x14ac:dyDescent="0.3">
      <c r="A66" s="275"/>
      <c r="B66" s="268" t="s">
        <v>17</v>
      </c>
      <c r="C66" s="313"/>
      <c r="D66" s="313"/>
      <c r="E66" s="313"/>
      <c r="F66" s="313"/>
      <c r="G66" s="313"/>
      <c r="H66" s="313"/>
      <c r="I66" s="313"/>
      <c r="J66" s="313"/>
      <c r="K66" s="313"/>
      <c r="L66" s="313"/>
      <c r="M66" s="313"/>
      <c r="N66" s="313"/>
      <c r="O66" s="313"/>
      <c r="P66" s="313"/>
      <c r="Q66" s="313"/>
      <c r="R66" s="313"/>
      <c r="S66" s="271"/>
      <c r="T66" s="259"/>
    </row>
    <row r="67" spans="1:20" s="260" customFormat="1" x14ac:dyDescent="0.3">
      <c r="A67" s="275"/>
      <c r="B67" s="268"/>
      <c r="C67" s="313"/>
      <c r="D67" s="313"/>
      <c r="E67" s="313"/>
      <c r="F67" s="313"/>
      <c r="G67" s="313"/>
      <c r="H67" s="313"/>
      <c r="I67" s="313"/>
      <c r="J67" s="313"/>
      <c r="K67" s="313"/>
      <c r="L67" s="313"/>
      <c r="M67" s="313"/>
      <c r="N67" s="313"/>
      <c r="O67" s="313"/>
      <c r="P67" s="313"/>
      <c r="Q67" s="313"/>
      <c r="R67" s="313"/>
      <c r="S67" s="271"/>
      <c r="T67" s="259"/>
    </row>
    <row r="68" spans="1:20" s="260" customFormat="1" x14ac:dyDescent="0.3">
      <c r="A68" s="275"/>
      <c r="B68" s="268" t="s">
        <v>19</v>
      </c>
      <c r="C68" s="313"/>
      <c r="D68" s="313"/>
      <c r="E68" s="313"/>
      <c r="F68" s="313">
        <v>0</v>
      </c>
      <c r="G68" s="313"/>
      <c r="H68" s="313">
        <v>0</v>
      </c>
      <c r="I68" s="313"/>
      <c r="J68" s="313"/>
      <c r="K68" s="313"/>
      <c r="L68" s="313"/>
      <c r="M68" s="313"/>
      <c r="N68" s="313"/>
      <c r="O68" s="313"/>
      <c r="P68" s="313"/>
      <c r="Q68" s="313"/>
      <c r="R68" s="314">
        <v>0</v>
      </c>
      <c r="S68" s="271"/>
      <c r="T68" s="259"/>
    </row>
    <row r="69" spans="1:20" s="260" customFormat="1" x14ac:dyDescent="0.3">
      <c r="A69" s="275"/>
      <c r="B69" s="268" t="s">
        <v>215</v>
      </c>
      <c r="C69" s="313"/>
      <c r="D69" s="313"/>
      <c r="E69" s="313"/>
      <c r="F69" s="313">
        <v>23451</v>
      </c>
      <c r="G69" s="313"/>
      <c r="H69" s="313">
        <v>0</v>
      </c>
      <c r="I69" s="313"/>
      <c r="J69" s="313">
        <v>0</v>
      </c>
      <c r="K69" s="313"/>
      <c r="L69" s="313">
        <v>0</v>
      </c>
      <c r="M69" s="313"/>
      <c r="N69" s="313"/>
      <c r="O69" s="313"/>
      <c r="P69" s="313"/>
      <c r="Q69" s="313"/>
      <c r="R69" s="313">
        <v>0</v>
      </c>
      <c r="S69" s="271"/>
      <c r="T69" s="259"/>
    </row>
    <row r="70" spans="1:20" s="260" customFormat="1" x14ac:dyDescent="0.3">
      <c r="A70" s="275"/>
      <c r="B70" s="268" t="s">
        <v>235</v>
      </c>
      <c r="C70" s="313"/>
      <c r="D70" s="313"/>
      <c r="E70" s="313"/>
      <c r="F70" s="313">
        <v>2175</v>
      </c>
      <c r="G70" s="313"/>
      <c r="H70" s="313">
        <v>0</v>
      </c>
      <c r="I70" s="313"/>
      <c r="J70" s="313"/>
      <c r="K70" s="313"/>
      <c r="L70" s="313"/>
      <c r="M70" s="313"/>
      <c r="N70" s="313">
        <v>0</v>
      </c>
      <c r="O70" s="313"/>
      <c r="P70" s="313"/>
      <c r="Q70" s="313"/>
      <c r="R70" s="313">
        <f>+H70+N70</f>
        <v>0</v>
      </c>
      <c r="S70" s="271"/>
      <c r="T70" s="259"/>
    </row>
    <row r="71" spans="1:20" s="260" customFormat="1" x14ac:dyDescent="0.3">
      <c r="A71" s="275"/>
      <c r="B71" s="268" t="s">
        <v>20</v>
      </c>
      <c r="C71" s="313"/>
      <c r="D71" s="313"/>
      <c r="E71" s="313"/>
      <c r="F71" s="313">
        <v>0</v>
      </c>
      <c r="G71" s="313"/>
      <c r="H71" s="313">
        <v>0</v>
      </c>
      <c r="I71" s="313"/>
      <c r="J71" s="313"/>
      <c r="K71" s="313"/>
      <c r="L71" s="313"/>
      <c r="M71" s="313"/>
      <c r="N71" s="313"/>
      <c r="O71" s="313"/>
      <c r="P71" s="313"/>
      <c r="Q71" s="313"/>
      <c r="R71" s="313">
        <v>0</v>
      </c>
      <c r="S71" s="271"/>
      <c r="T71" s="259"/>
    </row>
    <row r="72" spans="1:20" s="260" customFormat="1" x14ac:dyDescent="0.3">
      <c r="A72" s="275"/>
      <c r="B72" s="268" t="s">
        <v>21</v>
      </c>
      <c r="C72" s="313"/>
      <c r="D72" s="313"/>
      <c r="E72" s="313"/>
      <c r="F72" s="313">
        <f>SUM(F59:F71)</f>
        <v>250000</v>
      </c>
      <c r="G72" s="313"/>
      <c r="H72" s="313">
        <f>SUM(H59:H71)</f>
        <v>61458</v>
      </c>
      <c r="I72" s="313"/>
      <c r="J72" s="313"/>
      <c r="K72" s="313"/>
      <c r="L72" s="313"/>
      <c r="M72" s="313"/>
      <c r="N72" s="313"/>
      <c r="O72" s="313"/>
      <c r="P72" s="313"/>
      <c r="Q72" s="313"/>
      <c r="R72" s="313">
        <f>SUM(R59:R71)</f>
        <v>0</v>
      </c>
      <c r="S72" s="271"/>
      <c r="T72" s="259"/>
    </row>
    <row r="73" spans="1:20" x14ac:dyDescent="0.3">
      <c r="A73" s="243"/>
      <c r="B73" s="315"/>
      <c r="C73" s="316"/>
      <c r="D73" s="316"/>
      <c r="E73" s="316"/>
      <c r="F73" s="316"/>
      <c r="G73" s="316"/>
      <c r="H73" s="316"/>
      <c r="I73" s="316"/>
      <c r="J73" s="316"/>
      <c r="K73" s="316"/>
      <c r="L73" s="316"/>
      <c r="M73" s="316"/>
      <c r="N73" s="316"/>
      <c r="O73" s="316"/>
      <c r="P73" s="316"/>
      <c r="Q73" s="316"/>
      <c r="R73" s="317"/>
      <c r="S73" s="246"/>
      <c r="T73" s="241"/>
    </row>
    <row r="74" spans="1:20" x14ac:dyDescent="0.3">
      <c r="A74" s="243"/>
      <c r="B74" s="245"/>
      <c r="C74" s="245"/>
      <c r="D74" s="245"/>
      <c r="E74" s="245"/>
      <c r="F74" s="245"/>
      <c r="G74" s="245"/>
      <c r="H74" s="245"/>
      <c r="I74" s="245"/>
      <c r="J74" s="245"/>
      <c r="K74" s="245"/>
      <c r="L74" s="245"/>
      <c r="M74" s="245"/>
      <c r="N74" s="245"/>
      <c r="O74" s="245"/>
      <c r="P74" s="245"/>
      <c r="Q74" s="245"/>
      <c r="R74" s="245"/>
      <c r="S74" s="246"/>
      <c r="T74" s="241"/>
    </row>
    <row r="75" spans="1:20" x14ac:dyDescent="0.3">
      <c r="A75" s="424"/>
      <c r="B75" s="434" t="s">
        <v>22</v>
      </c>
      <c r="C75" s="434"/>
      <c r="D75" s="435"/>
      <c r="E75" s="435"/>
      <c r="F75" s="435"/>
      <c r="G75" s="435"/>
      <c r="H75" s="436" t="s">
        <v>77</v>
      </c>
      <c r="I75" s="435"/>
      <c r="J75" s="437">
        <f>+P199</f>
        <v>43434</v>
      </c>
      <c r="K75" s="435"/>
      <c r="L75" s="435"/>
      <c r="M75" s="435"/>
      <c r="N75" s="435"/>
      <c r="O75" s="435"/>
      <c r="P75" s="435" t="s">
        <v>87</v>
      </c>
      <c r="Q75" s="435"/>
      <c r="R75" s="435" t="s">
        <v>93</v>
      </c>
      <c r="S75" s="426"/>
      <c r="T75" s="241"/>
    </row>
    <row r="76" spans="1:20" s="260" customFormat="1" x14ac:dyDescent="0.3">
      <c r="A76" s="255"/>
      <c r="B76" s="302" t="s">
        <v>23</v>
      </c>
      <c r="C76" s="302"/>
      <c r="D76" s="302"/>
      <c r="E76" s="302"/>
      <c r="F76" s="302"/>
      <c r="G76" s="302"/>
      <c r="H76" s="302"/>
      <c r="I76" s="302"/>
      <c r="J76" s="302"/>
      <c r="K76" s="302"/>
      <c r="L76" s="302"/>
      <c r="M76" s="302"/>
      <c r="N76" s="302"/>
      <c r="O76" s="302"/>
      <c r="P76" s="327">
        <v>0</v>
      </c>
      <c r="Q76" s="302"/>
      <c r="R76" s="433">
        <v>0</v>
      </c>
      <c r="S76" s="258"/>
      <c r="T76" s="259"/>
    </row>
    <row r="77" spans="1:20" s="260" customFormat="1" x14ac:dyDescent="0.3">
      <c r="A77" s="275"/>
      <c r="B77" s="268" t="s">
        <v>248</v>
      </c>
      <c r="C77" s="268"/>
      <c r="D77" s="293"/>
      <c r="E77" s="293"/>
      <c r="F77" s="293"/>
      <c r="G77" s="320"/>
      <c r="H77" s="293"/>
      <c r="I77" s="268"/>
      <c r="J77" s="321"/>
      <c r="K77" s="268"/>
      <c r="L77" s="268"/>
      <c r="M77" s="268"/>
      <c r="N77" s="268"/>
      <c r="O77" s="268"/>
      <c r="P77" s="313">
        <f>-N70</f>
        <v>0</v>
      </c>
      <c r="Q77" s="268"/>
      <c r="R77" s="314"/>
      <c r="S77" s="271"/>
      <c r="T77" s="259"/>
    </row>
    <row r="78" spans="1:20" s="260" customFormat="1" x14ac:dyDescent="0.3">
      <c r="A78" s="275"/>
      <c r="B78" s="268" t="s">
        <v>249</v>
      </c>
      <c r="C78" s="268"/>
      <c r="D78" s="293"/>
      <c r="E78" s="293"/>
      <c r="F78" s="293"/>
      <c r="G78" s="320"/>
      <c r="H78" s="293"/>
      <c r="I78" s="268"/>
      <c r="J78" s="321"/>
      <c r="K78" s="268"/>
      <c r="L78" s="268"/>
      <c r="M78" s="268"/>
      <c r="N78" s="268"/>
      <c r="O78" s="268"/>
      <c r="P78" s="313">
        <v>0</v>
      </c>
      <c r="Q78" s="268"/>
      <c r="R78" s="314"/>
      <c r="S78" s="271"/>
      <c r="T78" s="259"/>
    </row>
    <row r="79" spans="1:20" s="260" customFormat="1" x14ac:dyDescent="0.3">
      <c r="A79" s="275"/>
      <c r="B79" s="268" t="s">
        <v>24</v>
      </c>
      <c r="C79" s="268"/>
      <c r="D79" s="293"/>
      <c r="E79" s="293"/>
      <c r="F79" s="293"/>
      <c r="G79" s="320"/>
      <c r="H79" s="293"/>
      <c r="I79" s="268"/>
      <c r="J79" s="321"/>
      <c r="K79" s="268"/>
      <c r="L79" s="268"/>
      <c r="M79" s="268"/>
      <c r="N79" s="268"/>
      <c r="O79" s="268"/>
      <c r="P79" s="313">
        <f>+J56+L56+P56</f>
        <v>61458</v>
      </c>
      <c r="Q79" s="268"/>
      <c r="R79" s="314"/>
      <c r="S79" s="271"/>
      <c r="T79" s="259"/>
    </row>
    <row r="80" spans="1:20" s="260" customFormat="1" x14ac:dyDescent="0.3">
      <c r="A80" s="275"/>
      <c r="B80" s="268" t="s">
        <v>135</v>
      </c>
      <c r="C80" s="268"/>
      <c r="D80" s="293"/>
      <c r="E80" s="293"/>
      <c r="F80" s="293"/>
      <c r="G80" s="320"/>
      <c r="H80" s="293"/>
      <c r="I80" s="268"/>
      <c r="J80" s="321"/>
      <c r="K80" s="268"/>
      <c r="L80" s="268"/>
      <c r="M80" s="268"/>
      <c r="N80" s="268"/>
      <c r="O80" s="268"/>
      <c r="P80" s="313"/>
      <c r="Q80" s="268"/>
      <c r="R80" s="314">
        <f>1016-105</f>
        <v>911</v>
      </c>
      <c r="S80" s="271"/>
      <c r="T80" s="259"/>
    </row>
    <row r="81" spans="1:20" s="260" customFormat="1" x14ac:dyDescent="0.3">
      <c r="A81" s="275"/>
      <c r="B81" s="268" t="s">
        <v>133</v>
      </c>
      <c r="C81" s="268"/>
      <c r="D81" s="293"/>
      <c r="E81" s="293"/>
      <c r="F81" s="293"/>
      <c r="G81" s="320"/>
      <c r="H81" s="293"/>
      <c r="I81" s="268"/>
      <c r="J81" s="321"/>
      <c r="K81" s="268"/>
      <c r="L81" s="268"/>
      <c r="M81" s="268"/>
      <c r="N81" s="268"/>
      <c r="O81" s="268"/>
      <c r="P81" s="313"/>
      <c r="Q81" s="268"/>
      <c r="R81" s="314">
        <v>148</v>
      </c>
      <c r="S81" s="271"/>
      <c r="T81" s="259"/>
    </row>
    <row r="82" spans="1:20" s="260" customFormat="1" x14ac:dyDescent="0.3">
      <c r="A82" s="275"/>
      <c r="B82" s="268" t="s">
        <v>134</v>
      </c>
      <c r="C82" s="268"/>
      <c r="D82" s="293"/>
      <c r="E82" s="293"/>
      <c r="F82" s="293"/>
      <c r="G82" s="320"/>
      <c r="H82" s="293"/>
      <c r="I82" s="268"/>
      <c r="J82" s="321"/>
      <c r="K82" s="268"/>
      <c r="L82" s="268"/>
      <c r="M82" s="268"/>
      <c r="N82" s="268"/>
      <c r="O82" s="268"/>
      <c r="P82" s="313"/>
      <c r="Q82" s="268"/>
      <c r="R82" s="314">
        <v>16</v>
      </c>
      <c r="S82" s="271"/>
      <c r="T82" s="259"/>
    </row>
    <row r="83" spans="1:20" s="260" customFormat="1" x14ac:dyDescent="0.3">
      <c r="A83" s="275"/>
      <c r="B83" s="268" t="s">
        <v>143</v>
      </c>
      <c r="C83" s="268"/>
      <c r="D83" s="293"/>
      <c r="E83" s="293"/>
      <c r="F83" s="293"/>
      <c r="G83" s="320"/>
      <c r="H83" s="293"/>
      <c r="I83" s="268"/>
      <c r="J83" s="321"/>
      <c r="K83" s="268"/>
      <c r="L83" s="268"/>
      <c r="M83" s="268"/>
      <c r="N83" s="268"/>
      <c r="O83" s="268"/>
      <c r="P83" s="313"/>
      <c r="Q83" s="268"/>
      <c r="R83" s="314">
        <v>0</v>
      </c>
      <c r="S83" s="271"/>
      <c r="T83" s="259"/>
    </row>
    <row r="84" spans="1:20" s="260" customFormat="1" x14ac:dyDescent="0.3">
      <c r="A84" s="275"/>
      <c r="B84" s="268" t="s">
        <v>145</v>
      </c>
      <c r="C84" s="268"/>
      <c r="D84" s="293"/>
      <c r="E84" s="293"/>
      <c r="F84" s="293"/>
      <c r="G84" s="320"/>
      <c r="H84" s="293"/>
      <c r="I84" s="268"/>
      <c r="J84" s="321"/>
      <c r="K84" s="268"/>
      <c r="L84" s="268"/>
      <c r="M84" s="268"/>
      <c r="N84" s="268"/>
      <c r="O84" s="268"/>
      <c r="P84" s="313"/>
      <c r="Q84" s="268"/>
      <c r="R84" s="314">
        <v>390</v>
      </c>
      <c r="S84" s="271"/>
      <c r="T84" s="259"/>
    </row>
    <row r="85" spans="1:20" s="260" customFormat="1" x14ac:dyDescent="0.3">
      <c r="A85" s="275"/>
      <c r="B85" s="268" t="s">
        <v>167</v>
      </c>
      <c r="C85" s="268"/>
      <c r="D85" s="293"/>
      <c r="E85" s="293"/>
      <c r="F85" s="293"/>
      <c r="G85" s="320"/>
      <c r="H85" s="293"/>
      <c r="I85" s="268"/>
      <c r="J85" s="321"/>
      <c r="K85" s="268"/>
      <c r="L85" s="268"/>
      <c r="M85" s="268"/>
      <c r="N85" s="268"/>
      <c r="O85" s="268"/>
      <c r="P85" s="313"/>
      <c r="Q85" s="268"/>
      <c r="R85" s="314">
        <v>0</v>
      </c>
      <c r="S85" s="271"/>
      <c r="T85" s="259"/>
    </row>
    <row r="86" spans="1:20" s="260" customFormat="1" x14ac:dyDescent="0.3">
      <c r="A86" s="275"/>
      <c r="B86" s="268" t="s">
        <v>168</v>
      </c>
      <c r="C86" s="268"/>
      <c r="D86" s="293"/>
      <c r="E86" s="293"/>
      <c r="F86" s="293"/>
      <c r="G86" s="320"/>
      <c r="H86" s="293"/>
      <c r="I86" s="268"/>
      <c r="J86" s="321"/>
      <c r="K86" s="268"/>
      <c r="L86" s="268"/>
      <c r="M86" s="268"/>
      <c r="N86" s="268"/>
      <c r="O86" s="268"/>
      <c r="P86" s="313"/>
      <c r="Q86" s="268"/>
      <c r="R86" s="314">
        <v>0</v>
      </c>
      <c r="S86" s="271"/>
      <c r="T86" s="259"/>
    </row>
    <row r="87" spans="1:20" s="260" customFormat="1" x14ac:dyDescent="0.3">
      <c r="A87" s="275"/>
      <c r="B87" s="268" t="s">
        <v>169</v>
      </c>
      <c r="C87" s="268"/>
      <c r="D87" s="268"/>
      <c r="E87" s="268"/>
      <c r="F87" s="268"/>
      <c r="G87" s="268"/>
      <c r="H87" s="268"/>
      <c r="I87" s="268"/>
      <c r="J87" s="268"/>
      <c r="K87" s="268"/>
      <c r="L87" s="268"/>
      <c r="M87" s="268"/>
      <c r="N87" s="268"/>
      <c r="O87" s="268"/>
      <c r="P87" s="313"/>
      <c r="Q87" s="268"/>
      <c r="R87" s="314">
        <v>0</v>
      </c>
      <c r="S87" s="271"/>
      <c r="T87" s="259"/>
    </row>
    <row r="88" spans="1:20" s="260" customFormat="1" x14ac:dyDescent="0.3">
      <c r="A88" s="275"/>
      <c r="B88" s="268" t="s">
        <v>227</v>
      </c>
      <c r="C88" s="268"/>
      <c r="D88" s="268"/>
      <c r="E88" s="268"/>
      <c r="F88" s="268"/>
      <c r="G88" s="268"/>
      <c r="H88" s="268"/>
      <c r="I88" s="268"/>
      <c r="J88" s="268"/>
      <c r="K88" s="268"/>
      <c r="L88" s="268"/>
      <c r="M88" s="268"/>
      <c r="N88" s="268"/>
      <c r="O88" s="268"/>
      <c r="P88" s="313"/>
      <c r="Q88" s="268"/>
      <c r="R88" s="314">
        <v>0</v>
      </c>
      <c r="S88" s="271"/>
      <c r="T88" s="259"/>
    </row>
    <row r="89" spans="1:20" s="260" customFormat="1" x14ac:dyDescent="0.3">
      <c r="A89" s="275"/>
      <c r="B89" s="268" t="s">
        <v>281</v>
      </c>
      <c r="C89" s="268"/>
      <c r="D89" s="268"/>
      <c r="E89" s="268"/>
      <c r="F89" s="268"/>
      <c r="G89" s="268"/>
      <c r="H89" s="268"/>
      <c r="I89" s="268"/>
      <c r="J89" s="268"/>
      <c r="K89" s="268"/>
      <c r="L89" s="268"/>
      <c r="M89" s="268"/>
      <c r="N89" s="268"/>
      <c r="O89" s="268"/>
      <c r="P89" s="313"/>
      <c r="Q89" s="268"/>
      <c r="R89" s="314">
        <f>-R132</f>
        <v>6250</v>
      </c>
      <c r="S89" s="271"/>
      <c r="T89" s="259"/>
    </row>
    <row r="90" spans="1:20" s="260" customFormat="1" x14ac:dyDescent="0.3">
      <c r="A90" s="275"/>
      <c r="B90" s="268" t="s">
        <v>25</v>
      </c>
      <c r="C90" s="268"/>
      <c r="D90" s="268"/>
      <c r="E90" s="268"/>
      <c r="F90" s="268"/>
      <c r="G90" s="268"/>
      <c r="H90" s="268"/>
      <c r="I90" s="268"/>
      <c r="J90" s="268"/>
      <c r="K90" s="268"/>
      <c r="L90" s="268"/>
      <c r="M90" s="268"/>
      <c r="N90" s="268"/>
      <c r="O90" s="268"/>
      <c r="P90" s="313">
        <f>SUM(P76:P88)</f>
        <v>61458</v>
      </c>
      <c r="Q90" s="268"/>
      <c r="R90" s="313">
        <f>SUM(R76:R89)</f>
        <v>7715</v>
      </c>
      <c r="S90" s="271"/>
      <c r="T90" s="259"/>
    </row>
    <row r="91" spans="1:20" s="260" customFormat="1" x14ac:dyDescent="0.3">
      <c r="A91" s="275"/>
      <c r="B91" s="268" t="s">
        <v>26</v>
      </c>
      <c r="C91" s="268"/>
      <c r="D91" s="268"/>
      <c r="E91" s="268"/>
      <c r="F91" s="268"/>
      <c r="G91" s="268"/>
      <c r="H91" s="268"/>
      <c r="I91" s="268"/>
      <c r="J91" s="268"/>
      <c r="K91" s="268"/>
      <c r="L91" s="268"/>
      <c r="M91" s="268"/>
      <c r="N91" s="268"/>
      <c r="O91" s="268"/>
      <c r="P91" s="313">
        <f>-R91</f>
        <v>0</v>
      </c>
      <c r="Q91" s="268"/>
      <c r="R91" s="314">
        <v>0</v>
      </c>
      <c r="S91" s="271"/>
      <c r="T91" s="259"/>
    </row>
    <row r="92" spans="1:20" s="260" customFormat="1" x14ac:dyDescent="0.3">
      <c r="A92" s="275"/>
      <c r="B92" s="268" t="s">
        <v>150</v>
      </c>
      <c r="C92" s="268"/>
      <c r="D92" s="268"/>
      <c r="E92" s="268"/>
      <c r="F92" s="268"/>
      <c r="G92" s="268"/>
      <c r="H92" s="268"/>
      <c r="I92" s="268"/>
      <c r="J92" s="268"/>
      <c r="K92" s="268"/>
      <c r="L92" s="268"/>
      <c r="M92" s="268"/>
      <c r="N92" s="268"/>
      <c r="O92" s="268"/>
      <c r="P92" s="313"/>
      <c r="Q92" s="268"/>
      <c r="R92" s="314">
        <v>0</v>
      </c>
      <c r="S92" s="271"/>
      <c r="T92" s="259"/>
    </row>
    <row r="93" spans="1:20" s="260" customFormat="1" x14ac:dyDescent="0.3">
      <c r="A93" s="275"/>
      <c r="B93" s="268" t="s">
        <v>27</v>
      </c>
      <c r="C93" s="268"/>
      <c r="D93" s="268"/>
      <c r="E93" s="268"/>
      <c r="F93" s="268"/>
      <c r="G93" s="268"/>
      <c r="H93" s="268"/>
      <c r="I93" s="268"/>
      <c r="J93" s="268"/>
      <c r="K93" s="268"/>
      <c r="L93" s="268"/>
      <c r="M93" s="268"/>
      <c r="N93" s="268"/>
      <c r="O93" s="268"/>
      <c r="P93" s="313">
        <f>P90+P91</f>
        <v>61458</v>
      </c>
      <c r="Q93" s="268"/>
      <c r="R93" s="313">
        <f>R90+R91+R92</f>
        <v>7715</v>
      </c>
      <c r="S93" s="271"/>
      <c r="T93" s="259"/>
    </row>
    <row r="94" spans="1:20" x14ac:dyDescent="0.3">
      <c r="A94" s="287"/>
      <c r="B94" s="417" t="s">
        <v>28</v>
      </c>
      <c r="C94" s="288"/>
      <c r="D94" s="288"/>
      <c r="E94" s="288"/>
      <c r="F94" s="288"/>
      <c r="G94" s="288"/>
      <c r="H94" s="288"/>
      <c r="I94" s="288"/>
      <c r="J94" s="288"/>
      <c r="K94" s="288"/>
      <c r="L94" s="288"/>
      <c r="M94" s="288"/>
      <c r="N94" s="288"/>
      <c r="O94" s="288"/>
      <c r="P94" s="322"/>
      <c r="Q94" s="323"/>
      <c r="R94" s="324"/>
      <c r="S94" s="289"/>
      <c r="T94" s="241"/>
    </row>
    <row r="95" spans="1:20" s="260" customFormat="1" x14ac:dyDescent="0.3">
      <c r="A95" s="275">
        <v>1</v>
      </c>
      <c r="B95" s="268" t="s">
        <v>180</v>
      </c>
      <c r="C95" s="268"/>
      <c r="D95" s="268"/>
      <c r="E95" s="268"/>
      <c r="F95" s="268"/>
      <c r="G95" s="268"/>
      <c r="H95" s="268"/>
      <c r="I95" s="268"/>
      <c r="J95" s="268"/>
      <c r="K95" s="268"/>
      <c r="L95" s="268"/>
      <c r="M95" s="268"/>
      <c r="N95" s="268"/>
      <c r="O95" s="268"/>
      <c r="P95" s="313"/>
      <c r="Q95" s="268"/>
      <c r="R95" s="314">
        <v>0</v>
      </c>
      <c r="S95" s="271"/>
      <c r="T95" s="259"/>
    </row>
    <row r="96" spans="1:20" s="260" customFormat="1" x14ac:dyDescent="0.3">
      <c r="A96" s="275">
        <v>2</v>
      </c>
      <c r="B96" s="268" t="s">
        <v>214</v>
      </c>
      <c r="C96" s="268"/>
      <c r="D96" s="268"/>
      <c r="E96" s="268"/>
      <c r="F96" s="268"/>
      <c r="G96" s="268"/>
      <c r="H96" s="268"/>
      <c r="I96" s="268"/>
      <c r="J96" s="268"/>
      <c r="K96" s="268"/>
      <c r="L96" s="268"/>
      <c r="M96" s="268"/>
      <c r="N96" s="268"/>
      <c r="O96" s="268"/>
      <c r="P96" s="268"/>
      <c r="Q96" s="268"/>
      <c r="R96" s="314">
        <v>-3</v>
      </c>
      <c r="S96" s="271"/>
      <c r="T96" s="259"/>
    </row>
    <row r="97" spans="1:21" s="260" customFormat="1" x14ac:dyDescent="0.3">
      <c r="A97" s="275">
        <v>3</v>
      </c>
      <c r="B97" s="268" t="s">
        <v>267</v>
      </c>
      <c r="C97" s="268"/>
      <c r="D97" s="268"/>
      <c r="E97" s="268"/>
      <c r="F97" s="268"/>
      <c r="G97" s="268"/>
      <c r="H97" s="268"/>
      <c r="I97" s="268"/>
      <c r="J97" s="268"/>
      <c r="K97" s="268"/>
      <c r="L97" s="268"/>
      <c r="M97" s="268"/>
      <c r="N97" s="268"/>
      <c r="O97" s="268"/>
      <c r="P97" s="268"/>
      <c r="Q97" s="268"/>
      <c r="R97" s="314">
        <f>-23-4-3</f>
        <v>-30</v>
      </c>
      <c r="S97" s="271"/>
      <c r="T97" s="259"/>
    </row>
    <row r="98" spans="1:21" s="260" customFormat="1" x14ac:dyDescent="0.3">
      <c r="A98" s="275">
        <v>4</v>
      </c>
      <c r="B98" s="268" t="s">
        <v>96</v>
      </c>
      <c r="C98" s="268"/>
      <c r="D98" s="268"/>
      <c r="E98" s="268"/>
      <c r="F98" s="268"/>
      <c r="G98" s="268"/>
      <c r="H98" s="268"/>
      <c r="I98" s="268"/>
      <c r="J98" s="268"/>
      <c r="K98" s="268"/>
      <c r="L98" s="268"/>
      <c r="M98" s="268"/>
      <c r="N98" s="268"/>
      <c r="O98" s="268"/>
      <c r="P98" s="268"/>
      <c r="Q98" s="268"/>
      <c r="R98" s="314">
        <v>-13</v>
      </c>
      <c r="S98" s="271"/>
      <c r="T98" s="259"/>
    </row>
    <row r="99" spans="1:21" s="260" customFormat="1" x14ac:dyDescent="0.3">
      <c r="A99" s="275">
        <v>5</v>
      </c>
      <c r="B99" s="268" t="s">
        <v>157</v>
      </c>
      <c r="C99" s="268"/>
      <c r="D99" s="268"/>
      <c r="E99" s="268"/>
      <c r="F99" s="268"/>
      <c r="G99" s="268"/>
      <c r="H99" s="268"/>
      <c r="I99" s="268"/>
      <c r="J99" s="268"/>
      <c r="K99" s="268"/>
      <c r="L99" s="268"/>
      <c r="M99" s="268"/>
      <c r="N99" s="268"/>
      <c r="O99" s="268"/>
      <c r="P99" s="268"/>
      <c r="Q99" s="268"/>
      <c r="R99" s="314">
        <v>-117</v>
      </c>
      <c r="S99" s="271"/>
      <c r="T99" s="259"/>
      <c r="U99" s="325"/>
    </row>
    <row r="100" spans="1:21" s="260" customFormat="1" x14ac:dyDescent="0.3">
      <c r="A100" s="275">
        <v>6</v>
      </c>
      <c r="B100" s="268" t="s">
        <v>207</v>
      </c>
      <c r="C100" s="268"/>
      <c r="D100" s="268"/>
      <c r="E100" s="268"/>
      <c r="F100" s="268"/>
      <c r="G100" s="268"/>
      <c r="H100" s="268"/>
      <c r="I100" s="268"/>
      <c r="J100" s="268"/>
      <c r="K100" s="268"/>
      <c r="L100" s="268"/>
      <c r="M100" s="268"/>
      <c r="N100" s="268"/>
      <c r="O100" s="268"/>
      <c r="P100" s="268"/>
      <c r="Q100" s="268"/>
      <c r="R100" s="314">
        <v>-97</v>
      </c>
      <c r="S100" s="271"/>
      <c r="T100" s="259"/>
      <c r="U100" s="325"/>
    </row>
    <row r="101" spans="1:21" s="260" customFormat="1" x14ac:dyDescent="0.3">
      <c r="A101" s="275">
        <v>7</v>
      </c>
      <c r="B101" s="268" t="s">
        <v>208</v>
      </c>
      <c r="C101" s="268"/>
      <c r="D101" s="268"/>
      <c r="E101" s="268"/>
      <c r="F101" s="268"/>
      <c r="G101" s="268"/>
      <c r="H101" s="268"/>
      <c r="I101" s="268"/>
      <c r="J101" s="268"/>
      <c r="K101" s="268"/>
      <c r="L101" s="268"/>
      <c r="M101" s="268"/>
      <c r="N101" s="268"/>
      <c r="O101" s="268"/>
      <c r="P101" s="268"/>
      <c r="Q101" s="268"/>
      <c r="R101" s="314">
        <v>-51</v>
      </c>
      <c r="S101" s="271"/>
      <c r="T101" s="259"/>
      <c r="U101" s="325"/>
    </row>
    <row r="102" spans="1:21" s="260" customFormat="1" x14ac:dyDescent="0.3">
      <c r="A102" s="275">
        <v>8</v>
      </c>
      <c r="B102" s="268" t="s">
        <v>158</v>
      </c>
      <c r="C102" s="268"/>
      <c r="D102" s="268"/>
      <c r="E102" s="268"/>
      <c r="F102" s="268"/>
      <c r="G102" s="268"/>
      <c r="H102" s="268"/>
      <c r="I102" s="268"/>
      <c r="J102" s="268"/>
      <c r="K102" s="268"/>
      <c r="L102" s="268"/>
      <c r="M102" s="268"/>
      <c r="N102" s="268"/>
      <c r="O102" s="268"/>
      <c r="P102" s="268"/>
      <c r="Q102" s="268"/>
      <c r="R102" s="314">
        <v>0</v>
      </c>
      <c r="S102" s="271"/>
      <c r="T102" s="259"/>
      <c r="U102" s="325"/>
    </row>
    <row r="103" spans="1:21" s="260" customFormat="1" x14ac:dyDescent="0.3">
      <c r="A103" s="275">
        <v>9</v>
      </c>
      <c r="B103" s="268" t="s">
        <v>37</v>
      </c>
      <c r="C103" s="268"/>
      <c r="D103" s="268"/>
      <c r="E103" s="268"/>
      <c r="F103" s="268"/>
      <c r="G103" s="268"/>
      <c r="H103" s="268"/>
      <c r="I103" s="268"/>
      <c r="J103" s="268"/>
      <c r="K103" s="268"/>
      <c r="L103" s="268"/>
      <c r="M103" s="268"/>
      <c r="N103" s="268"/>
      <c r="O103" s="268"/>
      <c r="P103" s="313">
        <f>-R103</f>
        <v>0</v>
      </c>
      <c r="Q103" s="268"/>
      <c r="R103" s="314">
        <v>0</v>
      </c>
      <c r="S103" s="271"/>
      <c r="T103" s="259"/>
    </row>
    <row r="104" spans="1:21" s="260" customFormat="1" x14ac:dyDescent="0.3">
      <c r="A104" s="275">
        <v>10</v>
      </c>
      <c r="B104" s="268" t="s">
        <v>101</v>
      </c>
      <c r="C104" s="268"/>
      <c r="D104" s="268"/>
      <c r="E104" s="268"/>
      <c r="F104" s="268"/>
      <c r="G104" s="268"/>
      <c r="H104" s="268"/>
      <c r="I104" s="268"/>
      <c r="J104" s="268"/>
      <c r="K104" s="268"/>
      <c r="L104" s="268"/>
      <c r="M104" s="268"/>
      <c r="N104" s="268"/>
      <c r="O104" s="268"/>
      <c r="P104" s="268"/>
      <c r="Q104" s="268"/>
      <c r="R104" s="314">
        <v>0</v>
      </c>
      <c r="S104" s="271"/>
      <c r="T104" s="259"/>
    </row>
    <row r="105" spans="1:21" s="260" customFormat="1" x14ac:dyDescent="0.3">
      <c r="A105" s="275">
        <v>11</v>
      </c>
      <c r="B105" s="268" t="s">
        <v>29</v>
      </c>
      <c r="C105" s="268"/>
      <c r="D105" s="268"/>
      <c r="E105" s="268"/>
      <c r="F105" s="268"/>
      <c r="G105" s="268"/>
      <c r="H105" s="268"/>
      <c r="I105" s="268"/>
      <c r="J105" s="268"/>
      <c r="K105" s="268"/>
      <c r="L105" s="268"/>
      <c r="M105" s="268"/>
      <c r="N105" s="268"/>
      <c r="O105" s="268"/>
      <c r="P105" s="268"/>
      <c r="Q105" s="268"/>
      <c r="R105" s="314">
        <v>-20</v>
      </c>
      <c r="S105" s="271"/>
      <c r="T105" s="259"/>
    </row>
    <row r="106" spans="1:21" s="260" customFormat="1" x14ac:dyDescent="0.3">
      <c r="A106" s="275">
        <v>12</v>
      </c>
      <c r="B106" s="268" t="s">
        <v>138</v>
      </c>
      <c r="C106" s="268"/>
      <c r="D106" s="268"/>
      <c r="E106" s="268"/>
      <c r="F106" s="268"/>
      <c r="G106" s="268"/>
      <c r="H106" s="268"/>
      <c r="I106" s="268"/>
      <c r="J106" s="268"/>
      <c r="K106" s="268"/>
      <c r="L106" s="268"/>
      <c r="M106" s="268"/>
      <c r="N106" s="268"/>
      <c r="O106" s="268"/>
      <c r="P106" s="268"/>
      <c r="Q106" s="268"/>
      <c r="R106" s="314">
        <v>0</v>
      </c>
      <c r="S106" s="271"/>
      <c r="T106" s="259"/>
    </row>
    <row r="107" spans="1:21" s="260" customFormat="1" x14ac:dyDescent="0.3">
      <c r="A107" s="275">
        <v>13</v>
      </c>
      <c r="B107" s="268" t="s">
        <v>209</v>
      </c>
      <c r="C107" s="268"/>
      <c r="D107" s="268"/>
      <c r="E107" s="268"/>
      <c r="F107" s="268"/>
      <c r="G107" s="268"/>
      <c r="H107" s="268"/>
      <c r="I107" s="268"/>
      <c r="J107" s="268"/>
      <c r="K107" s="268"/>
      <c r="L107" s="268"/>
      <c r="M107" s="268"/>
      <c r="N107" s="268"/>
      <c r="O107" s="268"/>
      <c r="P107" s="268"/>
      <c r="Q107" s="268"/>
      <c r="R107" s="314">
        <v>-46</v>
      </c>
      <c r="S107" s="271"/>
      <c r="T107" s="259"/>
    </row>
    <row r="108" spans="1:21" s="260" customFormat="1" x14ac:dyDescent="0.3">
      <c r="A108" s="275">
        <v>14</v>
      </c>
      <c r="B108" s="268" t="s">
        <v>159</v>
      </c>
      <c r="C108" s="268"/>
      <c r="D108" s="268"/>
      <c r="E108" s="268"/>
      <c r="F108" s="268"/>
      <c r="G108" s="268"/>
      <c r="H108" s="268"/>
      <c r="I108" s="268"/>
      <c r="J108" s="268"/>
      <c r="K108" s="268"/>
      <c r="L108" s="268"/>
      <c r="M108" s="268"/>
      <c r="N108" s="268"/>
      <c r="O108" s="268"/>
      <c r="P108" s="268"/>
      <c r="Q108" s="268"/>
      <c r="R108" s="314">
        <v>0</v>
      </c>
      <c r="S108" s="271"/>
      <c r="T108" s="259"/>
    </row>
    <row r="109" spans="1:21" s="260" customFormat="1" x14ac:dyDescent="0.3">
      <c r="A109" s="275">
        <v>15</v>
      </c>
      <c r="B109" s="268" t="s">
        <v>237</v>
      </c>
      <c r="C109" s="268"/>
      <c r="D109" s="268"/>
      <c r="E109" s="268"/>
      <c r="F109" s="268"/>
      <c r="G109" s="268"/>
      <c r="H109" s="268"/>
      <c r="I109" s="268"/>
      <c r="J109" s="268"/>
      <c r="K109" s="268"/>
      <c r="L109" s="268"/>
      <c r="M109" s="268"/>
      <c r="N109" s="268"/>
      <c r="O109" s="268"/>
      <c r="P109" s="268"/>
      <c r="Q109" s="268"/>
      <c r="R109" s="314">
        <v>-23</v>
      </c>
      <c r="S109" s="271"/>
      <c r="T109" s="259"/>
    </row>
    <row r="110" spans="1:21" s="260" customFormat="1" x14ac:dyDescent="0.3">
      <c r="A110" s="275">
        <v>16</v>
      </c>
      <c r="B110" s="268" t="s">
        <v>170</v>
      </c>
      <c r="C110" s="268"/>
      <c r="D110" s="268"/>
      <c r="E110" s="268"/>
      <c r="F110" s="268"/>
      <c r="G110" s="268"/>
      <c r="H110" s="268"/>
      <c r="I110" s="268"/>
      <c r="J110" s="268"/>
      <c r="K110" s="268"/>
      <c r="L110" s="268"/>
      <c r="M110" s="268"/>
      <c r="N110" s="268"/>
      <c r="O110" s="268"/>
      <c r="P110" s="268"/>
      <c r="Q110" s="268"/>
      <c r="R110" s="314">
        <f>-3-211</f>
        <v>-214</v>
      </c>
      <c r="S110" s="271"/>
      <c r="T110" s="259"/>
    </row>
    <row r="111" spans="1:21" s="260" customFormat="1" x14ac:dyDescent="0.3">
      <c r="A111" s="275">
        <v>17</v>
      </c>
      <c r="B111" s="268" t="s">
        <v>175</v>
      </c>
      <c r="C111" s="268"/>
      <c r="D111" s="268"/>
      <c r="E111" s="268"/>
      <c r="F111" s="268"/>
      <c r="G111" s="268"/>
      <c r="H111" s="268"/>
      <c r="I111" s="268"/>
      <c r="J111" s="268"/>
      <c r="K111" s="268"/>
      <c r="L111" s="268"/>
      <c r="M111" s="268"/>
      <c r="N111" s="268"/>
      <c r="O111" s="268"/>
      <c r="P111" s="268"/>
      <c r="Q111" s="268"/>
      <c r="R111" s="314">
        <f>-R93-SUM(R95:R110)</f>
        <v>-7101</v>
      </c>
      <c r="S111" s="271"/>
      <c r="T111" s="259"/>
    </row>
    <row r="112" spans="1:21" s="260" customFormat="1" x14ac:dyDescent="0.3">
      <c r="A112" s="275">
        <v>18</v>
      </c>
      <c r="B112" s="268" t="s">
        <v>176</v>
      </c>
      <c r="C112" s="268"/>
      <c r="D112" s="268"/>
      <c r="E112" s="268"/>
      <c r="F112" s="268"/>
      <c r="G112" s="268"/>
      <c r="H112" s="268"/>
      <c r="I112" s="268"/>
      <c r="J112" s="268"/>
      <c r="K112" s="268"/>
      <c r="L112" s="268"/>
      <c r="M112" s="268"/>
      <c r="N112" s="268"/>
      <c r="O112" s="268"/>
      <c r="P112" s="313">
        <f>-R112</f>
        <v>0</v>
      </c>
      <c r="Q112" s="268"/>
      <c r="R112" s="314">
        <v>0</v>
      </c>
      <c r="S112" s="271"/>
      <c r="T112" s="259"/>
    </row>
    <row r="113" spans="1:20" x14ac:dyDescent="0.3">
      <c r="A113" s="287"/>
      <c r="B113" s="417" t="s">
        <v>30</v>
      </c>
      <c r="C113" s="288"/>
      <c r="D113" s="288"/>
      <c r="E113" s="288"/>
      <c r="F113" s="288"/>
      <c r="G113" s="288"/>
      <c r="H113" s="288"/>
      <c r="I113" s="288"/>
      <c r="J113" s="288"/>
      <c r="K113" s="288"/>
      <c r="L113" s="288"/>
      <c r="M113" s="288"/>
      <c r="N113" s="288"/>
      <c r="O113" s="288"/>
      <c r="P113" s="323"/>
      <c r="Q113" s="323"/>
      <c r="R113" s="326"/>
      <c r="S113" s="289"/>
      <c r="T113" s="241"/>
    </row>
    <row r="114" spans="1:20" s="260" customFormat="1" x14ac:dyDescent="0.3">
      <c r="A114" s="275"/>
      <c r="B114" s="268" t="s">
        <v>238</v>
      </c>
      <c r="C114" s="268"/>
      <c r="D114" s="268"/>
      <c r="E114" s="268"/>
      <c r="F114" s="268"/>
      <c r="G114" s="268"/>
      <c r="H114" s="268"/>
      <c r="I114" s="268"/>
      <c r="J114" s="268"/>
      <c r="K114" s="268"/>
      <c r="L114" s="268"/>
      <c r="M114" s="268"/>
      <c r="N114" s="268"/>
      <c r="O114" s="268"/>
      <c r="P114" s="313">
        <f>-P181</f>
        <v>0</v>
      </c>
      <c r="Q114" s="313"/>
      <c r="R114" s="314"/>
      <c r="S114" s="271"/>
      <c r="T114" s="259"/>
    </row>
    <row r="115" spans="1:20" s="260" customFormat="1" x14ac:dyDescent="0.3">
      <c r="A115" s="275"/>
      <c r="B115" s="268" t="s">
        <v>239</v>
      </c>
      <c r="C115" s="268"/>
      <c r="D115" s="268"/>
      <c r="E115" s="268"/>
      <c r="F115" s="268"/>
      <c r="G115" s="268"/>
      <c r="H115" s="268"/>
      <c r="I115" s="268"/>
      <c r="J115" s="268"/>
      <c r="K115" s="268"/>
      <c r="L115" s="268"/>
      <c r="M115" s="268"/>
      <c r="N115" s="268"/>
      <c r="O115" s="268"/>
      <c r="P115" s="313">
        <f>-O181</f>
        <v>0</v>
      </c>
      <c r="Q115" s="313"/>
      <c r="R115" s="314"/>
      <c r="S115" s="271"/>
      <c r="T115" s="259"/>
    </row>
    <row r="116" spans="1:20" s="260" customFormat="1" x14ac:dyDescent="0.3">
      <c r="A116" s="275"/>
      <c r="B116" s="268" t="s">
        <v>160</v>
      </c>
      <c r="C116" s="268"/>
      <c r="D116" s="268"/>
      <c r="E116" s="268"/>
      <c r="F116" s="268"/>
      <c r="G116" s="268"/>
      <c r="H116" s="268"/>
      <c r="I116" s="268"/>
      <c r="J116" s="268"/>
      <c r="K116" s="268"/>
      <c r="L116" s="268"/>
      <c r="M116" s="268"/>
      <c r="N116" s="268"/>
      <c r="O116" s="268"/>
      <c r="P116" s="313">
        <v>-29358</v>
      </c>
      <c r="Q116" s="313"/>
      <c r="R116" s="314"/>
      <c r="S116" s="271"/>
      <c r="T116" s="259"/>
    </row>
    <row r="117" spans="1:20" s="260" customFormat="1" x14ac:dyDescent="0.3">
      <c r="A117" s="275"/>
      <c r="B117" s="268" t="s">
        <v>189</v>
      </c>
      <c r="C117" s="268"/>
      <c r="D117" s="268"/>
      <c r="E117" s="268"/>
      <c r="F117" s="268"/>
      <c r="G117" s="268"/>
      <c r="H117" s="268"/>
      <c r="I117" s="268"/>
      <c r="J117" s="268"/>
      <c r="K117" s="268"/>
      <c r="L117" s="268"/>
      <c r="M117" s="268"/>
      <c r="N117" s="268"/>
      <c r="O117" s="268"/>
      <c r="P117" s="313">
        <v>-17700</v>
      </c>
      <c r="Q117" s="313"/>
      <c r="R117" s="314"/>
      <c r="S117" s="271"/>
      <c r="T117" s="259"/>
    </row>
    <row r="118" spans="1:20" s="260" customFormat="1" x14ac:dyDescent="0.3">
      <c r="A118" s="275"/>
      <c r="B118" s="268" t="s">
        <v>190</v>
      </c>
      <c r="C118" s="268"/>
      <c r="D118" s="268"/>
      <c r="E118" s="268"/>
      <c r="F118" s="268"/>
      <c r="G118" s="268"/>
      <c r="H118" s="268"/>
      <c r="I118" s="268"/>
      <c r="J118" s="268"/>
      <c r="K118" s="268"/>
      <c r="L118" s="268"/>
      <c r="M118" s="268"/>
      <c r="N118" s="268"/>
      <c r="O118" s="268"/>
      <c r="P118" s="313">
        <v>-8100</v>
      </c>
      <c r="Q118" s="313"/>
      <c r="R118" s="314"/>
      <c r="S118" s="271"/>
      <c r="T118" s="259"/>
    </row>
    <row r="119" spans="1:20" s="260" customFormat="1" x14ac:dyDescent="0.3">
      <c r="A119" s="275"/>
      <c r="B119" s="268" t="s">
        <v>191</v>
      </c>
      <c r="C119" s="268"/>
      <c r="D119" s="268"/>
      <c r="E119" s="268"/>
      <c r="F119" s="268"/>
      <c r="G119" s="268"/>
      <c r="H119" s="268"/>
      <c r="I119" s="268"/>
      <c r="J119" s="268"/>
      <c r="K119" s="268"/>
      <c r="L119" s="268"/>
      <c r="M119" s="268"/>
      <c r="N119" s="268"/>
      <c r="O119" s="268"/>
      <c r="P119" s="313">
        <v>-6300</v>
      </c>
      <c r="Q119" s="313"/>
      <c r="R119" s="314"/>
      <c r="S119" s="271"/>
      <c r="T119" s="259"/>
    </row>
    <row r="120" spans="1:20" s="260" customFormat="1" x14ac:dyDescent="0.3">
      <c r="A120" s="275"/>
      <c r="B120" s="268" t="s">
        <v>31</v>
      </c>
      <c r="C120" s="268"/>
      <c r="D120" s="268"/>
      <c r="E120" s="268"/>
      <c r="F120" s="268"/>
      <c r="G120" s="268"/>
      <c r="H120" s="268"/>
      <c r="I120" s="268"/>
      <c r="J120" s="268"/>
      <c r="K120" s="268"/>
      <c r="L120" s="268"/>
      <c r="M120" s="268"/>
      <c r="N120" s="268"/>
      <c r="O120" s="268"/>
      <c r="P120" s="313">
        <f>SUM(P114:P119)</f>
        <v>-61458</v>
      </c>
      <c r="Q120" s="313"/>
      <c r="R120" s="313">
        <f>SUM(R94:R119)</f>
        <v>-7715</v>
      </c>
      <c r="S120" s="271"/>
      <c r="T120" s="259"/>
    </row>
    <row r="121" spans="1:20" s="260" customFormat="1" x14ac:dyDescent="0.3">
      <c r="A121" s="275"/>
      <c r="B121" s="268" t="s">
        <v>32</v>
      </c>
      <c r="C121" s="268"/>
      <c r="D121" s="268"/>
      <c r="E121" s="268"/>
      <c r="F121" s="268"/>
      <c r="G121" s="268"/>
      <c r="H121" s="268"/>
      <c r="I121" s="268"/>
      <c r="J121" s="268"/>
      <c r="K121" s="268"/>
      <c r="L121" s="268"/>
      <c r="M121" s="268"/>
      <c r="N121" s="268"/>
      <c r="O121" s="268"/>
      <c r="P121" s="313">
        <f>P93+P120+P103+P112</f>
        <v>0</v>
      </c>
      <c r="Q121" s="313"/>
      <c r="R121" s="313">
        <f>R93+R120</f>
        <v>0</v>
      </c>
      <c r="S121" s="271"/>
      <c r="T121" s="259"/>
    </row>
    <row r="122" spans="1:20" s="260" customFormat="1" x14ac:dyDescent="0.3">
      <c r="A122" s="255"/>
      <c r="B122" s="302"/>
      <c r="C122" s="302"/>
      <c r="D122" s="302"/>
      <c r="E122" s="302"/>
      <c r="F122" s="302"/>
      <c r="G122" s="302"/>
      <c r="H122" s="302"/>
      <c r="I122" s="302"/>
      <c r="J122" s="302"/>
      <c r="K122" s="302"/>
      <c r="L122" s="302"/>
      <c r="M122" s="302"/>
      <c r="N122" s="302"/>
      <c r="O122" s="302"/>
      <c r="P122" s="327"/>
      <c r="Q122" s="327"/>
      <c r="R122" s="327"/>
      <c r="S122" s="258"/>
      <c r="T122" s="259"/>
    </row>
    <row r="123" spans="1:20" s="260" customFormat="1" x14ac:dyDescent="0.3">
      <c r="A123" s="255"/>
      <c r="B123" s="256"/>
      <c r="C123" s="256"/>
      <c r="D123" s="256"/>
      <c r="E123" s="256"/>
      <c r="F123" s="256"/>
      <c r="G123" s="256"/>
      <c r="H123" s="256"/>
      <c r="I123" s="256"/>
      <c r="J123" s="256"/>
      <c r="K123" s="256"/>
      <c r="L123" s="256"/>
      <c r="M123" s="256"/>
      <c r="N123" s="256"/>
      <c r="O123" s="256"/>
      <c r="P123" s="256"/>
      <c r="Q123" s="256"/>
      <c r="R123" s="328"/>
      <c r="S123" s="258"/>
      <c r="T123" s="259"/>
    </row>
    <row r="124" spans="1:20" s="260" customFormat="1" ht="18.600000000000001" thickBot="1" x14ac:dyDescent="0.4">
      <c r="A124" s="307"/>
      <c r="B124" s="308" t="str">
        <f>B52</f>
        <v>PM21 INVESTOR REPORT QUARTER ENDING NOVEMBER 2018</v>
      </c>
      <c r="C124" s="309"/>
      <c r="D124" s="309"/>
      <c r="E124" s="309"/>
      <c r="F124" s="309"/>
      <c r="G124" s="309"/>
      <c r="H124" s="309"/>
      <c r="I124" s="309"/>
      <c r="J124" s="309"/>
      <c r="K124" s="309"/>
      <c r="L124" s="309"/>
      <c r="M124" s="309"/>
      <c r="N124" s="309"/>
      <c r="O124" s="309"/>
      <c r="P124" s="309"/>
      <c r="Q124" s="309"/>
      <c r="R124" s="329"/>
      <c r="S124" s="311"/>
      <c r="T124" s="259"/>
    </row>
    <row r="125" spans="1:20" x14ac:dyDescent="0.3">
      <c r="A125" s="438"/>
      <c r="B125" s="439" t="s">
        <v>33</v>
      </c>
      <c r="C125" s="440"/>
      <c r="D125" s="440"/>
      <c r="E125" s="440"/>
      <c r="F125" s="440"/>
      <c r="G125" s="440"/>
      <c r="H125" s="440"/>
      <c r="I125" s="440"/>
      <c r="J125" s="440"/>
      <c r="K125" s="440"/>
      <c r="L125" s="440"/>
      <c r="M125" s="440"/>
      <c r="N125" s="440"/>
      <c r="O125" s="440"/>
      <c r="P125" s="440"/>
      <c r="Q125" s="440"/>
      <c r="R125" s="441"/>
      <c r="S125" s="442"/>
      <c r="T125" s="241"/>
    </row>
    <row r="126" spans="1:20" x14ac:dyDescent="0.3">
      <c r="A126" s="243"/>
      <c r="B126" s="330"/>
      <c r="C126" s="245"/>
      <c r="D126" s="245"/>
      <c r="E126" s="245"/>
      <c r="F126" s="245"/>
      <c r="G126" s="245"/>
      <c r="H126" s="245"/>
      <c r="I126" s="245"/>
      <c r="J126" s="245"/>
      <c r="K126" s="245"/>
      <c r="L126" s="245"/>
      <c r="M126" s="245"/>
      <c r="N126" s="245"/>
      <c r="O126" s="245"/>
      <c r="P126" s="245"/>
      <c r="Q126" s="245"/>
      <c r="R126" s="312"/>
      <c r="S126" s="246"/>
      <c r="T126" s="241"/>
    </row>
    <row r="127" spans="1:20" x14ac:dyDescent="0.3">
      <c r="A127" s="243"/>
      <c r="B127" s="418" t="s">
        <v>34</v>
      </c>
      <c r="C127" s="245"/>
      <c r="D127" s="245"/>
      <c r="E127" s="245"/>
      <c r="F127" s="245"/>
      <c r="G127" s="245"/>
      <c r="H127" s="245"/>
      <c r="I127" s="245"/>
      <c r="J127" s="245"/>
      <c r="K127" s="245"/>
      <c r="L127" s="245"/>
      <c r="M127" s="245"/>
      <c r="N127" s="245"/>
      <c r="O127" s="245"/>
      <c r="P127" s="245"/>
      <c r="Q127" s="245"/>
      <c r="R127" s="312"/>
      <c r="S127" s="246"/>
      <c r="T127" s="241"/>
    </row>
    <row r="128" spans="1:20" s="260" customFormat="1" x14ac:dyDescent="0.3">
      <c r="A128" s="275"/>
      <c r="B128" s="268" t="s">
        <v>35</v>
      </c>
      <c r="C128" s="268"/>
      <c r="D128" s="268"/>
      <c r="E128" s="268"/>
      <c r="F128" s="268"/>
      <c r="G128" s="268"/>
      <c r="H128" s="268"/>
      <c r="I128" s="268"/>
      <c r="J128" s="268"/>
      <c r="K128" s="268"/>
      <c r="L128" s="268"/>
      <c r="M128" s="268"/>
      <c r="N128" s="268"/>
      <c r="O128" s="268"/>
      <c r="P128" s="268"/>
      <c r="Q128" s="268"/>
      <c r="R128" s="314">
        <f>+R28*0.025</f>
        <v>6250</v>
      </c>
      <c r="S128" s="271"/>
      <c r="T128" s="259"/>
    </row>
    <row r="129" spans="1:21" s="260" customFormat="1" x14ac:dyDescent="0.3">
      <c r="A129" s="275"/>
      <c r="B129" s="268" t="s">
        <v>36</v>
      </c>
      <c r="C129" s="268"/>
      <c r="D129" s="268"/>
      <c r="E129" s="268"/>
      <c r="F129" s="268"/>
      <c r="G129" s="268"/>
      <c r="H129" s="268"/>
      <c r="I129" s="268"/>
      <c r="J129" s="268"/>
      <c r="K129" s="268"/>
      <c r="L129" s="268"/>
      <c r="M129" s="268"/>
      <c r="N129" s="268"/>
      <c r="O129" s="268"/>
      <c r="P129" s="268"/>
      <c r="Q129" s="268"/>
      <c r="R129" s="314">
        <v>0</v>
      </c>
      <c r="S129" s="271"/>
      <c r="T129" s="259"/>
    </row>
    <row r="130" spans="1:21" s="260" customFormat="1" x14ac:dyDescent="0.3">
      <c r="A130" s="275"/>
      <c r="B130" s="268" t="s">
        <v>172</v>
      </c>
      <c r="C130" s="268"/>
      <c r="D130" s="268"/>
      <c r="E130" s="268"/>
      <c r="F130" s="268"/>
      <c r="G130" s="268"/>
      <c r="H130" s="268"/>
      <c r="I130" s="268"/>
      <c r="J130" s="268"/>
      <c r="K130" s="268"/>
      <c r="L130" s="268"/>
      <c r="M130" s="268"/>
      <c r="N130" s="268"/>
      <c r="O130" s="268"/>
      <c r="P130" s="268"/>
      <c r="Q130" s="268"/>
      <c r="R130" s="314">
        <f>R128-R131</f>
        <v>6250</v>
      </c>
      <c r="S130" s="271"/>
      <c r="T130" s="259"/>
    </row>
    <row r="131" spans="1:21" s="260" customFormat="1" x14ac:dyDescent="0.3">
      <c r="A131" s="275"/>
      <c r="B131" s="268" t="s">
        <v>240</v>
      </c>
      <c r="C131" s="268"/>
      <c r="D131" s="268"/>
      <c r="E131" s="268"/>
      <c r="F131" s="268"/>
      <c r="G131" s="268"/>
      <c r="H131" s="268"/>
      <c r="I131" s="268"/>
      <c r="J131" s="268"/>
      <c r="K131" s="268"/>
      <c r="L131" s="268"/>
      <c r="M131" s="268"/>
      <c r="N131" s="268"/>
      <c r="O131" s="268"/>
      <c r="P131" s="268"/>
      <c r="Q131" s="268"/>
      <c r="R131" s="314">
        <f>SUM(D30:H30)*0.025</f>
        <v>0</v>
      </c>
      <c r="S131" s="271"/>
      <c r="T131" s="259"/>
    </row>
    <row r="132" spans="1:21" s="260" customFormat="1" x14ac:dyDescent="0.3">
      <c r="A132" s="275"/>
      <c r="B132" s="268" t="s">
        <v>282</v>
      </c>
      <c r="C132" s="268"/>
      <c r="D132" s="268"/>
      <c r="E132" s="268"/>
      <c r="F132" s="268"/>
      <c r="G132" s="268"/>
      <c r="H132" s="268"/>
      <c r="I132" s="268"/>
      <c r="J132" s="268"/>
      <c r="K132" s="268"/>
      <c r="L132" s="268"/>
      <c r="M132" s="268"/>
      <c r="N132" s="268"/>
      <c r="O132" s="268"/>
      <c r="P132" s="268"/>
      <c r="Q132" s="268"/>
      <c r="R132" s="314">
        <f>-6250</f>
        <v>-6250</v>
      </c>
      <c r="S132" s="271"/>
      <c r="T132" s="259"/>
    </row>
    <row r="133" spans="1:21" s="260" customFormat="1" x14ac:dyDescent="0.3">
      <c r="A133" s="275"/>
      <c r="B133" s="268" t="s">
        <v>108</v>
      </c>
      <c r="C133" s="268"/>
      <c r="D133" s="268"/>
      <c r="E133" s="268"/>
      <c r="F133" s="268"/>
      <c r="G133" s="268"/>
      <c r="H133" s="268"/>
      <c r="I133" s="268"/>
      <c r="J133" s="268"/>
      <c r="K133" s="268"/>
      <c r="L133" s="268"/>
      <c r="M133" s="268"/>
      <c r="N133" s="268"/>
      <c r="O133" s="268"/>
      <c r="P133" s="268"/>
      <c r="Q133" s="268"/>
      <c r="R133" s="314"/>
      <c r="S133" s="271"/>
      <c r="T133" s="259"/>
    </row>
    <row r="134" spans="1:21" s="260" customFormat="1" x14ac:dyDescent="0.3">
      <c r="A134" s="275"/>
      <c r="B134" s="268" t="s">
        <v>157</v>
      </c>
      <c r="C134" s="268"/>
      <c r="D134" s="268"/>
      <c r="E134" s="268"/>
      <c r="F134" s="268"/>
      <c r="G134" s="268"/>
      <c r="H134" s="268"/>
      <c r="I134" s="268"/>
      <c r="J134" s="268"/>
      <c r="K134" s="268"/>
      <c r="L134" s="268"/>
      <c r="M134" s="268"/>
      <c r="N134" s="268"/>
      <c r="O134" s="268"/>
      <c r="P134" s="268"/>
      <c r="Q134" s="268"/>
      <c r="R134" s="314">
        <v>0</v>
      </c>
      <c r="S134" s="271"/>
      <c r="T134" s="259"/>
    </row>
    <row r="135" spans="1:21" s="260" customFormat="1" x14ac:dyDescent="0.3">
      <c r="A135" s="275"/>
      <c r="B135" s="268" t="s">
        <v>207</v>
      </c>
      <c r="C135" s="268"/>
      <c r="D135" s="268"/>
      <c r="E135" s="268"/>
      <c r="F135" s="268"/>
      <c r="G135" s="268"/>
      <c r="H135" s="268"/>
      <c r="I135" s="268"/>
      <c r="J135" s="268"/>
      <c r="K135" s="268"/>
      <c r="L135" s="268"/>
      <c r="M135" s="268"/>
      <c r="N135" s="268"/>
      <c r="O135" s="268"/>
      <c r="P135" s="268"/>
      <c r="Q135" s="268"/>
      <c r="R135" s="314">
        <v>0</v>
      </c>
      <c r="S135" s="271"/>
      <c r="T135" s="259"/>
    </row>
    <row r="136" spans="1:21" s="260" customFormat="1" x14ac:dyDescent="0.3">
      <c r="A136" s="275"/>
      <c r="B136" s="268" t="s">
        <v>208</v>
      </c>
      <c r="C136" s="268"/>
      <c r="D136" s="268"/>
      <c r="E136" s="268"/>
      <c r="F136" s="268"/>
      <c r="G136" s="268"/>
      <c r="H136" s="268"/>
      <c r="I136" s="268"/>
      <c r="J136" s="268"/>
      <c r="K136" s="268"/>
      <c r="L136" s="268"/>
      <c r="M136" s="268"/>
      <c r="N136" s="268"/>
      <c r="O136" s="268"/>
      <c r="P136" s="268"/>
      <c r="Q136" s="268"/>
      <c r="R136" s="314">
        <v>0</v>
      </c>
      <c r="S136" s="271"/>
      <c r="T136" s="259"/>
    </row>
    <row r="137" spans="1:21" s="260" customFormat="1" x14ac:dyDescent="0.3">
      <c r="A137" s="275"/>
      <c r="B137" s="268" t="s">
        <v>37</v>
      </c>
      <c r="C137" s="268"/>
      <c r="D137" s="268"/>
      <c r="E137" s="268"/>
      <c r="F137" s="268"/>
      <c r="G137" s="268"/>
      <c r="H137" s="268"/>
      <c r="I137" s="268"/>
      <c r="J137" s="268"/>
      <c r="K137" s="268"/>
      <c r="L137" s="268"/>
      <c r="M137" s="268"/>
      <c r="N137" s="268"/>
      <c r="O137" s="268"/>
      <c r="P137" s="268"/>
      <c r="Q137" s="268"/>
      <c r="R137" s="314">
        <v>0</v>
      </c>
      <c r="S137" s="271"/>
      <c r="T137" s="259"/>
    </row>
    <row r="138" spans="1:21" s="260" customFormat="1" x14ac:dyDescent="0.3">
      <c r="A138" s="275"/>
      <c r="B138" s="268" t="s">
        <v>102</v>
      </c>
      <c r="C138" s="268"/>
      <c r="D138" s="268"/>
      <c r="E138" s="268"/>
      <c r="F138" s="268"/>
      <c r="G138" s="268"/>
      <c r="H138" s="268"/>
      <c r="I138" s="268"/>
      <c r="J138" s="268"/>
      <c r="K138" s="268"/>
      <c r="L138" s="268"/>
      <c r="M138" s="268"/>
      <c r="N138" s="268"/>
      <c r="O138" s="268"/>
      <c r="P138" s="268"/>
      <c r="Q138" s="268"/>
      <c r="R138" s="314">
        <v>0</v>
      </c>
      <c r="S138" s="271"/>
      <c r="T138" s="259"/>
    </row>
    <row r="139" spans="1:21" s="260" customFormat="1" x14ac:dyDescent="0.3">
      <c r="A139" s="275"/>
      <c r="B139" s="268" t="s">
        <v>228</v>
      </c>
      <c r="C139" s="268"/>
      <c r="D139" s="268"/>
      <c r="E139" s="268"/>
      <c r="F139" s="268"/>
      <c r="G139" s="268"/>
      <c r="H139" s="268"/>
      <c r="I139" s="268"/>
      <c r="J139" s="268"/>
      <c r="K139" s="268"/>
      <c r="L139" s="268"/>
      <c r="M139" s="268"/>
      <c r="N139" s="268"/>
      <c r="O139" s="268"/>
      <c r="P139" s="268"/>
      <c r="Q139" s="268"/>
      <c r="R139" s="314">
        <v>0</v>
      </c>
      <c r="S139" s="271"/>
      <c r="T139" s="259"/>
      <c r="U139" s="325"/>
    </row>
    <row r="140" spans="1:21" s="260" customFormat="1" x14ac:dyDescent="0.3">
      <c r="A140" s="275"/>
      <c r="B140" s="268" t="s">
        <v>38</v>
      </c>
      <c r="C140" s="268"/>
      <c r="D140" s="268"/>
      <c r="E140" s="268"/>
      <c r="F140" s="268"/>
      <c r="G140" s="268"/>
      <c r="H140" s="268"/>
      <c r="I140" s="268"/>
      <c r="J140" s="268"/>
      <c r="K140" s="268"/>
      <c r="L140" s="268"/>
      <c r="M140" s="268"/>
      <c r="N140" s="268"/>
      <c r="O140" s="268"/>
      <c r="P140" s="268"/>
      <c r="Q140" s="268"/>
      <c r="R140" s="314">
        <f>SUM(R129:R139)</f>
        <v>0</v>
      </c>
      <c r="S140" s="271"/>
      <c r="T140" s="259"/>
    </row>
    <row r="141" spans="1:21" x14ac:dyDescent="0.3">
      <c r="A141" s="243"/>
      <c r="B141" s="315"/>
      <c r="C141" s="315"/>
      <c r="D141" s="315"/>
      <c r="E141" s="315"/>
      <c r="F141" s="315"/>
      <c r="G141" s="315"/>
      <c r="H141" s="315"/>
      <c r="I141" s="315"/>
      <c r="J141" s="315"/>
      <c r="K141" s="315"/>
      <c r="L141" s="315"/>
      <c r="M141" s="315"/>
      <c r="N141" s="315"/>
      <c r="O141" s="315"/>
      <c r="P141" s="315"/>
      <c r="Q141" s="315"/>
      <c r="R141" s="331"/>
      <c r="S141" s="246"/>
      <c r="T141" s="241"/>
    </row>
    <row r="142" spans="1:21" x14ac:dyDescent="0.3">
      <c r="A142" s="243"/>
      <c r="B142" s="418" t="s">
        <v>222</v>
      </c>
      <c r="C142" s="245"/>
      <c r="D142" s="245"/>
      <c r="E142" s="245"/>
      <c r="F142" s="245"/>
      <c r="G142" s="245"/>
      <c r="H142" s="245"/>
      <c r="I142" s="245"/>
      <c r="J142" s="245"/>
      <c r="K142" s="245"/>
      <c r="L142" s="245"/>
      <c r="M142" s="245"/>
      <c r="N142" s="245"/>
      <c r="O142" s="245"/>
      <c r="P142" s="245"/>
      <c r="Q142" s="245"/>
      <c r="R142" s="312"/>
      <c r="S142" s="246"/>
      <c r="T142" s="241"/>
    </row>
    <row r="143" spans="1:21" s="260" customFormat="1" x14ac:dyDescent="0.3">
      <c r="A143" s="275"/>
      <c r="B143" s="268" t="s">
        <v>256</v>
      </c>
      <c r="C143" s="268"/>
      <c r="D143" s="268"/>
      <c r="E143" s="268"/>
      <c r="F143" s="268"/>
      <c r="G143" s="268"/>
      <c r="H143" s="268"/>
      <c r="I143" s="268"/>
      <c r="J143" s="268"/>
      <c r="K143" s="268"/>
      <c r="L143" s="268"/>
      <c r="M143" s="268"/>
      <c r="N143" s="268"/>
      <c r="O143" s="268"/>
      <c r="P143" s="268"/>
      <c r="Q143" s="268"/>
      <c r="R143" s="314">
        <v>0</v>
      </c>
      <c r="S143" s="271"/>
      <c r="T143" s="259"/>
    </row>
    <row r="144" spans="1:21" s="260" customFormat="1" x14ac:dyDescent="0.3">
      <c r="A144" s="275"/>
      <c r="B144" s="268" t="s">
        <v>210</v>
      </c>
      <c r="C144" s="268"/>
      <c r="D144" s="268"/>
      <c r="E144" s="268"/>
      <c r="F144" s="268"/>
      <c r="G144" s="268"/>
      <c r="H144" s="268"/>
      <c r="I144" s="268"/>
      <c r="J144" s="268"/>
      <c r="K144" s="268"/>
      <c r="L144" s="268"/>
      <c r="M144" s="268"/>
      <c r="N144" s="268"/>
      <c r="O144" s="268"/>
      <c r="P144" s="268"/>
      <c r="Q144" s="268"/>
      <c r="R144" s="314">
        <f>+J69</f>
        <v>0</v>
      </c>
      <c r="S144" s="271"/>
      <c r="T144" s="259"/>
    </row>
    <row r="145" spans="1:20" s="260" customFormat="1" x14ac:dyDescent="0.3">
      <c r="A145" s="275"/>
      <c r="B145" s="268" t="s">
        <v>224</v>
      </c>
      <c r="C145" s="268"/>
      <c r="D145" s="268"/>
      <c r="E145" s="268"/>
      <c r="F145" s="268"/>
      <c r="G145" s="268"/>
      <c r="H145" s="268"/>
      <c r="I145" s="268"/>
      <c r="J145" s="268"/>
      <c r="K145" s="268"/>
      <c r="L145" s="268"/>
      <c r="M145" s="268"/>
      <c r="N145" s="268"/>
      <c r="O145" s="268"/>
      <c r="P145" s="268"/>
      <c r="Q145" s="268"/>
      <c r="R145" s="314">
        <f>R143+R144</f>
        <v>0</v>
      </c>
      <c r="S145" s="271"/>
      <c r="T145" s="259"/>
    </row>
    <row r="146" spans="1:20" x14ac:dyDescent="0.3">
      <c r="A146" s="243"/>
      <c r="B146" s="332"/>
      <c r="C146" s="332"/>
      <c r="D146" s="332"/>
      <c r="E146" s="332"/>
      <c r="F146" s="332"/>
      <c r="G146" s="332"/>
      <c r="H146" s="332"/>
      <c r="I146" s="332"/>
      <c r="J146" s="332"/>
      <c r="K146" s="332"/>
      <c r="L146" s="332"/>
      <c r="M146" s="332"/>
      <c r="N146" s="332"/>
      <c r="O146" s="332"/>
      <c r="P146" s="332"/>
      <c r="Q146" s="332"/>
      <c r="R146" s="333"/>
      <c r="S146" s="246"/>
      <c r="T146" s="241"/>
    </row>
    <row r="147" spans="1:20" x14ac:dyDescent="0.3">
      <c r="A147" s="243"/>
      <c r="B147" s="418" t="s">
        <v>241</v>
      </c>
      <c r="C147" s="332"/>
      <c r="D147" s="332"/>
      <c r="E147" s="332"/>
      <c r="F147" s="332"/>
      <c r="G147" s="332"/>
      <c r="H147" s="332"/>
      <c r="I147" s="332"/>
      <c r="J147" s="332"/>
      <c r="K147" s="332"/>
      <c r="L147" s="332"/>
      <c r="M147" s="332"/>
      <c r="N147" s="332"/>
      <c r="O147" s="332"/>
      <c r="P147" s="332"/>
      <c r="Q147" s="332"/>
      <c r="R147" s="333"/>
      <c r="S147" s="246"/>
      <c r="T147" s="241"/>
    </row>
    <row r="148" spans="1:20" s="260" customFormat="1" x14ac:dyDescent="0.3">
      <c r="A148" s="334"/>
      <c r="B148" s="335" t="s">
        <v>255</v>
      </c>
      <c r="C148" s="335"/>
      <c r="D148" s="335"/>
      <c r="E148" s="335"/>
      <c r="F148" s="335"/>
      <c r="G148" s="335"/>
      <c r="H148" s="335"/>
      <c r="I148" s="335"/>
      <c r="J148" s="335"/>
      <c r="K148" s="335"/>
      <c r="L148" s="335"/>
      <c r="M148" s="335"/>
      <c r="N148" s="335"/>
      <c r="O148" s="335"/>
      <c r="P148" s="335"/>
      <c r="Q148" s="335"/>
      <c r="R148" s="336">
        <v>0</v>
      </c>
      <c r="S148" s="337"/>
      <c r="T148" s="259"/>
    </row>
    <row r="149" spans="1:20" s="260" customFormat="1" x14ac:dyDescent="0.3">
      <c r="A149" s="334"/>
      <c r="B149" s="335" t="s">
        <v>243</v>
      </c>
      <c r="C149" s="335"/>
      <c r="D149" s="335"/>
      <c r="E149" s="335"/>
      <c r="F149" s="335"/>
      <c r="G149" s="335"/>
      <c r="H149" s="335"/>
      <c r="I149" s="335"/>
      <c r="J149" s="335"/>
      <c r="K149" s="335"/>
      <c r="L149" s="335"/>
      <c r="M149" s="335"/>
      <c r="N149" s="335"/>
      <c r="O149" s="335"/>
      <c r="P149" s="335"/>
      <c r="Q149" s="335"/>
      <c r="R149" s="336">
        <f>P78</f>
        <v>0</v>
      </c>
      <c r="S149" s="337"/>
      <c r="T149" s="259"/>
    </row>
    <row r="150" spans="1:20" s="260" customFormat="1" x14ac:dyDescent="0.3">
      <c r="A150" s="334"/>
      <c r="B150" s="335" t="s">
        <v>244</v>
      </c>
      <c r="C150" s="335"/>
      <c r="D150" s="335"/>
      <c r="E150" s="335"/>
      <c r="F150" s="335"/>
      <c r="G150" s="335"/>
      <c r="H150" s="335"/>
      <c r="I150" s="335"/>
      <c r="J150" s="335"/>
      <c r="K150" s="335"/>
      <c r="L150" s="335"/>
      <c r="M150" s="335"/>
      <c r="N150" s="335"/>
      <c r="O150" s="335"/>
      <c r="P150" s="335"/>
      <c r="Q150" s="335"/>
      <c r="R150" s="336">
        <v>0</v>
      </c>
      <c r="S150" s="337"/>
      <c r="T150" s="259"/>
    </row>
    <row r="151" spans="1:20" s="260" customFormat="1" x14ac:dyDescent="0.3">
      <c r="A151" s="334"/>
      <c r="B151" s="335" t="s">
        <v>245</v>
      </c>
      <c r="C151" s="335"/>
      <c r="D151" s="335"/>
      <c r="E151" s="335"/>
      <c r="F151" s="335"/>
      <c r="G151" s="335"/>
      <c r="H151" s="335"/>
      <c r="I151" s="335"/>
      <c r="J151" s="335"/>
      <c r="K151" s="335"/>
      <c r="L151" s="335"/>
      <c r="M151" s="335"/>
      <c r="N151" s="335"/>
      <c r="O151" s="335"/>
      <c r="P151" s="335"/>
      <c r="Q151" s="335"/>
      <c r="R151" s="336">
        <f>R148+R149+R150</f>
        <v>0</v>
      </c>
      <c r="S151" s="337"/>
      <c r="T151" s="259"/>
    </row>
    <row r="152" spans="1:20" x14ac:dyDescent="0.3">
      <c r="A152" s="243"/>
      <c r="B152" s="315"/>
      <c r="C152" s="315"/>
      <c r="D152" s="315"/>
      <c r="E152" s="315"/>
      <c r="F152" s="315"/>
      <c r="G152" s="315"/>
      <c r="H152" s="315"/>
      <c r="I152" s="315"/>
      <c r="J152" s="315"/>
      <c r="K152" s="315"/>
      <c r="L152" s="315"/>
      <c r="M152" s="315"/>
      <c r="N152" s="315"/>
      <c r="O152" s="315"/>
      <c r="P152" s="315"/>
      <c r="Q152" s="315"/>
      <c r="R152" s="331"/>
      <c r="S152" s="246"/>
      <c r="T152" s="241"/>
    </row>
    <row r="153" spans="1:20" x14ac:dyDescent="0.3">
      <c r="A153" s="243"/>
      <c r="B153" s="418" t="s">
        <v>39</v>
      </c>
      <c r="C153" s="245"/>
      <c r="D153" s="245"/>
      <c r="E153" s="245"/>
      <c r="F153" s="245"/>
      <c r="G153" s="245"/>
      <c r="H153" s="245"/>
      <c r="I153" s="245"/>
      <c r="J153" s="245"/>
      <c r="K153" s="245"/>
      <c r="L153" s="245"/>
      <c r="M153" s="245"/>
      <c r="N153" s="245"/>
      <c r="O153" s="245"/>
      <c r="P153" s="245"/>
      <c r="Q153" s="245"/>
      <c r="R153" s="338"/>
      <c r="S153" s="246"/>
      <c r="T153" s="241"/>
    </row>
    <row r="154" spans="1:20" s="260" customFormat="1" x14ac:dyDescent="0.3">
      <c r="A154" s="275"/>
      <c r="B154" s="268" t="s">
        <v>40</v>
      </c>
      <c r="C154" s="268"/>
      <c r="D154" s="268"/>
      <c r="E154" s="268"/>
      <c r="F154" s="268"/>
      <c r="G154" s="268"/>
      <c r="H154" s="268"/>
      <c r="I154" s="268"/>
      <c r="J154" s="268"/>
      <c r="K154" s="268"/>
      <c r="L154" s="268"/>
      <c r="M154" s="268"/>
      <c r="N154" s="268"/>
      <c r="O154" s="268"/>
      <c r="P154" s="268"/>
      <c r="Q154" s="268"/>
      <c r="R154" s="314">
        <v>0</v>
      </c>
      <c r="S154" s="271"/>
      <c r="T154" s="259"/>
    </row>
    <row r="155" spans="1:20" s="260" customFormat="1" x14ac:dyDescent="0.3">
      <c r="A155" s="275"/>
      <c r="B155" s="268" t="s">
        <v>41</v>
      </c>
      <c r="C155" s="268"/>
      <c r="D155" s="268"/>
      <c r="E155" s="268"/>
      <c r="F155" s="268"/>
      <c r="G155" s="268"/>
      <c r="H155" s="268"/>
      <c r="I155" s="268"/>
      <c r="J155" s="268"/>
      <c r="K155" s="268"/>
      <c r="L155" s="268"/>
      <c r="M155" s="268"/>
      <c r="N155" s="268"/>
      <c r="O155" s="268"/>
      <c r="P155" s="268"/>
      <c r="Q155" s="268"/>
      <c r="R155" s="314">
        <v>0</v>
      </c>
      <c r="S155" s="271"/>
      <c r="T155" s="259"/>
    </row>
    <row r="156" spans="1:20" s="260" customFormat="1" x14ac:dyDescent="0.3">
      <c r="A156" s="275"/>
      <c r="B156" s="268" t="s">
        <v>42</v>
      </c>
      <c r="C156" s="268"/>
      <c r="D156" s="268"/>
      <c r="E156" s="268"/>
      <c r="F156" s="268"/>
      <c r="G156" s="268"/>
      <c r="H156" s="268"/>
      <c r="I156" s="268"/>
      <c r="J156" s="268"/>
      <c r="K156" s="268"/>
      <c r="L156" s="268"/>
      <c r="M156" s="268"/>
      <c r="N156" s="268"/>
      <c r="O156" s="268"/>
      <c r="P156" s="268"/>
      <c r="Q156" s="268"/>
      <c r="R156" s="314">
        <f>R155+R154</f>
        <v>0</v>
      </c>
      <c r="S156" s="271"/>
      <c r="T156" s="259"/>
    </row>
    <row r="157" spans="1:20" s="260" customFormat="1" x14ac:dyDescent="0.3">
      <c r="A157" s="275"/>
      <c r="B157" s="268" t="s">
        <v>179</v>
      </c>
      <c r="C157" s="268"/>
      <c r="D157" s="268"/>
      <c r="E157" s="268"/>
      <c r="F157" s="268"/>
      <c r="G157" s="268"/>
      <c r="H157" s="268"/>
      <c r="I157" s="268"/>
      <c r="J157" s="268"/>
      <c r="K157" s="268"/>
      <c r="L157" s="268"/>
      <c r="M157" s="268"/>
      <c r="N157" s="268"/>
      <c r="O157" s="268"/>
      <c r="P157" s="268"/>
      <c r="Q157" s="268"/>
      <c r="R157" s="314">
        <f>R103</f>
        <v>0</v>
      </c>
      <c r="S157" s="271"/>
      <c r="T157" s="259"/>
    </row>
    <row r="158" spans="1:20" s="260" customFormat="1" x14ac:dyDescent="0.3">
      <c r="A158" s="275"/>
      <c r="B158" s="268" t="s">
        <v>43</v>
      </c>
      <c r="C158" s="268"/>
      <c r="D158" s="268"/>
      <c r="E158" s="268"/>
      <c r="F158" s="268"/>
      <c r="G158" s="268"/>
      <c r="H158" s="268"/>
      <c r="I158" s="268"/>
      <c r="J158" s="268"/>
      <c r="K158" s="268"/>
      <c r="L158" s="268"/>
      <c r="M158" s="268"/>
      <c r="N158" s="268"/>
      <c r="O158" s="268"/>
      <c r="P158" s="268"/>
      <c r="Q158" s="268"/>
      <c r="R158" s="314">
        <f>R156+R157</f>
        <v>0</v>
      </c>
      <c r="S158" s="271"/>
      <c r="T158" s="259"/>
    </row>
    <row r="159" spans="1:20" s="260" customFormat="1" x14ac:dyDescent="0.3">
      <c r="A159" s="275"/>
      <c r="B159" s="268" t="s">
        <v>150</v>
      </c>
      <c r="C159" s="268"/>
      <c r="D159" s="268"/>
      <c r="E159" s="268"/>
      <c r="F159" s="268"/>
      <c r="G159" s="268"/>
      <c r="H159" s="268"/>
      <c r="I159" s="268"/>
      <c r="J159" s="268"/>
      <c r="K159" s="268"/>
      <c r="L159" s="268"/>
      <c r="M159" s="268"/>
      <c r="N159" s="268"/>
      <c r="O159" s="268"/>
      <c r="P159" s="268"/>
      <c r="Q159" s="268"/>
      <c r="R159" s="314">
        <f>-R92</f>
        <v>0</v>
      </c>
      <c r="S159" s="271"/>
      <c r="T159" s="259"/>
    </row>
    <row r="160" spans="1:20" ht="16.2" thickBot="1" x14ac:dyDescent="0.35">
      <c r="A160" s="243"/>
      <c r="B160" s="315"/>
      <c r="C160" s="315"/>
      <c r="D160" s="315"/>
      <c r="E160" s="315"/>
      <c r="F160" s="315"/>
      <c r="G160" s="315"/>
      <c r="H160" s="315"/>
      <c r="I160" s="315"/>
      <c r="J160" s="315"/>
      <c r="K160" s="315"/>
      <c r="L160" s="315"/>
      <c r="M160" s="315"/>
      <c r="N160" s="315"/>
      <c r="O160" s="315"/>
      <c r="P160" s="315"/>
      <c r="Q160" s="315"/>
      <c r="R160" s="331"/>
      <c r="S160" s="246"/>
      <c r="T160" s="241"/>
    </row>
    <row r="161" spans="1:252" x14ac:dyDescent="0.3">
      <c r="A161" s="237"/>
      <c r="B161" s="239"/>
      <c r="C161" s="239"/>
      <c r="D161" s="239"/>
      <c r="E161" s="239"/>
      <c r="F161" s="239"/>
      <c r="G161" s="239"/>
      <c r="H161" s="239"/>
      <c r="I161" s="239"/>
      <c r="J161" s="239"/>
      <c r="K161" s="239"/>
      <c r="L161" s="239"/>
      <c r="M161" s="239"/>
      <c r="N161" s="239"/>
      <c r="O161" s="239"/>
      <c r="P161" s="239"/>
      <c r="Q161" s="239"/>
      <c r="R161" s="339"/>
      <c r="S161" s="240"/>
      <c r="T161" s="241"/>
    </row>
    <row r="162" spans="1:252" s="341" customFormat="1" x14ac:dyDescent="0.3">
      <c r="A162" s="243"/>
      <c r="B162" s="418" t="s">
        <v>223</v>
      </c>
      <c r="C162" s="315"/>
      <c r="D162" s="315"/>
      <c r="E162" s="315"/>
      <c r="F162" s="315"/>
      <c r="G162" s="315"/>
      <c r="H162" s="315"/>
      <c r="I162" s="315"/>
      <c r="J162" s="315"/>
      <c r="K162" s="315"/>
      <c r="L162" s="315"/>
      <c r="M162" s="315"/>
      <c r="N162" s="315"/>
      <c r="O162" s="315"/>
      <c r="P162" s="315"/>
      <c r="Q162" s="315"/>
      <c r="R162" s="340"/>
      <c r="S162" s="246"/>
      <c r="T162" s="241"/>
      <c r="U162" s="242"/>
      <c r="V162" s="242"/>
      <c r="W162" s="242"/>
      <c r="X162" s="242"/>
      <c r="Y162" s="242"/>
      <c r="Z162" s="242"/>
      <c r="AA162" s="242"/>
      <c r="AB162" s="242"/>
      <c r="AC162" s="242"/>
      <c r="AD162" s="242"/>
      <c r="AE162" s="242"/>
      <c r="AF162" s="242"/>
      <c r="AG162" s="242"/>
      <c r="AH162" s="242"/>
      <c r="AI162" s="242"/>
      <c r="AJ162" s="242"/>
      <c r="AK162" s="242"/>
      <c r="AL162" s="242"/>
      <c r="AM162" s="242"/>
      <c r="AN162" s="242"/>
      <c r="AO162" s="242"/>
      <c r="AP162" s="242"/>
      <c r="AQ162" s="242"/>
      <c r="AR162" s="242"/>
      <c r="AS162" s="242"/>
      <c r="AT162" s="242"/>
      <c r="AU162" s="242"/>
      <c r="AV162" s="242"/>
      <c r="AW162" s="242"/>
      <c r="AX162" s="242"/>
      <c r="AY162" s="242"/>
      <c r="AZ162" s="242"/>
      <c r="BA162" s="242"/>
      <c r="BB162" s="242"/>
      <c r="BC162" s="242"/>
      <c r="BD162" s="242"/>
      <c r="BE162" s="242"/>
      <c r="BF162" s="242"/>
      <c r="BG162" s="242"/>
      <c r="BH162" s="242"/>
      <c r="BI162" s="242"/>
      <c r="BJ162" s="242"/>
      <c r="BK162" s="242"/>
      <c r="BL162" s="242"/>
      <c r="BM162" s="242"/>
      <c r="BN162" s="242"/>
      <c r="BO162" s="242"/>
      <c r="BP162" s="242"/>
      <c r="BQ162" s="242"/>
      <c r="BR162" s="242"/>
      <c r="BS162" s="242"/>
      <c r="BT162" s="242"/>
      <c r="BU162" s="242"/>
      <c r="BV162" s="242"/>
      <c r="BW162" s="242"/>
      <c r="BX162" s="242"/>
      <c r="BY162" s="242"/>
      <c r="BZ162" s="242"/>
      <c r="CA162" s="242"/>
      <c r="CB162" s="242"/>
      <c r="CC162" s="242"/>
      <c r="CD162" s="242"/>
      <c r="CE162" s="242"/>
      <c r="CF162" s="242"/>
      <c r="CG162" s="242"/>
      <c r="CH162" s="242"/>
      <c r="CI162" s="242"/>
      <c r="CJ162" s="242"/>
      <c r="CK162" s="242"/>
      <c r="CL162" s="242"/>
      <c r="CM162" s="242"/>
      <c r="CN162" s="242"/>
      <c r="CO162" s="242"/>
      <c r="CP162" s="242"/>
      <c r="CQ162" s="242"/>
      <c r="CR162" s="242"/>
      <c r="CS162" s="242"/>
      <c r="CT162" s="242"/>
      <c r="CU162" s="242"/>
      <c r="CV162" s="242"/>
      <c r="CW162" s="242"/>
      <c r="CX162" s="242"/>
      <c r="CY162" s="242"/>
      <c r="CZ162" s="242"/>
      <c r="DA162" s="242"/>
      <c r="DB162" s="242"/>
      <c r="DC162" s="242"/>
      <c r="DD162" s="242"/>
      <c r="DE162" s="242"/>
      <c r="DF162" s="242"/>
      <c r="DG162" s="242"/>
      <c r="DH162" s="242"/>
      <c r="DI162" s="242"/>
      <c r="DJ162" s="242"/>
      <c r="DK162" s="242"/>
      <c r="DL162" s="242"/>
      <c r="DM162" s="242"/>
      <c r="DN162" s="242"/>
      <c r="DO162" s="242"/>
      <c r="DP162" s="242"/>
      <c r="DQ162" s="242"/>
      <c r="DR162" s="242"/>
      <c r="DS162" s="242"/>
      <c r="DT162" s="242"/>
      <c r="DU162" s="242"/>
      <c r="DV162" s="242"/>
      <c r="DW162" s="242"/>
      <c r="DX162" s="242"/>
      <c r="DY162" s="242"/>
      <c r="DZ162" s="242"/>
      <c r="EA162" s="242"/>
      <c r="EB162" s="242"/>
      <c r="EC162" s="242"/>
      <c r="ED162" s="242"/>
      <c r="EE162" s="242"/>
      <c r="EF162" s="242"/>
      <c r="EG162" s="242"/>
      <c r="EH162" s="242"/>
      <c r="EI162" s="242"/>
      <c r="EJ162" s="242"/>
      <c r="EK162" s="242"/>
      <c r="EL162" s="242"/>
      <c r="EM162" s="242"/>
      <c r="EN162" s="242"/>
      <c r="EO162" s="242"/>
      <c r="EP162" s="242"/>
      <c r="EQ162" s="242"/>
      <c r="ER162" s="242"/>
      <c r="ES162" s="242"/>
      <c r="ET162" s="242"/>
      <c r="EU162" s="242"/>
      <c r="EV162" s="242"/>
      <c r="EW162" s="242"/>
      <c r="EX162" s="242"/>
      <c r="EY162" s="242"/>
      <c r="EZ162" s="242"/>
      <c r="FA162" s="242"/>
      <c r="FB162" s="242"/>
      <c r="FC162" s="242"/>
      <c r="FD162" s="242"/>
      <c r="FE162" s="242"/>
      <c r="FF162" s="242"/>
      <c r="FG162" s="242"/>
      <c r="FH162" s="242"/>
      <c r="FI162" s="242"/>
      <c r="FJ162" s="242"/>
      <c r="FK162" s="242"/>
      <c r="FL162" s="242"/>
      <c r="FM162" s="242"/>
      <c r="FN162" s="242"/>
      <c r="FO162" s="242"/>
      <c r="FP162" s="242"/>
      <c r="FQ162" s="242"/>
      <c r="FR162" s="242"/>
      <c r="FS162" s="242"/>
      <c r="FT162" s="242"/>
      <c r="FU162" s="242"/>
      <c r="FV162" s="242"/>
      <c r="FW162" s="242"/>
      <c r="FX162" s="242"/>
      <c r="FY162" s="242"/>
      <c r="FZ162" s="242"/>
      <c r="GA162" s="242"/>
      <c r="GB162" s="242"/>
      <c r="GC162" s="242"/>
      <c r="GD162" s="242"/>
      <c r="GE162" s="242"/>
      <c r="GF162" s="242"/>
      <c r="GG162" s="242"/>
      <c r="GH162" s="242"/>
      <c r="GI162" s="242"/>
      <c r="GJ162" s="242"/>
      <c r="GK162" s="242"/>
      <c r="GL162" s="242"/>
      <c r="GM162" s="242"/>
      <c r="GN162" s="242"/>
      <c r="GO162" s="242"/>
      <c r="GP162" s="242"/>
      <c r="GQ162" s="242"/>
      <c r="GR162" s="242"/>
      <c r="GS162" s="242"/>
      <c r="GT162" s="242"/>
      <c r="GU162" s="242"/>
      <c r="GV162" s="242"/>
      <c r="GW162" s="242"/>
      <c r="GX162" s="242"/>
      <c r="GY162" s="242"/>
      <c r="GZ162" s="242"/>
      <c r="HA162" s="242"/>
      <c r="HB162" s="242"/>
      <c r="HC162" s="242"/>
      <c r="HD162" s="242"/>
      <c r="HE162" s="242"/>
      <c r="HF162" s="242"/>
      <c r="HG162" s="242"/>
      <c r="HH162" s="242"/>
      <c r="HI162" s="242"/>
      <c r="HJ162" s="242"/>
      <c r="HK162" s="242"/>
      <c r="HL162" s="242"/>
      <c r="HM162" s="242"/>
      <c r="HN162" s="242"/>
      <c r="HO162" s="242"/>
      <c r="HP162" s="242"/>
      <c r="HQ162" s="242"/>
      <c r="HR162" s="242"/>
      <c r="HS162" s="242"/>
      <c r="HT162" s="242"/>
      <c r="HU162" s="242"/>
      <c r="HV162" s="242"/>
      <c r="HW162" s="242"/>
      <c r="HX162" s="242"/>
      <c r="HY162" s="242"/>
      <c r="HZ162" s="242"/>
      <c r="IA162" s="242"/>
      <c r="IB162" s="242"/>
      <c r="IC162" s="242"/>
      <c r="ID162" s="242"/>
      <c r="IE162" s="242"/>
      <c r="IF162" s="242"/>
      <c r="IG162" s="242"/>
      <c r="IH162" s="242"/>
      <c r="II162" s="242"/>
      <c r="IJ162" s="242"/>
      <c r="IK162" s="242"/>
      <c r="IL162" s="242"/>
      <c r="IM162" s="242"/>
      <c r="IN162" s="242"/>
      <c r="IO162" s="242"/>
      <c r="IP162" s="242"/>
      <c r="IQ162" s="242"/>
      <c r="IR162" s="242"/>
    </row>
    <row r="163" spans="1:252" s="342" customFormat="1" x14ac:dyDescent="0.3">
      <c r="A163" s="275"/>
      <c r="B163" s="268" t="s">
        <v>141</v>
      </c>
      <c r="C163" s="268"/>
      <c r="D163" s="268"/>
      <c r="E163" s="268"/>
      <c r="F163" s="268"/>
      <c r="G163" s="268"/>
      <c r="H163" s="268"/>
      <c r="I163" s="268"/>
      <c r="J163" s="268"/>
      <c r="K163" s="268"/>
      <c r="L163" s="268"/>
      <c r="M163" s="268"/>
      <c r="N163" s="268"/>
      <c r="O163" s="268"/>
      <c r="P163" s="268"/>
      <c r="Q163" s="268"/>
      <c r="R163" s="314">
        <f>+'Aug 18'!R164</f>
        <v>390</v>
      </c>
      <c r="S163" s="271"/>
      <c r="T163" s="259"/>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0"/>
      <c r="CE163" s="260"/>
      <c r="CF163" s="260"/>
      <c r="CG163" s="260"/>
      <c r="CH163" s="260"/>
      <c r="CI163" s="260"/>
      <c r="CJ163" s="260"/>
      <c r="CK163" s="260"/>
      <c r="CL163" s="260"/>
      <c r="CM163" s="260"/>
      <c r="CN163" s="260"/>
      <c r="CO163" s="260"/>
      <c r="CP163" s="260"/>
      <c r="CQ163" s="260"/>
      <c r="CR163" s="260"/>
      <c r="CS163" s="260"/>
      <c r="CT163" s="260"/>
      <c r="CU163" s="260"/>
      <c r="CV163" s="260"/>
      <c r="CW163" s="260"/>
      <c r="CX163" s="260"/>
      <c r="CY163" s="260"/>
      <c r="CZ163" s="260"/>
      <c r="DA163" s="260"/>
      <c r="DB163" s="260"/>
      <c r="DC163" s="260"/>
      <c r="DD163" s="260"/>
      <c r="DE163" s="260"/>
      <c r="DF163" s="260"/>
      <c r="DG163" s="260"/>
      <c r="DH163" s="260"/>
      <c r="DI163" s="260"/>
      <c r="DJ163" s="260"/>
      <c r="DK163" s="260"/>
      <c r="DL163" s="260"/>
      <c r="DM163" s="260"/>
      <c r="DN163" s="260"/>
      <c r="DO163" s="260"/>
      <c r="DP163" s="260"/>
      <c r="DQ163" s="260"/>
      <c r="DR163" s="260"/>
      <c r="DS163" s="260"/>
      <c r="DT163" s="260"/>
      <c r="DU163" s="260"/>
      <c r="DV163" s="260"/>
      <c r="DW163" s="260"/>
      <c r="DX163" s="260"/>
      <c r="DY163" s="260"/>
      <c r="DZ163" s="260"/>
      <c r="EA163" s="260"/>
      <c r="EB163" s="260"/>
      <c r="EC163" s="260"/>
      <c r="ED163" s="260"/>
      <c r="EE163" s="260"/>
      <c r="EF163" s="260"/>
      <c r="EG163" s="260"/>
      <c r="EH163" s="260"/>
      <c r="EI163" s="260"/>
      <c r="EJ163" s="260"/>
      <c r="EK163" s="260"/>
      <c r="EL163" s="260"/>
      <c r="EM163" s="260"/>
      <c r="EN163" s="260"/>
      <c r="EO163" s="260"/>
      <c r="EP163" s="260"/>
      <c r="EQ163" s="260"/>
      <c r="ER163" s="260"/>
      <c r="ES163" s="260"/>
      <c r="ET163" s="260"/>
      <c r="EU163" s="260"/>
      <c r="EV163" s="260"/>
      <c r="EW163" s="260"/>
      <c r="EX163" s="260"/>
      <c r="EY163" s="260"/>
      <c r="EZ163" s="260"/>
      <c r="FA163" s="260"/>
      <c r="FB163" s="260"/>
      <c r="FC163" s="260"/>
      <c r="FD163" s="260"/>
      <c r="FE163" s="260"/>
      <c r="FF163" s="260"/>
      <c r="FG163" s="260"/>
      <c r="FH163" s="260"/>
      <c r="FI163" s="260"/>
      <c r="FJ163" s="260"/>
      <c r="FK163" s="260"/>
      <c r="FL163" s="260"/>
      <c r="FM163" s="260"/>
      <c r="FN163" s="260"/>
      <c r="FO163" s="260"/>
      <c r="FP163" s="260"/>
      <c r="FQ163" s="260"/>
      <c r="FR163" s="260"/>
      <c r="FS163" s="260"/>
      <c r="FT163" s="260"/>
      <c r="FU163" s="260"/>
      <c r="FV163" s="260"/>
      <c r="FW163" s="260"/>
      <c r="FX163" s="260"/>
      <c r="FY163" s="260"/>
      <c r="FZ163" s="260"/>
      <c r="GA163" s="260"/>
      <c r="GB163" s="260"/>
      <c r="GC163" s="260"/>
      <c r="GD163" s="260"/>
      <c r="GE163" s="260"/>
      <c r="GF163" s="260"/>
      <c r="GG163" s="260"/>
      <c r="GH163" s="260"/>
      <c r="GI163" s="260"/>
      <c r="GJ163" s="260"/>
      <c r="GK163" s="260"/>
      <c r="GL163" s="260"/>
      <c r="GM163" s="260"/>
      <c r="GN163" s="260"/>
      <c r="GO163" s="260"/>
      <c r="GP163" s="260"/>
      <c r="GQ163" s="260"/>
      <c r="GR163" s="260"/>
      <c r="GS163" s="260"/>
      <c r="GT163" s="260"/>
      <c r="GU163" s="260"/>
      <c r="GV163" s="260"/>
      <c r="GW163" s="260"/>
      <c r="GX163" s="260"/>
      <c r="GY163" s="260"/>
      <c r="GZ163" s="260"/>
      <c r="HA163" s="260"/>
      <c r="HB163" s="260"/>
      <c r="HC163" s="260"/>
      <c r="HD163" s="260"/>
      <c r="HE163" s="260"/>
      <c r="HF163" s="260"/>
      <c r="HG163" s="260"/>
      <c r="HH163" s="260"/>
      <c r="HI163" s="260"/>
      <c r="HJ163" s="260"/>
      <c r="HK163" s="260"/>
      <c r="HL163" s="260"/>
      <c r="HM163" s="260"/>
      <c r="HN163" s="260"/>
      <c r="HO163" s="260"/>
      <c r="HP163" s="260"/>
      <c r="HQ163" s="260"/>
      <c r="HR163" s="260"/>
      <c r="HS163" s="260"/>
      <c r="HT163" s="260"/>
      <c r="HU163" s="260"/>
      <c r="HV163" s="260"/>
      <c r="HW163" s="260"/>
      <c r="HX163" s="260"/>
      <c r="HY163" s="260"/>
      <c r="HZ163" s="260"/>
      <c r="IA163" s="260"/>
      <c r="IB163" s="260"/>
      <c r="IC163" s="260"/>
      <c r="ID163" s="260"/>
      <c r="IE163" s="260"/>
      <c r="IF163" s="260"/>
      <c r="IG163" s="260"/>
      <c r="IH163" s="260"/>
      <c r="II163" s="260"/>
      <c r="IJ163" s="260"/>
      <c r="IK163" s="260"/>
      <c r="IL163" s="260"/>
      <c r="IM163" s="260"/>
      <c r="IN163" s="260"/>
      <c r="IO163" s="260"/>
      <c r="IP163" s="260"/>
      <c r="IQ163" s="260"/>
      <c r="IR163" s="260"/>
    </row>
    <row r="164" spans="1:252" s="342" customFormat="1" x14ac:dyDescent="0.3">
      <c r="A164" s="275"/>
      <c r="B164" s="268" t="s">
        <v>268</v>
      </c>
      <c r="C164" s="268"/>
      <c r="D164" s="268"/>
      <c r="E164" s="268"/>
      <c r="F164" s="268"/>
      <c r="G164" s="268"/>
      <c r="H164" s="268"/>
      <c r="I164" s="268"/>
      <c r="J164" s="268"/>
      <c r="K164" s="268"/>
      <c r="L164" s="268"/>
      <c r="M164" s="268"/>
      <c r="N164" s="268"/>
      <c r="O164" s="268"/>
      <c r="P164" s="268"/>
      <c r="Q164" s="268"/>
      <c r="R164" s="314">
        <v>0</v>
      </c>
      <c r="S164" s="271"/>
      <c r="T164" s="259"/>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0"/>
      <c r="BW164" s="260"/>
      <c r="BX164" s="260"/>
      <c r="BY164" s="260"/>
      <c r="BZ164" s="260"/>
      <c r="CA164" s="260"/>
      <c r="CB164" s="260"/>
      <c r="CC164" s="260"/>
      <c r="CD164" s="260"/>
      <c r="CE164" s="260"/>
      <c r="CF164" s="260"/>
      <c r="CG164" s="260"/>
      <c r="CH164" s="260"/>
      <c r="CI164" s="260"/>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0"/>
      <c r="DF164" s="260"/>
      <c r="DG164" s="260"/>
      <c r="DH164" s="260"/>
      <c r="DI164" s="260"/>
      <c r="DJ164" s="260"/>
      <c r="DK164" s="260"/>
      <c r="DL164" s="260"/>
      <c r="DM164" s="260"/>
      <c r="DN164" s="260"/>
      <c r="DO164" s="260"/>
      <c r="DP164" s="260"/>
      <c r="DQ164" s="260"/>
      <c r="DR164" s="260"/>
      <c r="DS164" s="260"/>
      <c r="DT164" s="260"/>
      <c r="DU164" s="260"/>
      <c r="DV164" s="260"/>
      <c r="DW164" s="260"/>
      <c r="DX164" s="260"/>
      <c r="DY164" s="260"/>
      <c r="DZ164" s="260"/>
      <c r="EA164" s="260"/>
      <c r="EB164" s="260"/>
      <c r="EC164" s="260"/>
      <c r="ED164" s="260"/>
      <c r="EE164" s="260"/>
      <c r="EF164" s="260"/>
      <c r="EG164" s="260"/>
      <c r="EH164" s="260"/>
      <c r="EI164" s="260"/>
      <c r="EJ164" s="260"/>
      <c r="EK164" s="260"/>
      <c r="EL164" s="260"/>
      <c r="EM164" s="260"/>
      <c r="EN164" s="260"/>
      <c r="EO164" s="260"/>
      <c r="EP164" s="260"/>
      <c r="EQ164" s="260"/>
      <c r="ER164" s="260"/>
      <c r="ES164" s="260"/>
      <c r="ET164" s="260"/>
      <c r="EU164" s="260"/>
      <c r="EV164" s="260"/>
      <c r="EW164" s="260"/>
      <c r="EX164" s="260"/>
      <c r="EY164" s="260"/>
      <c r="EZ164" s="260"/>
      <c r="FA164" s="260"/>
      <c r="FB164" s="260"/>
      <c r="FC164" s="260"/>
      <c r="FD164" s="260"/>
      <c r="FE164" s="260"/>
      <c r="FF164" s="260"/>
      <c r="FG164" s="260"/>
      <c r="FH164" s="260"/>
      <c r="FI164" s="260"/>
      <c r="FJ164" s="260"/>
      <c r="FK164" s="260"/>
      <c r="FL164" s="260"/>
      <c r="FM164" s="260"/>
      <c r="FN164" s="260"/>
      <c r="FO164" s="260"/>
      <c r="FP164" s="260"/>
      <c r="FQ164" s="260"/>
      <c r="FR164" s="260"/>
      <c r="FS164" s="260"/>
      <c r="FT164" s="260"/>
      <c r="FU164" s="260"/>
      <c r="FV164" s="260"/>
      <c r="FW164" s="260"/>
      <c r="FX164" s="260"/>
      <c r="FY164" s="260"/>
      <c r="FZ164" s="260"/>
      <c r="GA164" s="260"/>
      <c r="GB164" s="260"/>
      <c r="GC164" s="260"/>
      <c r="GD164" s="260"/>
      <c r="GE164" s="260"/>
      <c r="GF164" s="260"/>
      <c r="GG164" s="260"/>
      <c r="GH164" s="260"/>
      <c r="GI164" s="260"/>
      <c r="GJ164" s="260"/>
      <c r="GK164" s="260"/>
      <c r="GL164" s="260"/>
      <c r="GM164" s="260"/>
      <c r="GN164" s="260"/>
      <c r="GO164" s="260"/>
      <c r="GP164" s="260"/>
      <c r="GQ164" s="260"/>
      <c r="GR164" s="260"/>
      <c r="GS164" s="260"/>
      <c r="GT164" s="260"/>
      <c r="GU164" s="260"/>
      <c r="GV164" s="260"/>
      <c r="GW164" s="260"/>
      <c r="GX164" s="260"/>
      <c r="GY164" s="260"/>
      <c r="GZ164" s="260"/>
      <c r="HA164" s="260"/>
      <c r="HB164" s="260"/>
      <c r="HC164" s="260"/>
      <c r="HD164" s="260"/>
      <c r="HE164" s="260"/>
      <c r="HF164" s="260"/>
      <c r="HG164" s="260"/>
      <c r="HH164" s="260"/>
      <c r="HI164" s="260"/>
      <c r="HJ164" s="260"/>
      <c r="HK164" s="260"/>
      <c r="HL164" s="260"/>
      <c r="HM164" s="260"/>
      <c r="HN164" s="260"/>
      <c r="HO164" s="260"/>
      <c r="HP164" s="260"/>
      <c r="HQ164" s="260"/>
      <c r="HR164" s="260"/>
      <c r="HS164" s="260"/>
      <c r="HT164" s="260"/>
      <c r="HU164" s="260"/>
      <c r="HV164" s="260"/>
      <c r="HW164" s="260"/>
      <c r="HX164" s="260"/>
      <c r="HY164" s="260"/>
      <c r="HZ164" s="260"/>
      <c r="IA164" s="260"/>
      <c r="IB164" s="260"/>
      <c r="IC164" s="260"/>
      <c r="ID164" s="260"/>
      <c r="IE164" s="260"/>
      <c r="IF164" s="260"/>
      <c r="IG164" s="260"/>
      <c r="IH164" s="260"/>
      <c r="II164" s="260"/>
      <c r="IJ164" s="260"/>
      <c r="IK164" s="260"/>
      <c r="IL164" s="260"/>
      <c r="IM164" s="260"/>
      <c r="IN164" s="260"/>
      <c r="IO164" s="260"/>
      <c r="IP164" s="260"/>
      <c r="IQ164" s="260"/>
      <c r="IR164" s="260"/>
    </row>
    <row r="165" spans="1:252" s="342" customFormat="1" x14ac:dyDescent="0.3">
      <c r="A165" s="275"/>
      <c r="B165" s="268" t="s">
        <v>144</v>
      </c>
      <c r="C165" s="268"/>
      <c r="D165" s="268"/>
      <c r="E165" s="268"/>
      <c r="F165" s="268"/>
      <c r="G165" s="268"/>
      <c r="H165" s="268"/>
      <c r="I165" s="268"/>
      <c r="J165" s="268"/>
      <c r="K165" s="268"/>
      <c r="L165" s="268"/>
      <c r="M165" s="268"/>
      <c r="N165" s="268"/>
      <c r="O165" s="268"/>
      <c r="P165" s="268"/>
      <c r="Q165" s="268"/>
      <c r="R165" s="314">
        <f>R84</f>
        <v>390</v>
      </c>
      <c r="S165" s="271"/>
      <c r="T165" s="259"/>
      <c r="U165" s="260"/>
      <c r="V165" s="260"/>
      <c r="W165" s="260"/>
      <c r="X165" s="260"/>
      <c r="Y165" s="260"/>
      <c r="Z165" s="260"/>
      <c r="AA165" s="260"/>
      <c r="AB165" s="260"/>
      <c r="AC165" s="260"/>
      <c r="AD165" s="260"/>
      <c r="AE165" s="260"/>
      <c r="AF165" s="260"/>
      <c r="AG165" s="260"/>
      <c r="AH165" s="260"/>
      <c r="AI165" s="260"/>
      <c r="AJ165" s="260"/>
      <c r="AK165" s="260"/>
      <c r="AL165" s="260"/>
      <c r="AM165" s="260"/>
      <c r="AN165" s="260"/>
      <c r="AO165" s="260"/>
      <c r="AP165" s="260"/>
      <c r="AQ165" s="260"/>
      <c r="AR165" s="260"/>
      <c r="AS165" s="260"/>
      <c r="AT165" s="260"/>
      <c r="AU165" s="260"/>
      <c r="AV165" s="260"/>
      <c r="AW165" s="260"/>
      <c r="AX165" s="260"/>
      <c r="AY165" s="260"/>
      <c r="AZ165" s="260"/>
      <c r="BA165" s="260"/>
      <c r="BB165" s="260"/>
      <c r="BC165" s="260"/>
      <c r="BD165" s="260"/>
      <c r="BE165" s="260"/>
      <c r="BF165" s="260"/>
      <c r="BG165" s="260"/>
      <c r="BH165" s="260"/>
      <c r="BI165" s="260"/>
      <c r="BJ165" s="260"/>
      <c r="BK165" s="260"/>
      <c r="BL165" s="260"/>
      <c r="BM165" s="260"/>
      <c r="BN165" s="260"/>
      <c r="BO165" s="260"/>
      <c r="BP165" s="260"/>
      <c r="BQ165" s="260"/>
      <c r="BR165" s="260"/>
      <c r="BS165" s="260"/>
      <c r="BT165" s="260"/>
      <c r="BU165" s="260"/>
      <c r="BV165" s="260"/>
      <c r="BW165" s="260"/>
      <c r="BX165" s="260"/>
      <c r="BY165" s="260"/>
      <c r="BZ165" s="260"/>
      <c r="CA165" s="260"/>
      <c r="CB165" s="260"/>
      <c r="CC165" s="260"/>
      <c r="CD165" s="260"/>
      <c r="CE165" s="260"/>
      <c r="CF165" s="260"/>
      <c r="CG165" s="260"/>
      <c r="CH165" s="26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0"/>
      <c r="DF165" s="260"/>
      <c r="DG165" s="260"/>
      <c r="DH165" s="260"/>
      <c r="DI165" s="260"/>
      <c r="DJ165" s="260"/>
      <c r="DK165" s="260"/>
      <c r="DL165" s="260"/>
      <c r="DM165" s="260"/>
      <c r="DN165" s="260"/>
      <c r="DO165" s="260"/>
      <c r="DP165" s="260"/>
      <c r="DQ165" s="260"/>
      <c r="DR165" s="260"/>
      <c r="DS165" s="260"/>
      <c r="DT165" s="260"/>
      <c r="DU165" s="260"/>
      <c r="DV165" s="260"/>
      <c r="DW165" s="260"/>
      <c r="DX165" s="260"/>
      <c r="DY165" s="260"/>
      <c r="DZ165" s="260"/>
      <c r="EA165" s="260"/>
      <c r="EB165" s="260"/>
      <c r="EC165" s="260"/>
      <c r="ED165" s="260"/>
      <c r="EE165" s="260"/>
      <c r="EF165" s="260"/>
      <c r="EG165" s="260"/>
      <c r="EH165" s="260"/>
      <c r="EI165" s="260"/>
      <c r="EJ165" s="260"/>
      <c r="EK165" s="260"/>
      <c r="EL165" s="260"/>
      <c r="EM165" s="260"/>
      <c r="EN165" s="260"/>
      <c r="EO165" s="260"/>
      <c r="EP165" s="260"/>
      <c r="EQ165" s="260"/>
      <c r="ER165" s="260"/>
      <c r="ES165" s="260"/>
      <c r="ET165" s="260"/>
      <c r="EU165" s="260"/>
      <c r="EV165" s="260"/>
      <c r="EW165" s="260"/>
      <c r="EX165" s="260"/>
      <c r="EY165" s="260"/>
      <c r="EZ165" s="260"/>
      <c r="FA165" s="260"/>
      <c r="FB165" s="260"/>
      <c r="FC165" s="260"/>
      <c r="FD165" s="260"/>
      <c r="FE165" s="260"/>
      <c r="FF165" s="260"/>
      <c r="FG165" s="260"/>
      <c r="FH165" s="260"/>
      <c r="FI165" s="260"/>
      <c r="FJ165" s="260"/>
      <c r="FK165" s="260"/>
      <c r="FL165" s="260"/>
      <c r="FM165" s="260"/>
      <c r="FN165" s="260"/>
      <c r="FO165" s="260"/>
      <c r="FP165" s="260"/>
      <c r="FQ165" s="260"/>
      <c r="FR165" s="260"/>
      <c r="FS165" s="260"/>
      <c r="FT165" s="260"/>
      <c r="FU165" s="260"/>
      <c r="FV165" s="260"/>
      <c r="FW165" s="260"/>
      <c r="FX165" s="260"/>
      <c r="FY165" s="260"/>
      <c r="FZ165" s="260"/>
      <c r="GA165" s="260"/>
      <c r="GB165" s="260"/>
      <c r="GC165" s="260"/>
      <c r="GD165" s="260"/>
      <c r="GE165" s="260"/>
      <c r="GF165" s="260"/>
      <c r="GG165" s="260"/>
      <c r="GH165" s="260"/>
      <c r="GI165" s="260"/>
      <c r="GJ165" s="260"/>
      <c r="GK165" s="260"/>
      <c r="GL165" s="260"/>
      <c r="GM165" s="260"/>
      <c r="GN165" s="260"/>
      <c r="GO165" s="260"/>
      <c r="GP165" s="260"/>
      <c r="GQ165" s="260"/>
      <c r="GR165" s="260"/>
      <c r="GS165" s="260"/>
      <c r="GT165" s="260"/>
      <c r="GU165" s="260"/>
      <c r="GV165" s="260"/>
      <c r="GW165" s="260"/>
      <c r="GX165" s="260"/>
      <c r="GY165" s="260"/>
      <c r="GZ165" s="260"/>
      <c r="HA165" s="260"/>
      <c r="HB165" s="260"/>
      <c r="HC165" s="260"/>
      <c r="HD165" s="260"/>
      <c r="HE165" s="260"/>
      <c r="HF165" s="260"/>
      <c r="HG165" s="260"/>
      <c r="HH165" s="260"/>
      <c r="HI165" s="260"/>
      <c r="HJ165" s="260"/>
      <c r="HK165" s="260"/>
      <c r="HL165" s="260"/>
      <c r="HM165" s="260"/>
      <c r="HN165" s="260"/>
      <c r="HO165" s="260"/>
      <c r="HP165" s="260"/>
      <c r="HQ165" s="260"/>
      <c r="HR165" s="260"/>
      <c r="HS165" s="260"/>
      <c r="HT165" s="260"/>
      <c r="HU165" s="260"/>
      <c r="HV165" s="260"/>
      <c r="HW165" s="260"/>
      <c r="HX165" s="260"/>
      <c r="HY165" s="260"/>
      <c r="HZ165" s="260"/>
      <c r="IA165" s="260"/>
      <c r="IB165" s="260"/>
      <c r="IC165" s="260"/>
      <c r="ID165" s="260"/>
      <c r="IE165" s="260"/>
      <c r="IF165" s="260"/>
      <c r="IG165" s="260"/>
      <c r="IH165" s="260"/>
      <c r="II165" s="260"/>
      <c r="IJ165" s="260"/>
      <c r="IK165" s="260"/>
      <c r="IL165" s="260"/>
      <c r="IM165" s="260"/>
      <c r="IN165" s="260"/>
      <c r="IO165" s="260"/>
      <c r="IP165" s="260"/>
      <c r="IQ165" s="260"/>
      <c r="IR165" s="260"/>
    </row>
    <row r="166" spans="1:252" s="342" customFormat="1" x14ac:dyDescent="0.3">
      <c r="A166" s="275"/>
      <c r="B166" s="268" t="s">
        <v>142</v>
      </c>
      <c r="C166" s="268"/>
      <c r="D166" s="268"/>
      <c r="E166" s="268"/>
      <c r="F166" s="268"/>
      <c r="G166" s="268"/>
      <c r="H166" s="268"/>
      <c r="I166" s="268"/>
      <c r="J166" s="268"/>
      <c r="K166" s="268"/>
      <c r="L166" s="268"/>
      <c r="M166" s="268"/>
      <c r="N166" s="268"/>
      <c r="O166" s="268"/>
      <c r="P166" s="268"/>
      <c r="Q166" s="268"/>
      <c r="R166" s="314">
        <f>+R163+R164-R165</f>
        <v>0</v>
      </c>
      <c r="S166" s="271"/>
      <c r="T166" s="259"/>
      <c r="U166" s="260"/>
      <c r="V166" s="260"/>
      <c r="W166" s="260"/>
      <c r="X166" s="260"/>
      <c r="Y166" s="260"/>
      <c r="Z166" s="260"/>
      <c r="AA166" s="260"/>
      <c r="AB166" s="260"/>
      <c r="AC166" s="260"/>
      <c r="AD166" s="260"/>
      <c r="AE166" s="260"/>
      <c r="AF166" s="260"/>
      <c r="AG166" s="260"/>
      <c r="AH166" s="260"/>
      <c r="AI166" s="260"/>
      <c r="AJ166" s="260"/>
      <c r="AK166" s="260"/>
      <c r="AL166" s="260"/>
      <c r="AM166" s="260"/>
      <c r="AN166" s="260"/>
      <c r="AO166" s="260"/>
      <c r="AP166" s="260"/>
      <c r="AQ166" s="260"/>
      <c r="AR166" s="260"/>
      <c r="AS166" s="260"/>
      <c r="AT166" s="260"/>
      <c r="AU166" s="260"/>
      <c r="AV166" s="260"/>
      <c r="AW166" s="260"/>
      <c r="AX166" s="260"/>
      <c r="AY166" s="260"/>
      <c r="AZ166" s="260"/>
      <c r="BA166" s="260"/>
      <c r="BB166" s="260"/>
      <c r="BC166" s="260"/>
      <c r="BD166" s="260"/>
      <c r="BE166" s="260"/>
      <c r="BF166" s="260"/>
      <c r="BG166" s="260"/>
      <c r="BH166" s="260"/>
      <c r="BI166" s="260"/>
      <c r="BJ166" s="260"/>
      <c r="BK166" s="260"/>
      <c r="BL166" s="260"/>
      <c r="BM166" s="260"/>
      <c r="BN166" s="260"/>
      <c r="BO166" s="260"/>
      <c r="BP166" s="260"/>
      <c r="BQ166" s="260"/>
      <c r="BR166" s="260"/>
      <c r="BS166" s="260"/>
      <c r="BT166" s="260"/>
      <c r="BU166" s="260"/>
      <c r="BV166" s="260"/>
      <c r="BW166" s="260"/>
      <c r="BX166" s="260"/>
      <c r="BY166" s="260"/>
      <c r="BZ166" s="260"/>
      <c r="CA166" s="260"/>
      <c r="CB166" s="260"/>
      <c r="CC166" s="260"/>
      <c r="CD166" s="260"/>
      <c r="CE166" s="260"/>
      <c r="CF166" s="260"/>
      <c r="CG166" s="260"/>
      <c r="CH166" s="260"/>
      <c r="CI166" s="260"/>
      <c r="CJ166" s="260"/>
      <c r="CK166" s="260"/>
      <c r="CL166" s="260"/>
      <c r="CM166" s="260"/>
      <c r="CN166" s="260"/>
      <c r="CO166" s="260"/>
      <c r="CP166" s="260"/>
      <c r="CQ166" s="260"/>
      <c r="CR166" s="260"/>
      <c r="CS166" s="260"/>
      <c r="CT166" s="260"/>
      <c r="CU166" s="260"/>
      <c r="CV166" s="260"/>
      <c r="CW166" s="260"/>
      <c r="CX166" s="260"/>
      <c r="CY166" s="260"/>
      <c r="CZ166" s="260"/>
      <c r="DA166" s="260"/>
      <c r="DB166" s="260"/>
      <c r="DC166" s="260"/>
      <c r="DD166" s="260"/>
      <c r="DE166" s="260"/>
      <c r="DF166" s="260"/>
      <c r="DG166" s="260"/>
      <c r="DH166" s="260"/>
      <c r="DI166" s="260"/>
      <c r="DJ166" s="260"/>
      <c r="DK166" s="260"/>
      <c r="DL166" s="260"/>
      <c r="DM166" s="260"/>
      <c r="DN166" s="260"/>
      <c r="DO166" s="260"/>
      <c r="DP166" s="260"/>
      <c r="DQ166" s="260"/>
      <c r="DR166" s="260"/>
      <c r="DS166" s="260"/>
      <c r="DT166" s="260"/>
      <c r="DU166" s="260"/>
      <c r="DV166" s="260"/>
      <c r="DW166" s="260"/>
      <c r="DX166" s="260"/>
      <c r="DY166" s="260"/>
      <c r="DZ166" s="260"/>
      <c r="EA166" s="260"/>
      <c r="EB166" s="260"/>
      <c r="EC166" s="260"/>
      <c r="ED166" s="260"/>
      <c r="EE166" s="260"/>
      <c r="EF166" s="260"/>
      <c r="EG166" s="260"/>
      <c r="EH166" s="260"/>
      <c r="EI166" s="260"/>
      <c r="EJ166" s="260"/>
      <c r="EK166" s="260"/>
      <c r="EL166" s="260"/>
      <c r="EM166" s="260"/>
      <c r="EN166" s="260"/>
      <c r="EO166" s="260"/>
      <c r="EP166" s="260"/>
      <c r="EQ166" s="260"/>
      <c r="ER166" s="260"/>
      <c r="ES166" s="260"/>
      <c r="ET166" s="260"/>
      <c r="EU166" s="260"/>
      <c r="EV166" s="260"/>
      <c r="EW166" s="260"/>
      <c r="EX166" s="260"/>
      <c r="EY166" s="260"/>
      <c r="EZ166" s="260"/>
      <c r="FA166" s="260"/>
      <c r="FB166" s="260"/>
      <c r="FC166" s="260"/>
      <c r="FD166" s="260"/>
      <c r="FE166" s="260"/>
      <c r="FF166" s="260"/>
      <c r="FG166" s="260"/>
      <c r="FH166" s="260"/>
      <c r="FI166" s="260"/>
      <c r="FJ166" s="260"/>
      <c r="FK166" s="260"/>
      <c r="FL166" s="260"/>
      <c r="FM166" s="260"/>
      <c r="FN166" s="260"/>
      <c r="FO166" s="260"/>
      <c r="FP166" s="260"/>
      <c r="FQ166" s="260"/>
      <c r="FR166" s="260"/>
      <c r="FS166" s="260"/>
      <c r="FT166" s="260"/>
      <c r="FU166" s="260"/>
      <c r="FV166" s="260"/>
      <c r="FW166" s="260"/>
      <c r="FX166" s="260"/>
      <c r="FY166" s="260"/>
      <c r="FZ166" s="260"/>
      <c r="GA166" s="260"/>
      <c r="GB166" s="260"/>
      <c r="GC166" s="260"/>
      <c r="GD166" s="260"/>
      <c r="GE166" s="260"/>
      <c r="GF166" s="260"/>
      <c r="GG166" s="260"/>
      <c r="GH166" s="260"/>
      <c r="GI166" s="260"/>
      <c r="GJ166" s="260"/>
      <c r="GK166" s="260"/>
      <c r="GL166" s="260"/>
      <c r="GM166" s="260"/>
      <c r="GN166" s="260"/>
      <c r="GO166" s="260"/>
      <c r="GP166" s="260"/>
      <c r="GQ166" s="260"/>
      <c r="GR166" s="260"/>
      <c r="GS166" s="260"/>
      <c r="GT166" s="260"/>
      <c r="GU166" s="260"/>
      <c r="GV166" s="260"/>
      <c r="GW166" s="260"/>
      <c r="GX166" s="260"/>
      <c r="GY166" s="260"/>
      <c r="GZ166" s="260"/>
      <c r="HA166" s="260"/>
      <c r="HB166" s="260"/>
      <c r="HC166" s="260"/>
      <c r="HD166" s="260"/>
      <c r="HE166" s="260"/>
      <c r="HF166" s="260"/>
      <c r="HG166" s="260"/>
      <c r="HH166" s="260"/>
      <c r="HI166" s="260"/>
      <c r="HJ166" s="260"/>
      <c r="HK166" s="260"/>
      <c r="HL166" s="260"/>
      <c r="HM166" s="260"/>
      <c r="HN166" s="260"/>
      <c r="HO166" s="260"/>
      <c r="HP166" s="260"/>
      <c r="HQ166" s="260"/>
      <c r="HR166" s="260"/>
      <c r="HS166" s="260"/>
      <c r="HT166" s="260"/>
      <c r="HU166" s="260"/>
      <c r="HV166" s="260"/>
      <c r="HW166" s="260"/>
      <c r="HX166" s="260"/>
      <c r="HY166" s="260"/>
      <c r="HZ166" s="260"/>
      <c r="IA166" s="260"/>
      <c r="IB166" s="260"/>
      <c r="IC166" s="260"/>
      <c r="ID166" s="260"/>
      <c r="IE166" s="260"/>
      <c r="IF166" s="260"/>
      <c r="IG166" s="260"/>
      <c r="IH166" s="260"/>
      <c r="II166" s="260"/>
      <c r="IJ166" s="260"/>
      <c r="IK166" s="260"/>
      <c r="IL166" s="260"/>
      <c r="IM166" s="260"/>
      <c r="IN166" s="260"/>
      <c r="IO166" s="260"/>
      <c r="IP166" s="260"/>
      <c r="IQ166" s="260"/>
      <c r="IR166" s="260"/>
    </row>
    <row r="167" spans="1:252" s="344" customFormat="1" ht="16.2" thickBot="1" x14ac:dyDescent="0.35">
      <c r="A167" s="343"/>
      <c r="B167" s="315"/>
      <c r="C167" s="315"/>
      <c r="D167" s="315"/>
      <c r="E167" s="315"/>
      <c r="F167" s="315"/>
      <c r="G167" s="315"/>
      <c r="H167" s="315"/>
      <c r="I167" s="315"/>
      <c r="J167" s="315"/>
      <c r="K167" s="315"/>
      <c r="L167" s="315"/>
      <c r="M167" s="315"/>
      <c r="N167" s="315"/>
      <c r="O167" s="315"/>
      <c r="P167" s="315"/>
      <c r="Q167" s="315"/>
      <c r="R167" s="331"/>
      <c r="S167" s="246"/>
      <c r="T167" s="241"/>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42"/>
      <c r="AP167" s="242"/>
      <c r="AQ167" s="242"/>
      <c r="AR167" s="242"/>
      <c r="AS167" s="242"/>
      <c r="AT167" s="242"/>
      <c r="AU167" s="242"/>
      <c r="AV167" s="242"/>
      <c r="AW167" s="242"/>
      <c r="AX167" s="242"/>
      <c r="AY167" s="242"/>
      <c r="AZ167" s="242"/>
      <c r="BA167" s="242"/>
      <c r="BB167" s="242"/>
      <c r="BC167" s="242"/>
      <c r="BD167" s="242"/>
      <c r="BE167" s="242"/>
      <c r="BF167" s="242"/>
      <c r="BG167" s="242"/>
      <c r="BH167" s="242"/>
      <c r="BI167" s="242"/>
      <c r="BJ167" s="242"/>
      <c r="BK167" s="242"/>
      <c r="BL167" s="242"/>
      <c r="BM167" s="242"/>
      <c r="BN167" s="242"/>
      <c r="BO167" s="242"/>
      <c r="BP167" s="242"/>
      <c r="BQ167" s="242"/>
      <c r="BR167" s="242"/>
      <c r="BS167" s="242"/>
      <c r="BT167" s="242"/>
      <c r="BU167" s="242"/>
      <c r="BV167" s="242"/>
      <c r="BW167" s="242"/>
      <c r="BX167" s="242"/>
      <c r="BY167" s="242"/>
      <c r="BZ167" s="242"/>
      <c r="CA167" s="242"/>
      <c r="CB167" s="242"/>
      <c r="CC167" s="242"/>
      <c r="CD167" s="242"/>
      <c r="CE167" s="242"/>
      <c r="CF167" s="242"/>
      <c r="CG167" s="242"/>
      <c r="CH167" s="242"/>
      <c r="CI167" s="242"/>
      <c r="CJ167" s="242"/>
      <c r="CK167" s="242"/>
      <c r="CL167" s="242"/>
      <c r="CM167" s="242"/>
      <c r="CN167" s="242"/>
      <c r="CO167" s="242"/>
      <c r="CP167" s="242"/>
      <c r="CQ167" s="242"/>
      <c r="CR167" s="242"/>
      <c r="CS167" s="242"/>
      <c r="CT167" s="242"/>
      <c r="CU167" s="242"/>
      <c r="CV167" s="242"/>
      <c r="CW167" s="242"/>
      <c r="CX167" s="242"/>
      <c r="CY167" s="242"/>
      <c r="CZ167" s="242"/>
      <c r="DA167" s="242"/>
      <c r="DB167" s="242"/>
      <c r="DC167" s="242"/>
      <c r="DD167" s="242"/>
      <c r="DE167" s="242"/>
      <c r="DF167" s="242"/>
      <c r="DG167" s="242"/>
      <c r="DH167" s="242"/>
      <c r="DI167" s="242"/>
      <c r="DJ167" s="242"/>
      <c r="DK167" s="242"/>
      <c r="DL167" s="242"/>
      <c r="DM167" s="242"/>
      <c r="DN167" s="242"/>
      <c r="DO167" s="242"/>
      <c r="DP167" s="242"/>
      <c r="DQ167" s="242"/>
      <c r="DR167" s="242"/>
      <c r="DS167" s="242"/>
      <c r="DT167" s="242"/>
      <c r="DU167" s="242"/>
      <c r="DV167" s="242"/>
      <c r="DW167" s="242"/>
      <c r="DX167" s="242"/>
      <c r="DY167" s="242"/>
      <c r="DZ167" s="242"/>
      <c r="EA167" s="242"/>
      <c r="EB167" s="242"/>
      <c r="EC167" s="242"/>
      <c r="ED167" s="242"/>
      <c r="EE167" s="242"/>
      <c r="EF167" s="242"/>
      <c r="EG167" s="242"/>
      <c r="EH167" s="242"/>
      <c r="EI167" s="242"/>
      <c r="EJ167" s="242"/>
      <c r="EK167" s="242"/>
      <c r="EL167" s="242"/>
      <c r="EM167" s="242"/>
      <c r="EN167" s="242"/>
      <c r="EO167" s="242"/>
      <c r="EP167" s="242"/>
      <c r="EQ167" s="242"/>
      <c r="ER167" s="242"/>
      <c r="ES167" s="242"/>
      <c r="ET167" s="242"/>
      <c r="EU167" s="242"/>
      <c r="EV167" s="242"/>
      <c r="EW167" s="242"/>
      <c r="EX167" s="242"/>
      <c r="EY167" s="242"/>
      <c r="EZ167" s="242"/>
      <c r="FA167" s="242"/>
      <c r="FB167" s="242"/>
      <c r="FC167" s="242"/>
      <c r="FD167" s="242"/>
      <c r="FE167" s="242"/>
      <c r="FF167" s="242"/>
      <c r="FG167" s="242"/>
      <c r="FH167" s="242"/>
      <c r="FI167" s="242"/>
      <c r="FJ167" s="242"/>
      <c r="FK167" s="242"/>
      <c r="FL167" s="242"/>
      <c r="FM167" s="242"/>
      <c r="FN167" s="242"/>
      <c r="FO167" s="242"/>
      <c r="FP167" s="242"/>
      <c r="FQ167" s="242"/>
      <c r="FR167" s="242"/>
      <c r="FS167" s="242"/>
      <c r="FT167" s="242"/>
      <c r="FU167" s="242"/>
      <c r="FV167" s="242"/>
      <c r="FW167" s="242"/>
      <c r="FX167" s="242"/>
      <c r="FY167" s="242"/>
      <c r="FZ167" s="242"/>
      <c r="GA167" s="242"/>
      <c r="GB167" s="242"/>
      <c r="GC167" s="242"/>
      <c r="GD167" s="242"/>
      <c r="GE167" s="242"/>
      <c r="GF167" s="242"/>
      <c r="GG167" s="242"/>
      <c r="GH167" s="242"/>
      <c r="GI167" s="242"/>
      <c r="GJ167" s="242"/>
      <c r="GK167" s="242"/>
      <c r="GL167" s="242"/>
      <c r="GM167" s="242"/>
      <c r="GN167" s="242"/>
      <c r="GO167" s="242"/>
      <c r="GP167" s="242"/>
      <c r="GQ167" s="242"/>
      <c r="GR167" s="242"/>
      <c r="GS167" s="242"/>
      <c r="GT167" s="242"/>
      <c r="GU167" s="242"/>
      <c r="GV167" s="242"/>
      <c r="GW167" s="242"/>
      <c r="GX167" s="242"/>
      <c r="GY167" s="242"/>
      <c r="GZ167" s="242"/>
      <c r="HA167" s="242"/>
      <c r="HB167" s="242"/>
      <c r="HC167" s="242"/>
      <c r="HD167" s="242"/>
      <c r="HE167" s="242"/>
      <c r="HF167" s="242"/>
      <c r="HG167" s="242"/>
      <c r="HH167" s="242"/>
      <c r="HI167" s="242"/>
      <c r="HJ167" s="242"/>
      <c r="HK167" s="242"/>
      <c r="HL167" s="242"/>
      <c r="HM167" s="242"/>
      <c r="HN167" s="242"/>
      <c r="HO167" s="242"/>
      <c r="HP167" s="242"/>
      <c r="HQ167" s="242"/>
      <c r="HR167" s="242"/>
      <c r="HS167" s="242"/>
      <c r="HT167" s="242"/>
      <c r="HU167" s="242"/>
      <c r="HV167" s="242"/>
      <c r="HW167" s="242"/>
      <c r="HX167" s="242"/>
      <c r="HY167" s="242"/>
      <c r="HZ167" s="242"/>
      <c r="IA167" s="242"/>
      <c r="IB167" s="242"/>
      <c r="IC167" s="242"/>
      <c r="ID167" s="242"/>
      <c r="IE167" s="242"/>
      <c r="IF167" s="242"/>
      <c r="IG167" s="242"/>
      <c r="IH167" s="242"/>
      <c r="II167" s="242"/>
      <c r="IJ167" s="242"/>
      <c r="IK167" s="242"/>
      <c r="IL167" s="242"/>
      <c r="IM167" s="242"/>
      <c r="IN167" s="242"/>
      <c r="IO167" s="242"/>
      <c r="IP167" s="242"/>
      <c r="IQ167" s="242"/>
      <c r="IR167" s="242"/>
    </row>
    <row r="168" spans="1:252" s="345" customFormat="1" x14ac:dyDescent="0.3">
      <c r="A168" s="237"/>
      <c r="B168" s="239"/>
      <c r="C168" s="239"/>
      <c r="D168" s="239"/>
      <c r="E168" s="239"/>
      <c r="F168" s="239"/>
      <c r="G168" s="239"/>
      <c r="H168" s="239"/>
      <c r="I168" s="239"/>
      <c r="J168" s="239"/>
      <c r="K168" s="239"/>
      <c r="L168" s="239"/>
      <c r="M168" s="239"/>
      <c r="N168" s="239"/>
      <c r="O168" s="239"/>
      <c r="P168" s="239"/>
      <c r="Q168" s="239"/>
      <c r="R168" s="339"/>
      <c r="S168" s="240"/>
      <c r="T168" s="241"/>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2"/>
      <c r="BL168" s="242"/>
      <c r="BM168" s="242"/>
      <c r="BN168" s="242"/>
      <c r="BO168" s="242"/>
      <c r="BP168" s="242"/>
      <c r="BQ168" s="242"/>
      <c r="BR168" s="242"/>
      <c r="BS168" s="242"/>
      <c r="BT168" s="242"/>
      <c r="BU168" s="242"/>
      <c r="BV168" s="242"/>
      <c r="BW168" s="242"/>
      <c r="BX168" s="242"/>
      <c r="BY168" s="242"/>
      <c r="BZ168" s="242"/>
      <c r="CA168" s="242"/>
      <c r="CB168" s="242"/>
      <c r="CC168" s="242"/>
      <c r="CD168" s="242"/>
      <c r="CE168" s="242"/>
      <c r="CF168" s="242"/>
      <c r="CG168" s="242"/>
      <c r="CH168" s="242"/>
      <c r="CI168" s="242"/>
      <c r="CJ168" s="242"/>
      <c r="CK168" s="242"/>
      <c r="CL168" s="242"/>
      <c r="CM168" s="242"/>
      <c r="CN168" s="242"/>
      <c r="CO168" s="242"/>
      <c r="CP168" s="242"/>
      <c r="CQ168" s="242"/>
      <c r="CR168" s="242"/>
      <c r="CS168" s="242"/>
      <c r="CT168" s="242"/>
      <c r="CU168" s="242"/>
      <c r="CV168" s="242"/>
      <c r="CW168" s="242"/>
      <c r="CX168" s="242"/>
      <c r="CY168" s="242"/>
      <c r="CZ168" s="242"/>
      <c r="DA168" s="242"/>
      <c r="DB168" s="242"/>
      <c r="DC168" s="242"/>
      <c r="DD168" s="242"/>
      <c r="DE168" s="242"/>
      <c r="DF168" s="242"/>
      <c r="DG168" s="242"/>
      <c r="DH168" s="242"/>
      <c r="DI168" s="242"/>
      <c r="DJ168" s="242"/>
      <c r="DK168" s="242"/>
      <c r="DL168" s="242"/>
      <c r="DM168" s="242"/>
      <c r="DN168" s="242"/>
      <c r="DO168" s="242"/>
      <c r="DP168" s="242"/>
      <c r="DQ168" s="242"/>
      <c r="DR168" s="242"/>
      <c r="DS168" s="242"/>
      <c r="DT168" s="242"/>
      <c r="DU168" s="242"/>
      <c r="DV168" s="242"/>
      <c r="DW168" s="242"/>
      <c r="DX168" s="242"/>
      <c r="DY168" s="242"/>
      <c r="DZ168" s="242"/>
      <c r="EA168" s="242"/>
      <c r="EB168" s="242"/>
      <c r="EC168" s="242"/>
      <c r="ED168" s="242"/>
      <c r="EE168" s="242"/>
      <c r="EF168" s="242"/>
      <c r="EG168" s="242"/>
      <c r="EH168" s="242"/>
      <c r="EI168" s="242"/>
      <c r="EJ168" s="242"/>
      <c r="EK168" s="242"/>
      <c r="EL168" s="242"/>
      <c r="EM168" s="242"/>
      <c r="EN168" s="242"/>
      <c r="EO168" s="242"/>
      <c r="EP168" s="242"/>
      <c r="EQ168" s="242"/>
      <c r="ER168" s="242"/>
      <c r="ES168" s="242"/>
      <c r="ET168" s="242"/>
      <c r="EU168" s="242"/>
      <c r="EV168" s="242"/>
      <c r="EW168" s="242"/>
      <c r="EX168" s="242"/>
      <c r="EY168" s="242"/>
      <c r="EZ168" s="242"/>
      <c r="FA168" s="242"/>
      <c r="FB168" s="242"/>
      <c r="FC168" s="242"/>
      <c r="FD168" s="242"/>
      <c r="FE168" s="242"/>
      <c r="FF168" s="242"/>
      <c r="FG168" s="242"/>
      <c r="FH168" s="242"/>
      <c r="FI168" s="242"/>
      <c r="FJ168" s="242"/>
      <c r="FK168" s="242"/>
      <c r="FL168" s="242"/>
      <c r="FM168" s="242"/>
      <c r="FN168" s="242"/>
      <c r="FO168" s="242"/>
      <c r="FP168" s="242"/>
      <c r="FQ168" s="242"/>
      <c r="FR168" s="242"/>
      <c r="FS168" s="242"/>
      <c r="FT168" s="242"/>
      <c r="FU168" s="242"/>
      <c r="FV168" s="242"/>
      <c r="FW168" s="242"/>
      <c r="FX168" s="242"/>
      <c r="FY168" s="242"/>
      <c r="FZ168" s="242"/>
      <c r="GA168" s="242"/>
      <c r="GB168" s="242"/>
      <c r="GC168" s="242"/>
      <c r="GD168" s="242"/>
      <c r="GE168" s="242"/>
      <c r="GF168" s="242"/>
      <c r="GG168" s="242"/>
      <c r="GH168" s="242"/>
      <c r="GI168" s="242"/>
      <c r="GJ168" s="242"/>
      <c r="GK168" s="242"/>
      <c r="GL168" s="242"/>
      <c r="GM168" s="242"/>
      <c r="GN168" s="242"/>
      <c r="GO168" s="242"/>
      <c r="GP168" s="242"/>
      <c r="GQ168" s="242"/>
      <c r="GR168" s="242"/>
      <c r="GS168" s="242"/>
      <c r="GT168" s="242"/>
      <c r="GU168" s="242"/>
      <c r="GV168" s="242"/>
      <c r="GW168" s="242"/>
      <c r="GX168" s="242"/>
      <c r="GY168" s="242"/>
      <c r="GZ168" s="242"/>
      <c r="HA168" s="242"/>
      <c r="HB168" s="242"/>
      <c r="HC168" s="242"/>
      <c r="HD168" s="242"/>
      <c r="HE168" s="242"/>
      <c r="HF168" s="242"/>
      <c r="HG168" s="242"/>
      <c r="HH168" s="242"/>
      <c r="HI168" s="242"/>
      <c r="HJ168" s="242"/>
      <c r="HK168" s="242"/>
      <c r="HL168" s="242"/>
      <c r="HM168" s="242"/>
      <c r="HN168" s="242"/>
      <c r="HO168" s="242"/>
      <c r="HP168" s="242"/>
      <c r="HQ168" s="242"/>
      <c r="HR168" s="242"/>
      <c r="HS168" s="242"/>
      <c r="HT168" s="242"/>
      <c r="HU168" s="242"/>
      <c r="HV168" s="242"/>
      <c r="HW168" s="242"/>
      <c r="HX168" s="242"/>
      <c r="HY168" s="242"/>
      <c r="HZ168" s="242"/>
      <c r="IA168" s="242"/>
      <c r="IB168" s="242"/>
      <c r="IC168" s="242"/>
      <c r="ID168" s="242"/>
      <c r="IE168" s="242"/>
      <c r="IF168" s="242"/>
      <c r="IG168" s="242"/>
      <c r="IH168" s="242"/>
      <c r="II168" s="242"/>
      <c r="IJ168" s="242"/>
      <c r="IK168" s="242"/>
      <c r="IL168" s="242"/>
      <c r="IM168" s="242"/>
      <c r="IN168" s="242"/>
      <c r="IO168" s="242"/>
      <c r="IP168" s="242"/>
      <c r="IQ168" s="242"/>
      <c r="IR168" s="242"/>
    </row>
    <row r="169" spans="1:252" x14ac:dyDescent="0.3">
      <c r="A169" s="243"/>
      <c r="B169" s="418" t="s">
        <v>44</v>
      </c>
      <c r="C169" s="245"/>
      <c r="D169" s="245"/>
      <c r="E169" s="245"/>
      <c r="F169" s="245"/>
      <c r="G169" s="245"/>
      <c r="H169" s="245"/>
      <c r="I169" s="245"/>
      <c r="J169" s="245"/>
      <c r="K169" s="245"/>
      <c r="L169" s="245"/>
      <c r="M169" s="245"/>
      <c r="N169" s="245"/>
      <c r="O169" s="245"/>
      <c r="P169" s="245"/>
      <c r="Q169" s="245"/>
      <c r="R169" s="312"/>
      <c r="S169" s="246"/>
      <c r="T169" s="241"/>
    </row>
    <row r="170" spans="1:252" x14ac:dyDescent="0.3">
      <c r="A170" s="243"/>
      <c r="B170" s="330"/>
      <c r="C170" s="245"/>
      <c r="D170" s="245"/>
      <c r="E170" s="245"/>
      <c r="F170" s="245"/>
      <c r="G170" s="245"/>
      <c r="H170" s="245"/>
      <c r="I170" s="245"/>
      <c r="J170" s="245"/>
      <c r="K170" s="245"/>
      <c r="L170" s="245"/>
      <c r="M170" s="245"/>
      <c r="N170" s="245"/>
      <c r="O170" s="245"/>
      <c r="P170" s="245"/>
      <c r="Q170" s="245"/>
      <c r="R170" s="312"/>
      <c r="S170" s="246"/>
      <c r="T170" s="241"/>
    </row>
    <row r="171" spans="1:252" s="260" customFormat="1" x14ac:dyDescent="0.3">
      <c r="A171" s="275"/>
      <c r="B171" s="268" t="s">
        <v>177</v>
      </c>
      <c r="C171" s="268"/>
      <c r="D171" s="268"/>
      <c r="E171" s="268"/>
      <c r="F171" s="268"/>
      <c r="G171" s="268"/>
      <c r="H171" s="268"/>
      <c r="I171" s="268"/>
      <c r="J171" s="268"/>
      <c r="K171" s="268"/>
      <c r="L171" s="268"/>
      <c r="M171" s="268"/>
      <c r="N171" s="268"/>
      <c r="O171" s="268"/>
      <c r="P171" s="268"/>
      <c r="Q171" s="268"/>
      <c r="R171" s="314">
        <f>+R59</f>
        <v>0</v>
      </c>
      <c r="S171" s="271"/>
      <c r="T171" s="259"/>
    </row>
    <row r="172" spans="1:252" s="260" customFormat="1" x14ac:dyDescent="0.3">
      <c r="A172" s="275"/>
      <c r="B172" s="268" t="s">
        <v>178</v>
      </c>
      <c r="C172" s="268"/>
      <c r="D172" s="268"/>
      <c r="E172" s="268"/>
      <c r="F172" s="268"/>
      <c r="G172" s="268"/>
      <c r="H172" s="268"/>
      <c r="I172" s="268"/>
      <c r="J172" s="268"/>
      <c r="K172" s="268"/>
      <c r="L172" s="268"/>
      <c r="M172" s="268"/>
      <c r="N172" s="268"/>
      <c r="O172" s="268"/>
      <c r="P172" s="268"/>
      <c r="Q172" s="268"/>
      <c r="R172" s="314">
        <f>+R69</f>
        <v>0</v>
      </c>
      <c r="S172" s="271"/>
      <c r="T172" s="259"/>
    </row>
    <row r="173" spans="1:252" s="260" customFormat="1" x14ac:dyDescent="0.3">
      <c r="A173" s="275"/>
      <c r="B173" s="268" t="s">
        <v>246</v>
      </c>
      <c r="C173" s="268"/>
      <c r="D173" s="268"/>
      <c r="E173" s="268"/>
      <c r="F173" s="268"/>
      <c r="G173" s="268"/>
      <c r="H173" s="268"/>
      <c r="I173" s="268"/>
      <c r="J173" s="268"/>
      <c r="K173" s="268"/>
      <c r="L173" s="268"/>
      <c r="M173" s="268"/>
      <c r="N173" s="268"/>
      <c r="O173" s="268"/>
      <c r="P173" s="268"/>
      <c r="Q173" s="268"/>
      <c r="R173" s="314">
        <f>+R70</f>
        <v>0</v>
      </c>
      <c r="S173" s="271"/>
      <c r="T173" s="259"/>
    </row>
    <row r="174" spans="1:252" s="260" customFormat="1" x14ac:dyDescent="0.3">
      <c r="A174" s="275"/>
      <c r="B174" s="268" t="s">
        <v>126</v>
      </c>
      <c r="C174" s="268"/>
      <c r="D174" s="268"/>
      <c r="E174" s="268"/>
      <c r="F174" s="268"/>
      <c r="G174" s="268"/>
      <c r="H174" s="268"/>
      <c r="I174" s="268"/>
      <c r="J174" s="268"/>
      <c r="K174" s="268"/>
      <c r="L174" s="268"/>
      <c r="M174" s="268"/>
      <c r="N174" s="268"/>
      <c r="O174" s="268"/>
      <c r="P174" s="268"/>
      <c r="Q174" s="268"/>
      <c r="R174" s="314">
        <f>+R171+R172+R173</f>
        <v>0</v>
      </c>
      <c r="S174" s="271"/>
      <c r="T174" s="259"/>
    </row>
    <row r="175" spans="1:252" s="260" customFormat="1" x14ac:dyDescent="0.3">
      <c r="A175" s="275"/>
      <c r="B175" s="268" t="s">
        <v>45</v>
      </c>
      <c r="C175" s="268"/>
      <c r="D175" s="268"/>
      <c r="E175" s="268"/>
      <c r="F175" s="268"/>
      <c r="G175" s="268"/>
      <c r="H175" s="268"/>
      <c r="I175" s="268"/>
      <c r="J175" s="268"/>
      <c r="K175" s="268"/>
      <c r="L175" s="268"/>
      <c r="M175" s="268"/>
      <c r="N175" s="268"/>
      <c r="O175" s="268"/>
      <c r="P175" s="268"/>
      <c r="Q175" s="268"/>
      <c r="R175" s="314">
        <f>R72</f>
        <v>0</v>
      </c>
      <c r="S175" s="271"/>
      <c r="T175" s="259"/>
    </row>
    <row r="176" spans="1:252" ht="16.2" thickBot="1" x14ac:dyDescent="0.35">
      <c r="A176" s="243"/>
      <c r="B176" s="315"/>
      <c r="C176" s="315"/>
      <c r="D176" s="315"/>
      <c r="E176" s="315"/>
      <c r="F176" s="315"/>
      <c r="G176" s="315"/>
      <c r="H176" s="315"/>
      <c r="I176" s="315"/>
      <c r="J176" s="315"/>
      <c r="K176" s="315"/>
      <c r="L176" s="315"/>
      <c r="M176" s="315"/>
      <c r="N176" s="315"/>
      <c r="O176" s="315"/>
      <c r="P176" s="315"/>
      <c r="Q176" s="315"/>
      <c r="R176" s="331"/>
      <c r="S176" s="246"/>
      <c r="T176" s="241"/>
    </row>
    <row r="177" spans="1:20" x14ac:dyDescent="0.3">
      <c r="A177" s="237"/>
      <c r="B177" s="239"/>
      <c r="C177" s="239"/>
      <c r="D177" s="239"/>
      <c r="E177" s="239"/>
      <c r="F177" s="239"/>
      <c r="G177" s="239"/>
      <c r="H177" s="239"/>
      <c r="I177" s="239"/>
      <c r="J177" s="239"/>
      <c r="K177" s="239"/>
      <c r="L177" s="239"/>
      <c r="M177" s="239"/>
      <c r="N177" s="239"/>
      <c r="O177" s="239"/>
      <c r="P177" s="239"/>
      <c r="Q177" s="239"/>
      <c r="R177" s="339"/>
      <c r="S177" s="240"/>
      <c r="T177" s="241"/>
    </row>
    <row r="178" spans="1:20" s="409" customFormat="1" x14ac:dyDescent="0.3">
      <c r="A178" s="412"/>
      <c r="B178" s="418" t="s">
        <v>46</v>
      </c>
      <c r="C178" s="419"/>
      <c r="D178" s="420"/>
      <c r="E178" s="420"/>
      <c r="F178" s="420"/>
      <c r="G178" s="420"/>
      <c r="H178" s="420"/>
      <c r="I178" s="420"/>
      <c r="J178" s="420"/>
      <c r="K178" s="420"/>
      <c r="L178" s="420"/>
      <c r="M178" s="420"/>
      <c r="N178" s="420"/>
      <c r="O178" s="420" t="s">
        <v>82</v>
      </c>
      <c r="P178" s="420" t="s">
        <v>173</v>
      </c>
      <c r="Q178" s="248"/>
      <c r="R178" s="421" t="s">
        <v>94</v>
      </c>
      <c r="S178" s="422"/>
      <c r="T178" s="408"/>
    </row>
    <row r="179" spans="1:20" s="260" customFormat="1" x14ac:dyDescent="0.3">
      <c r="A179" s="275"/>
      <c r="B179" s="268" t="s">
        <v>47</v>
      </c>
      <c r="C179" s="268"/>
      <c r="D179" s="268"/>
      <c r="E179" s="268"/>
      <c r="F179" s="268"/>
      <c r="G179" s="268"/>
      <c r="H179" s="268"/>
      <c r="I179" s="268"/>
      <c r="J179" s="268"/>
      <c r="K179" s="268"/>
      <c r="L179" s="268"/>
      <c r="M179" s="268"/>
      <c r="N179" s="268"/>
      <c r="O179" s="314">
        <f>+R28*0.05</f>
        <v>12500</v>
      </c>
      <c r="P179" s="293"/>
      <c r="Q179" s="268"/>
      <c r="R179" s="314"/>
      <c r="S179" s="271"/>
      <c r="T179" s="259"/>
    </row>
    <row r="180" spans="1:20" s="260" customFormat="1" x14ac:dyDescent="0.3">
      <c r="A180" s="275"/>
      <c r="B180" s="268" t="s">
        <v>48</v>
      </c>
      <c r="C180" s="268"/>
      <c r="D180" s="268"/>
      <c r="E180" s="268"/>
      <c r="F180" s="268"/>
      <c r="G180" s="268"/>
      <c r="H180" s="268"/>
      <c r="I180" s="268"/>
      <c r="J180" s="268"/>
      <c r="K180" s="268"/>
      <c r="L180" s="268"/>
      <c r="M180" s="268"/>
      <c r="N180" s="268"/>
      <c r="O180" s="314">
        <f>+'Aug 18'!O180</f>
        <v>1147</v>
      </c>
      <c r="P180" s="314">
        <f>+'Aug 18'!P180</f>
        <v>517</v>
      </c>
      <c r="Q180" s="268"/>
      <c r="R180" s="314">
        <f>O180+P180</f>
        <v>1664</v>
      </c>
      <c r="S180" s="271"/>
      <c r="T180" s="259"/>
    </row>
    <row r="181" spans="1:20" s="260" customFormat="1" x14ac:dyDescent="0.3">
      <c r="A181" s="275"/>
      <c r="B181" s="268" t="s">
        <v>49</v>
      </c>
      <c r="C181" s="268"/>
      <c r="D181" s="268"/>
      <c r="E181" s="268"/>
      <c r="F181" s="268"/>
      <c r="G181" s="268"/>
      <c r="H181" s="268"/>
      <c r="I181" s="268"/>
      <c r="J181" s="268"/>
      <c r="K181" s="268"/>
      <c r="L181" s="268"/>
      <c r="M181" s="268"/>
      <c r="N181" s="268"/>
      <c r="O181" s="313">
        <v>0</v>
      </c>
      <c r="P181" s="313">
        <v>0</v>
      </c>
      <c r="Q181" s="268"/>
      <c r="R181" s="314">
        <f>O181+P181</f>
        <v>0</v>
      </c>
      <c r="S181" s="271"/>
      <c r="T181" s="259"/>
    </row>
    <row r="182" spans="1:20" s="260" customFormat="1" x14ac:dyDescent="0.3">
      <c r="A182" s="275"/>
      <c r="B182" s="268" t="s">
        <v>50</v>
      </c>
      <c r="C182" s="268"/>
      <c r="D182" s="268"/>
      <c r="E182" s="268"/>
      <c r="F182" s="268"/>
      <c r="G182" s="268"/>
      <c r="H182" s="268"/>
      <c r="I182" s="268"/>
      <c r="J182" s="268"/>
      <c r="K182" s="268"/>
      <c r="L182" s="268"/>
      <c r="M182" s="268"/>
      <c r="N182" s="268"/>
      <c r="O182" s="314">
        <f>O180+O181</f>
        <v>1147</v>
      </c>
      <c r="P182" s="314">
        <f>P181+P180</f>
        <v>517</v>
      </c>
      <c r="Q182" s="268"/>
      <c r="R182" s="314">
        <f>O182+P182</f>
        <v>1664</v>
      </c>
      <c r="S182" s="271"/>
      <c r="T182" s="259"/>
    </row>
    <row r="183" spans="1:20" s="260" customFormat="1" x14ac:dyDescent="0.3">
      <c r="A183" s="275"/>
      <c r="B183" s="268" t="s">
        <v>51</v>
      </c>
      <c r="C183" s="268"/>
      <c r="D183" s="268"/>
      <c r="E183" s="268"/>
      <c r="F183" s="268"/>
      <c r="G183" s="268"/>
      <c r="H183" s="268"/>
      <c r="I183" s="268"/>
      <c r="J183" s="268"/>
      <c r="K183" s="268"/>
      <c r="L183" s="268"/>
      <c r="M183" s="268"/>
      <c r="N183" s="268"/>
      <c r="O183" s="314">
        <f>O179-O182-P182</f>
        <v>10836</v>
      </c>
      <c r="P183" s="293"/>
      <c r="Q183" s="268"/>
      <c r="R183" s="314"/>
      <c r="S183" s="271"/>
      <c r="T183" s="259"/>
    </row>
    <row r="184" spans="1:20" ht="16.2" thickBot="1" x14ac:dyDescent="0.35">
      <c r="A184" s="243"/>
      <c r="B184" s="315"/>
      <c r="C184" s="315"/>
      <c r="D184" s="315"/>
      <c r="E184" s="315"/>
      <c r="F184" s="315"/>
      <c r="G184" s="315"/>
      <c r="H184" s="315"/>
      <c r="I184" s="315"/>
      <c r="J184" s="315"/>
      <c r="K184" s="315"/>
      <c r="L184" s="315"/>
      <c r="M184" s="315"/>
      <c r="N184" s="315"/>
      <c r="O184" s="315"/>
      <c r="P184" s="315"/>
      <c r="Q184" s="315"/>
      <c r="R184" s="331"/>
      <c r="S184" s="246"/>
      <c r="T184" s="241"/>
    </row>
    <row r="185" spans="1:20" x14ac:dyDescent="0.3">
      <c r="A185" s="237"/>
      <c r="B185" s="239"/>
      <c r="C185" s="239"/>
      <c r="D185" s="239"/>
      <c r="E185" s="239"/>
      <c r="F185" s="239"/>
      <c r="G185" s="239"/>
      <c r="H185" s="239"/>
      <c r="I185" s="239"/>
      <c r="J185" s="239"/>
      <c r="K185" s="239"/>
      <c r="L185" s="239"/>
      <c r="M185" s="239"/>
      <c r="N185" s="239"/>
      <c r="O185" s="239"/>
      <c r="P185" s="239"/>
      <c r="Q185" s="239"/>
      <c r="R185" s="339"/>
      <c r="S185" s="240"/>
      <c r="T185" s="241"/>
    </row>
    <row r="186" spans="1:20" x14ac:dyDescent="0.3">
      <c r="A186" s="243"/>
      <c r="B186" s="418" t="s">
        <v>52</v>
      </c>
      <c r="C186" s="245"/>
      <c r="D186" s="245"/>
      <c r="E186" s="245"/>
      <c r="F186" s="245"/>
      <c r="G186" s="245"/>
      <c r="H186" s="245"/>
      <c r="I186" s="245"/>
      <c r="J186" s="245"/>
      <c r="K186" s="245"/>
      <c r="L186" s="245"/>
      <c r="M186" s="245"/>
      <c r="N186" s="245"/>
      <c r="O186" s="245"/>
      <c r="P186" s="245"/>
      <c r="Q186" s="245"/>
      <c r="R186" s="346"/>
      <c r="S186" s="246"/>
      <c r="T186" s="241"/>
    </row>
    <row r="187" spans="1:20" s="260" customFormat="1" x14ac:dyDescent="0.3">
      <c r="A187" s="275"/>
      <c r="B187" s="268" t="s">
        <v>53</v>
      </c>
      <c r="C187" s="268"/>
      <c r="D187" s="268"/>
      <c r="E187" s="268"/>
      <c r="F187" s="268"/>
      <c r="G187" s="268"/>
      <c r="H187" s="268"/>
      <c r="I187" s="268"/>
      <c r="J187" s="268"/>
      <c r="K187" s="268"/>
      <c r="L187" s="268"/>
      <c r="M187" s="268"/>
      <c r="N187" s="268"/>
      <c r="O187" s="268"/>
      <c r="P187" s="268"/>
      <c r="Q187" s="268"/>
      <c r="R187" s="347">
        <v>0</v>
      </c>
      <c r="S187" s="271"/>
      <c r="T187" s="259"/>
    </row>
    <row r="188" spans="1:20" s="260" customFormat="1" x14ac:dyDescent="0.3">
      <c r="A188" s="275"/>
      <c r="B188" s="268" t="s">
        <v>54</v>
      </c>
      <c r="C188" s="268"/>
      <c r="D188" s="268"/>
      <c r="E188" s="268"/>
      <c r="F188" s="268"/>
      <c r="G188" s="268"/>
      <c r="H188" s="268"/>
      <c r="I188" s="268"/>
      <c r="J188" s="268"/>
      <c r="K188" s="268"/>
      <c r="L188" s="268"/>
      <c r="M188" s="268"/>
      <c r="N188" s="268"/>
      <c r="O188" s="268"/>
      <c r="P188" s="268"/>
      <c r="Q188" s="268"/>
      <c r="R188" s="348">
        <v>0</v>
      </c>
      <c r="S188" s="271"/>
      <c r="T188" s="259"/>
    </row>
    <row r="189" spans="1:20" s="260" customFormat="1" x14ac:dyDescent="0.3">
      <c r="A189" s="275"/>
      <c r="B189" s="268" t="s">
        <v>192</v>
      </c>
      <c r="C189" s="268"/>
      <c r="D189" s="268"/>
      <c r="E189" s="268"/>
      <c r="F189" s="268"/>
      <c r="G189" s="268"/>
      <c r="H189" s="268"/>
      <c r="I189" s="268"/>
      <c r="J189" s="268"/>
      <c r="K189" s="268"/>
      <c r="L189" s="268"/>
      <c r="M189" s="268"/>
      <c r="N189" s="268"/>
      <c r="O189" s="268"/>
      <c r="P189" s="268"/>
      <c r="Q189" s="268"/>
      <c r="R189" s="347">
        <v>0</v>
      </c>
      <c r="S189" s="271"/>
      <c r="T189" s="259"/>
    </row>
    <row r="190" spans="1:20" s="260" customFormat="1" x14ac:dyDescent="0.3">
      <c r="A190" s="275"/>
      <c r="B190" s="268" t="s">
        <v>193</v>
      </c>
      <c r="C190" s="268"/>
      <c r="D190" s="268"/>
      <c r="E190" s="268"/>
      <c r="F190" s="268"/>
      <c r="G190" s="268"/>
      <c r="H190" s="268"/>
      <c r="I190" s="268"/>
      <c r="J190" s="268"/>
      <c r="K190" s="268"/>
      <c r="L190" s="268"/>
      <c r="M190" s="268"/>
      <c r="N190" s="268"/>
      <c r="O190" s="268"/>
      <c r="P190" s="268"/>
      <c r="Q190" s="268"/>
      <c r="R190" s="348">
        <v>0</v>
      </c>
      <c r="S190" s="271"/>
      <c r="T190" s="259"/>
    </row>
    <row r="191" spans="1:20" s="260" customFormat="1" x14ac:dyDescent="0.3">
      <c r="A191" s="275"/>
      <c r="B191" s="268" t="s">
        <v>194</v>
      </c>
      <c r="C191" s="268"/>
      <c r="D191" s="268"/>
      <c r="E191" s="268"/>
      <c r="F191" s="268"/>
      <c r="G191" s="268"/>
      <c r="H191" s="268"/>
      <c r="I191" s="268"/>
      <c r="J191" s="268"/>
      <c r="K191" s="268"/>
      <c r="L191" s="268"/>
      <c r="M191" s="268"/>
      <c r="N191" s="268"/>
      <c r="O191" s="268"/>
      <c r="P191" s="268"/>
      <c r="Q191" s="268"/>
      <c r="R191" s="347">
        <v>0</v>
      </c>
      <c r="S191" s="271"/>
      <c r="T191" s="259"/>
    </row>
    <row r="192" spans="1:20" s="260" customFormat="1" x14ac:dyDescent="0.3">
      <c r="A192" s="275"/>
      <c r="B192" s="268" t="s">
        <v>195</v>
      </c>
      <c r="C192" s="268"/>
      <c r="D192" s="268"/>
      <c r="E192" s="268"/>
      <c r="F192" s="268"/>
      <c r="G192" s="268"/>
      <c r="H192" s="268"/>
      <c r="I192" s="268"/>
      <c r="J192" s="268"/>
      <c r="K192" s="268"/>
      <c r="L192" s="268"/>
      <c r="M192" s="268"/>
      <c r="N192" s="268"/>
      <c r="O192" s="268"/>
      <c r="P192" s="268"/>
      <c r="Q192" s="268"/>
      <c r="R192" s="348">
        <v>0</v>
      </c>
      <c r="S192" s="271"/>
      <c r="T192" s="259"/>
    </row>
    <row r="193" spans="1:20" s="260" customFormat="1" x14ac:dyDescent="0.3">
      <c r="A193" s="275"/>
      <c r="B193" s="268" t="s">
        <v>196</v>
      </c>
      <c r="C193" s="268"/>
      <c r="D193" s="268"/>
      <c r="E193" s="268"/>
      <c r="F193" s="268"/>
      <c r="G193" s="268"/>
      <c r="H193" s="268"/>
      <c r="I193" s="268"/>
      <c r="J193" s="268"/>
      <c r="K193" s="268"/>
      <c r="L193" s="268"/>
      <c r="M193" s="268"/>
      <c r="N193" s="268"/>
      <c r="O193" s="268"/>
      <c r="P193" s="268"/>
      <c r="Q193" s="268"/>
      <c r="R193" s="347">
        <v>0</v>
      </c>
      <c r="S193" s="271"/>
      <c r="T193" s="259"/>
    </row>
    <row r="194" spans="1:20" s="260" customFormat="1" x14ac:dyDescent="0.3">
      <c r="A194" s="275"/>
      <c r="B194" s="268" t="s">
        <v>197</v>
      </c>
      <c r="C194" s="268"/>
      <c r="D194" s="268"/>
      <c r="E194" s="268"/>
      <c r="F194" s="268"/>
      <c r="G194" s="268"/>
      <c r="H194" s="268"/>
      <c r="I194" s="268"/>
      <c r="J194" s="268"/>
      <c r="K194" s="268"/>
      <c r="L194" s="268"/>
      <c r="M194" s="268"/>
      <c r="N194" s="268"/>
      <c r="O194" s="268"/>
      <c r="P194" s="268"/>
      <c r="Q194" s="268"/>
      <c r="R194" s="348">
        <v>0</v>
      </c>
      <c r="S194" s="271"/>
      <c r="T194" s="259"/>
    </row>
    <row r="195" spans="1:20" s="260" customFormat="1" x14ac:dyDescent="0.3">
      <c r="A195" s="275"/>
      <c r="B195" s="268"/>
      <c r="C195" s="268"/>
      <c r="D195" s="268"/>
      <c r="E195" s="268"/>
      <c r="F195" s="268"/>
      <c r="G195" s="268"/>
      <c r="H195" s="268"/>
      <c r="I195" s="268"/>
      <c r="J195" s="268"/>
      <c r="K195" s="268"/>
      <c r="L195" s="268"/>
      <c r="M195" s="268"/>
      <c r="N195" s="268"/>
      <c r="O195" s="268"/>
      <c r="P195" s="268"/>
      <c r="Q195" s="268"/>
      <c r="R195" s="268"/>
      <c r="S195" s="271"/>
      <c r="T195" s="259"/>
    </row>
    <row r="196" spans="1:20" s="260" customFormat="1" x14ac:dyDescent="0.3">
      <c r="A196" s="255"/>
      <c r="B196" s="302"/>
      <c r="C196" s="302"/>
      <c r="D196" s="302"/>
      <c r="E196" s="302"/>
      <c r="F196" s="302"/>
      <c r="G196" s="302"/>
      <c r="H196" s="302"/>
      <c r="I196" s="302"/>
      <c r="J196" s="302"/>
      <c r="K196" s="302"/>
      <c r="L196" s="302"/>
      <c r="M196" s="302"/>
      <c r="N196" s="302"/>
      <c r="O196" s="302"/>
      <c r="P196" s="302"/>
      <c r="Q196" s="302"/>
      <c r="R196" s="302"/>
      <c r="S196" s="258"/>
      <c r="T196" s="259"/>
    </row>
    <row r="197" spans="1:20" s="260" customFormat="1" x14ac:dyDescent="0.3">
      <c r="A197" s="255"/>
      <c r="B197" s="256"/>
      <c r="C197" s="256"/>
      <c r="D197" s="256"/>
      <c r="E197" s="256"/>
      <c r="F197" s="256"/>
      <c r="G197" s="256"/>
      <c r="H197" s="256"/>
      <c r="I197" s="256"/>
      <c r="J197" s="256"/>
      <c r="K197" s="256"/>
      <c r="L197" s="256"/>
      <c r="M197" s="256"/>
      <c r="N197" s="256"/>
      <c r="O197" s="256"/>
      <c r="P197" s="256"/>
      <c r="Q197" s="256"/>
      <c r="R197" s="256"/>
      <c r="S197" s="258"/>
      <c r="T197" s="259"/>
    </row>
    <row r="198" spans="1:20" s="260" customFormat="1" ht="18.600000000000001" thickBot="1" x14ac:dyDescent="0.4">
      <c r="A198" s="307"/>
      <c r="B198" s="308" t="str">
        <f>B124</f>
        <v>PM21 INVESTOR REPORT QUARTER ENDING NOVEMBER 2018</v>
      </c>
      <c r="C198" s="309"/>
      <c r="D198" s="309"/>
      <c r="E198" s="309"/>
      <c r="F198" s="309"/>
      <c r="G198" s="309"/>
      <c r="H198" s="309"/>
      <c r="I198" s="309"/>
      <c r="J198" s="309"/>
      <c r="K198" s="309"/>
      <c r="L198" s="309"/>
      <c r="M198" s="309"/>
      <c r="N198" s="309"/>
      <c r="O198" s="309"/>
      <c r="P198" s="309"/>
      <c r="Q198" s="309"/>
      <c r="R198" s="309"/>
      <c r="S198" s="311"/>
      <c r="T198" s="259"/>
    </row>
    <row r="199" spans="1:20" x14ac:dyDescent="0.3">
      <c r="A199" s="438"/>
      <c r="B199" s="439" t="s">
        <v>55</v>
      </c>
      <c r="C199" s="443"/>
      <c r="D199" s="444"/>
      <c r="E199" s="444"/>
      <c r="F199" s="444"/>
      <c r="G199" s="444"/>
      <c r="H199" s="444"/>
      <c r="I199" s="444"/>
      <c r="J199" s="444"/>
      <c r="K199" s="444"/>
      <c r="L199" s="444"/>
      <c r="M199" s="444"/>
      <c r="N199" s="444"/>
      <c r="O199" s="444"/>
      <c r="P199" s="444">
        <v>43434</v>
      </c>
      <c r="Q199" s="440"/>
      <c r="R199" s="440"/>
      <c r="S199" s="442"/>
      <c r="T199" s="241"/>
    </row>
    <row r="200" spans="1:20" x14ac:dyDescent="0.3">
      <c r="A200" s="349"/>
      <c r="B200" s="350"/>
      <c r="C200" s="351"/>
      <c r="D200" s="352"/>
      <c r="E200" s="352"/>
      <c r="F200" s="352"/>
      <c r="G200" s="352"/>
      <c r="H200" s="352"/>
      <c r="I200" s="352"/>
      <c r="J200" s="352"/>
      <c r="K200" s="352"/>
      <c r="L200" s="352"/>
      <c r="M200" s="352"/>
      <c r="N200" s="352"/>
      <c r="O200" s="352"/>
      <c r="P200" s="352"/>
      <c r="Q200" s="245"/>
      <c r="R200" s="245"/>
      <c r="S200" s="246"/>
      <c r="T200" s="241"/>
    </row>
    <row r="201" spans="1:20" s="260" customFormat="1" x14ac:dyDescent="0.3">
      <c r="A201" s="275"/>
      <c r="B201" s="268" t="s">
        <v>56</v>
      </c>
      <c r="C201" s="353"/>
      <c r="D201" s="296"/>
      <c r="E201" s="296"/>
      <c r="F201" s="296"/>
      <c r="G201" s="296"/>
      <c r="H201" s="296"/>
      <c r="I201" s="296"/>
      <c r="J201" s="296"/>
      <c r="K201" s="296"/>
      <c r="L201" s="296"/>
      <c r="M201" s="296"/>
      <c r="N201" s="296"/>
      <c r="O201" s="296"/>
      <c r="P201" s="290">
        <v>4.1349999999999998E-2</v>
      </c>
      <c r="Q201" s="268"/>
      <c r="R201" s="268"/>
      <c r="S201" s="271"/>
      <c r="T201" s="259"/>
    </row>
    <row r="202" spans="1:20" s="260" customFormat="1" x14ac:dyDescent="0.3">
      <c r="A202" s="275"/>
      <c r="B202" s="268" t="s">
        <v>161</v>
      </c>
      <c r="C202" s="353"/>
      <c r="D202" s="296"/>
      <c r="E202" s="296"/>
      <c r="F202" s="296"/>
      <c r="G202" s="296"/>
      <c r="H202" s="296"/>
      <c r="I202" s="296"/>
      <c r="J202" s="296"/>
      <c r="K202" s="296"/>
      <c r="L202" s="296"/>
      <c r="M202" s="296"/>
      <c r="N202" s="296"/>
      <c r="O202" s="296"/>
      <c r="P202" s="290">
        <v>1.50706E-2</v>
      </c>
      <c r="Q202" s="268"/>
      <c r="R202" s="268"/>
      <c r="S202" s="271"/>
      <c r="T202" s="259"/>
    </row>
    <row r="203" spans="1:20" s="260" customFormat="1" x14ac:dyDescent="0.3">
      <c r="A203" s="275"/>
      <c r="B203" s="268" t="s">
        <v>57</v>
      </c>
      <c r="C203" s="353"/>
      <c r="D203" s="296"/>
      <c r="E203" s="296"/>
      <c r="F203" s="296"/>
      <c r="G203" s="296"/>
      <c r="H203" s="296"/>
      <c r="I203" s="296"/>
      <c r="J203" s="296"/>
      <c r="K203" s="296"/>
      <c r="L203" s="296"/>
      <c r="M203" s="296"/>
      <c r="N203" s="296"/>
      <c r="O203" s="296"/>
      <c r="P203" s="290">
        <f>P201-P202</f>
        <v>2.6279399999999998E-2</v>
      </c>
      <c r="Q203" s="268"/>
      <c r="R203" s="268"/>
      <c r="S203" s="271"/>
      <c r="T203" s="259"/>
    </row>
    <row r="204" spans="1:20" s="260" customFormat="1" x14ac:dyDescent="0.3">
      <c r="A204" s="275"/>
      <c r="B204" s="268" t="s">
        <v>164</v>
      </c>
      <c r="C204" s="353"/>
      <c r="D204" s="296"/>
      <c r="E204" s="296"/>
      <c r="F204" s="296"/>
      <c r="G204" s="296"/>
      <c r="H204" s="296"/>
      <c r="I204" s="296"/>
      <c r="J204" s="296"/>
      <c r="K204" s="296"/>
      <c r="L204" s="296"/>
      <c r="M204" s="296"/>
      <c r="N204" s="296"/>
      <c r="O204" s="296"/>
      <c r="P204" s="464">
        <v>4.7973099999999998E-2</v>
      </c>
      <c r="Q204" s="268"/>
      <c r="R204" s="268"/>
      <c r="S204" s="271"/>
      <c r="T204" s="259"/>
    </row>
    <row r="205" spans="1:20" s="260" customFormat="1" x14ac:dyDescent="0.3">
      <c r="A205" s="275"/>
      <c r="B205" s="268" t="s">
        <v>58</v>
      </c>
      <c r="C205" s="353"/>
      <c r="D205" s="296"/>
      <c r="E205" s="296"/>
      <c r="F205" s="296"/>
      <c r="G205" s="296"/>
      <c r="H205" s="296"/>
      <c r="I205" s="296"/>
      <c r="J205" s="296"/>
      <c r="K205" s="296"/>
      <c r="L205" s="296"/>
      <c r="M205" s="296"/>
      <c r="N205" s="296"/>
      <c r="O205" s="296"/>
      <c r="P205" s="290">
        <v>0</v>
      </c>
      <c r="Q205" s="268"/>
      <c r="R205" s="268"/>
      <c r="S205" s="271"/>
      <c r="T205" s="259"/>
    </row>
    <row r="206" spans="1:20" s="260" customFormat="1" x14ac:dyDescent="0.3">
      <c r="A206" s="275"/>
      <c r="B206" s="268" t="s">
        <v>162</v>
      </c>
      <c r="C206" s="353"/>
      <c r="D206" s="296"/>
      <c r="E206" s="296"/>
      <c r="F206" s="296"/>
      <c r="G206" s="296"/>
      <c r="H206" s="296"/>
      <c r="I206" s="296"/>
      <c r="J206" s="296"/>
      <c r="K206" s="296"/>
      <c r="L206" s="296"/>
      <c r="M206" s="296"/>
      <c r="N206" s="296"/>
      <c r="O206" s="296"/>
      <c r="P206" s="290">
        <v>0</v>
      </c>
      <c r="Q206" s="268"/>
      <c r="R206" s="268"/>
      <c r="S206" s="271"/>
      <c r="T206" s="259"/>
    </row>
    <row r="207" spans="1:20" s="260" customFormat="1" x14ac:dyDescent="0.3">
      <c r="A207" s="275"/>
      <c r="B207" s="268" t="s">
        <v>59</v>
      </c>
      <c r="C207" s="353"/>
      <c r="D207" s="296"/>
      <c r="E207" s="296"/>
      <c r="F207" s="296"/>
      <c r="G207" s="296"/>
      <c r="H207" s="296"/>
      <c r="I207" s="296"/>
      <c r="J207" s="296"/>
      <c r="K207" s="296"/>
      <c r="L207" s="296"/>
      <c r="M207" s="296"/>
      <c r="N207" s="296"/>
      <c r="O207" s="296"/>
      <c r="P207" s="290">
        <f>P205-P206</f>
        <v>0</v>
      </c>
      <c r="Q207" s="268"/>
      <c r="R207" s="268"/>
      <c r="S207" s="271"/>
      <c r="T207" s="259"/>
    </row>
    <row r="208" spans="1:20" s="260" customFormat="1" x14ac:dyDescent="0.3">
      <c r="A208" s="275"/>
      <c r="B208" s="268" t="s">
        <v>139</v>
      </c>
      <c r="C208" s="353"/>
      <c r="D208" s="296"/>
      <c r="E208" s="296"/>
      <c r="F208" s="296"/>
      <c r="G208" s="296"/>
      <c r="H208" s="296"/>
      <c r="I208" s="296"/>
      <c r="J208" s="296"/>
      <c r="K208" s="296"/>
      <c r="L208" s="296"/>
      <c r="M208" s="296"/>
      <c r="N208" s="296"/>
      <c r="O208" s="296"/>
      <c r="P208" s="290">
        <v>0</v>
      </c>
      <c r="Q208" s="268"/>
      <c r="R208" s="268"/>
      <c r="S208" s="271"/>
      <c r="T208" s="259"/>
    </row>
    <row r="209" spans="1:20" s="260" customFormat="1" x14ac:dyDescent="0.3">
      <c r="A209" s="275"/>
      <c r="B209" s="268" t="s">
        <v>132</v>
      </c>
      <c r="C209" s="353"/>
      <c r="D209" s="296"/>
      <c r="E209" s="296"/>
      <c r="F209" s="296"/>
      <c r="G209" s="296"/>
      <c r="H209" s="296"/>
      <c r="I209" s="296"/>
      <c r="J209" s="296"/>
      <c r="K209" s="296"/>
      <c r="L209" s="296"/>
      <c r="M209" s="296"/>
      <c r="N209" s="296"/>
      <c r="O209" s="296"/>
      <c r="P209" s="354">
        <v>15507</v>
      </c>
      <c r="Q209" s="268"/>
      <c r="R209" s="268"/>
      <c r="S209" s="271"/>
      <c r="T209" s="259"/>
    </row>
    <row r="210" spans="1:20" s="260" customFormat="1" x14ac:dyDescent="0.3">
      <c r="A210" s="275"/>
      <c r="B210" s="268" t="s">
        <v>198</v>
      </c>
      <c r="C210" s="353"/>
      <c r="D210" s="296"/>
      <c r="E210" s="296"/>
      <c r="F210" s="296"/>
      <c r="G210" s="296"/>
      <c r="H210" s="296"/>
      <c r="I210" s="296"/>
      <c r="J210" s="296"/>
      <c r="K210" s="296"/>
      <c r="L210" s="296"/>
      <c r="M210" s="296"/>
      <c r="N210" s="296"/>
      <c r="O210" s="296"/>
      <c r="P210" s="354">
        <v>15507</v>
      </c>
      <c r="Q210" s="268"/>
      <c r="R210" s="268"/>
      <c r="S210" s="271"/>
      <c r="T210" s="259"/>
    </row>
    <row r="211" spans="1:20" s="260" customFormat="1" x14ac:dyDescent="0.3">
      <c r="A211" s="275"/>
      <c r="B211" s="268" t="s">
        <v>199</v>
      </c>
      <c r="C211" s="353"/>
      <c r="D211" s="296"/>
      <c r="E211" s="296"/>
      <c r="F211" s="296"/>
      <c r="G211" s="296"/>
      <c r="H211" s="296"/>
      <c r="I211" s="296"/>
      <c r="J211" s="296"/>
      <c r="K211" s="296"/>
      <c r="L211" s="296"/>
      <c r="M211" s="296"/>
      <c r="N211" s="296"/>
      <c r="O211" s="296"/>
      <c r="P211" s="354">
        <v>15507</v>
      </c>
      <c r="Q211" s="268"/>
      <c r="R211" s="268"/>
      <c r="S211" s="271"/>
      <c r="T211" s="259"/>
    </row>
    <row r="212" spans="1:20" s="260" customFormat="1" x14ac:dyDescent="0.3">
      <c r="A212" s="275"/>
      <c r="B212" s="268" t="s">
        <v>200</v>
      </c>
      <c r="C212" s="353"/>
      <c r="D212" s="296"/>
      <c r="E212" s="296"/>
      <c r="F212" s="296"/>
      <c r="G212" s="296"/>
      <c r="H212" s="296"/>
      <c r="I212" s="296"/>
      <c r="J212" s="296"/>
      <c r="K212" s="296"/>
      <c r="L212" s="296"/>
      <c r="M212" s="296"/>
      <c r="N212" s="296"/>
      <c r="O212" s="296"/>
      <c r="P212" s="354">
        <v>15507</v>
      </c>
      <c r="Q212" s="268"/>
      <c r="R212" s="268"/>
      <c r="S212" s="271"/>
      <c r="T212" s="259"/>
    </row>
    <row r="213" spans="1:20" s="260" customFormat="1" x14ac:dyDescent="0.3">
      <c r="A213" s="275"/>
      <c r="B213" s="268" t="s">
        <v>60</v>
      </c>
      <c r="C213" s="353"/>
      <c r="D213" s="296"/>
      <c r="E213" s="296"/>
      <c r="F213" s="296"/>
      <c r="G213" s="296"/>
      <c r="H213" s="296"/>
      <c r="I213" s="296"/>
      <c r="J213" s="296"/>
      <c r="K213" s="296"/>
      <c r="L213" s="296"/>
      <c r="M213" s="296"/>
      <c r="N213" s="296"/>
      <c r="O213" s="296"/>
      <c r="P213" s="294">
        <v>20.170000000000002</v>
      </c>
      <c r="Q213" s="268" t="s">
        <v>90</v>
      </c>
      <c r="R213" s="268"/>
      <c r="S213" s="271"/>
      <c r="T213" s="259"/>
    </row>
    <row r="214" spans="1:20" s="260" customFormat="1" x14ac:dyDescent="0.3">
      <c r="A214" s="275"/>
      <c r="B214" s="268" t="s">
        <v>61</v>
      </c>
      <c r="C214" s="353"/>
      <c r="D214" s="296"/>
      <c r="E214" s="296"/>
      <c r="F214" s="296"/>
      <c r="G214" s="296"/>
      <c r="H214" s="296"/>
      <c r="I214" s="296"/>
      <c r="J214" s="296"/>
      <c r="K214" s="296"/>
      <c r="L214" s="296"/>
      <c r="M214" s="296"/>
      <c r="N214" s="296"/>
      <c r="O214" s="296"/>
      <c r="P214" s="294">
        <v>0</v>
      </c>
      <c r="Q214" s="268" t="s">
        <v>90</v>
      </c>
      <c r="R214" s="268"/>
      <c r="S214" s="271"/>
      <c r="T214" s="259"/>
    </row>
    <row r="215" spans="1:20" s="260" customFormat="1" x14ac:dyDescent="0.3">
      <c r="A215" s="275"/>
      <c r="B215" s="268" t="s">
        <v>62</v>
      </c>
      <c r="C215" s="353"/>
      <c r="D215" s="296"/>
      <c r="E215" s="296"/>
      <c r="F215" s="296"/>
      <c r="G215" s="296"/>
      <c r="H215" s="296"/>
      <c r="I215" s="296"/>
      <c r="J215" s="296"/>
      <c r="K215" s="296"/>
      <c r="L215" s="296"/>
      <c r="M215" s="296"/>
      <c r="N215" s="296"/>
      <c r="O215" s="296"/>
      <c r="P215" s="290">
        <v>1</v>
      </c>
      <c r="Q215" s="268"/>
      <c r="R215" s="268"/>
      <c r="S215" s="271"/>
      <c r="T215" s="259"/>
    </row>
    <row r="216" spans="1:20" s="260" customFormat="1" x14ac:dyDescent="0.3">
      <c r="A216" s="275"/>
      <c r="B216" s="268" t="s">
        <v>63</v>
      </c>
      <c r="C216" s="353"/>
      <c r="D216" s="296"/>
      <c r="E216" s="296"/>
      <c r="F216" s="296"/>
      <c r="G216" s="296"/>
      <c r="H216" s="296"/>
      <c r="I216" s="296"/>
      <c r="J216" s="296"/>
      <c r="K216" s="296"/>
      <c r="L216" s="296"/>
      <c r="M216" s="296"/>
      <c r="N216" s="296"/>
      <c r="O216" s="296"/>
      <c r="P216" s="290">
        <v>1</v>
      </c>
      <c r="Q216" s="268"/>
      <c r="R216" s="268"/>
      <c r="S216" s="271"/>
      <c r="T216" s="259"/>
    </row>
    <row r="217" spans="1:20" x14ac:dyDescent="0.3">
      <c r="A217" s="349"/>
      <c r="B217" s="355"/>
      <c r="C217" s="355"/>
      <c r="D217" s="315"/>
      <c r="E217" s="315"/>
      <c r="F217" s="315"/>
      <c r="G217" s="315"/>
      <c r="H217" s="315"/>
      <c r="I217" s="315"/>
      <c r="J217" s="315"/>
      <c r="K217" s="315"/>
      <c r="L217" s="315"/>
      <c r="M217" s="315"/>
      <c r="N217" s="315"/>
      <c r="O217" s="315"/>
      <c r="P217" s="331"/>
      <c r="Q217" s="315"/>
      <c r="R217" s="356"/>
      <c r="S217" s="246"/>
      <c r="T217" s="241"/>
    </row>
    <row r="218" spans="1:20" x14ac:dyDescent="0.3">
      <c r="A218" s="445"/>
      <c r="B218" s="434" t="s">
        <v>64</v>
      </c>
      <c r="C218" s="435"/>
      <c r="D218" s="435"/>
      <c r="E218" s="435"/>
      <c r="F218" s="435"/>
      <c r="G218" s="435"/>
      <c r="H218" s="435"/>
      <c r="I218" s="435"/>
      <c r="J218" s="435"/>
      <c r="K218" s="435"/>
      <c r="L218" s="435"/>
      <c r="M218" s="435"/>
      <c r="N218" s="435"/>
      <c r="O218" s="435" t="s">
        <v>83</v>
      </c>
      <c r="P218" s="451" t="s">
        <v>88</v>
      </c>
      <c r="Q218" s="428"/>
      <c r="R218" s="428"/>
      <c r="S218" s="426"/>
      <c r="T218" s="241"/>
    </row>
    <row r="219" spans="1:20" s="260" customFormat="1" x14ac:dyDescent="0.3">
      <c r="A219" s="446"/>
      <c r="B219" s="302" t="s">
        <v>65</v>
      </c>
      <c r="C219" s="327"/>
      <c r="D219" s="447"/>
      <c r="E219" s="447"/>
      <c r="F219" s="447"/>
      <c r="G219" s="447"/>
      <c r="H219" s="447"/>
      <c r="I219" s="447"/>
      <c r="J219" s="447"/>
      <c r="K219" s="447"/>
      <c r="L219" s="447"/>
      <c r="M219" s="447"/>
      <c r="N219" s="447"/>
      <c r="O219" s="447">
        <v>0</v>
      </c>
      <c r="P219" s="448">
        <v>0</v>
      </c>
      <c r="Q219" s="302"/>
      <c r="R219" s="449"/>
      <c r="S219" s="450"/>
      <c r="T219" s="259"/>
    </row>
    <row r="220" spans="1:20" s="260" customFormat="1" x14ac:dyDescent="0.3">
      <c r="A220" s="357"/>
      <c r="B220" s="268" t="s">
        <v>113</v>
      </c>
      <c r="C220" s="313"/>
      <c r="D220" s="276"/>
      <c r="E220" s="276"/>
      <c r="F220" s="276"/>
      <c r="G220" s="276"/>
      <c r="H220" s="276"/>
      <c r="I220" s="276"/>
      <c r="J220" s="276"/>
      <c r="K220" s="276"/>
      <c r="L220" s="276"/>
      <c r="M220" s="276"/>
      <c r="N220" s="276"/>
      <c r="O220" s="358">
        <f>+N272</f>
        <v>0</v>
      </c>
      <c r="P220" s="359">
        <f>+P272</f>
        <v>0</v>
      </c>
      <c r="Q220" s="268"/>
      <c r="R220" s="360"/>
      <c r="S220" s="361"/>
      <c r="T220" s="259"/>
    </row>
    <row r="221" spans="1:20" s="260" customFormat="1" x14ac:dyDescent="0.3">
      <c r="A221" s="357"/>
      <c r="B221" s="268" t="s">
        <v>66</v>
      </c>
      <c r="C221" s="313"/>
      <c r="D221" s="276"/>
      <c r="E221" s="276"/>
      <c r="F221" s="276"/>
      <c r="G221" s="276"/>
      <c r="H221" s="276"/>
      <c r="I221" s="276"/>
      <c r="J221" s="276"/>
      <c r="K221" s="276"/>
      <c r="L221" s="276"/>
      <c r="M221" s="276"/>
      <c r="N221" s="276"/>
      <c r="O221" s="358">
        <f>+N284</f>
        <v>0</v>
      </c>
      <c r="P221" s="359">
        <f>+P284</f>
        <v>0</v>
      </c>
      <c r="Q221" s="268"/>
      <c r="R221" s="360"/>
      <c r="S221" s="361"/>
      <c r="T221" s="259"/>
    </row>
    <row r="222" spans="1:20" x14ac:dyDescent="0.3">
      <c r="A222" s="362"/>
      <c r="B222" s="402" t="s">
        <v>263</v>
      </c>
      <c r="C222" s="363"/>
      <c r="D222" s="288"/>
      <c r="E222" s="288"/>
      <c r="F222" s="288"/>
      <c r="G222" s="288"/>
      <c r="H222" s="288"/>
      <c r="I222" s="288"/>
      <c r="J222" s="288"/>
      <c r="K222" s="288"/>
      <c r="L222" s="288"/>
      <c r="M222" s="288"/>
      <c r="N222" s="288"/>
      <c r="O222" s="323"/>
      <c r="P222" s="359">
        <f>+P56</f>
        <v>5833</v>
      </c>
      <c r="Q222" s="288"/>
      <c r="R222" s="364"/>
      <c r="S222" s="365"/>
      <c r="T222" s="241"/>
    </row>
    <row r="223" spans="1:20" x14ac:dyDescent="0.3">
      <c r="A223" s="362"/>
      <c r="B223" s="402" t="s">
        <v>140</v>
      </c>
      <c r="C223" s="363"/>
      <c r="D223" s="288"/>
      <c r="E223" s="288"/>
      <c r="F223" s="288"/>
      <c r="G223" s="288"/>
      <c r="H223" s="288"/>
      <c r="I223" s="288"/>
      <c r="J223" s="288"/>
      <c r="K223" s="288"/>
      <c r="L223" s="288"/>
      <c r="M223" s="288"/>
      <c r="N223" s="288"/>
      <c r="O223" s="323"/>
      <c r="P223" s="359">
        <f>-J69</f>
        <v>0</v>
      </c>
      <c r="Q223" s="288"/>
      <c r="R223" s="364"/>
      <c r="S223" s="365"/>
      <c r="T223" s="241"/>
    </row>
    <row r="224" spans="1:20" x14ac:dyDescent="0.3">
      <c r="A224" s="366"/>
      <c r="B224" s="402" t="s">
        <v>67</v>
      </c>
      <c r="C224" s="367"/>
      <c r="D224" s="288"/>
      <c r="E224" s="288"/>
      <c r="F224" s="288"/>
      <c r="G224" s="288"/>
      <c r="H224" s="288"/>
      <c r="I224" s="288"/>
      <c r="J224" s="288"/>
      <c r="K224" s="288"/>
      <c r="L224" s="288"/>
      <c r="M224" s="288"/>
      <c r="N224" s="288"/>
      <c r="O224" s="323"/>
      <c r="P224" s="368"/>
      <c r="Q224" s="288"/>
      <c r="R224" s="364"/>
      <c r="S224" s="369"/>
      <c r="T224" s="241"/>
    </row>
    <row r="225" spans="1:20" s="260" customFormat="1" x14ac:dyDescent="0.3">
      <c r="A225" s="370"/>
      <c r="B225" s="268" t="s">
        <v>68</v>
      </c>
      <c r="C225" s="268"/>
      <c r="D225" s="268"/>
      <c r="E225" s="268"/>
      <c r="F225" s="268"/>
      <c r="G225" s="268"/>
      <c r="H225" s="268"/>
      <c r="I225" s="268"/>
      <c r="J225" s="268"/>
      <c r="K225" s="268"/>
      <c r="L225" s="268"/>
      <c r="M225" s="268"/>
      <c r="N225" s="268"/>
      <c r="O225" s="276"/>
      <c r="P225" s="359">
        <f>R155</f>
        <v>0</v>
      </c>
      <c r="Q225" s="268"/>
      <c r="R225" s="360"/>
      <c r="S225" s="371"/>
      <c r="T225" s="259"/>
    </row>
    <row r="226" spans="1:20" s="260" customFormat="1" x14ac:dyDescent="0.3">
      <c r="A226" s="357"/>
      <c r="B226" s="268" t="s">
        <v>69</v>
      </c>
      <c r="C226" s="313"/>
      <c r="D226" s="268"/>
      <c r="E226" s="268"/>
      <c r="F226" s="268"/>
      <c r="G226" s="268"/>
      <c r="H226" s="268"/>
      <c r="I226" s="268"/>
      <c r="J226" s="268"/>
      <c r="K226" s="268"/>
      <c r="L226" s="268"/>
      <c r="M226" s="268"/>
      <c r="N226" s="268"/>
      <c r="O226" s="276"/>
      <c r="P226" s="359">
        <f>'Aug 18'!P224+P225</f>
        <v>0</v>
      </c>
      <c r="Q226" s="268"/>
      <c r="R226" s="360"/>
      <c r="S226" s="371"/>
      <c r="T226" s="259"/>
    </row>
    <row r="227" spans="1:20" x14ac:dyDescent="0.3">
      <c r="A227" s="366"/>
      <c r="B227" s="402" t="s">
        <v>151</v>
      </c>
      <c r="C227" s="367"/>
      <c r="D227" s="288"/>
      <c r="E227" s="288"/>
      <c r="F227" s="288"/>
      <c r="G227" s="288"/>
      <c r="H227" s="288"/>
      <c r="I227" s="288"/>
      <c r="J227" s="288"/>
      <c r="K227" s="288"/>
      <c r="L227" s="288"/>
      <c r="M227" s="288"/>
      <c r="N227" s="288"/>
      <c r="O227" s="372"/>
      <c r="P227" s="368"/>
      <c r="Q227" s="288"/>
      <c r="R227" s="364"/>
      <c r="S227" s="369"/>
      <c r="T227" s="241"/>
    </row>
    <row r="228" spans="1:20" s="260" customFormat="1" x14ac:dyDescent="0.3">
      <c r="A228" s="370"/>
      <c r="B228" s="268" t="s">
        <v>163</v>
      </c>
      <c r="C228" s="268"/>
      <c r="D228" s="268"/>
      <c r="E228" s="268"/>
      <c r="F228" s="268"/>
      <c r="G228" s="268"/>
      <c r="H228" s="268"/>
      <c r="I228" s="268"/>
      <c r="J228" s="268"/>
      <c r="K228" s="268"/>
      <c r="L228" s="268"/>
      <c r="M228" s="268"/>
      <c r="N228" s="268"/>
      <c r="O228" s="276">
        <v>0</v>
      </c>
      <c r="P228" s="359">
        <v>0</v>
      </c>
      <c r="Q228" s="268"/>
      <c r="R228" s="360"/>
      <c r="S228" s="371"/>
      <c r="T228" s="259"/>
    </row>
    <row r="229" spans="1:20" s="260" customFormat="1" x14ac:dyDescent="0.3">
      <c r="A229" s="357"/>
      <c r="B229" s="268" t="s">
        <v>70</v>
      </c>
      <c r="C229" s="293"/>
      <c r="D229" s="268"/>
      <c r="E229" s="268"/>
      <c r="F229" s="268"/>
      <c r="G229" s="268"/>
      <c r="H229" s="268"/>
      <c r="I229" s="268"/>
      <c r="J229" s="268"/>
      <c r="K229" s="268"/>
      <c r="L229" s="268"/>
      <c r="M229" s="268"/>
      <c r="N229" s="268"/>
      <c r="O229" s="268"/>
      <c r="P229" s="373">
        <v>0</v>
      </c>
      <c r="Q229" s="268"/>
      <c r="R229" s="360"/>
      <c r="S229" s="371"/>
      <c r="T229" s="259"/>
    </row>
    <row r="230" spans="1:20" s="260" customFormat="1" x14ac:dyDescent="0.3">
      <c r="A230" s="357"/>
      <c r="B230" s="268" t="s">
        <v>71</v>
      </c>
      <c r="C230" s="293"/>
      <c r="D230" s="268"/>
      <c r="E230" s="268"/>
      <c r="F230" s="268"/>
      <c r="G230" s="268"/>
      <c r="H230" s="268"/>
      <c r="I230" s="268"/>
      <c r="J230" s="268"/>
      <c r="K230" s="268"/>
      <c r="L230" s="268"/>
      <c r="M230" s="268"/>
      <c r="N230" s="268"/>
      <c r="O230" s="268"/>
      <c r="P230" s="373">
        <v>0</v>
      </c>
      <c r="Q230" s="268"/>
      <c r="R230" s="360"/>
      <c r="S230" s="371"/>
      <c r="T230" s="259"/>
    </row>
    <row r="231" spans="1:20" x14ac:dyDescent="0.3">
      <c r="A231" s="362"/>
      <c r="B231" s="402" t="s">
        <v>136</v>
      </c>
      <c r="C231" s="374"/>
      <c r="D231" s="288"/>
      <c r="E231" s="288"/>
      <c r="F231" s="288"/>
      <c r="G231" s="288"/>
      <c r="H231" s="288"/>
      <c r="I231" s="288"/>
      <c r="J231" s="288"/>
      <c r="K231" s="288"/>
      <c r="L231" s="288"/>
      <c r="M231" s="288"/>
      <c r="N231" s="288"/>
      <c r="O231" s="323"/>
      <c r="P231" s="375"/>
      <c r="Q231" s="288"/>
      <c r="R231" s="364"/>
      <c r="S231" s="369"/>
      <c r="T231" s="241"/>
    </row>
    <row r="232" spans="1:20" s="260" customFormat="1" x14ac:dyDescent="0.3">
      <c r="A232" s="357"/>
      <c r="B232" s="268" t="s">
        <v>163</v>
      </c>
      <c r="C232" s="293"/>
      <c r="D232" s="268"/>
      <c r="E232" s="268"/>
      <c r="F232" s="268"/>
      <c r="G232" s="268"/>
      <c r="H232" s="268"/>
      <c r="I232" s="268"/>
      <c r="J232" s="268"/>
      <c r="K232" s="268"/>
      <c r="L232" s="268"/>
      <c r="M232" s="268"/>
      <c r="N232" s="268"/>
      <c r="O232" s="276">
        <v>0</v>
      </c>
      <c r="P232" s="359">
        <v>0</v>
      </c>
      <c r="Q232" s="268"/>
      <c r="R232" s="360"/>
      <c r="S232" s="371"/>
      <c r="T232" s="259"/>
    </row>
    <row r="233" spans="1:20" s="260" customFormat="1" x14ac:dyDescent="0.3">
      <c r="A233" s="357"/>
      <c r="B233" s="268" t="s">
        <v>137</v>
      </c>
      <c r="C233" s="293"/>
      <c r="D233" s="268"/>
      <c r="E233" s="268"/>
      <c r="F233" s="268"/>
      <c r="G233" s="268"/>
      <c r="H233" s="268"/>
      <c r="I233" s="268"/>
      <c r="J233" s="268"/>
      <c r="K233" s="268"/>
      <c r="L233" s="268"/>
      <c r="M233" s="268"/>
      <c r="N233" s="268"/>
      <c r="O233" s="268"/>
      <c r="P233" s="373">
        <v>0</v>
      </c>
      <c r="Q233" s="268"/>
      <c r="R233" s="360"/>
      <c r="S233" s="371"/>
      <c r="T233" s="259"/>
    </row>
    <row r="234" spans="1:20" x14ac:dyDescent="0.3">
      <c r="A234" s="362"/>
      <c r="B234" s="367"/>
      <c r="C234" s="374"/>
      <c r="D234" s="288"/>
      <c r="E234" s="288"/>
      <c r="F234" s="288"/>
      <c r="G234" s="288"/>
      <c r="H234" s="288"/>
      <c r="I234" s="288"/>
      <c r="J234" s="288"/>
      <c r="K234" s="288"/>
      <c r="L234" s="288"/>
      <c r="M234" s="288"/>
      <c r="N234" s="288"/>
      <c r="O234" s="323"/>
      <c r="P234" s="375"/>
      <c r="Q234" s="288"/>
      <c r="R234" s="364"/>
      <c r="S234" s="369"/>
      <c r="T234" s="241"/>
    </row>
    <row r="235" spans="1:20" x14ac:dyDescent="0.3">
      <c r="A235" s="362"/>
      <c r="B235" s="367"/>
      <c r="C235" s="374"/>
      <c r="D235" s="288"/>
      <c r="E235" s="288"/>
      <c r="F235" s="288"/>
      <c r="G235" s="288"/>
      <c r="H235" s="288"/>
      <c r="I235" s="288"/>
      <c r="J235" s="288"/>
      <c r="K235" s="288"/>
      <c r="L235" s="288"/>
      <c r="M235" s="288"/>
      <c r="N235" s="288"/>
      <c r="O235" s="288"/>
      <c r="P235" s="376"/>
      <c r="Q235" s="288"/>
      <c r="R235" s="364"/>
      <c r="S235" s="369"/>
      <c r="T235" s="241"/>
    </row>
    <row r="236" spans="1:20" ht="18" x14ac:dyDescent="0.35">
      <c r="A236" s="362"/>
      <c r="B236" s="423" t="s">
        <v>129</v>
      </c>
      <c r="C236" s="374"/>
      <c r="D236" s="288"/>
      <c r="E236" s="288"/>
      <c r="F236" s="288"/>
      <c r="G236" s="288"/>
      <c r="H236" s="288"/>
      <c r="I236" s="288"/>
      <c r="J236" s="288"/>
      <c r="K236" s="288"/>
      <c r="L236" s="377"/>
      <c r="M236" s="288"/>
      <c r="N236" s="459" t="s">
        <v>271</v>
      </c>
      <c r="O236" s="377"/>
      <c r="P236" s="376"/>
      <c r="Q236" s="288"/>
      <c r="R236" s="364"/>
      <c r="S236" s="369"/>
      <c r="T236" s="241"/>
    </row>
    <row r="237" spans="1:20" ht="18" x14ac:dyDescent="0.35">
      <c r="A237" s="378"/>
      <c r="B237" s="379"/>
      <c r="C237" s="380"/>
      <c r="D237" s="315"/>
      <c r="E237" s="315"/>
      <c r="F237" s="315"/>
      <c r="G237" s="315"/>
      <c r="H237" s="315"/>
      <c r="I237" s="315"/>
      <c r="J237" s="315"/>
      <c r="K237" s="315"/>
      <c r="L237" s="381"/>
      <c r="M237" s="315"/>
      <c r="N237" s="315"/>
      <c r="O237" s="315"/>
      <c r="P237" s="382"/>
      <c r="Q237" s="315"/>
      <c r="R237" s="356"/>
      <c r="S237" s="383"/>
      <c r="T237" s="241"/>
    </row>
    <row r="238" spans="1:20" x14ac:dyDescent="0.3">
      <c r="A238" s="424"/>
      <c r="B238" s="434" t="s">
        <v>153</v>
      </c>
      <c r="C238" s="435"/>
      <c r="D238" s="435"/>
      <c r="E238" s="435"/>
      <c r="F238" s="435"/>
      <c r="G238" s="435"/>
      <c r="H238" s="435"/>
      <c r="I238" s="435"/>
      <c r="J238" s="435"/>
      <c r="K238" s="435"/>
      <c r="L238" s="435"/>
      <c r="M238" s="435"/>
      <c r="N238" s="451" t="s">
        <v>83</v>
      </c>
      <c r="O238" s="435" t="s">
        <v>84</v>
      </c>
      <c r="P238" s="451" t="s">
        <v>89</v>
      </c>
      <c r="Q238" s="435" t="s">
        <v>84</v>
      </c>
      <c r="R238" s="428"/>
      <c r="S238" s="452"/>
      <c r="T238" s="241"/>
    </row>
    <row r="239" spans="1:20" s="260" customFormat="1" x14ac:dyDescent="0.3">
      <c r="A239" s="255"/>
      <c r="B239" s="327" t="s">
        <v>72</v>
      </c>
      <c r="C239" s="453"/>
      <c r="D239" s="453"/>
      <c r="E239" s="453"/>
      <c r="F239" s="453"/>
      <c r="G239" s="453"/>
      <c r="H239" s="453"/>
      <c r="I239" s="453"/>
      <c r="J239" s="453"/>
      <c r="K239" s="453"/>
      <c r="L239" s="453"/>
      <c r="M239" s="453"/>
      <c r="N239" s="327">
        <f t="shared" ref="N239:N246" si="1">+N251+N263+N275</f>
        <v>0</v>
      </c>
      <c r="O239" s="454">
        <v>0</v>
      </c>
      <c r="P239" s="433">
        <f t="shared" ref="P239:P246" si="2">+P251+P263+P275</f>
        <v>0</v>
      </c>
      <c r="Q239" s="454">
        <v>0</v>
      </c>
      <c r="R239" s="449"/>
      <c r="S239" s="455"/>
      <c r="T239" s="259"/>
    </row>
    <row r="240" spans="1:20" s="260" customFormat="1" x14ac:dyDescent="0.3">
      <c r="A240" s="275"/>
      <c r="B240" s="313" t="s">
        <v>73</v>
      </c>
      <c r="C240" s="384"/>
      <c r="D240" s="384"/>
      <c r="E240" s="384"/>
      <c r="F240" s="384"/>
      <c r="G240" s="384"/>
      <c r="H240" s="384"/>
      <c r="I240" s="384"/>
      <c r="J240" s="384"/>
      <c r="K240" s="384"/>
      <c r="L240" s="384"/>
      <c r="M240" s="384"/>
      <c r="N240" s="313">
        <f t="shared" si="1"/>
        <v>0</v>
      </c>
      <c r="O240" s="385">
        <v>0</v>
      </c>
      <c r="P240" s="314">
        <f t="shared" si="2"/>
        <v>0</v>
      </c>
      <c r="Q240" s="385">
        <v>0</v>
      </c>
      <c r="R240" s="360"/>
      <c r="S240" s="371"/>
      <c r="T240" s="259"/>
    </row>
    <row r="241" spans="1:21" s="260" customFormat="1" x14ac:dyDescent="0.3">
      <c r="A241" s="275"/>
      <c r="B241" s="313" t="s">
        <v>74</v>
      </c>
      <c r="C241" s="384"/>
      <c r="D241" s="384"/>
      <c r="E241" s="384"/>
      <c r="F241" s="384"/>
      <c r="G241" s="384"/>
      <c r="H241" s="384"/>
      <c r="I241" s="384"/>
      <c r="J241" s="384"/>
      <c r="K241" s="384"/>
      <c r="L241" s="384"/>
      <c r="M241" s="384"/>
      <c r="N241" s="313">
        <f t="shared" si="1"/>
        <v>0</v>
      </c>
      <c r="O241" s="385">
        <v>0</v>
      </c>
      <c r="P241" s="314">
        <f t="shared" si="2"/>
        <v>0</v>
      </c>
      <c r="Q241" s="385">
        <v>0</v>
      </c>
      <c r="R241" s="360"/>
      <c r="S241" s="371"/>
      <c r="T241" s="259"/>
    </row>
    <row r="242" spans="1:21" s="260" customFormat="1" x14ac:dyDescent="0.3">
      <c r="A242" s="275"/>
      <c r="B242" s="313" t="s">
        <v>119</v>
      </c>
      <c r="C242" s="384"/>
      <c r="D242" s="384"/>
      <c r="E242" s="384"/>
      <c r="F242" s="384"/>
      <c r="G242" s="384"/>
      <c r="H242" s="384"/>
      <c r="I242" s="384"/>
      <c r="J242" s="384"/>
      <c r="K242" s="384"/>
      <c r="L242" s="384"/>
      <c r="M242" s="384"/>
      <c r="N242" s="313">
        <f t="shared" si="1"/>
        <v>0</v>
      </c>
      <c r="O242" s="385">
        <v>0</v>
      </c>
      <c r="P242" s="314">
        <f t="shared" si="2"/>
        <v>0</v>
      </c>
      <c r="Q242" s="385">
        <v>0</v>
      </c>
      <c r="R242" s="360"/>
      <c r="S242" s="371"/>
      <c r="T242" s="259"/>
    </row>
    <row r="243" spans="1:21" s="260" customFormat="1" x14ac:dyDescent="0.3">
      <c r="A243" s="275"/>
      <c r="B243" s="313" t="s">
        <v>120</v>
      </c>
      <c r="C243" s="384"/>
      <c r="D243" s="384"/>
      <c r="E243" s="384"/>
      <c r="F243" s="384"/>
      <c r="G243" s="384"/>
      <c r="H243" s="384"/>
      <c r="I243" s="384"/>
      <c r="J243" s="384"/>
      <c r="K243" s="384"/>
      <c r="L243" s="384"/>
      <c r="M243" s="384"/>
      <c r="N243" s="313">
        <f t="shared" si="1"/>
        <v>0</v>
      </c>
      <c r="O243" s="385">
        <v>0</v>
      </c>
      <c r="P243" s="314">
        <f t="shared" si="2"/>
        <v>0</v>
      </c>
      <c r="Q243" s="385">
        <v>0</v>
      </c>
      <c r="R243" s="360"/>
      <c r="S243" s="371"/>
      <c r="T243" s="259"/>
    </row>
    <row r="244" spans="1:21" s="260" customFormat="1" x14ac:dyDescent="0.3">
      <c r="A244" s="275"/>
      <c r="B244" s="313" t="s">
        <v>121</v>
      </c>
      <c r="C244" s="384"/>
      <c r="D244" s="384"/>
      <c r="E244" s="384"/>
      <c r="F244" s="384"/>
      <c r="G244" s="384"/>
      <c r="H244" s="384"/>
      <c r="I244" s="384"/>
      <c r="J244" s="384"/>
      <c r="K244" s="384"/>
      <c r="L244" s="384"/>
      <c r="M244" s="384"/>
      <c r="N244" s="313">
        <f t="shared" si="1"/>
        <v>0</v>
      </c>
      <c r="O244" s="385">
        <v>0</v>
      </c>
      <c r="P244" s="314">
        <f t="shared" si="2"/>
        <v>0</v>
      </c>
      <c r="Q244" s="385">
        <v>0</v>
      </c>
      <c r="R244" s="360"/>
      <c r="S244" s="371"/>
      <c r="T244" s="259"/>
    </row>
    <row r="245" spans="1:21" s="260" customFormat="1" x14ac:dyDescent="0.3">
      <c r="A245" s="275"/>
      <c r="B245" s="313" t="s">
        <v>122</v>
      </c>
      <c r="C245" s="384"/>
      <c r="D245" s="384"/>
      <c r="E245" s="384"/>
      <c r="F245" s="384"/>
      <c r="G245" s="384"/>
      <c r="H245" s="384"/>
      <c r="I245" s="384"/>
      <c r="J245" s="384"/>
      <c r="K245" s="384"/>
      <c r="L245" s="384"/>
      <c r="M245" s="384"/>
      <c r="N245" s="313">
        <f t="shared" si="1"/>
        <v>0</v>
      </c>
      <c r="O245" s="385">
        <v>0</v>
      </c>
      <c r="P245" s="314">
        <f t="shared" si="2"/>
        <v>0</v>
      </c>
      <c r="Q245" s="385">
        <v>0</v>
      </c>
      <c r="R245" s="360"/>
      <c r="S245" s="371"/>
      <c r="T245" s="259"/>
    </row>
    <row r="246" spans="1:21" s="260" customFormat="1" x14ac:dyDescent="0.3">
      <c r="A246" s="275"/>
      <c r="B246" s="313" t="s">
        <v>123</v>
      </c>
      <c r="C246" s="384"/>
      <c r="D246" s="384"/>
      <c r="E246" s="384"/>
      <c r="F246" s="384"/>
      <c r="G246" s="384"/>
      <c r="H246" s="384"/>
      <c r="I246" s="384"/>
      <c r="J246" s="384"/>
      <c r="K246" s="384"/>
      <c r="L246" s="384"/>
      <c r="M246" s="384"/>
      <c r="N246" s="313">
        <f t="shared" si="1"/>
        <v>0</v>
      </c>
      <c r="O246" s="385">
        <v>0</v>
      </c>
      <c r="P246" s="314">
        <f t="shared" si="2"/>
        <v>0</v>
      </c>
      <c r="Q246" s="385">
        <v>0</v>
      </c>
      <c r="R246" s="360"/>
      <c r="S246" s="371"/>
      <c r="T246" s="259"/>
    </row>
    <row r="247" spans="1:21" s="260" customFormat="1" x14ac:dyDescent="0.3">
      <c r="A247" s="275"/>
      <c r="B247" s="313"/>
      <c r="C247" s="384"/>
      <c r="D247" s="384"/>
      <c r="E247" s="384"/>
      <c r="F247" s="384"/>
      <c r="G247" s="384"/>
      <c r="H247" s="384"/>
      <c r="I247" s="384"/>
      <c r="J247" s="384"/>
      <c r="K247" s="384"/>
      <c r="L247" s="384"/>
      <c r="M247" s="384"/>
      <c r="N247" s="313"/>
      <c r="O247" s="385"/>
      <c r="P247" s="314"/>
      <c r="Q247" s="385"/>
      <c r="R247" s="360"/>
      <c r="S247" s="371"/>
      <c r="T247" s="259"/>
    </row>
    <row r="248" spans="1:21" s="260" customFormat="1" x14ac:dyDescent="0.3">
      <c r="A248" s="275"/>
      <c r="B248" s="268" t="s">
        <v>94</v>
      </c>
      <c r="C248" s="268"/>
      <c r="D248" s="386"/>
      <c r="E248" s="386"/>
      <c r="F248" s="386"/>
      <c r="G248" s="386"/>
      <c r="H248" s="386"/>
      <c r="I248" s="386"/>
      <c r="J248" s="386"/>
      <c r="K248" s="386"/>
      <c r="L248" s="386"/>
      <c r="M248" s="386"/>
      <c r="N248" s="313">
        <f>SUM(N239:N247)</f>
        <v>0</v>
      </c>
      <c r="O248" s="385">
        <f>SUM(O239:O247)</f>
        <v>0</v>
      </c>
      <c r="P248" s="314">
        <f>SUM(P239:P247)</f>
        <v>0</v>
      </c>
      <c r="Q248" s="385">
        <f>SUM(Q239:Q247)</f>
        <v>0</v>
      </c>
      <c r="R248" s="268"/>
      <c r="S248" s="271"/>
      <c r="T248" s="259"/>
    </row>
    <row r="249" spans="1:21" x14ac:dyDescent="0.3">
      <c r="A249" s="243"/>
      <c r="B249" s="355"/>
      <c r="C249" s="380"/>
      <c r="D249" s="315"/>
      <c r="E249" s="315"/>
      <c r="F249" s="315"/>
      <c r="G249" s="315"/>
      <c r="H249" s="315"/>
      <c r="I249" s="315"/>
      <c r="J249" s="315"/>
      <c r="K249" s="315"/>
      <c r="L249" s="315"/>
      <c r="M249" s="315"/>
      <c r="N249" s="315"/>
      <c r="O249" s="315"/>
      <c r="P249" s="382"/>
      <c r="Q249" s="315"/>
      <c r="R249" s="315"/>
      <c r="S249" s="246"/>
      <c r="T249" s="241"/>
    </row>
    <row r="250" spans="1:21" x14ac:dyDescent="0.3">
      <c r="A250" s="424"/>
      <c r="B250" s="434" t="s">
        <v>124</v>
      </c>
      <c r="C250" s="435"/>
      <c r="D250" s="435"/>
      <c r="E250" s="435"/>
      <c r="F250" s="435"/>
      <c r="G250" s="435"/>
      <c r="H250" s="435"/>
      <c r="I250" s="435"/>
      <c r="J250" s="435"/>
      <c r="K250" s="435"/>
      <c r="L250" s="435"/>
      <c r="M250" s="435"/>
      <c r="N250" s="451" t="s">
        <v>83</v>
      </c>
      <c r="O250" s="435" t="s">
        <v>84</v>
      </c>
      <c r="P250" s="451" t="s">
        <v>89</v>
      </c>
      <c r="Q250" s="435" t="s">
        <v>84</v>
      </c>
      <c r="R250" s="428"/>
      <c r="S250" s="452"/>
      <c r="T250" s="241"/>
    </row>
    <row r="251" spans="1:21" s="260" customFormat="1" x14ac:dyDescent="0.3">
      <c r="A251" s="255"/>
      <c r="B251" s="327" t="s">
        <v>72</v>
      </c>
      <c r="C251" s="453"/>
      <c r="D251" s="453"/>
      <c r="E251" s="453"/>
      <c r="F251" s="453"/>
      <c r="G251" s="453"/>
      <c r="H251" s="453"/>
      <c r="I251" s="453"/>
      <c r="J251" s="453"/>
      <c r="K251" s="453"/>
      <c r="L251" s="453"/>
      <c r="M251" s="453"/>
      <c r="N251" s="327">
        <v>0</v>
      </c>
      <c r="O251" s="454">
        <v>0</v>
      </c>
      <c r="P251" s="433">
        <v>0</v>
      </c>
      <c r="Q251" s="454">
        <v>0</v>
      </c>
      <c r="R251" s="449"/>
      <c r="S251" s="455"/>
      <c r="T251" s="259"/>
    </row>
    <row r="252" spans="1:21" s="260" customFormat="1" x14ac:dyDescent="0.3">
      <c r="A252" s="275"/>
      <c r="B252" s="313" t="s">
        <v>73</v>
      </c>
      <c r="C252" s="384"/>
      <c r="D252" s="384"/>
      <c r="E252" s="384"/>
      <c r="F252" s="384"/>
      <c r="G252" s="384"/>
      <c r="H252" s="384"/>
      <c r="I252" s="384"/>
      <c r="J252" s="384"/>
      <c r="K252" s="384"/>
      <c r="L252" s="384"/>
      <c r="M252" s="384"/>
      <c r="N252" s="313">
        <v>0</v>
      </c>
      <c r="O252" s="385">
        <v>0</v>
      </c>
      <c r="P252" s="314">
        <v>0</v>
      </c>
      <c r="Q252" s="385">
        <v>0</v>
      </c>
      <c r="R252" s="360"/>
      <c r="S252" s="371"/>
      <c r="T252" s="259"/>
      <c r="U252" s="325"/>
    </row>
    <row r="253" spans="1:21" s="260" customFormat="1" x14ac:dyDescent="0.3">
      <c r="A253" s="275"/>
      <c r="B253" s="313" t="s">
        <v>74</v>
      </c>
      <c r="C253" s="384"/>
      <c r="D253" s="384"/>
      <c r="E253" s="384"/>
      <c r="F253" s="384"/>
      <c r="G253" s="384"/>
      <c r="H253" s="384"/>
      <c r="I253" s="384"/>
      <c r="J253" s="384"/>
      <c r="K253" s="384"/>
      <c r="L253" s="384"/>
      <c r="M253" s="384"/>
      <c r="N253" s="313">
        <v>0</v>
      </c>
      <c r="O253" s="385">
        <v>0</v>
      </c>
      <c r="P253" s="314">
        <v>0</v>
      </c>
      <c r="Q253" s="385">
        <v>0</v>
      </c>
      <c r="R253" s="360"/>
      <c r="S253" s="371"/>
      <c r="T253" s="259"/>
    </row>
    <row r="254" spans="1:21" s="260" customFormat="1" x14ac:dyDescent="0.3">
      <c r="A254" s="275"/>
      <c r="B254" s="313" t="s">
        <v>119</v>
      </c>
      <c r="C254" s="384"/>
      <c r="D254" s="384"/>
      <c r="E254" s="384"/>
      <c r="F254" s="384"/>
      <c r="G254" s="384"/>
      <c r="H254" s="384"/>
      <c r="I254" s="384"/>
      <c r="J254" s="384"/>
      <c r="K254" s="384"/>
      <c r="L254" s="384"/>
      <c r="M254" s="384"/>
      <c r="N254" s="313">
        <v>0</v>
      </c>
      <c r="O254" s="385">
        <v>0</v>
      </c>
      <c r="P254" s="314">
        <v>0</v>
      </c>
      <c r="Q254" s="385">
        <v>0</v>
      </c>
      <c r="R254" s="360"/>
      <c r="S254" s="371"/>
      <c r="T254" s="259"/>
      <c r="U254" s="325"/>
    </row>
    <row r="255" spans="1:21" s="260" customFormat="1" x14ac:dyDescent="0.3">
      <c r="A255" s="275"/>
      <c r="B255" s="313" t="s">
        <v>120</v>
      </c>
      <c r="C255" s="384"/>
      <c r="D255" s="384"/>
      <c r="E255" s="384"/>
      <c r="F255" s="384"/>
      <c r="G255" s="384"/>
      <c r="H255" s="384"/>
      <c r="I255" s="384"/>
      <c r="J255" s="384"/>
      <c r="K255" s="384"/>
      <c r="L255" s="384"/>
      <c r="M255" s="384"/>
      <c r="N255" s="313">
        <v>0</v>
      </c>
      <c r="O255" s="385">
        <v>0</v>
      </c>
      <c r="P255" s="314">
        <v>0</v>
      </c>
      <c r="Q255" s="385">
        <v>0</v>
      </c>
      <c r="R255" s="360"/>
      <c r="S255" s="371"/>
      <c r="T255" s="259"/>
    </row>
    <row r="256" spans="1:21" s="260" customFormat="1" x14ac:dyDescent="0.3">
      <c r="A256" s="275"/>
      <c r="B256" s="313" t="s">
        <v>121</v>
      </c>
      <c r="C256" s="384"/>
      <c r="D256" s="384"/>
      <c r="E256" s="384"/>
      <c r="F256" s="384"/>
      <c r="G256" s="384"/>
      <c r="H256" s="384"/>
      <c r="I256" s="384"/>
      <c r="J256" s="384"/>
      <c r="K256" s="384"/>
      <c r="L256" s="384"/>
      <c r="M256" s="384"/>
      <c r="N256" s="313">
        <v>0</v>
      </c>
      <c r="O256" s="385">
        <v>0</v>
      </c>
      <c r="P256" s="314">
        <v>0</v>
      </c>
      <c r="Q256" s="385">
        <v>0</v>
      </c>
      <c r="R256" s="360"/>
      <c r="S256" s="371"/>
      <c r="T256" s="259"/>
      <c r="U256" s="325"/>
    </row>
    <row r="257" spans="1:21" s="260" customFormat="1" x14ac:dyDescent="0.3">
      <c r="A257" s="275"/>
      <c r="B257" s="313" t="s">
        <v>122</v>
      </c>
      <c r="C257" s="384"/>
      <c r="D257" s="384"/>
      <c r="E257" s="384"/>
      <c r="F257" s="384"/>
      <c r="G257" s="384"/>
      <c r="H257" s="384"/>
      <c r="I257" s="384"/>
      <c r="J257" s="384"/>
      <c r="K257" s="384"/>
      <c r="L257" s="384"/>
      <c r="M257" s="384"/>
      <c r="N257" s="313">
        <v>0</v>
      </c>
      <c r="O257" s="385">
        <v>0</v>
      </c>
      <c r="P257" s="314">
        <v>0</v>
      </c>
      <c r="Q257" s="385">
        <v>0</v>
      </c>
      <c r="R257" s="360"/>
      <c r="S257" s="371"/>
      <c r="T257" s="259"/>
    </row>
    <row r="258" spans="1:21" s="260" customFormat="1" x14ac:dyDescent="0.3">
      <c r="A258" s="275"/>
      <c r="B258" s="313" t="s">
        <v>123</v>
      </c>
      <c r="C258" s="384"/>
      <c r="D258" s="384"/>
      <c r="E258" s="384"/>
      <c r="F258" s="384"/>
      <c r="G258" s="384"/>
      <c r="H258" s="384"/>
      <c r="I258" s="384"/>
      <c r="J258" s="384"/>
      <c r="K258" s="384"/>
      <c r="L258" s="384"/>
      <c r="M258" s="384"/>
      <c r="N258" s="313">
        <v>0</v>
      </c>
      <c r="O258" s="385">
        <v>0</v>
      </c>
      <c r="P258" s="314">
        <v>0</v>
      </c>
      <c r="Q258" s="385">
        <v>0</v>
      </c>
      <c r="R258" s="360"/>
      <c r="S258" s="371"/>
      <c r="T258" s="259"/>
      <c r="U258" s="325"/>
    </row>
    <row r="259" spans="1:21" s="260" customFormat="1" x14ac:dyDescent="0.3">
      <c r="A259" s="275"/>
      <c r="B259" s="313"/>
      <c r="C259" s="384"/>
      <c r="D259" s="384"/>
      <c r="E259" s="384"/>
      <c r="F259" s="384"/>
      <c r="G259" s="384"/>
      <c r="H259" s="384"/>
      <c r="I259" s="384"/>
      <c r="J259" s="384"/>
      <c r="K259" s="384"/>
      <c r="L259" s="384"/>
      <c r="M259" s="384"/>
      <c r="N259" s="313"/>
      <c r="O259" s="385"/>
      <c r="P259" s="314"/>
      <c r="Q259" s="385"/>
      <c r="R259" s="360"/>
      <c r="S259" s="371"/>
      <c r="T259" s="259"/>
    </row>
    <row r="260" spans="1:21" s="260" customFormat="1" x14ac:dyDescent="0.3">
      <c r="A260" s="275"/>
      <c r="B260" s="268" t="s">
        <v>94</v>
      </c>
      <c r="C260" s="268"/>
      <c r="D260" s="386"/>
      <c r="E260" s="386"/>
      <c r="F260" s="386"/>
      <c r="G260" s="386"/>
      <c r="H260" s="386"/>
      <c r="I260" s="386"/>
      <c r="J260" s="386"/>
      <c r="K260" s="386"/>
      <c r="L260" s="386"/>
      <c r="M260" s="386"/>
      <c r="N260" s="313">
        <f>SUM(N251:N259)</f>
        <v>0</v>
      </c>
      <c r="O260" s="385">
        <f>SUM(O251:O259)</f>
        <v>0</v>
      </c>
      <c r="P260" s="314">
        <f>SUM(P251:P259)</f>
        <v>0</v>
      </c>
      <c r="Q260" s="385">
        <f>SUM(Q251:Q259)</f>
        <v>0</v>
      </c>
      <c r="R260" s="268"/>
      <c r="S260" s="271"/>
      <c r="T260" s="259"/>
    </row>
    <row r="261" spans="1:21" x14ac:dyDescent="0.3">
      <c r="A261" s="243"/>
      <c r="B261" s="315"/>
      <c r="C261" s="315"/>
      <c r="D261" s="387"/>
      <c r="E261" s="387"/>
      <c r="F261" s="387"/>
      <c r="G261" s="387"/>
      <c r="H261" s="387"/>
      <c r="I261" s="387"/>
      <c r="J261" s="387"/>
      <c r="K261" s="387"/>
      <c r="L261" s="387"/>
      <c r="M261" s="387"/>
      <c r="N261" s="316"/>
      <c r="O261" s="388"/>
      <c r="P261" s="389"/>
      <c r="Q261" s="388"/>
      <c r="R261" s="315"/>
      <c r="S261" s="246"/>
      <c r="T261" s="241"/>
    </row>
    <row r="262" spans="1:21" x14ac:dyDescent="0.3">
      <c r="A262" s="424"/>
      <c r="B262" s="434" t="s">
        <v>146</v>
      </c>
      <c r="C262" s="435"/>
      <c r="D262" s="435"/>
      <c r="E262" s="435"/>
      <c r="F262" s="435"/>
      <c r="G262" s="435"/>
      <c r="H262" s="435"/>
      <c r="I262" s="435"/>
      <c r="J262" s="435"/>
      <c r="K262" s="435"/>
      <c r="L262" s="435"/>
      <c r="M262" s="435"/>
      <c r="N262" s="451" t="s">
        <v>83</v>
      </c>
      <c r="O262" s="435" t="s">
        <v>84</v>
      </c>
      <c r="P262" s="451" t="s">
        <v>89</v>
      </c>
      <c r="Q262" s="435" t="s">
        <v>84</v>
      </c>
      <c r="R262" s="428"/>
      <c r="S262" s="426"/>
      <c r="T262" s="241"/>
    </row>
    <row r="263" spans="1:21" s="260" customFormat="1" x14ac:dyDescent="0.3">
      <c r="A263" s="255"/>
      <c r="B263" s="327" t="s">
        <v>72</v>
      </c>
      <c r="C263" s="453"/>
      <c r="D263" s="453"/>
      <c r="E263" s="453"/>
      <c r="F263" s="453"/>
      <c r="G263" s="453"/>
      <c r="H263" s="453"/>
      <c r="I263" s="453"/>
      <c r="J263" s="453"/>
      <c r="K263" s="453"/>
      <c r="L263" s="453"/>
      <c r="M263" s="453"/>
      <c r="N263" s="327">
        <v>0</v>
      </c>
      <c r="O263" s="454">
        <v>0</v>
      </c>
      <c r="P263" s="433">
        <v>0</v>
      </c>
      <c r="Q263" s="463">
        <v>0</v>
      </c>
      <c r="R263" s="302"/>
      <c r="S263" s="258"/>
      <c r="T263" s="259"/>
    </row>
    <row r="264" spans="1:21" s="260" customFormat="1" x14ac:dyDescent="0.3">
      <c r="A264" s="275"/>
      <c r="B264" s="313" t="s">
        <v>73</v>
      </c>
      <c r="C264" s="384"/>
      <c r="D264" s="384"/>
      <c r="E264" s="384"/>
      <c r="F264" s="384"/>
      <c r="G264" s="384"/>
      <c r="H264" s="384"/>
      <c r="I264" s="384"/>
      <c r="J264" s="384"/>
      <c r="K264" s="384"/>
      <c r="L264" s="384"/>
      <c r="M264" s="384"/>
      <c r="N264" s="313">
        <v>0</v>
      </c>
      <c r="O264" s="462">
        <v>0</v>
      </c>
      <c r="P264" s="314">
        <v>0</v>
      </c>
      <c r="Q264" s="385">
        <v>0</v>
      </c>
      <c r="R264" s="268"/>
      <c r="S264" s="271"/>
      <c r="T264" s="259"/>
    </row>
    <row r="265" spans="1:21" s="260" customFormat="1" x14ac:dyDescent="0.3">
      <c r="A265" s="275"/>
      <c r="B265" s="313" t="s">
        <v>74</v>
      </c>
      <c r="C265" s="384"/>
      <c r="D265" s="384"/>
      <c r="E265" s="384"/>
      <c r="F265" s="384"/>
      <c r="G265" s="384"/>
      <c r="H265" s="384"/>
      <c r="I265" s="384"/>
      <c r="J265" s="384"/>
      <c r="K265" s="384"/>
      <c r="L265" s="384"/>
      <c r="M265" s="384"/>
      <c r="N265" s="313">
        <v>0</v>
      </c>
      <c r="O265" s="460">
        <v>0</v>
      </c>
      <c r="P265" s="314">
        <v>0</v>
      </c>
      <c r="Q265" s="385">
        <v>0</v>
      </c>
      <c r="R265" s="268"/>
      <c r="S265" s="271"/>
      <c r="T265" s="259"/>
    </row>
    <row r="266" spans="1:21" s="260" customFormat="1" x14ac:dyDescent="0.3">
      <c r="A266" s="275"/>
      <c r="B266" s="313" t="s">
        <v>119</v>
      </c>
      <c r="C266" s="384"/>
      <c r="D266" s="384"/>
      <c r="E266" s="384"/>
      <c r="F266" s="384"/>
      <c r="G266" s="384"/>
      <c r="H266" s="384"/>
      <c r="I266" s="384"/>
      <c r="J266" s="384"/>
      <c r="K266" s="384"/>
      <c r="L266" s="384"/>
      <c r="M266" s="384"/>
      <c r="N266" s="313">
        <v>0</v>
      </c>
      <c r="O266" s="460">
        <v>0</v>
      </c>
      <c r="P266" s="314">
        <v>0</v>
      </c>
      <c r="Q266" s="385">
        <v>0</v>
      </c>
      <c r="R266" s="268"/>
      <c r="S266" s="271"/>
      <c r="T266" s="259"/>
    </row>
    <row r="267" spans="1:21" s="260" customFormat="1" x14ac:dyDescent="0.3">
      <c r="A267" s="275"/>
      <c r="B267" s="313" t="s">
        <v>120</v>
      </c>
      <c r="C267" s="384"/>
      <c r="D267" s="384"/>
      <c r="E267" s="384"/>
      <c r="F267" s="384"/>
      <c r="G267" s="384"/>
      <c r="H267" s="384"/>
      <c r="I267" s="384"/>
      <c r="J267" s="384"/>
      <c r="K267" s="384"/>
      <c r="L267" s="384"/>
      <c r="M267" s="384"/>
      <c r="N267" s="313">
        <v>0</v>
      </c>
      <c r="O267" s="460">
        <v>0</v>
      </c>
      <c r="P267" s="314">
        <v>0</v>
      </c>
      <c r="Q267" s="385">
        <v>0</v>
      </c>
      <c r="R267" s="268"/>
      <c r="S267" s="271"/>
      <c r="T267" s="259"/>
    </row>
    <row r="268" spans="1:21" s="260" customFormat="1" x14ac:dyDescent="0.3">
      <c r="A268" s="275"/>
      <c r="B268" s="313" t="s">
        <v>121</v>
      </c>
      <c r="C268" s="384"/>
      <c r="D268" s="384"/>
      <c r="E268" s="384"/>
      <c r="F268" s="384"/>
      <c r="G268" s="384"/>
      <c r="H268" s="384"/>
      <c r="I268" s="384"/>
      <c r="J268" s="384"/>
      <c r="K268" s="384"/>
      <c r="L268" s="384"/>
      <c r="M268" s="384"/>
      <c r="N268" s="313">
        <v>0</v>
      </c>
      <c r="O268" s="460">
        <v>0</v>
      </c>
      <c r="P268" s="314">
        <v>0</v>
      </c>
      <c r="Q268" s="385">
        <v>0</v>
      </c>
      <c r="R268" s="268"/>
      <c r="S268" s="271"/>
      <c r="T268" s="259"/>
    </row>
    <row r="269" spans="1:21" s="260" customFormat="1" x14ac:dyDescent="0.3">
      <c r="A269" s="275"/>
      <c r="B269" s="313" t="s">
        <v>122</v>
      </c>
      <c r="C269" s="384"/>
      <c r="D269" s="384"/>
      <c r="E269" s="384"/>
      <c r="F269" s="384"/>
      <c r="G269" s="384"/>
      <c r="H269" s="384"/>
      <c r="I269" s="384"/>
      <c r="J269" s="384"/>
      <c r="K269" s="384"/>
      <c r="L269" s="384"/>
      <c r="M269" s="384"/>
      <c r="N269" s="313">
        <v>0</v>
      </c>
      <c r="O269" s="461">
        <v>0</v>
      </c>
      <c r="P269" s="314">
        <v>0</v>
      </c>
      <c r="Q269" s="385">
        <v>0</v>
      </c>
      <c r="R269" s="268"/>
      <c r="S269" s="271"/>
      <c r="T269" s="259"/>
    </row>
    <row r="270" spans="1:21" s="260" customFormat="1" x14ac:dyDescent="0.3">
      <c r="A270" s="275"/>
      <c r="B270" s="313" t="s">
        <v>123</v>
      </c>
      <c r="C270" s="384"/>
      <c r="D270" s="384"/>
      <c r="E270" s="384"/>
      <c r="F270" s="384"/>
      <c r="G270" s="384"/>
      <c r="H270" s="384"/>
      <c r="I270" s="384"/>
      <c r="J270" s="384"/>
      <c r="K270" s="384"/>
      <c r="L270" s="384"/>
      <c r="M270" s="384"/>
      <c r="N270" s="313">
        <v>0</v>
      </c>
      <c r="O270" s="385">
        <v>0</v>
      </c>
      <c r="P270" s="314">
        <v>0</v>
      </c>
      <c r="Q270" s="385">
        <v>0</v>
      </c>
      <c r="R270" s="268"/>
      <c r="S270" s="271"/>
      <c r="T270" s="259"/>
    </row>
    <row r="271" spans="1:21" s="260" customFormat="1" x14ac:dyDescent="0.3">
      <c r="A271" s="275"/>
      <c r="B271" s="313"/>
      <c r="C271" s="384"/>
      <c r="D271" s="384"/>
      <c r="E271" s="384"/>
      <c r="F271" s="384"/>
      <c r="G271" s="384"/>
      <c r="H271" s="384"/>
      <c r="I271" s="384"/>
      <c r="J271" s="384"/>
      <c r="K271" s="384"/>
      <c r="L271" s="384"/>
      <c r="M271" s="384"/>
      <c r="N271" s="313"/>
      <c r="O271" s="385"/>
      <c r="P271" s="314"/>
      <c r="Q271" s="385"/>
      <c r="R271" s="268"/>
      <c r="S271" s="271"/>
      <c r="T271" s="259"/>
    </row>
    <row r="272" spans="1:21" s="260" customFormat="1" x14ac:dyDescent="0.3">
      <c r="A272" s="275"/>
      <c r="B272" s="268" t="s">
        <v>94</v>
      </c>
      <c r="C272" s="268"/>
      <c r="D272" s="386"/>
      <c r="E272" s="386"/>
      <c r="F272" s="386"/>
      <c r="G272" s="386"/>
      <c r="H272" s="386"/>
      <c r="I272" s="386"/>
      <c r="J272" s="386"/>
      <c r="K272" s="386"/>
      <c r="L272" s="386"/>
      <c r="M272" s="386"/>
      <c r="N272" s="313">
        <f>SUM(N263:N271)</f>
        <v>0</v>
      </c>
      <c r="O272" s="385">
        <f>SUM(O263:O271)</f>
        <v>0</v>
      </c>
      <c r="P272" s="314">
        <f>SUM(P263:P271)</f>
        <v>0</v>
      </c>
      <c r="Q272" s="385">
        <f>SUM(Q263:Q271)</f>
        <v>0</v>
      </c>
      <c r="R272" s="268"/>
      <c r="S272" s="271"/>
      <c r="T272" s="259"/>
    </row>
    <row r="273" spans="1:20" x14ac:dyDescent="0.3">
      <c r="A273" s="243"/>
      <c r="B273" s="315"/>
      <c r="C273" s="315"/>
      <c r="D273" s="387"/>
      <c r="E273" s="387"/>
      <c r="F273" s="387"/>
      <c r="G273" s="387"/>
      <c r="H273" s="387"/>
      <c r="I273" s="387"/>
      <c r="J273" s="387"/>
      <c r="K273" s="387"/>
      <c r="L273" s="387"/>
      <c r="M273" s="387"/>
      <c r="N273" s="316"/>
      <c r="O273" s="388"/>
      <c r="P273" s="389"/>
      <c r="Q273" s="388"/>
      <c r="R273" s="315"/>
      <c r="S273" s="246"/>
      <c r="T273" s="241"/>
    </row>
    <row r="274" spans="1:20" x14ac:dyDescent="0.3">
      <c r="A274" s="424"/>
      <c r="B274" s="434" t="s">
        <v>125</v>
      </c>
      <c r="C274" s="428"/>
      <c r="D274" s="457"/>
      <c r="E274" s="457"/>
      <c r="F274" s="457"/>
      <c r="G274" s="457"/>
      <c r="H274" s="457"/>
      <c r="I274" s="457"/>
      <c r="J274" s="457"/>
      <c r="K274" s="457"/>
      <c r="L274" s="457"/>
      <c r="M274" s="457"/>
      <c r="N274" s="451" t="s">
        <v>83</v>
      </c>
      <c r="O274" s="435" t="s">
        <v>84</v>
      </c>
      <c r="P274" s="451" t="s">
        <v>89</v>
      </c>
      <c r="Q274" s="435" t="s">
        <v>84</v>
      </c>
      <c r="R274" s="428"/>
      <c r="S274" s="426"/>
      <c r="T274" s="241"/>
    </row>
    <row r="275" spans="1:20" s="260" customFormat="1" x14ac:dyDescent="0.3">
      <c r="A275" s="255"/>
      <c r="B275" s="327" t="s">
        <v>72</v>
      </c>
      <c r="C275" s="302"/>
      <c r="D275" s="456"/>
      <c r="E275" s="456"/>
      <c r="F275" s="456"/>
      <c r="G275" s="456"/>
      <c r="H275" s="456"/>
      <c r="I275" s="456"/>
      <c r="J275" s="456"/>
      <c r="K275" s="456"/>
      <c r="L275" s="456"/>
      <c r="M275" s="456"/>
      <c r="N275" s="327">
        <v>0</v>
      </c>
      <c r="O275" s="454">
        <v>0</v>
      </c>
      <c r="P275" s="433">
        <v>0</v>
      </c>
      <c r="Q275" s="454">
        <v>0</v>
      </c>
      <c r="R275" s="302"/>
      <c r="S275" s="258"/>
      <c r="T275" s="259"/>
    </row>
    <row r="276" spans="1:20" s="260" customFormat="1" x14ac:dyDescent="0.3">
      <c r="A276" s="275"/>
      <c r="B276" s="313" t="s">
        <v>73</v>
      </c>
      <c r="C276" s="268"/>
      <c r="D276" s="386"/>
      <c r="E276" s="386"/>
      <c r="F276" s="386"/>
      <c r="G276" s="386"/>
      <c r="H276" s="386"/>
      <c r="I276" s="386"/>
      <c r="J276" s="386"/>
      <c r="K276" s="386"/>
      <c r="L276" s="386"/>
      <c r="M276" s="386"/>
      <c r="N276" s="313">
        <v>0</v>
      </c>
      <c r="O276" s="385">
        <v>0</v>
      </c>
      <c r="P276" s="314">
        <v>0</v>
      </c>
      <c r="Q276" s="385">
        <v>0</v>
      </c>
      <c r="R276" s="268"/>
      <c r="S276" s="271"/>
      <c r="T276" s="259"/>
    </row>
    <row r="277" spans="1:20" s="260" customFormat="1" x14ac:dyDescent="0.3">
      <c r="A277" s="275"/>
      <c r="B277" s="313" t="s">
        <v>74</v>
      </c>
      <c r="C277" s="268"/>
      <c r="D277" s="386"/>
      <c r="E277" s="386"/>
      <c r="F277" s="386"/>
      <c r="G277" s="386"/>
      <c r="H277" s="386"/>
      <c r="I277" s="386"/>
      <c r="J277" s="386"/>
      <c r="K277" s="386"/>
      <c r="L277" s="386"/>
      <c r="M277" s="386"/>
      <c r="N277" s="313">
        <v>0</v>
      </c>
      <c r="O277" s="385">
        <v>0</v>
      </c>
      <c r="P277" s="314">
        <v>0</v>
      </c>
      <c r="Q277" s="385">
        <v>0</v>
      </c>
      <c r="R277" s="268"/>
      <c r="S277" s="271"/>
      <c r="T277" s="259"/>
    </row>
    <row r="278" spans="1:20" s="260" customFormat="1" x14ac:dyDescent="0.3">
      <c r="A278" s="275"/>
      <c r="B278" s="313" t="s">
        <v>119</v>
      </c>
      <c r="C278" s="268"/>
      <c r="D278" s="386"/>
      <c r="E278" s="386"/>
      <c r="F278" s="386"/>
      <c r="G278" s="386"/>
      <c r="H278" s="386"/>
      <c r="I278" s="386"/>
      <c r="J278" s="386"/>
      <c r="K278" s="386"/>
      <c r="L278" s="386"/>
      <c r="M278" s="386"/>
      <c r="N278" s="313">
        <v>0</v>
      </c>
      <c r="O278" s="385">
        <v>0</v>
      </c>
      <c r="P278" s="314">
        <v>0</v>
      </c>
      <c r="Q278" s="385">
        <v>0</v>
      </c>
      <c r="R278" s="268"/>
      <c r="S278" s="271"/>
      <c r="T278" s="259"/>
    </row>
    <row r="279" spans="1:20" s="260" customFormat="1" x14ac:dyDescent="0.3">
      <c r="A279" s="275"/>
      <c r="B279" s="313" t="s">
        <v>120</v>
      </c>
      <c r="C279" s="268"/>
      <c r="D279" s="386"/>
      <c r="E279" s="386"/>
      <c r="F279" s="386"/>
      <c r="G279" s="386"/>
      <c r="H279" s="386"/>
      <c r="I279" s="386"/>
      <c r="J279" s="386"/>
      <c r="K279" s="386"/>
      <c r="L279" s="386"/>
      <c r="M279" s="386"/>
      <c r="N279" s="313">
        <v>0</v>
      </c>
      <c r="O279" s="385">
        <v>0</v>
      </c>
      <c r="P279" s="314">
        <v>0</v>
      </c>
      <c r="Q279" s="385">
        <v>0</v>
      </c>
      <c r="R279" s="268"/>
      <c r="S279" s="271"/>
      <c r="T279" s="259"/>
    </row>
    <row r="280" spans="1:20" s="260" customFormat="1" x14ac:dyDescent="0.3">
      <c r="A280" s="275"/>
      <c r="B280" s="313" t="s">
        <v>121</v>
      </c>
      <c r="C280" s="268"/>
      <c r="D280" s="386"/>
      <c r="E280" s="386"/>
      <c r="F280" s="386"/>
      <c r="G280" s="386"/>
      <c r="H280" s="386"/>
      <c r="I280" s="386"/>
      <c r="J280" s="386"/>
      <c r="K280" s="386"/>
      <c r="L280" s="386"/>
      <c r="M280" s="386"/>
      <c r="N280" s="313">
        <v>0</v>
      </c>
      <c r="O280" s="385">
        <v>0</v>
      </c>
      <c r="P280" s="314">
        <v>0</v>
      </c>
      <c r="Q280" s="385">
        <v>0</v>
      </c>
      <c r="R280" s="268"/>
      <c r="S280" s="271"/>
      <c r="T280" s="259"/>
    </row>
    <row r="281" spans="1:20" s="260" customFormat="1" x14ac:dyDescent="0.3">
      <c r="A281" s="275"/>
      <c r="B281" s="313" t="s">
        <v>122</v>
      </c>
      <c r="C281" s="268"/>
      <c r="D281" s="386"/>
      <c r="E281" s="386"/>
      <c r="F281" s="386"/>
      <c r="G281" s="386"/>
      <c r="H281" s="386"/>
      <c r="I281" s="386"/>
      <c r="J281" s="386"/>
      <c r="K281" s="386"/>
      <c r="L281" s="386"/>
      <c r="M281" s="386"/>
      <c r="N281" s="313">
        <v>0</v>
      </c>
      <c r="O281" s="385">
        <v>0</v>
      </c>
      <c r="P281" s="314">
        <v>0</v>
      </c>
      <c r="Q281" s="385">
        <v>0</v>
      </c>
      <c r="R281" s="268"/>
      <c r="S281" s="271"/>
      <c r="T281" s="259"/>
    </row>
    <row r="282" spans="1:20" s="260" customFormat="1" x14ac:dyDescent="0.3">
      <c r="A282" s="275"/>
      <c r="B282" s="313" t="s">
        <v>123</v>
      </c>
      <c r="C282" s="268"/>
      <c r="D282" s="386"/>
      <c r="E282" s="386"/>
      <c r="F282" s="386"/>
      <c r="G282" s="386"/>
      <c r="H282" s="386"/>
      <c r="I282" s="386"/>
      <c r="J282" s="386"/>
      <c r="K282" s="386"/>
      <c r="L282" s="386"/>
      <c r="M282" s="386"/>
      <c r="N282" s="313">
        <v>0</v>
      </c>
      <c r="O282" s="385">
        <v>0</v>
      </c>
      <c r="P282" s="314">
        <v>0</v>
      </c>
      <c r="Q282" s="385">
        <v>0</v>
      </c>
      <c r="R282" s="268"/>
      <c r="S282" s="271"/>
      <c r="T282" s="259"/>
    </row>
    <row r="283" spans="1:20" s="260" customFormat="1" x14ac:dyDescent="0.3">
      <c r="A283" s="275"/>
      <c r="B283" s="313"/>
      <c r="C283" s="268"/>
      <c r="D283" s="386"/>
      <c r="E283" s="386"/>
      <c r="F283" s="386"/>
      <c r="G283" s="386"/>
      <c r="H283" s="386"/>
      <c r="I283" s="386"/>
      <c r="J283" s="386"/>
      <c r="K283" s="386"/>
      <c r="L283" s="386"/>
      <c r="M283" s="386"/>
      <c r="N283" s="313"/>
      <c r="O283" s="385"/>
      <c r="P283" s="314"/>
      <c r="Q283" s="385"/>
      <c r="R283" s="268"/>
      <c r="S283" s="271"/>
      <c r="T283" s="259"/>
    </row>
    <row r="284" spans="1:20" s="260" customFormat="1" x14ac:dyDescent="0.3">
      <c r="A284" s="275"/>
      <c r="B284" s="268" t="s">
        <v>94</v>
      </c>
      <c r="C284" s="268"/>
      <c r="D284" s="386"/>
      <c r="E284" s="386"/>
      <c r="F284" s="386"/>
      <c r="G284" s="386"/>
      <c r="H284" s="386"/>
      <c r="I284" s="386"/>
      <c r="J284" s="386"/>
      <c r="K284" s="386"/>
      <c r="L284" s="386"/>
      <c r="M284" s="386"/>
      <c r="N284" s="313">
        <f>SUM(N275:N282)</f>
        <v>0</v>
      </c>
      <c r="O284" s="385">
        <f>SUM(O275:O282)</f>
        <v>0</v>
      </c>
      <c r="P284" s="314">
        <f>SUM(P275:P282)</f>
        <v>0</v>
      </c>
      <c r="Q284" s="385">
        <f>SUM(Q275:Q282)</f>
        <v>0</v>
      </c>
      <c r="R284" s="268"/>
      <c r="S284" s="271"/>
      <c r="T284" s="259"/>
    </row>
    <row r="285" spans="1:20" s="260" customFormat="1" x14ac:dyDescent="0.3">
      <c r="A285" s="275"/>
      <c r="B285" s="268"/>
      <c r="C285" s="268"/>
      <c r="D285" s="386"/>
      <c r="E285" s="386"/>
      <c r="F285" s="386"/>
      <c r="G285" s="386"/>
      <c r="H285" s="386"/>
      <c r="I285" s="386"/>
      <c r="J285" s="386"/>
      <c r="K285" s="386"/>
      <c r="L285" s="386"/>
      <c r="M285" s="386"/>
      <c r="N285" s="313"/>
      <c r="O285" s="385"/>
      <c r="P285" s="314"/>
      <c r="Q285" s="385"/>
      <c r="R285" s="268"/>
      <c r="S285" s="271"/>
      <c r="T285" s="259"/>
    </row>
    <row r="286" spans="1:20" s="260" customFormat="1" x14ac:dyDescent="0.3">
      <c r="A286" s="275"/>
      <c r="B286" s="272" t="s">
        <v>182</v>
      </c>
      <c r="C286" s="268"/>
      <c r="D286" s="386"/>
      <c r="E286" s="386"/>
      <c r="F286" s="386"/>
      <c r="G286" s="386"/>
      <c r="H286" s="386"/>
      <c r="I286" s="386"/>
      <c r="J286" s="386"/>
      <c r="K286" s="386"/>
      <c r="L286" s="386"/>
      <c r="M286" s="386"/>
      <c r="N286" s="390">
        <f>N284+N272+N260</f>
        <v>0</v>
      </c>
      <c r="O286" s="385"/>
      <c r="P286" s="391">
        <f>+P284+P272+P260</f>
        <v>0</v>
      </c>
      <c r="Q286" s="385"/>
      <c r="R286" s="268"/>
      <c r="S286" s="271"/>
      <c r="T286" s="259"/>
    </row>
    <row r="287" spans="1:20" s="260" customFormat="1" x14ac:dyDescent="0.3">
      <c r="A287" s="275"/>
      <c r="B287" s="272" t="s">
        <v>247</v>
      </c>
      <c r="C287" s="272"/>
      <c r="D287" s="392"/>
      <c r="E287" s="392"/>
      <c r="F287" s="392"/>
      <c r="G287" s="392"/>
      <c r="H287" s="392"/>
      <c r="I287" s="392"/>
      <c r="J287" s="392"/>
      <c r="K287" s="392"/>
      <c r="L287" s="392"/>
      <c r="M287" s="392"/>
      <c r="N287" s="390"/>
      <c r="O287" s="393"/>
      <c r="P287" s="391">
        <f>+R173</f>
        <v>0</v>
      </c>
      <c r="Q287" s="385"/>
      <c r="R287" s="268"/>
      <c r="S287" s="271"/>
      <c r="T287" s="259"/>
    </row>
    <row r="288" spans="1:20" s="260" customFormat="1" x14ac:dyDescent="0.3">
      <c r="A288" s="275"/>
      <c r="B288" s="272" t="s">
        <v>126</v>
      </c>
      <c r="C288" s="272"/>
      <c r="D288" s="392"/>
      <c r="E288" s="392"/>
      <c r="F288" s="392"/>
      <c r="G288" s="392"/>
      <c r="H288" s="392"/>
      <c r="I288" s="392"/>
      <c r="J288" s="392"/>
      <c r="K288" s="392"/>
      <c r="L288" s="392"/>
      <c r="M288" s="392"/>
      <c r="N288" s="390"/>
      <c r="O288" s="393"/>
      <c r="P288" s="391">
        <f>+P286+P287</f>
        <v>0</v>
      </c>
      <c r="Q288" s="385"/>
      <c r="R288" s="268"/>
      <c r="S288" s="271"/>
      <c r="T288" s="259"/>
    </row>
    <row r="289" spans="1:20" s="260" customFormat="1" x14ac:dyDescent="0.3">
      <c r="A289" s="275"/>
      <c r="B289" s="272" t="s">
        <v>181</v>
      </c>
      <c r="C289" s="268"/>
      <c r="D289" s="386"/>
      <c r="E289" s="386"/>
      <c r="F289" s="386"/>
      <c r="G289" s="386"/>
      <c r="H289" s="386"/>
      <c r="I289" s="386"/>
      <c r="J289" s="386"/>
      <c r="K289" s="386"/>
      <c r="L289" s="386"/>
      <c r="M289" s="386"/>
      <c r="N289" s="390"/>
      <c r="O289" s="385"/>
      <c r="P289" s="391">
        <f>+R72</f>
        <v>0</v>
      </c>
      <c r="Q289" s="385"/>
      <c r="R289" s="268"/>
      <c r="S289" s="271"/>
      <c r="T289" s="259"/>
    </row>
    <row r="290" spans="1:20" s="260" customFormat="1" x14ac:dyDescent="0.3">
      <c r="A290" s="275"/>
      <c r="B290" s="272"/>
      <c r="C290" s="268"/>
      <c r="D290" s="386"/>
      <c r="E290" s="386"/>
      <c r="F290" s="386"/>
      <c r="G290" s="386"/>
      <c r="H290" s="386"/>
      <c r="I290" s="386"/>
      <c r="J290" s="386"/>
      <c r="K290" s="386"/>
      <c r="L290" s="386"/>
      <c r="M290" s="386"/>
      <c r="N290" s="390"/>
      <c r="O290" s="385"/>
      <c r="P290" s="391"/>
      <c r="Q290" s="385"/>
      <c r="R290" s="268"/>
      <c r="S290" s="271"/>
      <c r="T290" s="259"/>
    </row>
    <row r="291" spans="1:20" s="260" customFormat="1" x14ac:dyDescent="0.3">
      <c r="A291" s="275"/>
      <c r="B291" s="272" t="s">
        <v>221</v>
      </c>
      <c r="C291" s="268"/>
      <c r="D291" s="386"/>
      <c r="E291" s="386"/>
      <c r="F291" s="386"/>
      <c r="G291" s="386"/>
      <c r="H291" s="386"/>
      <c r="I291" s="386"/>
      <c r="J291" s="386"/>
      <c r="K291" s="386"/>
      <c r="L291" s="386"/>
      <c r="M291" s="386"/>
      <c r="N291" s="390"/>
      <c r="O291" s="385"/>
      <c r="P291" s="394" t="s">
        <v>97</v>
      </c>
      <c r="Q291" s="385"/>
      <c r="R291" s="268"/>
      <c r="S291" s="271"/>
      <c r="T291" s="259"/>
    </row>
    <row r="292" spans="1:20" s="260" customFormat="1" x14ac:dyDescent="0.3">
      <c r="A292" s="255"/>
      <c r="B292" s="256"/>
      <c r="C292" s="256"/>
      <c r="D292" s="395"/>
      <c r="E292" s="395"/>
      <c r="F292" s="395"/>
      <c r="G292" s="395"/>
      <c r="H292" s="395"/>
      <c r="I292" s="395"/>
      <c r="J292" s="395"/>
      <c r="K292" s="395"/>
      <c r="L292" s="395"/>
      <c r="M292" s="395"/>
      <c r="N292" s="395"/>
      <c r="O292" s="395"/>
      <c r="P292" s="396"/>
      <c r="Q292" s="395"/>
      <c r="R292" s="256"/>
      <c r="S292" s="258"/>
      <c r="T292" s="259"/>
    </row>
    <row r="293" spans="1:20" s="260" customFormat="1" x14ac:dyDescent="0.3">
      <c r="A293" s="255"/>
      <c r="B293" s="254" t="s">
        <v>75</v>
      </c>
      <c r="C293" s="256"/>
      <c r="D293" s="397" t="s">
        <v>79</v>
      </c>
      <c r="E293" s="254"/>
      <c r="F293" s="254" t="s">
        <v>80</v>
      </c>
      <c r="G293" s="256"/>
      <c r="H293" s="254"/>
      <c r="I293" s="256"/>
      <c r="J293" s="256"/>
      <c r="K293" s="256"/>
      <c r="L293" s="256"/>
      <c r="M293" s="256"/>
      <c r="N293" s="256"/>
      <c r="O293" s="256"/>
      <c r="P293" s="256"/>
      <c r="Q293" s="256"/>
      <c r="R293" s="256"/>
      <c r="S293" s="258"/>
      <c r="T293" s="259"/>
    </row>
    <row r="294" spans="1:20" s="260" customFormat="1" x14ac:dyDescent="0.3">
      <c r="A294" s="255"/>
      <c r="B294" s="256"/>
      <c r="C294" s="256"/>
      <c r="D294" s="256"/>
      <c r="E294" s="256"/>
      <c r="F294" s="256"/>
      <c r="G294" s="256"/>
      <c r="H294" s="256"/>
      <c r="I294" s="256"/>
      <c r="J294" s="256"/>
      <c r="K294" s="256"/>
      <c r="L294" s="256"/>
      <c r="M294" s="256"/>
      <c r="N294" s="256"/>
      <c r="O294" s="256"/>
      <c r="P294" s="256"/>
      <c r="Q294" s="256"/>
      <c r="R294" s="256"/>
      <c r="S294" s="258"/>
      <c r="T294" s="259"/>
    </row>
    <row r="295" spans="1:20" s="260" customFormat="1" x14ac:dyDescent="0.3">
      <c r="A295" s="255"/>
      <c r="B295" s="254" t="s">
        <v>212</v>
      </c>
      <c r="C295" s="254"/>
      <c r="D295" s="398" t="s">
        <v>147</v>
      </c>
      <c r="E295" s="254"/>
      <c r="F295" s="458" t="s">
        <v>272</v>
      </c>
      <c r="G295" s="254"/>
      <c r="H295" s="254"/>
      <c r="I295" s="256"/>
      <c r="J295" s="256"/>
      <c r="K295" s="256"/>
      <c r="L295" s="256"/>
      <c r="M295" s="256"/>
      <c r="N295" s="256"/>
      <c r="O295" s="256"/>
      <c r="P295" s="256"/>
      <c r="Q295" s="256"/>
      <c r="R295" s="256"/>
      <c r="S295" s="258"/>
      <c r="T295" s="259"/>
    </row>
    <row r="296" spans="1:20" s="260" customFormat="1" x14ac:dyDescent="0.3">
      <c r="A296" s="255"/>
      <c r="B296" s="254" t="s">
        <v>213</v>
      </c>
      <c r="C296" s="254"/>
      <c r="D296" s="398" t="s">
        <v>114</v>
      </c>
      <c r="E296" s="254"/>
      <c r="F296" s="458" t="s">
        <v>273</v>
      </c>
      <c r="G296" s="254"/>
      <c r="H296" s="254"/>
      <c r="I296" s="256"/>
      <c r="J296" s="256"/>
      <c r="K296" s="256"/>
      <c r="L296" s="256"/>
      <c r="M296" s="256"/>
      <c r="N296" s="256"/>
      <c r="O296" s="256"/>
      <c r="P296" s="256"/>
      <c r="Q296" s="256"/>
      <c r="R296" s="256"/>
      <c r="S296" s="258"/>
      <c r="T296" s="259"/>
    </row>
    <row r="297" spans="1:20" s="260" customFormat="1" x14ac:dyDescent="0.3">
      <c r="A297" s="255"/>
      <c r="B297" s="254"/>
      <c r="C297" s="254"/>
      <c r="D297" s="256"/>
      <c r="E297" s="256"/>
      <c r="F297" s="256"/>
      <c r="G297" s="256"/>
      <c r="H297" s="256"/>
      <c r="I297" s="256"/>
      <c r="J297" s="256"/>
      <c r="K297" s="256"/>
      <c r="L297" s="256"/>
      <c r="M297" s="256"/>
      <c r="N297" s="256"/>
      <c r="O297" s="256"/>
      <c r="P297" s="256"/>
      <c r="Q297" s="256"/>
      <c r="R297" s="256"/>
      <c r="S297" s="258"/>
      <c r="T297" s="259"/>
    </row>
    <row r="298" spans="1:20" s="260" customFormat="1" x14ac:dyDescent="0.3">
      <c r="A298" s="255"/>
      <c r="B298" s="254"/>
      <c r="C298" s="254"/>
      <c r="D298" s="256"/>
      <c r="E298" s="256"/>
      <c r="F298" s="256"/>
      <c r="G298" s="256"/>
      <c r="H298" s="256"/>
      <c r="I298" s="256"/>
      <c r="J298" s="256"/>
      <c r="K298" s="256"/>
      <c r="L298" s="256"/>
      <c r="M298" s="256"/>
      <c r="N298" s="256"/>
      <c r="O298" s="256"/>
      <c r="P298" s="256"/>
      <c r="Q298" s="256"/>
      <c r="R298" s="256"/>
      <c r="S298" s="258"/>
      <c r="T298" s="259"/>
    </row>
    <row r="299" spans="1:20" s="260" customFormat="1" ht="18.600000000000001" thickBot="1" x14ac:dyDescent="0.4">
      <c r="A299" s="255"/>
      <c r="B299" s="399" t="str">
        <f>B198</f>
        <v>PM21 INVESTOR REPORT QUARTER ENDING NOVEMBER 2018</v>
      </c>
      <c r="C299" s="254"/>
      <c r="D299" s="256"/>
      <c r="E299" s="256"/>
      <c r="F299" s="256"/>
      <c r="G299" s="256"/>
      <c r="H299" s="256"/>
      <c r="I299" s="256"/>
      <c r="J299" s="256"/>
      <c r="K299" s="256"/>
      <c r="L299" s="256"/>
      <c r="M299" s="256"/>
      <c r="N299" s="256"/>
      <c r="O299" s="256"/>
      <c r="P299" s="256"/>
      <c r="Q299" s="256"/>
      <c r="R299" s="256"/>
      <c r="S299" s="311"/>
      <c r="T299" s="259"/>
    </row>
    <row r="300" spans="1:20" x14ac:dyDescent="0.3">
      <c r="A300" s="400"/>
      <c r="B300" s="400"/>
      <c r="C300" s="400"/>
      <c r="D300" s="400"/>
      <c r="E300" s="400"/>
      <c r="F300" s="400"/>
      <c r="G300" s="400"/>
      <c r="H300" s="400"/>
      <c r="I300" s="400"/>
      <c r="J300" s="400"/>
      <c r="K300" s="400"/>
      <c r="L300" s="400"/>
      <c r="M300" s="400"/>
      <c r="N300" s="400"/>
      <c r="O300" s="400"/>
      <c r="P300" s="400"/>
      <c r="Q300" s="400"/>
      <c r="R300" s="400"/>
      <c r="S300" s="400"/>
    </row>
  </sheetData>
  <hyperlinks>
    <hyperlink ref="K9" r:id="rId1"/>
    <hyperlink ref="N236"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4" max="18" man="1"/>
    <brk id="198" max="18" man="1"/>
  </rowBreaks>
  <colBreaks count="1" manualBreakCount="1">
    <brk id="19" max="299"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29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81640625" style="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42177</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188</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216010.807</v>
      </c>
      <c r="E29" s="130"/>
      <c r="F29" s="202">
        <f>F28*F32</f>
        <v>17700</v>
      </c>
      <c r="G29" s="202"/>
      <c r="H29" s="202">
        <f>H28*H32</f>
        <v>8100</v>
      </c>
      <c r="I29" s="126"/>
      <c r="J29" s="202">
        <f>J28*J32</f>
        <v>6300</v>
      </c>
      <c r="K29" s="126"/>
      <c r="L29" s="130"/>
      <c r="M29" s="126"/>
      <c r="N29" s="130"/>
      <c r="O29" s="126"/>
      <c r="P29" s="126"/>
      <c r="Q29" s="127"/>
      <c r="R29" s="126">
        <f>SUM(D29:J29)</f>
        <v>248110.807</v>
      </c>
      <c r="S29" s="128"/>
      <c r="T29" s="2"/>
    </row>
    <row r="30" spans="1:23" ht="15.6" x14ac:dyDescent="0.3">
      <c r="A30" s="122"/>
      <c r="B30" s="121" t="s">
        <v>107</v>
      </c>
      <c r="C30" s="125"/>
      <c r="D30" s="203">
        <f>D28*D31</f>
        <v>211505.96419</v>
      </c>
      <c r="E30" s="203"/>
      <c r="F30" s="203">
        <f t="shared" ref="F30:J30" si="0">F28*F31</f>
        <v>17700</v>
      </c>
      <c r="G30" s="203"/>
      <c r="H30" s="203">
        <f>H28*H31</f>
        <v>8100</v>
      </c>
      <c r="I30" s="203"/>
      <c r="J30" s="203">
        <f t="shared" si="0"/>
        <v>6300</v>
      </c>
      <c r="K30" s="131"/>
      <c r="L30" s="133"/>
      <c r="M30" s="131"/>
      <c r="N30" s="133"/>
      <c r="O30" s="126"/>
      <c r="P30" s="126"/>
      <c r="Q30" s="127"/>
      <c r="R30" s="204">
        <f>SUM(D30:J30)</f>
        <v>243605.96419</v>
      </c>
      <c r="S30" s="128"/>
      <c r="T30" s="2"/>
    </row>
    <row r="31" spans="1:23" ht="15.6" x14ac:dyDescent="0.3">
      <c r="A31" s="112"/>
      <c r="B31" s="134" t="s">
        <v>103</v>
      </c>
      <c r="C31" s="135"/>
      <c r="D31" s="136">
        <v>0.97065610000000002</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0.99133000000000004</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1.3639999999999999E-2</v>
      </c>
      <c r="E34" s="143"/>
      <c r="F34" s="143">
        <v>1.9640000000000001E-2</v>
      </c>
      <c r="G34" s="143"/>
      <c r="H34" s="143">
        <v>2.3140000000000001E-2</v>
      </c>
      <c r="I34" s="143"/>
      <c r="J34" s="143">
        <v>2.664E-2</v>
      </c>
      <c r="K34" s="143"/>
      <c r="L34" s="143"/>
      <c r="M34" s="142"/>
      <c r="N34" s="143"/>
      <c r="O34" s="123"/>
      <c r="P34" s="123"/>
      <c r="Q34" s="115"/>
      <c r="R34" s="142">
        <f>SUMPRODUCT(D34:J34,D29:J29)/R29</f>
        <v>1.470827269317616E-2</v>
      </c>
      <c r="S34" s="116"/>
      <c r="T34" s="2"/>
    </row>
    <row r="35" spans="1:21" ht="15.6" x14ac:dyDescent="0.3">
      <c r="A35" s="112"/>
      <c r="B35" s="113" t="s">
        <v>10</v>
      </c>
      <c r="C35" s="144"/>
      <c r="D35" s="143">
        <v>1.4010399999999999E-2</v>
      </c>
      <c r="E35" s="143"/>
      <c r="F35" s="143">
        <v>2.0010400000000001E-2</v>
      </c>
      <c r="G35" s="143"/>
      <c r="H35" s="143">
        <v>2.3510400000000001E-2</v>
      </c>
      <c r="I35" s="143"/>
      <c r="J35" s="143">
        <v>2.70104E-2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0.15176876984501456</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42170</v>
      </c>
      <c r="S45" s="116"/>
      <c r="T45" s="2"/>
    </row>
    <row r="46" spans="1:21" ht="15.6" x14ac:dyDescent="0.3">
      <c r="A46" s="112"/>
      <c r="B46" s="113" t="s">
        <v>99</v>
      </c>
      <c r="C46" s="113"/>
      <c r="D46" s="150"/>
      <c r="E46" s="150"/>
      <c r="F46" s="150"/>
      <c r="G46" s="150"/>
      <c r="H46" s="150"/>
      <c r="I46" s="150"/>
      <c r="J46" s="150"/>
      <c r="K46" s="150"/>
      <c r="L46" s="150"/>
      <c r="M46" s="150"/>
      <c r="N46" s="113">
        <f>+R46-P46+1</f>
        <v>123</v>
      </c>
      <c r="O46" s="113"/>
      <c r="P46" s="151">
        <v>41956</v>
      </c>
      <c r="Q46" s="152"/>
      <c r="R46" s="151">
        <v>42078</v>
      </c>
      <c r="S46" s="116"/>
      <c r="T46" s="2"/>
    </row>
    <row r="47" spans="1:21" ht="15.6" x14ac:dyDescent="0.3">
      <c r="A47" s="112"/>
      <c r="B47" s="113" t="s">
        <v>100</v>
      </c>
      <c r="C47" s="113"/>
      <c r="D47" s="113"/>
      <c r="E47" s="113"/>
      <c r="F47" s="113"/>
      <c r="G47" s="113"/>
      <c r="H47" s="113"/>
      <c r="I47" s="113"/>
      <c r="J47" s="113"/>
      <c r="K47" s="113"/>
      <c r="L47" s="113"/>
      <c r="M47" s="113"/>
      <c r="N47" s="113">
        <f>+R47-P47+1</f>
        <v>91</v>
      </c>
      <c r="O47" s="113"/>
      <c r="P47" s="151">
        <v>42079</v>
      </c>
      <c r="Q47" s="152"/>
      <c r="R47" s="151">
        <v>42169</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42156</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254</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245936</v>
      </c>
      <c r="I56" s="155"/>
      <c r="J56" s="156">
        <v>137</v>
      </c>
      <c r="K56" s="155"/>
      <c r="L56" s="155">
        <f>4484+21+111-137</f>
        <v>4479</v>
      </c>
      <c r="M56" s="155"/>
      <c r="N56" s="155">
        <f>21+111</f>
        <v>132</v>
      </c>
      <c r="O56" s="155"/>
      <c r="P56" s="155">
        <v>0</v>
      </c>
      <c r="Q56" s="155"/>
      <c r="R56" s="156">
        <f>H56-J56-L56+N56-P56</f>
        <v>241452</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245936</v>
      </c>
      <c r="I59" s="155"/>
      <c r="J59" s="155">
        <f>J56+J57</f>
        <v>137</v>
      </c>
      <c r="K59" s="155"/>
      <c r="L59" s="155">
        <f>SUM(L56:L58)</f>
        <v>4479</v>
      </c>
      <c r="M59" s="155"/>
      <c r="N59" s="155">
        <f>SUM(N56:N58)</f>
        <v>132</v>
      </c>
      <c r="O59" s="155"/>
      <c r="P59" s="155">
        <f>SUM(P56:P58)</f>
        <v>0</v>
      </c>
      <c r="Q59" s="155"/>
      <c r="R59" s="155">
        <f>SUM(R56:R58)</f>
        <v>241452</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2175</v>
      </c>
      <c r="I70" s="155"/>
      <c r="J70" s="155"/>
      <c r="K70" s="155"/>
      <c r="L70" s="155"/>
      <c r="M70" s="155"/>
      <c r="N70" s="155">
        <v>-21</v>
      </c>
      <c r="O70" s="155"/>
      <c r="P70" s="155"/>
      <c r="Q70" s="155"/>
      <c r="R70" s="155">
        <f>+H70+N70</f>
        <v>2154</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248111</v>
      </c>
      <c r="I72" s="155"/>
      <c r="J72" s="155"/>
      <c r="K72" s="155"/>
      <c r="L72" s="155"/>
      <c r="M72" s="155"/>
      <c r="N72" s="155"/>
      <c r="O72" s="155"/>
      <c r="P72" s="155"/>
      <c r="Q72" s="155"/>
      <c r="R72" s="155">
        <f>SUM(R59:R71)</f>
        <v>243606</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+P196</f>
        <v>42153</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21</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f>-P77</f>
        <v>-21</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4616</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2746-233</f>
        <v>2513</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51</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16</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16</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462</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4616</v>
      </c>
      <c r="Q89" s="113"/>
      <c r="R89" s="155">
        <f>SUM(R76:R88)</f>
        <v>3058</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4616</v>
      </c>
      <c r="Q92" s="113"/>
      <c r="R92" s="155">
        <f>R89+R90+R91</f>
        <v>3058</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236</v>
      </c>
      <c r="C96" s="113"/>
      <c r="D96" s="135"/>
      <c r="E96" s="135"/>
      <c r="F96" s="135"/>
      <c r="G96" s="135"/>
      <c r="H96" s="135"/>
      <c r="I96" s="135"/>
      <c r="J96" s="135"/>
      <c r="K96" s="135"/>
      <c r="L96" s="135"/>
      <c r="M96" s="135"/>
      <c r="N96" s="135"/>
      <c r="O96" s="135"/>
      <c r="P96" s="113"/>
      <c r="Q96" s="113"/>
      <c r="R96" s="156">
        <f>-93-1-3</f>
        <v>-97</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-282</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-735</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-87</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-47</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-1</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-42</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-93</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-29-168</f>
        <v>-197</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-1454</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-P178</f>
        <v>-111</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v>0</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-4505</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-4616</v>
      </c>
      <c r="Q119" s="155"/>
      <c r="R119" s="155">
        <f>SUM(R93:R118)</f>
        <v>-3058</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MAY 2015</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317.35089524999967</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5932.6491047500003</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f>+'February 15'!R150</f>
        <v>2175</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-21</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0</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2154</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+'February 15'!R164</f>
        <v>311</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144</v>
      </c>
      <c r="C162" s="113"/>
      <c r="D162" s="113"/>
      <c r="E162" s="113"/>
      <c r="F162" s="113"/>
      <c r="G162" s="113"/>
      <c r="H162" s="113"/>
      <c r="I162" s="113"/>
      <c r="J162" s="113"/>
      <c r="K162" s="113"/>
      <c r="L162" s="113"/>
      <c r="M162" s="113"/>
      <c r="N162" s="113"/>
      <c r="O162" s="113"/>
      <c r="P162" s="113"/>
      <c r="Q162" s="113"/>
      <c r="R162" s="156">
        <f>+R84</f>
        <v>16</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142</v>
      </c>
      <c r="C163" s="113"/>
      <c r="D163" s="113"/>
      <c r="E163" s="113"/>
      <c r="F163" s="113"/>
      <c r="G163" s="113"/>
      <c r="H163" s="113"/>
      <c r="I163" s="113"/>
      <c r="J163" s="113"/>
      <c r="K163" s="113"/>
      <c r="L163" s="113"/>
      <c r="M163" s="113"/>
      <c r="N163" s="113"/>
      <c r="O163" s="113"/>
      <c r="P163" s="113"/>
      <c r="Q163" s="113"/>
      <c r="R163" s="156">
        <f>+R161-R162</f>
        <v>295</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2"/>
      <c r="S164" s="218"/>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217"/>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44</v>
      </c>
      <c r="C166" s="14"/>
      <c r="D166" s="14"/>
      <c r="E166" s="14"/>
      <c r="F166" s="14"/>
      <c r="G166" s="14"/>
      <c r="H166" s="14"/>
      <c r="I166" s="14"/>
      <c r="J166" s="14"/>
      <c r="K166" s="14"/>
      <c r="L166" s="14"/>
      <c r="M166" s="14"/>
      <c r="N166" s="14"/>
      <c r="O166" s="14"/>
      <c r="P166" s="14"/>
      <c r="Q166" s="14"/>
      <c r="R166" s="33"/>
      <c r="S166" s="218"/>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218"/>
      <c r="T167" s="2"/>
    </row>
    <row r="168" spans="1:252" ht="15.6" x14ac:dyDescent="0.3">
      <c r="A168" s="112"/>
      <c r="B168" s="113" t="s">
        <v>177</v>
      </c>
      <c r="C168" s="113"/>
      <c r="D168" s="113"/>
      <c r="E168" s="113"/>
      <c r="F168" s="113"/>
      <c r="G168" s="113"/>
      <c r="H168" s="113"/>
      <c r="I168" s="113"/>
      <c r="J168" s="113"/>
      <c r="K168" s="113"/>
      <c r="L168" s="113"/>
      <c r="M168" s="113"/>
      <c r="N168" s="113"/>
      <c r="O168" s="113"/>
      <c r="P168" s="113"/>
      <c r="Q168" s="113"/>
      <c r="R168" s="156">
        <f>+R59</f>
        <v>241452</v>
      </c>
      <c r="S168" s="116"/>
      <c r="T168" s="2"/>
    </row>
    <row r="169" spans="1:252" ht="15.6" x14ac:dyDescent="0.3">
      <c r="A169" s="112"/>
      <c r="B169" s="113" t="s">
        <v>178</v>
      </c>
      <c r="C169" s="113"/>
      <c r="D169" s="113"/>
      <c r="E169" s="113"/>
      <c r="F169" s="113"/>
      <c r="G169" s="113"/>
      <c r="H169" s="113"/>
      <c r="I169" s="113"/>
      <c r="J169" s="113"/>
      <c r="K169" s="113"/>
      <c r="L169" s="113"/>
      <c r="M169" s="113"/>
      <c r="N169" s="113"/>
      <c r="O169" s="113"/>
      <c r="P169" s="113"/>
      <c r="Q169" s="113"/>
      <c r="R169" s="156">
        <f>+R69</f>
        <v>0</v>
      </c>
      <c r="S169" s="116"/>
      <c r="T169" s="2"/>
    </row>
    <row r="170" spans="1:252" ht="15.6" x14ac:dyDescent="0.3">
      <c r="A170" s="112"/>
      <c r="B170" s="113" t="s">
        <v>246</v>
      </c>
      <c r="C170" s="113"/>
      <c r="D170" s="113"/>
      <c r="E170" s="113"/>
      <c r="F170" s="113"/>
      <c r="G170" s="113"/>
      <c r="H170" s="113"/>
      <c r="I170" s="113"/>
      <c r="J170" s="113"/>
      <c r="K170" s="113"/>
      <c r="L170" s="113"/>
      <c r="M170" s="113"/>
      <c r="N170" s="113"/>
      <c r="O170" s="113"/>
      <c r="P170" s="113"/>
      <c r="Q170" s="113"/>
      <c r="R170" s="156">
        <f>+R70</f>
        <v>2154</v>
      </c>
      <c r="S170" s="116"/>
      <c r="T170" s="2"/>
    </row>
    <row r="171" spans="1:252" ht="15.6" x14ac:dyDescent="0.3">
      <c r="A171" s="112"/>
      <c r="B171" s="113" t="s">
        <v>126</v>
      </c>
      <c r="C171" s="113"/>
      <c r="D171" s="113"/>
      <c r="E171" s="113"/>
      <c r="F171" s="113"/>
      <c r="G171" s="113"/>
      <c r="H171" s="113"/>
      <c r="I171" s="113"/>
      <c r="J171" s="113"/>
      <c r="K171" s="113"/>
      <c r="L171" s="113"/>
      <c r="M171" s="113"/>
      <c r="N171" s="113"/>
      <c r="O171" s="113"/>
      <c r="P171" s="113"/>
      <c r="Q171" s="113"/>
      <c r="R171" s="156">
        <f>+R168+R169+R170</f>
        <v>243606</v>
      </c>
      <c r="S171" s="116"/>
      <c r="T171" s="2"/>
    </row>
    <row r="172" spans="1:252" ht="15.6" x14ac:dyDescent="0.3">
      <c r="A172" s="112"/>
      <c r="B172" s="113" t="s">
        <v>45</v>
      </c>
      <c r="C172" s="113"/>
      <c r="D172" s="113"/>
      <c r="E172" s="113"/>
      <c r="F172" s="113"/>
      <c r="G172" s="113"/>
      <c r="H172" s="113"/>
      <c r="I172" s="113"/>
      <c r="J172" s="113"/>
      <c r="K172" s="113"/>
      <c r="L172" s="113"/>
      <c r="M172" s="113"/>
      <c r="N172" s="113"/>
      <c r="O172" s="113"/>
      <c r="P172" s="113"/>
      <c r="Q172" s="113"/>
      <c r="R172" s="156">
        <f>R72</f>
        <v>243606</v>
      </c>
      <c r="S172" s="116"/>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2"/>
      <c r="S173" s="218"/>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217"/>
      <c r="T174" s="2"/>
    </row>
    <row r="175" spans="1:252" ht="15.6" x14ac:dyDescent="0.3">
      <c r="A175" s="12"/>
      <c r="B175" s="41" t="s">
        <v>46</v>
      </c>
      <c r="C175" s="37"/>
      <c r="D175" s="45"/>
      <c r="E175" s="45"/>
      <c r="F175" s="45"/>
      <c r="G175" s="45"/>
      <c r="H175" s="45"/>
      <c r="I175" s="45"/>
      <c r="J175" s="45"/>
      <c r="K175" s="45"/>
      <c r="L175" s="45"/>
      <c r="M175" s="45"/>
      <c r="N175" s="45"/>
      <c r="O175" s="45" t="s">
        <v>82</v>
      </c>
      <c r="P175" s="45" t="s">
        <v>173</v>
      </c>
      <c r="Q175" s="16"/>
      <c r="R175" s="46" t="s">
        <v>94</v>
      </c>
      <c r="S175" s="225"/>
      <c r="T175" s="2"/>
    </row>
    <row r="176" spans="1:252" ht="15.6" x14ac:dyDescent="0.3">
      <c r="A176" s="112"/>
      <c r="B176" s="113" t="s">
        <v>47</v>
      </c>
      <c r="C176" s="113"/>
      <c r="D176" s="113"/>
      <c r="E176" s="113"/>
      <c r="F176" s="113"/>
      <c r="G176" s="113"/>
      <c r="H176" s="113"/>
      <c r="I176" s="113"/>
      <c r="J176" s="113"/>
      <c r="K176" s="113"/>
      <c r="L176" s="113"/>
      <c r="M176" s="113"/>
      <c r="N176" s="113"/>
      <c r="O176" s="156">
        <f>+R28*0.05</f>
        <v>12500</v>
      </c>
      <c r="P176" s="145"/>
      <c r="Q176" s="113"/>
      <c r="R176" s="156"/>
      <c r="S176" s="116"/>
      <c r="T176" s="2"/>
    </row>
    <row r="177" spans="1:20" ht="15.6" x14ac:dyDescent="0.3">
      <c r="A177" s="112"/>
      <c r="B177" s="113" t="s">
        <v>48</v>
      </c>
      <c r="C177" s="113"/>
      <c r="D177" s="113"/>
      <c r="E177" s="113"/>
      <c r="F177" s="113"/>
      <c r="G177" s="113"/>
      <c r="H177" s="113"/>
      <c r="I177" s="113"/>
      <c r="J177" s="113"/>
      <c r="K177" s="113"/>
      <c r="L177" s="113"/>
      <c r="M177" s="113"/>
      <c r="N177" s="113"/>
      <c r="O177" s="156">
        <f>+'February 15'!O180</f>
        <v>0</v>
      </c>
      <c r="P177" s="156">
        <f>+'February 15'!P180</f>
        <v>302</v>
      </c>
      <c r="Q177" s="113"/>
      <c r="R177" s="156">
        <f>O177+P177</f>
        <v>302</v>
      </c>
      <c r="S177" s="116"/>
      <c r="T177" s="2"/>
    </row>
    <row r="178" spans="1:20" ht="15.6" x14ac:dyDescent="0.3">
      <c r="A178" s="112"/>
      <c r="B178" s="113" t="s">
        <v>49</v>
      </c>
      <c r="C178" s="113"/>
      <c r="D178" s="113"/>
      <c r="E178" s="113"/>
      <c r="F178" s="113"/>
      <c r="G178" s="113"/>
      <c r="H178" s="113"/>
      <c r="I178" s="113"/>
      <c r="J178" s="113"/>
      <c r="K178" s="113"/>
      <c r="L178" s="113"/>
      <c r="M178" s="113"/>
      <c r="N178" s="113"/>
      <c r="O178" s="155">
        <v>21</v>
      </c>
      <c r="P178" s="155">
        <v>111</v>
      </c>
      <c r="Q178" s="113"/>
      <c r="R178" s="156">
        <f>O178+P178</f>
        <v>132</v>
      </c>
      <c r="S178" s="116"/>
      <c r="T178" s="2"/>
    </row>
    <row r="179" spans="1:20" ht="15.6" x14ac:dyDescent="0.3">
      <c r="A179" s="112"/>
      <c r="B179" s="113" t="s">
        <v>50</v>
      </c>
      <c r="C179" s="113"/>
      <c r="D179" s="113"/>
      <c r="E179" s="113"/>
      <c r="F179" s="113"/>
      <c r="G179" s="113"/>
      <c r="H179" s="113"/>
      <c r="I179" s="113"/>
      <c r="J179" s="113"/>
      <c r="K179" s="113"/>
      <c r="L179" s="113"/>
      <c r="M179" s="113"/>
      <c r="N179" s="113"/>
      <c r="O179" s="156">
        <f>O177+O178</f>
        <v>21</v>
      </c>
      <c r="P179" s="156">
        <f>P178+P177</f>
        <v>413</v>
      </c>
      <c r="Q179" s="113"/>
      <c r="R179" s="156">
        <f>O179+P179</f>
        <v>434</v>
      </c>
      <c r="S179" s="116"/>
      <c r="T179" s="2"/>
    </row>
    <row r="180" spans="1:20" ht="15.6" x14ac:dyDescent="0.3">
      <c r="A180" s="112"/>
      <c r="B180" s="113" t="s">
        <v>51</v>
      </c>
      <c r="C180" s="113"/>
      <c r="D180" s="113"/>
      <c r="E180" s="113"/>
      <c r="F180" s="113"/>
      <c r="G180" s="113"/>
      <c r="H180" s="113"/>
      <c r="I180" s="113"/>
      <c r="J180" s="113"/>
      <c r="K180" s="113"/>
      <c r="L180" s="113"/>
      <c r="M180" s="113"/>
      <c r="N180" s="113"/>
      <c r="O180" s="156">
        <f>O176-O179-P179</f>
        <v>12066</v>
      </c>
      <c r="P180" s="145"/>
      <c r="Q180" s="113"/>
      <c r="R180" s="156"/>
      <c r="S180" s="116"/>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2"/>
      <c r="S181" s="218"/>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217"/>
      <c r="T182" s="2"/>
    </row>
    <row r="183" spans="1:20" ht="15.6" x14ac:dyDescent="0.3">
      <c r="A183" s="12"/>
      <c r="B183" s="41" t="s">
        <v>52</v>
      </c>
      <c r="C183" s="14"/>
      <c r="D183" s="14"/>
      <c r="E183" s="14"/>
      <c r="F183" s="14"/>
      <c r="G183" s="14"/>
      <c r="H183" s="14"/>
      <c r="I183" s="14"/>
      <c r="J183" s="14"/>
      <c r="K183" s="14"/>
      <c r="L183" s="14"/>
      <c r="M183" s="14"/>
      <c r="N183" s="14"/>
      <c r="O183" s="14"/>
      <c r="P183" s="14"/>
      <c r="Q183" s="14"/>
      <c r="R183" s="47"/>
      <c r="S183" s="218"/>
      <c r="T183" s="2"/>
    </row>
    <row r="184" spans="1:20" ht="15.6" x14ac:dyDescent="0.3">
      <c r="A184" s="112"/>
      <c r="B184" s="113" t="s">
        <v>53</v>
      </c>
      <c r="C184" s="113"/>
      <c r="D184" s="113"/>
      <c r="E184" s="113"/>
      <c r="F184" s="113"/>
      <c r="G184" s="113"/>
      <c r="H184" s="113"/>
      <c r="I184" s="113"/>
      <c r="J184" s="113"/>
      <c r="K184" s="113"/>
      <c r="L184" s="113"/>
      <c r="M184" s="113"/>
      <c r="N184" s="113"/>
      <c r="O184" s="113"/>
      <c r="P184" s="113"/>
      <c r="Q184" s="113"/>
      <c r="R184" s="161">
        <f>(R92+R94+R95+R96+R97)/-(R98)</f>
        <v>3.6408163265306124</v>
      </c>
      <c r="S184" s="116" t="s">
        <v>95</v>
      </c>
      <c r="T184" s="2"/>
    </row>
    <row r="185" spans="1:20" ht="15.6" x14ac:dyDescent="0.3">
      <c r="A185" s="112"/>
      <c r="B185" s="113" t="s">
        <v>54</v>
      </c>
      <c r="C185" s="113"/>
      <c r="D185" s="113"/>
      <c r="E185" s="113"/>
      <c r="F185" s="113"/>
      <c r="G185" s="113"/>
      <c r="H185" s="113"/>
      <c r="I185" s="113"/>
      <c r="J185" s="113"/>
      <c r="K185" s="113"/>
      <c r="L185" s="113"/>
      <c r="M185" s="113"/>
      <c r="N185" s="113"/>
      <c r="O185" s="113"/>
      <c r="P185" s="113"/>
      <c r="Q185" s="113"/>
      <c r="R185" s="164">
        <v>3.36</v>
      </c>
      <c r="S185" s="116" t="s">
        <v>95</v>
      </c>
      <c r="T185" s="2"/>
    </row>
    <row r="186" spans="1:20" ht="15.6" x14ac:dyDescent="0.3">
      <c r="A186" s="112"/>
      <c r="B186" s="113" t="s">
        <v>192</v>
      </c>
      <c r="C186" s="113"/>
      <c r="D186" s="113"/>
      <c r="E186" s="113"/>
      <c r="F186" s="113"/>
      <c r="G186" s="113"/>
      <c r="H186" s="113"/>
      <c r="I186" s="113"/>
      <c r="J186" s="113"/>
      <c r="K186" s="113"/>
      <c r="L186" s="113"/>
      <c r="M186" s="113"/>
      <c r="N186" s="113"/>
      <c r="O186" s="113"/>
      <c r="P186" s="113"/>
      <c r="Q186" s="113"/>
      <c r="R186" s="161">
        <f>(R92+R94+R95+R96+R97+R98)/-(R99)</f>
        <v>22.310344827586206</v>
      </c>
      <c r="S186" s="116" t="s">
        <v>95</v>
      </c>
      <c r="T186" s="2"/>
    </row>
    <row r="187" spans="1:20" ht="15.6" x14ac:dyDescent="0.3">
      <c r="A187" s="112"/>
      <c r="B187" s="113" t="s">
        <v>193</v>
      </c>
      <c r="C187" s="113"/>
      <c r="D187" s="113"/>
      <c r="E187" s="113"/>
      <c r="F187" s="113"/>
      <c r="G187" s="113"/>
      <c r="H187" s="113"/>
      <c r="I187" s="113"/>
      <c r="J187" s="113"/>
      <c r="K187" s="113"/>
      <c r="L187" s="113"/>
      <c r="M187" s="113"/>
      <c r="N187" s="113"/>
      <c r="O187" s="113"/>
      <c r="P187" s="113"/>
      <c r="Q187" s="113"/>
      <c r="R187" s="164">
        <v>20.170000000000002</v>
      </c>
      <c r="S187" s="116" t="s">
        <v>95</v>
      </c>
      <c r="T187" s="2"/>
    </row>
    <row r="188" spans="1:20" ht="15.6" x14ac:dyDescent="0.3">
      <c r="A188" s="112"/>
      <c r="B188" s="113" t="s">
        <v>194</v>
      </c>
      <c r="C188" s="113"/>
      <c r="D188" s="113"/>
      <c r="E188" s="113"/>
      <c r="F188" s="113"/>
      <c r="G188" s="113"/>
      <c r="H188" s="113"/>
      <c r="I188" s="113"/>
      <c r="J188" s="113"/>
      <c r="K188" s="113"/>
      <c r="L188" s="113"/>
      <c r="M188" s="113"/>
      <c r="N188" s="113"/>
      <c r="O188" s="113"/>
      <c r="P188" s="113"/>
      <c r="Q188" s="113"/>
      <c r="R188" s="161">
        <f>(R92+R94+R95+R96+R97+R98+R99)/-(R100)</f>
        <v>39.446808510638299</v>
      </c>
      <c r="S188" s="116" t="s">
        <v>95</v>
      </c>
      <c r="T188" s="2"/>
    </row>
    <row r="189" spans="1:20" ht="15.6" x14ac:dyDescent="0.3">
      <c r="A189" s="112"/>
      <c r="B189" s="113" t="s">
        <v>195</v>
      </c>
      <c r="C189" s="113"/>
      <c r="D189" s="113"/>
      <c r="E189" s="113"/>
      <c r="F189" s="113"/>
      <c r="G189" s="113"/>
      <c r="H189" s="113"/>
      <c r="I189" s="113"/>
      <c r="J189" s="113"/>
      <c r="K189" s="113"/>
      <c r="L189" s="113"/>
      <c r="M189" s="113"/>
      <c r="N189" s="113"/>
      <c r="O189" s="113"/>
      <c r="P189" s="113"/>
      <c r="Q189" s="113"/>
      <c r="R189" s="164">
        <v>35.58</v>
      </c>
      <c r="S189" s="116" t="s">
        <v>95</v>
      </c>
      <c r="T189" s="2"/>
    </row>
    <row r="190" spans="1:20" ht="15.6" x14ac:dyDescent="0.3">
      <c r="A190" s="112"/>
      <c r="B190" s="113" t="s">
        <v>196</v>
      </c>
      <c r="C190" s="113"/>
      <c r="D190" s="113"/>
      <c r="E190" s="113"/>
      <c r="F190" s="113"/>
      <c r="G190" s="113"/>
      <c r="H190" s="113"/>
      <c r="I190" s="113"/>
      <c r="J190" s="113"/>
      <c r="K190" s="113"/>
      <c r="L190" s="113"/>
      <c r="M190" s="113"/>
      <c r="N190" s="113"/>
      <c r="O190" s="113"/>
      <c r="P190" s="113"/>
      <c r="Q190" s="113"/>
      <c r="R190" s="161">
        <f>(R92+R94+R95+R96+R97+R98+R99+R100+R101+R102+R103+R104+R105)/-(R106)</f>
        <v>42.523809523809526</v>
      </c>
      <c r="S190" s="116" t="s">
        <v>95</v>
      </c>
      <c r="T190" s="2"/>
    </row>
    <row r="191" spans="1:20" ht="15.6" x14ac:dyDescent="0.3">
      <c r="A191" s="112"/>
      <c r="B191" s="113" t="s">
        <v>197</v>
      </c>
      <c r="C191" s="113"/>
      <c r="D191" s="113"/>
      <c r="E191" s="113"/>
      <c r="F191" s="113"/>
      <c r="G191" s="113"/>
      <c r="H191" s="113"/>
      <c r="I191" s="113"/>
      <c r="J191" s="113"/>
      <c r="K191" s="113"/>
      <c r="L191" s="113"/>
      <c r="M191" s="113"/>
      <c r="N191" s="113"/>
      <c r="O191" s="113"/>
      <c r="P191" s="113"/>
      <c r="Q191" s="113"/>
      <c r="R191" s="164">
        <v>38.31</v>
      </c>
      <c r="S191" s="116" t="s">
        <v>95</v>
      </c>
      <c r="T191" s="2"/>
    </row>
    <row r="192" spans="1:20" ht="15.6" x14ac:dyDescent="0.3">
      <c r="A192" s="112"/>
      <c r="B192" s="113"/>
      <c r="C192" s="113"/>
      <c r="D192" s="113"/>
      <c r="E192" s="113"/>
      <c r="F192" s="113"/>
      <c r="G192" s="113"/>
      <c r="H192" s="113"/>
      <c r="I192" s="113"/>
      <c r="J192" s="113"/>
      <c r="K192" s="113"/>
      <c r="L192" s="113"/>
      <c r="M192" s="113"/>
      <c r="N192" s="113"/>
      <c r="O192" s="113"/>
      <c r="P192" s="113"/>
      <c r="Q192" s="113"/>
      <c r="R192" s="113"/>
      <c r="S192" s="116"/>
      <c r="T192" s="2"/>
    </row>
    <row r="193" spans="1:20" ht="15.6" x14ac:dyDescent="0.3">
      <c r="A193" s="12"/>
      <c r="B193" s="163"/>
      <c r="C193" s="163"/>
      <c r="D193" s="163"/>
      <c r="E193" s="163"/>
      <c r="F193" s="163"/>
      <c r="G193" s="163"/>
      <c r="H193" s="163"/>
      <c r="I193" s="163"/>
      <c r="J193" s="163"/>
      <c r="K193" s="163"/>
      <c r="L193" s="163"/>
      <c r="M193" s="163"/>
      <c r="N193" s="163"/>
      <c r="O193" s="163"/>
      <c r="P193" s="163"/>
      <c r="Q193" s="163"/>
      <c r="R193" s="163"/>
      <c r="S193" s="219"/>
      <c r="T193" s="2"/>
    </row>
    <row r="194" spans="1:20" ht="15.6" x14ac:dyDescent="0.3">
      <c r="A194" s="12"/>
      <c r="B194" s="84"/>
      <c r="C194" s="84"/>
      <c r="D194" s="84"/>
      <c r="E194" s="84"/>
      <c r="F194" s="84"/>
      <c r="G194" s="84"/>
      <c r="H194" s="84"/>
      <c r="I194" s="84"/>
      <c r="J194" s="84"/>
      <c r="K194" s="84"/>
      <c r="L194" s="84"/>
      <c r="M194" s="84"/>
      <c r="N194" s="84"/>
      <c r="O194" s="84"/>
      <c r="P194" s="84"/>
      <c r="Q194" s="84"/>
      <c r="R194" s="84"/>
      <c r="S194" s="219"/>
      <c r="T194" s="2"/>
    </row>
    <row r="195" spans="1:20" ht="18" thickBot="1" x14ac:dyDescent="0.35">
      <c r="A195" s="28"/>
      <c r="B195" s="97" t="str">
        <f>B123</f>
        <v>PM21 INVESTOR REPORT QUARTER ENDING MAY 2015</v>
      </c>
      <c r="C195" s="98"/>
      <c r="D195" s="98"/>
      <c r="E195" s="98"/>
      <c r="F195" s="98"/>
      <c r="G195" s="98"/>
      <c r="H195" s="98"/>
      <c r="I195" s="98"/>
      <c r="J195" s="98"/>
      <c r="K195" s="98"/>
      <c r="L195" s="98"/>
      <c r="M195" s="98"/>
      <c r="N195" s="98"/>
      <c r="O195" s="98"/>
      <c r="P195" s="98"/>
      <c r="Q195" s="98"/>
      <c r="R195" s="98"/>
      <c r="S195" s="99"/>
      <c r="T195" s="2"/>
    </row>
    <row r="196" spans="1:20" ht="15.6" x14ac:dyDescent="0.3">
      <c r="A196" s="65"/>
      <c r="B196" s="66" t="s">
        <v>55</v>
      </c>
      <c r="C196" s="69"/>
      <c r="D196" s="70"/>
      <c r="E196" s="70"/>
      <c r="F196" s="70"/>
      <c r="G196" s="70"/>
      <c r="H196" s="70"/>
      <c r="I196" s="70"/>
      <c r="J196" s="70"/>
      <c r="K196" s="70"/>
      <c r="L196" s="70"/>
      <c r="M196" s="70"/>
      <c r="N196" s="70"/>
      <c r="O196" s="70"/>
      <c r="P196" s="70">
        <v>42153</v>
      </c>
      <c r="Q196" s="67"/>
      <c r="R196" s="67"/>
      <c r="S196" s="224"/>
      <c r="T196" s="2"/>
    </row>
    <row r="197" spans="1:20" ht="15.6" x14ac:dyDescent="0.3">
      <c r="A197" s="48"/>
      <c r="B197" s="49"/>
      <c r="C197" s="50"/>
      <c r="D197" s="51"/>
      <c r="E197" s="51"/>
      <c r="F197" s="51"/>
      <c r="G197" s="51"/>
      <c r="H197" s="51"/>
      <c r="I197" s="51"/>
      <c r="J197" s="51"/>
      <c r="K197" s="51"/>
      <c r="L197" s="51"/>
      <c r="M197" s="51"/>
      <c r="N197" s="51"/>
      <c r="O197" s="51"/>
      <c r="P197" s="51"/>
      <c r="Q197" s="14"/>
      <c r="R197" s="14"/>
      <c r="S197" s="218"/>
      <c r="T197" s="2"/>
    </row>
    <row r="198" spans="1:20" ht="15.6" x14ac:dyDescent="0.3">
      <c r="A198" s="167"/>
      <c r="B198" s="113" t="s">
        <v>56</v>
      </c>
      <c r="C198" s="168"/>
      <c r="D198" s="148"/>
      <c r="E198" s="148"/>
      <c r="F198" s="148"/>
      <c r="G198" s="148"/>
      <c r="H198" s="148"/>
      <c r="I198" s="148"/>
      <c r="J198" s="148"/>
      <c r="K198" s="148"/>
      <c r="L198" s="148"/>
      <c r="M198" s="148"/>
      <c r="N198" s="148"/>
      <c r="O198" s="148"/>
      <c r="P198" s="142">
        <v>4.1349999999999998E-2</v>
      </c>
      <c r="Q198" s="113"/>
      <c r="R198" s="113"/>
      <c r="S198" s="116"/>
      <c r="T198" s="2"/>
    </row>
    <row r="199" spans="1:20" ht="15.6" x14ac:dyDescent="0.3">
      <c r="A199" s="167"/>
      <c r="B199" s="113" t="s">
        <v>161</v>
      </c>
      <c r="C199" s="168"/>
      <c r="D199" s="148"/>
      <c r="E199" s="148"/>
      <c r="F199" s="148"/>
      <c r="G199" s="148"/>
      <c r="H199" s="148"/>
      <c r="I199" s="148"/>
      <c r="J199" s="148"/>
      <c r="K199" s="148"/>
      <c r="L199" s="148"/>
      <c r="M199" s="148"/>
      <c r="N199" s="148"/>
      <c r="O199" s="148"/>
      <c r="P199" s="142">
        <v>1.50706E-2</v>
      </c>
      <c r="Q199" s="113"/>
      <c r="R199" s="113"/>
      <c r="S199" s="116"/>
      <c r="T199" s="2"/>
    </row>
    <row r="200" spans="1:20" ht="15.6" x14ac:dyDescent="0.3">
      <c r="A200" s="167"/>
      <c r="B200" s="113" t="s">
        <v>57</v>
      </c>
      <c r="C200" s="168"/>
      <c r="D200" s="148"/>
      <c r="E200" s="148"/>
      <c r="F200" s="148"/>
      <c r="G200" s="148"/>
      <c r="H200" s="148"/>
      <c r="I200" s="148"/>
      <c r="J200" s="148"/>
      <c r="K200" s="148"/>
      <c r="L200" s="148"/>
      <c r="M200" s="148"/>
      <c r="N200" s="148"/>
      <c r="O200" s="148"/>
      <c r="P200" s="211">
        <f>P198-P199</f>
        <v>2.6279399999999998E-2</v>
      </c>
      <c r="Q200" s="113"/>
      <c r="R200" s="113"/>
      <c r="S200" s="116"/>
      <c r="T200" s="2"/>
    </row>
    <row r="201" spans="1:20" ht="15.6" x14ac:dyDescent="0.3">
      <c r="A201" s="167"/>
      <c r="B201" s="113" t="s">
        <v>164</v>
      </c>
      <c r="C201" s="168"/>
      <c r="D201" s="148"/>
      <c r="E201" s="148"/>
      <c r="F201" s="148"/>
      <c r="G201" s="148"/>
      <c r="H201" s="148"/>
      <c r="I201" s="148"/>
      <c r="J201" s="148"/>
      <c r="K201" s="148"/>
      <c r="L201" s="148"/>
      <c r="M201" s="148"/>
      <c r="N201" s="148"/>
      <c r="O201" s="148"/>
      <c r="P201" s="211">
        <v>4.564E-2</v>
      </c>
      <c r="Q201" s="113"/>
      <c r="R201" s="113"/>
      <c r="S201" s="116"/>
      <c r="T201" s="2"/>
    </row>
    <row r="202" spans="1:20" ht="15.6" x14ac:dyDescent="0.3">
      <c r="A202" s="167"/>
      <c r="B202" s="113" t="s">
        <v>58</v>
      </c>
      <c r="C202" s="168"/>
      <c r="D202" s="148"/>
      <c r="E202" s="148"/>
      <c r="F202" s="148"/>
      <c r="G202" s="148"/>
      <c r="H202" s="148"/>
      <c r="I202" s="148"/>
      <c r="J202" s="148"/>
      <c r="K202" s="148"/>
      <c r="L202" s="148"/>
      <c r="M202" s="148"/>
      <c r="N202" s="148"/>
      <c r="O202" s="148"/>
      <c r="P202" s="209">
        <v>4.1419999999999998E-2</v>
      </c>
      <c r="Q202" s="113"/>
      <c r="R202" s="113"/>
      <c r="S202" s="116"/>
      <c r="T202" s="2"/>
    </row>
    <row r="203" spans="1:20" ht="15.6" x14ac:dyDescent="0.3">
      <c r="A203" s="167"/>
      <c r="B203" s="113" t="s">
        <v>162</v>
      </c>
      <c r="C203" s="168"/>
      <c r="D203" s="148"/>
      <c r="E203" s="148"/>
      <c r="F203" s="148"/>
      <c r="G203" s="148"/>
      <c r="H203" s="148"/>
      <c r="I203" s="148"/>
      <c r="J203" s="148"/>
      <c r="K203" s="148"/>
      <c r="L203" s="148"/>
      <c r="M203" s="148"/>
      <c r="N203" s="148"/>
      <c r="O203" s="148"/>
      <c r="P203" s="142">
        <f>R34</f>
        <v>1.470827269317616E-2</v>
      </c>
      <c r="Q203" s="113"/>
      <c r="R203" s="113"/>
      <c r="S203" s="116"/>
      <c r="T203" s="2"/>
    </row>
    <row r="204" spans="1:20" ht="15.6" x14ac:dyDescent="0.3">
      <c r="A204" s="167"/>
      <c r="B204" s="113" t="s">
        <v>59</v>
      </c>
      <c r="C204" s="168"/>
      <c r="D204" s="148"/>
      <c r="E204" s="148"/>
      <c r="F204" s="148"/>
      <c r="G204" s="148"/>
      <c r="H204" s="148"/>
      <c r="I204" s="148"/>
      <c r="J204" s="148"/>
      <c r="K204" s="148"/>
      <c r="L204" s="148"/>
      <c r="M204" s="148"/>
      <c r="N204" s="148"/>
      <c r="O204" s="148"/>
      <c r="P204" s="142">
        <f>P202-P203</f>
        <v>2.6711727306823838E-2</v>
      </c>
      <c r="Q204" s="113"/>
      <c r="R204" s="113"/>
      <c r="S204" s="116"/>
      <c r="T204" s="2"/>
    </row>
    <row r="205" spans="1:20" ht="15.6" x14ac:dyDescent="0.3">
      <c r="A205" s="167"/>
      <c r="B205" s="113" t="s">
        <v>139</v>
      </c>
      <c r="C205" s="168"/>
      <c r="D205" s="148"/>
      <c r="E205" s="148"/>
      <c r="F205" s="148"/>
      <c r="G205" s="148"/>
      <c r="H205" s="148"/>
      <c r="I205" s="148"/>
      <c r="J205" s="148"/>
      <c r="K205" s="148"/>
      <c r="L205" s="148"/>
      <c r="M205" s="148"/>
      <c r="N205" s="148"/>
      <c r="O205" s="148"/>
      <c r="P205" s="142">
        <f>(+R92+R94)/H72</f>
        <v>1.2325128672247502E-2</v>
      </c>
      <c r="Q205" s="113"/>
      <c r="R205" s="113"/>
      <c r="S205" s="116"/>
      <c r="T205" s="2"/>
    </row>
    <row r="206" spans="1:20" ht="15.6" x14ac:dyDescent="0.3">
      <c r="A206" s="167"/>
      <c r="B206" s="113" t="s">
        <v>132</v>
      </c>
      <c r="C206" s="168"/>
      <c r="D206" s="148"/>
      <c r="E206" s="148"/>
      <c r="F206" s="148"/>
      <c r="G206" s="148"/>
      <c r="H206" s="148"/>
      <c r="I206" s="148"/>
      <c r="J206" s="148"/>
      <c r="K206" s="148"/>
      <c r="L206" s="148"/>
      <c r="M206" s="148"/>
      <c r="N206" s="148"/>
      <c r="O206" s="148"/>
      <c r="P206" s="169">
        <v>15507</v>
      </c>
      <c r="Q206" s="113"/>
      <c r="R206" s="113"/>
      <c r="S206" s="116"/>
      <c r="T206" s="2"/>
    </row>
    <row r="207" spans="1:20" ht="15.6" x14ac:dyDescent="0.3">
      <c r="A207" s="167"/>
      <c r="B207" s="113" t="s">
        <v>198</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199</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200</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60</v>
      </c>
      <c r="C210" s="168"/>
      <c r="D210" s="148"/>
      <c r="E210" s="148"/>
      <c r="F210" s="148"/>
      <c r="G210" s="148"/>
      <c r="H210" s="148"/>
      <c r="I210" s="148"/>
      <c r="J210" s="148"/>
      <c r="K210" s="148"/>
      <c r="L210" s="148"/>
      <c r="M210" s="148"/>
      <c r="N210" s="148"/>
      <c r="O210" s="148"/>
      <c r="P210" s="146">
        <v>20.170000000000002</v>
      </c>
      <c r="Q210" s="113" t="s">
        <v>90</v>
      </c>
      <c r="R210" s="113"/>
      <c r="S210" s="116"/>
      <c r="T210" s="2"/>
    </row>
    <row r="211" spans="1:20" ht="15.6" x14ac:dyDescent="0.3">
      <c r="A211" s="167"/>
      <c r="B211" s="113" t="s">
        <v>61</v>
      </c>
      <c r="C211" s="168"/>
      <c r="D211" s="148"/>
      <c r="E211" s="148"/>
      <c r="F211" s="148"/>
      <c r="G211" s="148"/>
      <c r="H211" s="148"/>
      <c r="I211" s="148"/>
      <c r="J211" s="148"/>
      <c r="K211" s="148"/>
      <c r="L211" s="148"/>
      <c r="M211" s="148"/>
      <c r="N211" s="148"/>
      <c r="O211" s="148"/>
      <c r="P211" s="210">
        <v>19.690000000000001</v>
      </c>
      <c r="Q211" s="113" t="s">
        <v>90</v>
      </c>
      <c r="R211" s="113"/>
      <c r="S211" s="116"/>
      <c r="T211" s="2"/>
    </row>
    <row r="212" spans="1:20" ht="15.6" x14ac:dyDescent="0.3">
      <c r="A212" s="167"/>
      <c r="B212" s="113" t="s">
        <v>62</v>
      </c>
      <c r="C212" s="168"/>
      <c r="D212" s="148"/>
      <c r="E212" s="148"/>
      <c r="F212" s="148"/>
      <c r="G212" s="148"/>
      <c r="H212" s="148"/>
      <c r="I212" s="148"/>
      <c r="J212" s="148"/>
      <c r="K212" s="148"/>
      <c r="L212" s="148"/>
      <c r="M212" s="148"/>
      <c r="N212" s="148"/>
      <c r="O212" s="148"/>
      <c r="P212" s="142">
        <f>(+J56+L56)/H56</f>
        <v>1.8769110662936701E-2</v>
      </c>
      <c r="Q212" s="113"/>
      <c r="R212" s="113"/>
      <c r="S212" s="116"/>
      <c r="T212" s="2"/>
    </row>
    <row r="213" spans="1:20" ht="15.6" x14ac:dyDescent="0.3">
      <c r="A213" s="167"/>
      <c r="B213" s="113" t="s">
        <v>63</v>
      </c>
      <c r="C213" s="168"/>
      <c r="D213" s="148"/>
      <c r="E213" s="148"/>
      <c r="F213" s="148"/>
      <c r="G213" s="148"/>
      <c r="H213" s="148"/>
      <c r="I213" s="148"/>
      <c r="J213" s="148"/>
      <c r="K213" s="148"/>
      <c r="L213" s="148"/>
      <c r="M213" s="148"/>
      <c r="N213" s="148"/>
      <c r="O213" s="148"/>
      <c r="P213" s="211">
        <v>4.6199999999999998E-2</v>
      </c>
      <c r="Q213" s="113"/>
      <c r="R213" s="113"/>
      <c r="S213" s="116"/>
      <c r="T213" s="2"/>
    </row>
    <row r="214" spans="1:20" ht="15.6" x14ac:dyDescent="0.3">
      <c r="A214" s="48"/>
      <c r="B214" s="165"/>
      <c r="C214" s="165"/>
      <c r="D214" s="43"/>
      <c r="E214" s="43"/>
      <c r="F214" s="43"/>
      <c r="G214" s="43"/>
      <c r="H214" s="43"/>
      <c r="I214" s="43"/>
      <c r="J214" s="43"/>
      <c r="K214" s="43"/>
      <c r="L214" s="43"/>
      <c r="M214" s="43"/>
      <c r="N214" s="43"/>
      <c r="O214" s="43"/>
      <c r="P214" s="162"/>
      <c r="Q214" s="43"/>
      <c r="R214" s="166"/>
      <c r="S214" s="218"/>
      <c r="T214" s="2"/>
    </row>
    <row r="215" spans="1:20" ht="15.6" x14ac:dyDescent="0.3">
      <c r="A215" s="71"/>
      <c r="B215" s="61" t="s">
        <v>64</v>
      </c>
      <c r="C215" s="62"/>
      <c r="D215" s="62"/>
      <c r="E215" s="62"/>
      <c r="F215" s="62"/>
      <c r="G215" s="62"/>
      <c r="H215" s="62"/>
      <c r="I215" s="62"/>
      <c r="J215" s="62"/>
      <c r="K215" s="62"/>
      <c r="L215" s="62"/>
      <c r="M215" s="62"/>
      <c r="N215" s="62"/>
      <c r="O215" s="62" t="s">
        <v>83</v>
      </c>
      <c r="P215" s="72" t="s">
        <v>88</v>
      </c>
      <c r="Q215" s="54"/>
      <c r="R215" s="54"/>
      <c r="S215" s="220"/>
      <c r="T215" s="2"/>
    </row>
    <row r="216" spans="1:20" ht="15.6" x14ac:dyDescent="0.3">
      <c r="A216" s="52"/>
      <c r="B216" s="79" t="s">
        <v>65</v>
      </c>
      <c r="C216" s="78"/>
      <c r="D216" s="95"/>
      <c r="E216" s="95"/>
      <c r="F216" s="95"/>
      <c r="G216" s="95"/>
      <c r="H216" s="95"/>
      <c r="I216" s="95"/>
      <c r="J216" s="95"/>
      <c r="K216" s="95"/>
      <c r="L216" s="95"/>
      <c r="M216" s="95"/>
      <c r="N216" s="95"/>
      <c r="O216" s="95">
        <v>0</v>
      </c>
      <c r="P216" s="96">
        <v>0</v>
      </c>
      <c r="Q216" s="79"/>
      <c r="R216" s="94"/>
      <c r="S216" s="226"/>
      <c r="T216" s="2"/>
    </row>
    <row r="217" spans="1:20" ht="15.6" x14ac:dyDescent="0.3">
      <c r="A217" s="173"/>
      <c r="B217" s="113" t="s">
        <v>113</v>
      </c>
      <c r="C217" s="155"/>
      <c r="D217" s="123"/>
      <c r="E217" s="123"/>
      <c r="F217" s="123"/>
      <c r="G217" s="123"/>
      <c r="H217" s="123"/>
      <c r="I217" s="123"/>
      <c r="J217" s="123"/>
      <c r="K217" s="123"/>
      <c r="L217" s="123"/>
      <c r="M217" s="123"/>
      <c r="N217" s="123"/>
      <c r="O217" s="174">
        <f>+N269</f>
        <v>0</v>
      </c>
      <c r="P217" s="175">
        <f>+P269</f>
        <v>0</v>
      </c>
      <c r="Q217" s="113"/>
      <c r="R217" s="176"/>
      <c r="S217" s="177"/>
      <c r="T217" s="2"/>
    </row>
    <row r="218" spans="1:20" ht="15.6" x14ac:dyDescent="0.3">
      <c r="A218" s="173"/>
      <c r="B218" s="113" t="s">
        <v>66</v>
      </c>
      <c r="C218" s="155"/>
      <c r="D218" s="123"/>
      <c r="E218" s="123"/>
      <c r="F218" s="123"/>
      <c r="G218" s="123"/>
      <c r="H218" s="123"/>
      <c r="I218" s="123"/>
      <c r="J218" s="123"/>
      <c r="K218" s="123"/>
      <c r="L218" s="123"/>
      <c r="M218" s="123"/>
      <c r="N218" s="123"/>
      <c r="O218" s="174">
        <f>+N281</f>
        <v>0</v>
      </c>
      <c r="P218" s="175">
        <f>+P281</f>
        <v>0</v>
      </c>
      <c r="Q218" s="113"/>
      <c r="R218" s="176"/>
      <c r="S218" s="177"/>
      <c r="T218" s="2"/>
    </row>
    <row r="219" spans="1:20" ht="15.6" x14ac:dyDescent="0.3">
      <c r="A219" s="173"/>
      <c r="B219" s="134" t="s">
        <v>263</v>
      </c>
      <c r="C219" s="178"/>
      <c r="D219" s="135"/>
      <c r="E219" s="135"/>
      <c r="F219" s="135"/>
      <c r="G219" s="135"/>
      <c r="H219" s="135"/>
      <c r="I219" s="135"/>
      <c r="J219" s="135"/>
      <c r="K219" s="135"/>
      <c r="L219" s="135"/>
      <c r="M219" s="135"/>
      <c r="N219" s="135"/>
      <c r="O219" s="113"/>
      <c r="P219" s="175">
        <v>0</v>
      </c>
      <c r="Q219" s="135"/>
      <c r="R219" s="179"/>
      <c r="S219" s="177"/>
      <c r="T219" s="2"/>
    </row>
    <row r="220" spans="1:20" ht="15.6" x14ac:dyDescent="0.3">
      <c r="A220" s="173"/>
      <c r="B220" s="134" t="s">
        <v>140</v>
      </c>
      <c r="C220" s="178"/>
      <c r="D220" s="135"/>
      <c r="E220" s="135"/>
      <c r="F220" s="135"/>
      <c r="G220" s="135"/>
      <c r="H220" s="135"/>
      <c r="I220" s="135"/>
      <c r="J220" s="135"/>
      <c r="K220" s="135"/>
      <c r="L220" s="135"/>
      <c r="M220" s="135"/>
      <c r="N220" s="135"/>
      <c r="O220" s="113"/>
      <c r="P220" s="175">
        <f>-J69</f>
        <v>0</v>
      </c>
      <c r="Q220" s="135"/>
      <c r="R220" s="179"/>
      <c r="S220" s="177"/>
      <c r="T220" s="2"/>
    </row>
    <row r="221" spans="1:20" ht="15.6" x14ac:dyDescent="0.3">
      <c r="A221" s="180"/>
      <c r="B221" s="134" t="s">
        <v>67</v>
      </c>
      <c r="C221" s="181"/>
      <c r="D221" s="135"/>
      <c r="E221" s="135"/>
      <c r="F221" s="135"/>
      <c r="G221" s="135"/>
      <c r="H221" s="135"/>
      <c r="I221" s="135"/>
      <c r="J221" s="135"/>
      <c r="K221" s="135"/>
      <c r="L221" s="135"/>
      <c r="M221" s="135"/>
      <c r="N221" s="135"/>
      <c r="O221" s="113"/>
      <c r="P221" s="175"/>
      <c r="Q221" s="135"/>
      <c r="R221" s="179"/>
      <c r="S221" s="182"/>
      <c r="T221" s="2"/>
    </row>
    <row r="222" spans="1:20" ht="15.6" x14ac:dyDescent="0.3">
      <c r="A222" s="180"/>
      <c r="B222" s="118" t="s">
        <v>68</v>
      </c>
      <c r="C222" s="181"/>
      <c r="D222" s="135"/>
      <c r="E222" s="135"/>
      <c r="F222" s="135"/>
      <c r="G222" s="135"/>
      <c r="H222" s="135"/>
      <c r="I222" s="135"/>
      <c r="J222" s="135"/>
      <c r="K222" s="135"/>
      <c r="L222" s="135"/>
      <c r="M222" s="135"/>
      <c r="N222" s="135"/>
      <c r="O222" s="123"/>
      <c r="P222" s="175">
        <f>R153</f>
        <v>0</v>
      </c>
      <c r="Q222" s="135"/>
      <c r="R222" s="179"/>
      <c r="S222" s="182"/>
      <c r="T222" s="2"/>
    </row>
    <row r="223" spans="1:20" ht="15.6" x14ac:dyDescent="0.3">
      <c r="A223" s="173"/>
      <c r="B223" s="113" t="s">
        <v>69</v>
      </c>
      <c r="C223" s="178"/>
      <c r="D223" s="135"/>
      <c r="E223" s="135"/>
      <c r="F223" s="135"/>
      <c r="G223" s="135"/>
      <c r="H223" s="135"/>
      <c r="I223" s="135"/>
      <c r="J223" s="135"/>
      <c r="K223" s="135"/>
      <c r="L223" s="135"/>
      <c r="M223" s="135"/>
      <c r="N223" s="135"/>
      <c r="O223" s="123"/>
      <c r="P223" s="175">
        <f>+'February 15'!P224+P222</f>
        <v>0</v>
      </c>
      <c r="Q223" s="135"/>
      <c r="R223" s="179"/>
      <c r="S223" s="182"/>
      <c r="T223" s="2"/>
    </row>
    <row r="224" spans="1:20" ht="15.6" x14ac:dyDescent="0.3">
      <c r="A224" s="180"/>
      <c r="B224" s="134" t="s">
        <v>151</v>
      </c>
      <c r="C224" s="181"/>
      <c r="D224" s="135"/>
      <c r="E224" s="135"/>
      <c r="F224" s="135"/>
      <c r="G224" s="135"/>
      <c r="H224" s="135"/>
      <c r="I224" s="135"/>
      <c r="J224" s="135"/>
      <c r="K224" s="135"/>
      <c r="L224" s="135"/>
      <c r="M224" s="135"/>
      <c r="N224" s="135"/>
      <c r="O224" s="123"/>
      <c r="P224" s="175"/>
      <c r="Q224" s="135"/>
      <c r="R224" s="179"/>
      <c r="S224" s="182"/>
      <c r="T224" s="2"/>
    </row>
    <row r="225" spans="1:20" ht="15.6" x14ac:dyDescent="0.3">
      <c r="A225" s="180"/>
      <c r="B225" s="113" t="s">
        <v>163</v>
      </c>
      <c r="C225" s="181"/>
      <c r="D225" s="135"/>
      <c r="E225" s="135"/>
      <c r="F225" s="135"/>
      <c r="G225" s="135"/>
      <c r="H225" s="135"/>
      <c r="I225" s="135"/>
      <c r="J225" s="135"/>
      <c r="K225" s="135"/>
      <c r="L225" s="135"/>
      <c r="M225" s="135"/>
      <c r="N225" s="135"/>
      <c r="O225" s="123">
        <v>0</v>
      </c>
      <c r="P225" s="175">
        <v>0</v>
      </c>
      <c r="Q225" s="135"/>
      <c r="R225" s="179"/>
      <c r="S225" s="182"/>
      <c r="T225" s="2"/>
    </row>
    <row r="226" spans="1:20" ht="15.6" x14ac:dyDescent="0.3">
      <c r="A226" s="173"/>
      <c r="B226" s="113" t="s">
        <v>70</v>
      </c>
      <c r="C226" s="183"/>
      <c r="D226" s="135"/>
      <c r="E226" s="135"/>
      <c r="F226" s="135"/>
      <c r="G226" s="135"/>
      <c r="H226" s="135"/>
      <c r="I226" s="135"/>
      <c r="J226" s="135"/>
      <c r="K226" s="135"/>
      <c r="L226" s="135"/>
      <c r="M226" s="135"/>
      <c r="N226" s="135"/>
      <c r="O226" s="113"/>
      <c r="P226" s="184">
        <v>0</v>
      </c>
      <c r="Q226" s="135"/>
      <c r="R226" s="179"/>
      <c r="S226" s="182"/>
      <c r="T226" s="2"/>
    </row>
    <row r="227" spans="1:20" ht="15.6" x14ac:dyDescent="0.3">
      <c r="A227" s="173"/>
      <c r="B227" s="113" t="s">
        <v>71</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34" t="s">
        <v>136</v>
      </c>
      <c r="C228" s="183"/>
      <c r="D228" s="135"/>
      <c r="E228" s="135"/>
      <c r="F228" s="135"/>
      <c r="G228" s="135"/>
      <c r="H228" s="135"/>
      <c r="I228" s="135"/>
      <c r="J228" s="135"/>
      <c r="K228" s="135"/>
      <c r="L228" s="135"/>
      <c r="M228" s="135"/>
      <c r="N228" s="135"/>
      <c r="O228" s="113"/>
      <c r="P228" s="185"/>
      <c r="Q228" s="135"/>
      <c r="R228" s="179"/>
      <c r="S228" s="182"/>
      <c r="T228" s="2"/>
    </row>
    <row r="229" spans="1:20" ht="15.6" x14ac:dyDescent="0.3">
      <c r="A229" s="173"/>
      <c r="B229" s="113" t="s">
        <v>163</v>
      </c>
      <c r="C229" s="183"/>
      <c r="D229" s="135"/>
      <c r="E229" s="135"/>
      <c r="F229" s="135"/>
      <c r="G229" s="135"/>
      <c r="H229" s="135"/>
      <c r="I229" s="135"/>
      <c r="J229" s="135"/>
      <c r="K229" s="135"/>
      <c r="L229" s="135"/>
      <c r="M229" s="135"/>
      <c r="N229" s="135"/>
      <c r="O229" s="123">
        <v>0</v>
      </c>
      <c r="P229" s="175">
        <v>0</v>
      </c>
      <c r="Q229" s="135"/>
      <c r="R229" s="179"/>
      <c r="S229" s="182"/>
      <c r="T229" s="2"/>
    </row>
    <row r="230" spans="1:20" ht="15.6" x14ac:dyDescent="0.3">
      <c r="A230" s="173"/>
      <c r="B230" s="113" t="s">
        <v>137</v>
      </c>
      <c r="C230" s="183"/>
      <c r="D230" s="135"/>
      <c r="E230" s="135"/>
      <c r="F230" s="135"/>
      <c r="G230" s="135"/>
      <c r="H230" s="135"/>
      <c r="I230" s="135"/>
      <c r="J230" s="135"/>
      <c r="K230" s="135"/>
      <c r="L230" s="135"/>
      <c r="M230" s="135"/>
      <c r="N230" s="135"/>
      <c r="O230" s="113"/>
      <c r="P230" s="184">
        <v>0</v>
      </c>
      <c r="Q230" s="135"/>
      <c r="R230" s="179"/>
      <c r="S230" s="182"/>
      <c r="T230" s="2"/>
    </row>
    <row r="231" spans="1:20" ht="15.6" x14ac:dyDescent="0.3">
      <c r="A231" s="173"/>
      <c r="B231" s="181"/>
      <c r="C231" s="183"/>
      <c r="D231" s="135"/>
      <c r="E231" s="135"/>
      <c r="F231" s="135"/>
      <c r="G231" s="135"/>
      <c r="H231" s="135"/>
      <c r="I231" s="135"/>
      <c r="J231" s="135"/>
      <c r="K231" s="135"/>
      <c r="L231" s="135"/>
      <c r="M231" s="135"/>
      <c r="N231" s="135"/>
      <c r="O231" s="113"/>
      <c r="P231" s="185"/>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35"/>
      <c r="P232" s="186"/>
      <c r="Q232" s="135"/>
      <c r="R232" s="179"/>
      <c r="S232" s="182"/>
      <c r="T232" s="2"/>
    </row>
    <row r="233" spans="1:20" ht="17.399999999999999" x14ac:dyDescent="0.3">
      <c r="A233" s="173"/>
      <c r="B233" s="187" t="s">
        <v>129</v>
      </c>
      <c r="C233" s="183"/>
      <c r="D233" s="135"/>
      <c r="E233" s="135"/>
      <c r="F233" s="135"/>
      <c r="G233" s="135"/>
      <c r="H233" s="135"/>
      <c r="I233" s="135"/>
      <c r="J233" s="135"/>
      <c r="K233" s="135"/>
      <c r="L233" s="188"/>
      <c r="M233" s="135"/>
      <c r="N233" s="188" t="s">
        <v>128</v>
      </c>
      <c r="O233" s="188"/>
      <c r="P233" s="186"/>
      <c r="Q233" s="135"/>
      <c r="R233" s="179"/>
      <c r="S233" s="182"/>
      <c r="T233" s="2"/>
    </row>
    <row r="234" spans="1:20" ht="17.399999999999999" x14ac:dyDescent="0.3">
      <c r="A234" s="170"/>
      <c r="B234" s="200"/>
      <c r="C234" s="171"/>
      <c r="D234" s="43"/>
      <c r="E234" s="43"/>
      <c r="F234" s="43"/>
      <c r="G234" s="43"/>
      <c r="H234" s="43"/>
      <c r="I234" s="43"/>
      <c r="J234" s="43"/>
      <c r="K234" s="43"/>
      <c r="L234" s="201"/>
      <c r="M234" s="43"/>
      <c r="N234" s="43"/>
      <c r="O234" s="43"/>
      <c r="P234" s="172"/>
      <c r="Q234" s="43"/>
      <c r="R234" s="166"/>
      <c r="S234" s="227"/>
      <c r="T234" s="2"/>
    </row>
    <row r="235" spans="1:20" ht="15.6" x14ac:dyDescent="0.3">
      <c r="A235" s="53"/>
      <c r="B235" s="61" t="s">
        <v>153</v>
      </c>
      <c r="C235" s="62"/>
      <c r="D235" s="62"/>
      <c r="E235" s="62"/>
      <c r="F235" s="62"/>
      <c r="G235" s="62"/>
      <c r="H235" s="62"/>
      <c r="I235" s="62"/>
      <c r="J235" s="62"/>
      <c r="K235" s="62"/>
      <c r="L235" s="62"/>
      <c r="M235" s="62"/>
      <c r="N235" s="72" t="s">
        <v>83</v>
      </c>
      <c r="O235" s="62" t="s">
        <v>84</v>
      </c>
      <c r="P235" s="72" t="s">
        <v>89</v>
      </c>
      <c r="Q235" s="62" t="s">
        <v>84</v>
      </c>
      <c r="R235" s="54"/>
      <c r="S235" s="228"/>
      <c r="T235" s="2"/>
    </row>
    <row r="236" spans="1:20" ht="15.6" x14ac:dyDescent="0.3">
      <c r="A236" s="24"/>
      <c r="B236" s="78" t="s">
        <v>72</v>
      </c>
      <c r="C236" s="93"/>
      <c r="D236" s="93"/>
      <c r="E236" s="93"/>
      <c r="F236" s="93"/>
      <c r="G236" s="93"/>
      <c r="H236" s="93"/>
      <c r="I236" s="93"/>
      <c r="J236" s="93"/>
      <c r="K236" s="93"/>
      <c r="L236" s="93"/>
      <c r="M236" s="93"/>
      <c r="N236" s="78">
        <f t="shared" ref="N236:N243" si="1">+N248+N260+N272</f>
        <v>1548</v>
      </c>
      <c r="O236" s="81">
        <f>N236/$N$245</f>
        <v>1</v>
      </c>
      <c r="P236" s="82">
        <f t="shared" ref="P236:P243" si="2">+P248+P260+P272</f>
        <v>241452</v>
      </c>
      <c r="Q236" s="81">
        <f t="shared" ref="Q236:Q243" si="3">P236/$P$245</f>
        <v>1</v>
      </c>
      <c r="R236" s="94"/>
      <c r="S236" s="229"/>
      <c r="T236" s="2"/>
    </row>
    <row r="237" spans="1:20" ht="15.6" x14ac:dyDescent="0.3">
      <c r="A237" s="112"/>
      <c r="B237" s="155" t="s">
        <v>73</v>
      </c>
      <c r="C237" s="192"/>
      <c r="D237" s="192"/>
      <c r="E237" s="192"/>
      <c r="F237" s="192"/>
      <c r="G237" s="192"/>
      <c r="H237" s="192"/>
      <c r="I237" s="192"/>
      <c r="J237" s="192"/>
      <c r="K237" s="192"/>
      <c r="L237" s="192"/>
      <c r="M237" s="192"/>
      <c r="N237" s="155">
        <f t="shared" si="1"/>
        <v>0</v>
      </c>
      <c r="O237" s="193">
        <f t="shared" ref="O237:O243" si="4">N237/$N$245</f>
        <v>0</v>
      </c>
      <c r="P237" s="156">
        <f t="shared" si="2"/>
        <v>0</v>
      </c>
      <c r="Q237" s="193">
        <f t="shared" si="3"/>
        <v>0</v>
      </c>
      <c r="R237" s="176"/>
      <c r="S237" s="194"/>
      <c r="T237" s="2"/>
    </row>
    <row r="238" spans="1:20" ht="15.6" x14ac:dyDescent="0.3">
      <c r="A238" s="112"/>
      <c r="B238" s="155" t="s">
        <v>74</v>
      </c>
      <c r="C238" s="192"/>
      <c r="D238" s="192"/>
      <c r="E238" s="192"/>
      <c r="F238" s="192"/>
      <c r="G238" s="192"/>
      <c r="H238" s="192"/>
      <c r="I238" s="192"/>
      <c r="J238" s="192"/>
      <c r="K238" s="192"/>
      <c r="L238" s="192"/>
      <c r="M238" s="192"/>
      <c r="N238" s="155">
        <f t="shared" si="1"/>
        <v>0</v>
      </c>
      <c r="O238" s="193">
        <f t="shared" si="4"/>
        <v>0</v>
      </c>
      <c r="P238" s="156">
        <f t="shared" si="2"/>
        <v>0</v>
      </c>
      <c r="Q238" s="193">
        <f t="shared" si="3"/>
        <v>0</v>
      </c>
      <c r="R238" s="176"/>
      <c r="S238" s="194"/>
      <c r="T238" s="2"/>
    </row>
    <row r="239" spans="1:20" ht="15.6" x14ac:dyDescent="0.3">
      <c r="A239" s="112"/>
      <c r="B239" s="155" t="s">
        <v>119</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120</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121</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122</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123</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c r="C244" s="192"/>
      <c r="D244" s="192"/>
      <c r="E244" s="192"/>
      <c r="F244" s="192"/>
      <c r="G244" s="192"/>
      <c r="H244" s="192"/>
      <c r="I244" s="192"/>
      <c r="J244" s="192"/>
      <c r="K244" s="192"/>
      <c r="L244" s="192"/>
      <c r="M244" s="192"/>
      <c r="N244" s="155"/>
      <c r="O244" s="193"/>
      <c r="P244" s="156"/>
      <c r="Q244" s="193"/>
      <c r="R244" s="176"/>
      <c r="S244" s="194"/>
      <c r="T244" s="2"/>
    </row>
    <row r="245" spans="1:21" ht="15.6" x14ac:dyDescent="0.3">
      <c r="A245" s="112"/>
      <c r="B245" s="113" t="s">
        <v>94</v>
      </c>
      <c r="C245" s="113"/>
      <c r="D245" s="195"/>
      <c r="E245" s="195"/>
      <c r="F245" s="195"/>
      <c r="G245" s="195"/>
      <c r="H245" s="195"/>
      <c r="I245" s="195"/>
      <c r="J245" s="195"/>
      <c r="K245" s="195"/>
      <c r="L245" s="195"/>
      <c r="M245" s="195"/>
      <c r="N245" s="155">
        <f>SUM(N236:N244)</f>
        <v>1548</v>
      </c>
      <c r="O245" s="193">
        <f>SUM(O236:O244)</f>
        <v>1</v>
      </c>
      <c r="P245" s="156">
        <f>SUM(P236:P244)</f>
        <v>241452</v>
      </c>
      <c r="Q245" s="193">
        <f>SUM(Q236:Q244)</f>
        <v>1</v>
      </c>
      <c r="R245" s="113"/>
      <c r="S245" s="116"/>
      <c r="T245" s="2"/>
    </row>
    <row r="246" spans="1:21" ht="15.6" x14ac:dyDescent="0.3">
      <c r="A246" s="12"/>
      <c r="B246" s="165"/>
      <c r="C246" s="171"/>
      <c r="D246" s="43"/>
      <c r="E246" s="43"/>
      <c r="F246" s="43"/>
      <c r="G246" s="43"/>
      <c r="H246" s="43"/>
      <c r="I246" s="43"/>
      <c r="J246" s="43"/>
      <c r="K246" s="43"/>
      <c r="L246" s="43"/>
      <c r="M246" s="43"/>
      <c r="N246" s="43"/>
      <c r="O246" s="43"/>
      <c r="P246" s="172"/>
      <c r="Q246" s="43"/>
      <c r="R246" s="43"/>
      <c r="S246" s="218"/>
      <c r="T246" s="2"/>
    </row>
    <row r="247" spans="1:21" ht="15.6" x14ac:dyDescent="0.3">
      <c r="A247" s="53"/>
      <c r="B247" s="61" t="s">
        <v>124</v>
      </c>
      <c r="C247" s="62"/>
      <c r="D247" s="62"/>
      <c r="E247" s="62"/>
      <c r="F247" s="62"/>
      <c r="G247" s="62"/>
      <c r="H247" s="62"/>
      <c r="I247" s="62"/>
      <c r="J247" s="62"/>
      <c r="K247" s="62"/>
      <c r="L247" s="62"/>
      <c r="M247" s="62"/>
      <c r="N247" s="72" t="s">
        <v>83</v>
      </c>
      <c r="O247" s="62" t="s">
        <v>84</v>
      </c>
      <c r="P247" s="72" t="s">
        <v>89</v>
      </c>
      <c r="Q247" s="62" t="s">
        <v>84</v>
      </c>
      <c r="R247" s="54"/>
      <c r="S247" s="228"/>
      <c r="T247" s="2"/>
    </row>
    <row r="248" spans="1:21" ht="15.6" x14ac:dyDescent="0.3">
      <c r="A248" s="24"/>
      <c r="B248" s="78" t="s">
        <v>72</v>
      </c>
      <c r="C248" s="93"/>
      <c r="D248" s="93"/>
      <c r="E248" s="93"/>
      <c r="F248" s="93"/>
      <c r="G248" s="93"/>
      <c r="H248" s="93"/>
      <c r="I248" s="93"/>
      <c r="J248" s="93"/>
      <c r="K248" s="93"/>
      <c r="L248" s="93"/>
      <c r="M248" s="93"/>
      <c r="N248" s="78">
        <v>1548</v>
      </c>
      <c r="O248" s="81">
        <f>N248/$N$257</f>
        <v>1</v>
      </c>
      <c r="P248" s="82">
        <v>241452</v>
      </c>
      <c r="Q248" s="81">
        <f t="shared" ref="Q248:Q255" si="5">P248/$P$257</f>
        <v>1</v>
      </c>
      <c r="R248" s="94"/>
      <c r="S248" s="229"/>
      <c r="T248" s="2"/>
    </row>
    <row r="249" spans="1:21" ht="15.6" x14ac:dyDescent="0.3">
      <c r="A249" s="112"/>
      <c r="B249" s="155" t="s">
        <v>73</v>
      </c>
      <c r="C249" s="192"/>
      <c r="D249" s="192"/>
      <c r="E249" s="192"/>
      <c r="F249" s="192"/>
      <c r="G249" s="192"/>
      <c r="H249" s="192"/>
      <c r="I249" s="192"/>
      <c r="J249" s="192"/>
      <c r="K249" s="192"/>
      <c r="L249" s="192"/>
      <c r="M249" s="192"/>
      <c r="N249" s="155">
        <v>0</v>
      </c>
      <c r="O249" s="193">
        <f t="shared" ref="O249:O255" si="6">N249/$N$257</f>
        <v>0</v>
      </c>
      <c r="P249" s="156">
        <v>0</v>
      </c>
      <c r="Q249" s="193">
        <f t="shared" si="5"/>
        <v>0</v>
      </c>
      <c r="R249" s="176"/>
      <c r="S249" s="194"/>
      <c r="T249" s="2"/>
      <c r="U249" s="4"/>
    </row>
    <row r="250" spans="1:21" ht="15.6" x14ac:dyDescent="0.3">
      <c r="A250" s="112"/>
      <c r="B250" s="155" t="s">
        <v>74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row>
    <row r="251" spans="1:21" ht="15.6" x14ac:dyDescent="0.3">
      <c r="A251" s="112"/>
      <c r="B251" s="155" t="s">
        <v>119</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c r="U251" s="4"/>
    </row>
    <row r="252" spans="1:21" ht="15.6" x14ac:dyDescent="0.3">
      <c r="A252" s="112"/>
      <c r="B252" s="155" t="s">
        <v>120</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row>
    <row r="253" spans="1:21" ht="15.6" x14ac:dyDescent="0.3">
      <c r="A253" s="112"/>
      <c r="B253" s="155" t="s">
        <v>121</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c r="U253" s="4"/>
    </row>
    <row r="254" spans="1:21" ht="15.6" x14ac:dyDescent="0.3">
      <c r="A254" s="112"/>
      <c r="B254" s="155" t="s">
        <v>122</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row>
    <row r="255" spans="1:21" ht="15.6" x14ac:dyDescent="0.3">
      <c r="A255" s="112"/>
      <c r="B255" s="155" t="s">
        <v>123</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c r="U255" s="4"/>
    </row>
    <row r="256" spans="1:21" ht="15.6" x14ac:dyDescent="0.3">
      <c r="A256" s="112"/>
      <c r="B256" s="155"/>
      <c r="C256" s="192"/>
      <c r="D256" s="192"/>
      <c r="E256" s="192"/>
      <c r="F256" s="192"/>
      <c r="G256" s="192"/>
      <c r="H256" s="192"/>
      <c r="I256" s="192"/>
      <c r="J256" s="192"/>
      <c r="K256" s="192"/>
      <c r="L256" s="192"/>
      <c r="M256" s="192"/>
      <c r="N256" s="155"/>
      <c r="O256" s="193"/>
      <c r="P256" s="156"/>
      <c r="Q256" s="193"/>
      <c r="R256" s="176"/>
      <c r="S256" s="194"/>
      <c r="T256" s="2"/>
    </row>
    <row r="257" spans="1:20" ht="15.6" x14ac:dyDescent="0.3">
      <c r="A257" s="112"/>
      <c r="B257" s="113" t="s">
        <v>94</v>
      </c>
      <c r="C257" s="113"/>
      <c r="D257" s="195"/>
      <c r="E257" s="195"/>
      <c r="F257" s="195"/>
      <c r="G257" s="195"/>
      <c r="H257" s="195"/>
      <c r="I257" s="195"/>
      <c r="J257" s="195"/>
      <c r="K257" s="195"/>
      <c r="L257" s="195"/>
      <c r="M257" s="195"/>
      <c r="N257" s="155">
        <f>SUM(N248:N256)</f>
        <v>1548</v>
      </c>
      <c r="O257" s="193">
        <f>SUM(O248:O256)</f>
        <v>1</v>
      </c>
      <c r="P257" s="156">
        <f>SUM(P248:P256)</f>
        <v>241452</v>
      </c>
      <c r="Q257" s="193">
        <f>SUM(Q248:Q256)</f>
        <v>1</v>
      </c>
      <c r="R257" s="113"/>
      <c r="S257" s="116"/>
      <c r="T257" s="2"/>
    </row>
    <row r="258" spans="1:20" ht="15.6" x14ac:dyDescent="0.3">
      <c r="A258" s="12"/>
      <c r="B258" s="43"/>
      <c r="C258" s="43"/>
      <c r="D258" s="189"/>
      <c r="E258" s="189"/>
      <c r="F258" s="189"/>
      <c r="G258" s="189"/>
      <c r="H258" s="189"/>
      <c r="I258" s="189"/>
      <c r="J258" s="189"/>
      <c r="K258" s="189"/>
      <c r="L258" s="189"/>
      <c r="M258" s="189"/>
      <c r="N258" s="153"/>
      <c r="O258" s="190"/>
      <c r="P258" s="191"/>
      <c r="Q258" s="190"/>
      <c r="R258" s="43"/>
      <c r="S258" s="218"/>
      <c r="T258" s="2"/>
    </row>
    <row r="259" spans="1:20" ht="15.6" x14ac:dyDescent="0.3">
      <c r="A259" s="73"/>
      <c r="B259" s="61" t="s">
        <v>146</v>
      </c>
      <c r="C259" s="62"/>
      <c r="D259" s="62"/>
      <c r="E259" s="62"/>
      <c r="F259" s="62"/>
      <c r="G259" s="62"/>
      <c r="H259" s="62"/>
      <c r="I259" s="62"/>
      <c r="J259" s="62"/>
      <c r="K259" s="62"/>
      <c r="L259" s="62"/>
      <c r="M259" s="62"/>
      <c r="N259" s="72" t="s">
        <v>83</v>
      </c>
      <c r="O259" s="62" t="s">
        <v>84</v>
      </c>
      <c r="P259" s="72" t="s">
        <v>89</v>
      </c>
      <c r="Q259" s="62" t="s">
        <v>84</v>
      </c>
      <c r="R259" s="74"/>
      <c r="S259" s="75"/>
      <c r="T259" s="2"/>
    </row>
    <row r="260" spans="1:20" ht="15.6" x14ac:dyDescent="0.3">
      <c r="A260" s="24"/>
      <c r="B260" s="78" t="s">
        <v>72</v>
      </c>
      <c r="C260" s="93"/>
      <c r="D260" s="93"/>
      <c r="E260" s="93"/>
      <c r="F260" s="93"/>
      <c r="G260" s="93"/>
      <c r="H260" s="93"/>
      <c r="I260" s="93"/>
      <c r="J260" s="93"/>
      <c r="K260" s="93"/>
      <c r="L260" s="93"/>
      <c r="M260" s="93"/>
      <c r="N260" s="78">
        <v>0</v>
      </c>
      <c r="O260" s="81">
        <v>0</v>
      </c>
      <c r="P260" s="82">
        <v>0</v>
      </c>
      <c r="Q260" s="81">
        <v>0</v>
      </c>
      <c r="R260" s="79"/>
      <c r="S260" s="221"/>
      <c r="T260" s="2"/>
    </row>
    <row r="261" spans="1:20" ht="15.6" x14ac:dyDescent="0.3">
      <c r="A261" s="112"/>
      <c r="B261" s="155" t="s">
        <v>73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74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119</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120</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121</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122</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123</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c r="C268" s="192"/>
      <c r="D268" s="192"/>
      <c r="E268" s="192"/>
      <c r="F268" s="192"/>
      <c r="G268" s="192"/>
      <c r="H268" s="192"/>
      <c r="I268" s="192"/>
      <c r="J268" s="192"/>
      <c r="K268" s="192"/>
      <c r="L268" s="192"/>
      <c r="M268" s="192"/>
      <c r="N268" s="155"/>
      <c r="O268" s="193"/>
      <c r="P268" s="156"/>
      <c r="Q268" s="193"/>
      <c r="R268" s="113"/>
      <c r="S268" s="116"/>
      <c r="T268" s="2"/>
    </row>
    <row r="269" spans="1:20" ht="15.6" x14ac:dyDescent="0.3">
      <c r="A269" s="112"/>
      <c r="B269" s="113" t="s">
        <v>94</v>
      </c>
      <c r="C269" s="113"/>
      <c r="D269" s="195"/>
      <c r="E269" s="195"/>
      <c r="F269" s="195"/>
      <c r="G269" s="195"/>
      <c r="H269" s="195"/>
      <c r="I269" s="195"/>
      <c r="J269" s="195"/>
      <c r="K269" s="195"/>
      <c r="L269" s="195"/>
      <c r="M269" s="195"/>
      <c r="N269" s="155">
        <f>SUM(N260:N268)</f>
        <v>0</v>
      </c>
      <c r="O269" s="193">
        <f>SUM(O260:O268)</f>
        <v>0</v>
      </c>
      <c r="P269" s="156">
        <f>SUM(P260:P268)</f>
        <v>0</v>
      </c>
      <c r="Q269" s="193">
        <f>SUM(Q260:Q268)</f>
        <v>0</v>
      </c>
      <c r="R269" s="113"/>
      <c r="S269" s="116"/>
      <c r="T269" s="2"/>
    </row>
    <row r="270" spans="1:20" ht="15.6" x14ac:dyDescent="0.3">
      <c r="A270" s="12"/>
      <c r="B270" s="43"/>
      <c r="C270" s="43"/>
      <c r="D270" s="189"/>
      <c r="E270" s="189"/>
      <c r="F270" s="189"/>
      <c r="G270" s="189"/>
      <c r="H270" s="189"/>
      <c r="I270" s="189"/>
      <c r="J270" s="189"/>
      <c r="K270" s="189"/>
      <c r="L270" s="189"/>
      <c r="M270" s="189"/>
      <c r="N270" s="153"/>
      <c r="O270" s="190"/>
      <c r="P270" s="191"/>
      <c r="Q270" s="190"/>
      <c r="R270" s="43"/>
      <c r="S270" s="218"/>
      <c r="T270" s="2"/>
    </row>
    <row r="271" spans="1:20" ht="15.6" x14ac:dyDescent="0.3">
      <c r="A271" s="73"/>
      <c r="B271" s="61" t="s">
        <v>125</v>
      </c>
      <c r="C271" s="74"/>
      <c r="D271" s="76"/>
      <c r="E271" s="76"/>
      <c r="F271" s="76"/>
      <c r="G271" s="76"/>
      <c r="H271" s="76"/>
      <c r="I271" s="76"/>
      <c r="J271" s="76"/>
      <c r="K271" s="76"/>
      <c r="L271" s="76"/>
      <c r="M271" s="76"/>
      <c r="N271" s="72" t="s">
        <v>83</v>
      </c>
      <c r="O271" s="62" t="s">
        <v>84</v>
      </c>
      <c r="P271" s="72" t="s">
        <v>89</v>
      </c>
      <c r="Q271" s="62" t="s">
        <v>84</v>
      </c>
      <c r="R271" s="74"/>
      <c r="S271" s="75"/>
      <c r="T271" s="2"/>
    </row>
    <row r="272" spans="1:20" ht="15.6" x14ac:dyDescent="0.3">
      <c r="A272" s="77"/>
      <c r="B272" s="78" t="s">
        <v>72</v>
      </c>
      <c r="C272" s="79"/>
      <c r="D272" s="80"/>
      <c r="E272" s="80"/>
      <c r="F272" s="80"/>
      <c r="G272" s="80"/>
      <c r="H272" s="80"/>
      <c r="I272" s="80"/>
      <c r="J272" s="80"/>
      <c r="K272" s="80"/>
      <c r="L272" s="80"/>
      <c r="M272" s="80"/>
      <c r="N272" s="78">
        <v>0</v>
      </c>
      <c r="O272" s="81">
        <v>0</v>
      </c>
      <c r="P272" s="82">
        <v>0</v>
      </c>
      <c r="Q272" s="81">
        <v>0</v>
      </c>
      <c r="R272" s="79"/>
      <c r="S272" s="221"/>
      <c r="T272" s="2"/>
    </row>
    <row r="273" spans="1:20" ht="15.6" x14ac:dyDescent="0.3">
      <c r="A273" s="122"/>
      <c r="B273" s="155" t="s">
        <v>73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74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119</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120</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121</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122</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123</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c r="C280" s="113"/>
      <c r="D280" s="195"/>
      <c r="E280" s="195"/>
      <c r="F280" s="195"/>
      <c r="G280" s="195"/>
      <c r="H280" s="195"/>
      <c r="I280" s="195"/>
      <c r="J280" s="195"/>
      <c r="K280" s="195"/>
      <c r="L280" s="195"/>
      <c r="M280" s="195"/>
      <c r="N280" s="155"/>
      <c r="O280" s="193"/>
      <c r="P280" s="156"/>
      <c r="Q280" s="193"/>
      <c r="R280" s="113"/>
      <c r="S280" s="116"/>
      <c r="T280" s="2"/>
    </row>
    <row r="281" spans="1:20" ht="15.6" x14ac:dyDescent="0.3">
      <c r="A281" s="122"/>
      <c r="B281" s="113" t="s">
        <v>94</v>
      </c>
      <c r="C281" s="113"/>
      <c r="D281" s="195"/>
      <c r="E281" s="195"/>
      <c r="F281" s="195"/>
      <c r="G281" s="195"/>
      <c r="H281" s="195"/>
      <c r="I281" s="195"/>
      <c r="J281" s="195"/>
      <c r="K281" s="195"/>
      <c r="L281" s="195"/>
      <c r="M281" s="195"/>
      <c r="N281" s="155">
        <f>SUM(N272:N279)</f>
        <v>0</v>
      </c>
      <c r="O281" s="193">
        <f>SUM(O272:O279)</f>
        <v>0</v>
      </c>
      <c r="P281" s="156">
        <f>SUM(P272:P279)</f>
        <v>0</v>
      </c>
      <c r="Q281" s="193">
        <f>SUM(Q272:Q279)</f>
        <v>0</v>
      </c>
      <c r="R281" s="113"/>
      <c r="S281" s="116"/>
      <c r="T281" s="2"/>
    </row>
    <row r="282" spans="1:20" ht="15.6" x14ac:dyDescent="0.3">
      <c r="A282" s="122"/>
      <c r="B282" s="113"/>
      <c r="C282" s="113"/>
      <c r="D282" s="195"/>
      <c r="E282" s="195"/>
      <c r="F282" s="195"/>
      <c r="G282" s="195"/>
      <c r="H282" s="195"/>
      <c r="I282" s="195"/>
      <c r="J282" s="195"/>
      <c r="K282" s="195"/>
      <c r="L282" s="195"/>
      <c r="M282" s="195"/>
      <c r="N282" s="155"/>
      <c r="O282" s="193"/>
      <c r="P282" s="156"/>
      <c r="Q282" s="193"/>
      <c r="R282" s="113"/>
      <c r="S282" s="116"/>
      <c r="T282" s="2"/>
    </row>
    <row r="283" spans="1:20" ht="15.6" x14ac:dyDescent="0.3">
      <c r="A283" s="122"/>
      <c r="B283" s="124" t="s">
        <v>182</v>
      </c>
      <c r="C283" s="113"/>
      <c r="D283" s="195"/>
      <c r="E283" s="195"/>
      <c r="F283" s="195"/>
      <c r="G283" s="195"/>
      <c r="H283" s="195"/>
      <c r="I283" s="195"/>
      <c r="J283" s="195"/>
      <c r="K283" s="195"/>
      <c r="L283" s="195"/>
      <c r="M283" s="195"/>
      <c r="N283" s="197">
        <f>N281+N269+N257</f>
        <v>1548</v>
      </c>
      <c r="O283" s="193"/>
      <c r="P283" s="198">
        <f>+P281+P269+P257</f>
        <v>241452</v>
      </c>
      <c r="Q283" s="193"/>
      <c r="R283" s="113"/>
      <c r="S283" s="116"/>
      <c r="T283" s="2"/>
    </row>
    <row r="284" spans="1:20" ht="15.6" x14ac:dyDescent="0.3">
      <c r="A284" s="122"/>
      <c r="B284" s="124" t="s">
        <v>247</v>
      </c>
      <c r="C284" s="124"/>
      <c r="D284" s="206"/>
      <c r="E284" s="206"/>
      <c r="F284" s="206"/>
      <c r="G284" s="206"/>
      <c r="H284" s="206"/>
      <c r="I284" s="206"/>
      <c r="J284" s="206"/>
      <c r="K284" s="206"/>
      <c r="L284" s="206"/>
      <c r="M284" s="206"/>
      <c r="N284" s="197"/>
      <c r="O284" s="207"/>
      <c r="P284" s="208">
        <f>+R170</f>
        <v>2154</v>
      </c>
      <c r="Q284" s="193"/>
      <c r="R284" s="113"/>
      <c r="S284" s="116"/>
      <c r="T284" s="2"/>
    </row>
    <row r="285" spans="1:20" ht="15.6" x14ac:dyDescent="0.3">
      <c r="A285" s="122"/>
      <c r="B285" s="124" t="s">
        <v>126</v>
      </c>
      <c r="C285" s="124"/>
      <c r="D285" s="206"/>
      <c r="E285" s="206"/>
      <c r="F285" s="206"/>
      <c r="G285" s="206"/>
      <c r="H285" s="206"/>
      <c r="I285" s="206"/>
      <c r="J285" s="206"/>
      <c r="K285" s="206"/>
      <c r="L285" s="206"/>
      <c r="M285" s="206"/>
      <c r="N285" s="197"/>
      <c r="O285" s="207"/>
      <c r="P285" s="208">
        <f>+P283+P284</f>
        <v>243606</v>
      </c>
      <c r="Q285" s="193"/>
      <c r="R285" s="113"/>
      <c r="S285" s="116"/>
      <c r="T285" s="2"/>
    </row>
    <row r="286" spans="1:20" ht="15.6" x14ac:dyDescent="0.3">
      <c r="A286" s="122"/>
      <c r="B286" s="124" t="s">
        <v>181</v>
      </c>
      <c r="C286" s="113"/>
      <c r="D286" s="195"/>
      <c r="E286" s="195"/>
      <c r="F286" s="195"/>
      <c r="G286" s="195"/>
      <c r="H286" s="195"/>
      <c r="I286" s="195"/>
      <c r="J286" s="195"/>
      <c r="K286" s="195"/>
      <c r="L286" s="195"/>
      <c r="M286" s="195"/>
      <c r="N286" s="197"/>
      <c r="O286" s="193"/>
      <c r="P286" s="198">
        <f>+R72</f>
        <v>243606</v>
      </c>
      <c r="Q286" s="193"/>
      <c r="R286" s="113"/>
      <c r="S286" s="116"/>
      <c r="T286" s="2"/>
    </row>
    <row r="287" spans="1:20" ht="15.6" x14ac:dyDescent="0.3">
      <c r="A287" s="122"/>
      <c r="B287" s="124"/>
      <c r="C287" s="113"/>
      <c r="D287" s="195"/>
      <c r="E287" s="195"/>
      <c r="F287" s="195"/>
      <c r="G287" s="195"/>
      <c r="H287" s="195"/>
      <c r="I287" s="195"/>
      <c r="J287" s="195"/>
      <c r="K287" s="195"/>
      <c r="L287" s="195"/>
      <c r="M287" s="195"/>
      <c r="N287" s="197"/>
      <c r="O287" s="193"/>
      <c r="P287" s="198"/>
      <c r="Q287" s="193"/>
      <c r="R287" s="113"/>
      <c r="S287" s="116"/>
      <c r="T287" s="2"/>
    </row>
    <row r="288" spans="1:20" ht="15.6" x14ac:dyDescent="0.3">
      <c r="A288" s="122"/>
      <c r="B288" s="124" t="s">
        <v>221</v>
      </c>
      <c r="C288" s="113"/>
      <c r="D288" s="195"/>
      <c r="E288" s="195"/>
      <c r="F288" s="195"/>
      <c r="G288" s="195"/>
      <c r="H288" s="195"/>
      <c r="I288" s="195"/>
      <c r="J288" s="195"/>
      <c r="K288" s="195"/>
      <c r="L288" s="195"/>
      <c r="M288" s="195"/>
      <c r="N288" s="197"/>
      <c r="O288" s="193"/>
      <c r="P288" s="215">
        <f>(J30+R138)/R30</f>
        <v>5.1517622081746949E-2</v>
      </c>
      <c r="Q288" s="193"/>
      <c r="R288" s="113"/>
      <c r="S288" s="116"/>
      <c r="T288" s="2"/>
    </row>
    <row r="289" spans="1:20" ht="15.6" x14ac:dyDescent="0.3">
      <c r="A289" s="83"/>
      <c r="B289" s="84"/>
      <c r="C289" s="84"/>
      <c r="D289" s="85"/>
      <c r="E289" s="85"/>
      <c r="F289" s="85"/>
      <c r="G289" s="85"/>
      <c r="H289" s="85"/>
      <c r="I289" s="85"/>
      <c r="J289" s="85"/>
      <c r="K289" s="85"/>
      <c r="L289" s="85"/>
      <c r="M289" s="85"/>
      <c r="N289" s="85"/>
      <c r="O289" s="85"/>
      <c r="P289" s="86"/>
      <c r="Q289" s="85"/>
      <c r="R289" s="84"/>
      <c r="S289" s="219"/>
      <c r="T289" s="2"/>
    </row>
    <row r="290" spans="1:20" ht="15.6" x14ac:dyDescent="0.3">
      <c r="A290" s="87"/>
      <c r="B290" s="88" t="s">
        <v>75</v>
      </c>
      <c r="C290" s="84"/>
      <c r="D290" s="89" t="s">
        <v>79</v>
      </c>
      <c r="E290" s="88"/>
      <c r="F290" s="88" t="s">
        <v>80</v>
      </c>
      <c r="G290" s="84"/>
      <c r="H290" s="88"/>
      <c r="I290" s="90"/>
      <c r="J290" s="90"/>
      <c r="K290" s="90"/>
      <c r="L290" s="90"/>
      <c r="M290" s="90"/>
      <c r="N290" s="90"/>
      <c r="O290" s="90"/>
      <c r="P290" s="90"/>
      <c r="Q290" s="90"/>
      <c r="R290" s="90"/>
      <c r="S290" s="230"/>
      <c r="T290" s="2"/>
    </row>
    <row r="291" spans="1:20" ht="15.6" x14ac:dyDescent="0.3">
      <c r="A291" s="87"/>
      <c r="B291" s="90"/>
      <c r="C291" s="84"/>
      <c r="D291" s="84"/>
      <c r="E291" s="84"/>
      <c r="F291" s="84"/>
      <c r="G291" s="84"/>
      <c r="H291" s="84"/>
      <c r="I291" s="90"/>
      <c r="J291" s="90"/>
      <c r="K291" s="90"/>
      <c r="L291" s="90"/>
      <c r="M291" s="90"/>
      <c r="N291" s="90"/>
      <c r="O291" s="90"/>
      <c r="P291" s="90"/>
      <c r="Q291" s="90"/>
      <c r="R291" s="90"/>
      <c r="S291" s="230"/>
      <c r="T291" s="2"/>
    </row>
    <row r="292" spans="1:20" ht="15.6" x14ac:dyDescent="0.3">
      <c r="A292" s="87"/>
      <c r="B292" s="214" t="s">
        <v>211</v>
      </c>
      <c r="C292" s="88"/>
      <c r="D292" s="91" t="s">
        <v>115</v>
      </c>
      <c r="E292" s="88"/>
      <c r="F292" s="88" t="s">
        <v>116</v>
      </c>
      <c r="G292" s="88"/>
      <c r="H292" s="88"/>
      <c r="I292" s="90"/>
      <c r="J292" s="90"/>
      <c r="K292" s="90"/>
      <c r="L292" s="90"/>
      <c r="M292" s="90"/>
      <c r="N292" s="90"/>
      <c r="O292" s="90"/>
      <c r="P292" s="90"/>
      <c r="Q292" s="90"/>
      <c r="R292" s="90"/>
      <c r="S292" s="230"/>
      <c r="T292" s="2"/>
    </row>
    <row r="293" spans="1:20" ht="15.6" x14ac:dyDescent="0.3">
      <c r="A293" s="87"/>
      <c r="B293" s="214" t="s">
        <v>212</v>
      </c>
      <c r="C293" s="88"/>
      <c r="D293" s="91" t="s">
        <v>147</v>
      </c>
      <c r="E293" s="88"/>
      <c r="F293" s="88" t="s">
        <v>148</v>
      </c>
      <c r="G293" s="88"/>
      <c r="H293" s="88"/>
      <c r="I293" s="90"/>
      <c r="J293" s="90"/>
      <c r="K293" s="90"/>
      <c r="L293" s="90"/>
      <c r="M293" s="90"/>
      <c r="N293" s="90"/>
      <c r="O293" s="90"/>
      <c r="P293" s="90"/>
      <c r="Q293" s="90"/>
      <c r="R293" s="90"/>
      <c r="S293" s="230"/>
      <c r="T293" s="2"/>
    </row>
    <row r="294" spans="1:20" ht="15.6" x14ac:dyDescent="0.3">
      <c r="A294" s="87"/>
      <c r="B294" s="214" t="s">
        <v>213</v>
      </c>
      <c r="C294" s="88"/>
      <c r="D294" s="91" t="s">
        <v>114</v>
      </c>
      <c r="E294" s="88"/>
      <c r="F294" s="88" t="s">
        <v>117</v>
      </c>
      <c r="G294" s="88"/>
      <c r="H294" s="88"/>
      <c r="I294" s="90"/>
      <c r="J294" s="90"/>
      <c r="K294" s="90"/>
      <c r="L294" s="90"/>
      <c r="M294" s="90"/>
      <c r="N294" s="90"/>
      <c r="O294" s="90"/>
      <c r="P294" s="90"/>
      <c r="Q294" s="90"/>
      <c r="R294" s="90"/>
      <c r="S294" s="230"/>
      <c r="T294" s="2"/>
    </row>
    <row r="295" spans="1:20" ht="15.6" x14ac:dyDescent="0.3">
      <c r="A295" s="87"/>
      <c r="B295" s="88"/>
      <c r="C295" s="88"/>
      <c r="D295" s="90"/>
      <c r="E295" s="90"/>
      <c r="F295" s="90"/>
      <c r="G295" s="90"/>
      <c r="H295" s="90"/>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8" thickBot="1" x14ac:dyDescent="0.35">
      <c r="A297" s="87"/>
      <c r="B297" s="92" t="str">
        <f>B195</f>
        <v>PM21 INVESTOR REPORT QUARTER ENDING MAY 2015</v>
      </c>
      <c r="C297" s="88"/>
      <c r="D297" s="90"/>
      <c r="E297" s="90"/>
      <c r="F297" s="90"/>
      <c r="G297" s="90"/>
      <c r="H297" s="90"/>
      <c r="I297" s="90"/>
      <c r="J297" s="90"/>
      <c r="K297" s="90"/>
      <c r="L297" s="90"/>
      <c r="M297" s="90"/>
      <c r="N297" s="90"/>
      <c r="O297" s="90"/>
      <c r="P297" s="90"/>
      <c r="Q297" s="90"/>
      <c r="R297" s="90"/>
      <c r="S297" s="99"/>
      <c r="T297" s="2"/>
    </row>
    <row r="298" spans="1:20" x14ac:dyDescent="0.25">
      <c r="A298" s="3"/>
      <c r="B298" s="3"/>
      <c r="C298" s="3"/>
      <c r="D298" s="3"/>
      <c r="E298" s="3"/>
      <c r="F298" s="3"/>
      <c r="G298" s="3"/>
      <c r="H298" s="3"/>
      <c r="I298" s="3"/>
      <c r="J298" s="3"/>
      <c r="K298" s="3"/>
      <c r="L298" s="3"/>
      <c r="M298" s="3"/>
      <c r="N298" s="3"/>
      <c r="O298" s="3"/>
      <c r="P298" s="3"/>
      <c r="Q298" s="3"/>
      <c r="R298" s="3"/>
      <c r="S298"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5" max="18" man="1"/>
  </rowBreaks>
  <colBreaks count="1" manualBreakCount="1">
    <brk id="19" max="299"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29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42269</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188</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211505.96419</v>
      </c>
      <c r="E29" s="130"/>
      <c r="F29" s="202">
        <f>F28*F32</f>
        <v>17700</v>
      </c>
      <c r="G29" s="202"/>
      <c r="H29" s="202">
        <f>H28*H32</f>
        <v>8100</v>
      </c>
      <c r="I29" s="126"/>
      <c r="J29" s="202">
        <f>J28*J32</f>
        <v>6300</v>
      </c>
      <c r="K29" s="126"/>
      <c r="L29" s="130"/>
      <c r="M29" s="126"/>
      <c r="N29" s="130"/>
      <c r="O29" s="126"/>
      <c r="P29" s="126"/>
      <c r="Q29" s="127"/>
      <c r="R29" s="126">
        <f>SUM(D29:J29)</f>
        <v>243605.96419</v>
      </c>
      <c r="S29" s="128"/>
      <c r="T29" s="2"/>
    </row>
    <row r="30" spans="1:23" ht="15.6" x14ac:dyDescent="0.3">
      <c r="A30" s="122"/>
      <c r="B30" s="121" t="s">
        <v>107</v>
      </c>
      <c r="C30" s="125"/>
      <c r="D30" s="203">
        <f>D28*D31</f>
        <v>207247.10868999999</v>
      </c>
      <c r="E30" s="203"/>
      <c r="F30" s="203">
        <f t="shared" ref="F30:J30" si="0">F28*F31</f>
        <v>17700</v>
      </c>
      <c r="G30" s="203"/>
      <c r="H30" s="203">
        <f>H28*H31</f>
        <v>8100</v>
      </c>
      <c r="I30" s="203"/>
      <c r="J30" s="203">
        <f t="shared" si="0"/>
        <v>6300</v>
      </c>
      <c r="K30" s="131"/>
      <c r="L30" s="133"/>
      <c r="M30" s="131"/>
      <c r="N30" s="133"/>
      <c r="O30" s="126"/>
      <c r="P30" s="126"/>
      <c r="Q30" s="127"/>
      <c r="R30" s="204">
        <f>SUM(D30:J30)</f>
        <v>239347.10868999999</v>
      </c>
      <c r="S30" s="128"/>
      <c r="T30" s="2"/>
    </row>
    <row r="31" spans="1:23" ht="15.6" x14ac:dyDescent="0.3">
      <c r="A31" s="112"/>
      <c r="B31" s="134" t="s">
        <v>103</v>
      </c>
      <c r="C31" s="135"/>
      <c r="D31" s="136">
        <v>0.95111109999999999</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0.97065610000000002</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1.3712500000000001E-2</v>
      </c>
      <c r="E34" s="143"/>
      <c r="F34" s="143">
        <v>1.9712500000000001E-2</v>
      </c>
      <c r="G34" s="143"/>
      <c r="H34" s="143">
        <v>2.32125E-2</v>
      </c>
      <c r="I34" s="143"/>
      <c r="J34" s="143">
        <v>2.67125E-2</v>
      </c>
      <c r="K34" s="143"/>
      <c r="L34" s="143"/>
      <c r="M34" s="142"/>
      <c r="N34" s="143"/>
      <c r="O34" s="123"/>
      <c r="P34" s="123"/>
      <c r="Q34" s="115"/>
      <c r="R34" s="142">
        <f>SUMPRODUCT(D34:J34,D29:J29)/R29</f>
        <v>1.4800527548427653E-2</v>
      </c>
      <c r="S34" s="116"/>
      <c r="T34" s="2"/>
    </row>
    <row r="35" spans="1:21" ht="15.6" x14ac:dyDescent="0.3">
      <c r="A35" s="112"/>
      <c r="B35" s="113" t="s">
        <v>10</v>
      </c>
      <c r="C35" s="144"/>
      <c r="D35" s="143">
        <v>1.3639999999999999E-2</v>
      </c>
      <c r="E35" s="143"/>
      <c r="F35" s="143">
        <v>1.9640000000000001E-2</v>
      </c>
      <c r="G35" s="143"/>
      <c r="H35" s="143">
        <v>2.3140000000000001E-2</v>
      </c>
      <c r="I35" s="143"/>
      <c r="J35" s="143">
        <v>2.664E-2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0.15488756491177469</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42262</v>
      </c>
      <c r="S45" s="116"/>
      <c r="T45" s="2"/>
    </row>
    <row r="46" spans="1:21" ht="15.6" x14ac:dyDescent="0.3">
      <c r="A46" s="112"/>
      <c r="B46" s="113" t="s">
        <v>99</v>
      </c>
      <c r="C46" s="113"/>
      <c r="D46" s="150"/>
      <c r="E46" s="150"/>
      <c r="F46" s="150"/>
      <c r="G46" s="150"/>
      <c r="H46" s="150"/>
      <c r="I46" s="150"/>
      <c r="J46" s="150"/>
      <c r="K46" s="150"/>
      <c r="L46" s="150"/>
      <c r="M46" s="150"/>
      <c r="N46" s="113">
        <f>+R46-P46+1</f>
        <v>91</v>
      </c>
      <c r="O46" s="113"/>
      <c r="P46" s="151">
        <v>42079</v>
      </c>
      <c r="Q46" s="152"/>
      <c r="R46" s="151">
        <v>42169</v>
      </c>
      <c r="S46" s="116"/>
      <c r="T46" s="2"/>
    </row>
    <row r="47" spans="1:21" ht="15.6" x14ac:dyDescent="0.3">
      <c r="A47" s="112"/>
      <c r="B47" s="113" t="s">
        <v>100</v>
      </c>
      <c r="C47" s="113"/>
      <c r="D47" s="113"/>
      <c r="E47" s="113"/>
      <c r="F47" s="113"/>
      <c r="G47" s="113"/>
      <c r="H47" s="113"/>
      <c r="I47" s="113"/>
      <c r="J47" s="113"/>
      <c r="K47" s="113"/>
      <c r="L47" s="113"/>
      <c r="M47" s="113"/>
      <c r="N47" s="113">
        <f>+R47-P47+1</f>
        <v>92</v>
      </c>
      <c r="O47" s="113"/>
      <c r="P47" s="151">
        <v>42170</v>
      </c>
      <c r="Q47" s="152"/>
      <c r="R47" s="151">
        <v>42261</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42248</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257</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241452</v>
      </c>
      <c r="I56" s="155"/>
      <c r="J56" s="156">
        <v>138</v>
      </c>
      <c r="K56" s="155"/>
      <c r="L56" s="155">
        <f>3975+315-138</f>
        <v>4152</v>
      </c>
      <c r="M56" s="155"/>
      <c r="N56" s="155">
        <f>115+31</f>
        <v>146</v>
      </c>
      <c r="O56" s="155"/>
      <c r="P56" s="155">
        <v>0</v>
      </c>
      <c r="Q56" s="155"/>
      <c r="R56" s="156">
        <f>H56-J56-L56+N56-P56</f>
        <v>237308</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241452</v>
      </c>
      <c r="I59" s="155"/>
      <c r="J59" s="155">
        <f>J56+J57</f>
        <v>138</v>
      </c>
      <c r="K59" s="155"/>
      <c r="L59" s="155">
        <f>SUM(L56:L58)</f>
        <v>4152</v>
      </c>
      <c r="M59" s="155"/>
      <c r="N59" s="155">
        <f>SUM(N56:N58)</f>
        <v>146</v>
      </c>
      <c r="O59" s="155"/>
      <c r="P59" s="155">
        <f>SUM(P56:P58)</f>
        <v>0</v>
      </c>
      <c r="Q59" s="155"/>
      <c r="R59" s="155">
        <f>SUM(R56:R58)</f>
        <v>237308</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2154</v>
      </c>
      <c r="I70" s="155"/>
      <c r="J70" s="155"/>
      <c r="K70" s="155"/>
      <c r="L70" s="155"/>
      <c r="M70" s="155"/>
      <c r="N70" s="155">
        <v>-115</v>
      </c>
      <c r="O70" s="155"/>
      <c r="P70" s="155"/>
      <c r="Q70" s="155"/>
      <c r="R70" s="155">
        <f>+H70+N70</f>
        <v>2039</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243606</v>
      </c>
      <c r="I72" s="155"/>
      <c r="J72" s="155"/>
      <c r="K72" s="155"/>
      <c r="L72" s="155"/>
      <c r="M72" s="155"/>
      <c r="N72" s="155"/>
      <c r="O72" s="155"/>
      <c r="P72" s="155"/>
      <c r="Q72" s="155"/>
      <c r="R72" s="155">
        <f>SUM(R59:R71)</f>
        <v>239347</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+P196</f>
        <v>42244</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115</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f>-P77</f>
        <v>-115</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4290</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2778-315</f>
        <v>2463</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73</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12</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16</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442</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4290</v>
      </c>
      <c r="Q89" s="113"/>
      <c r="R89" s="155">
        <f>SUM(R76:R88)</f>
        <v>3006</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4290</v>
      </c>
      <c r="Q92" s="113"/>
      <c r="R92" s="155">
        <f>R89+R90+R91</f>
        <v>3006</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236</v>
      </c>
      <c r="C96" s="113"/>
      <c r="D96" s="135"/>
      <c r="E96" s="135"/>
      <c r="F96" s="135"/>
      <c r="G96" s="135"/>
      <c r="H96" s="135"/>
      <c r="I96" s="135"/>
      <c r="J96" s="135"/>
      <c r="K96" s="135"/>
      <c r="L96" s="135"/>
      <c r="M96" s="135"/>
      <c r="N96" s="135"/>
      <c r="O96" s="135"/>
      <c r="P96" s="113"/>
      <c r="Q96" s="113"/>
      <c r="R96" s="156">
        <f>-92-2-3</f>
        <v>-97</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-283</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-731</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-88</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-47</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-1</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-42</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-91</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-26-156</f>
        <v>-182</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-1421</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-P178</f>
        <v>-31</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v>0</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-4259</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-4290</v>
      </c>
      <c r="Q119" s="155"/>
      <c r="R119" s="155">
        <f>SUM(R93:R118)</f>
        <v>-3006</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AUGUST 2015</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423.82228274999943</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5826.1777172500006</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f>'May 15'!R149</f>
        <v>2154</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-115</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0</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2039</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+'May 15'!R163</f>
        <v>295</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144</v>
      </c>
      <c r="C162" s="113"/>
      <c r="D162" s="113"/>
      <c r="E162" s="113"/>
      <c r="F162" s="113"/>
      <c r="G162" s="113"/>
      <c r="H162" s="113"/>
      <c r="I162" s="113"/>
      <c r="J162" s="113"/>
      <c r="K162" s="113"/>
      <c r="L162" s="113"/>
      <c r="M162" s="113"/>
      <c r="N162" s="113"/>
      <c r="O162" s="113"/>
      <c r="P162" s="113"/>
      <c r="Q162" s="113"/>
      <c r="R162" s="156">
        <f>+R84</f>
        <v>16</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142</v>
      </c>
      <c r="C163" s="113"/>
      <c r="D163" s="113"/>
      <c r="E163" s="113"/>
      <c r="F163" s="113"/>
      <c r="G163" s="113"/>
      <c r="H163" s="113"/>
      <c r="I163" s="113"/>
      <c r="J163" s="113"/>
      <c r="K163" s="113"/>
      <c r="L163" s="113"/>
      <c r="M163" s="113"/>
      <c r="N163" s="113"/>
      <c r="O163" s="113"/>
      <c r="P163" s="113"/>
      <c r="Q163" s="113"/>
      <c r="R163" s="156">
        <f>+R161-R162</f>
        <v>279</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2"/>
      <c r="S164" s="218"/>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217"/>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44</v>
      </c>
      <c r="C166" s="14"/>
      <c r="D166" s="14"/>
      <c r="E166" s="14"/>
      <c r="F166" s="14"/>
      <c r="G166" s="14"/>
      <c r="H166" s="14"/>
      <c r="I166" s="14"/>
      <c r="J166" s="14"/>
      <c r="K166" s="14"/>
      <c r="L166" s="14"/>
      <c r="M166" s="14"/>
      <c r="N166" s="14"/>
      <c r="O166" s="14"/>
      <c r="P166" s="14"/>
      <c r="Q166" s="14"/>
      <c r="R166" s="33"/>
      <c r="S166" s="218"/>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218"/>
      <c r="T167" s="2"/>
    </row>
    <row r="168" spans="1:252" ht="15.6" x14ac:dyDescent="0.3">
      <c r="A168" s="112"/>
      <c r="B168" s="113" t="s">
        <v>177</v>
      </c>
      <c r="C168" s="113"/>
      <c r="D168" s="113"/>
      <c r="E168" s="113"/>
      <c r="F168" s="113"/>
      <c r="G168" s="113"/>
      <c r="H168" s="113"/>
      <c r="I168" s="113"/>
      <c r="J168" s="113"/>
      <c r="K168" s="113"/>
      <c r="L168" s="113"/>
      <c r="M168" s="113"/>
      <c r="N168" s="113"/>
      <c r="O168" s="113"/>
      <c r="P168" s="113"/>
      <c r="Q168" s="113"/>
      <c r="R168" s="156">
        <f>+R59</f>
        <v>237308</v>
      </c>
      <c r="S168" s="116"/>
      <c r="T168" s="2"/>
    </row>
    <row r="169" spans="1:252" ht="15.6" x14ac:dyDescent="0.3">
      <c r="A169" s="112"/>
      <c r="B169" s="113" t="s">
        <v>178</v>
      </c>
      <c r="C169" s="113"/>
      <c r="D169" s="113"/>
      <c r="E169" s="113"/>
      <c r="F169" s="113"/>
      <c r="G169" s="113"/>
      <c r="H169" s="113"/>
      <c r="I169" s="113"/>
      <c r="J169" s="113"/>
      <c r="K169" s="113"/>
      <c r="L169" s="113"/>
      <c r="M169" s="113"/>
      <c r="N169" s="113"/>
      <c r="O169" s="113"/>
      <c r="P169" s="113"/>
      <c r="Q169" s="113"/>
      <c r="R169" s="156">
        <f>+R69</f>
        <v>0</v>
      </c>
      <c r="S169" s="116"/>
      <c r="T169" s="2"/>
    </row>
    <row r="170" spans="1:252" ht="15.6" x14ac:dyDescent="0.3">
      <c r="A170" s="112"/>
      <c r="B170" s="113" t="s">
        <v>246</v>
      </c>
      <c r="C170" s="113"/>
      <c r="D170" s="113"/>
      <c r="E170" s="113"/>
      <c r="F170" s="113"/>
      <c r="G170" s="113"/>
      <c r="H170" s="113"/>
      <c r="I170" s="113"/>
      <c r="J170" s="113"/>
      <c r="K170" s="113"/>
      <c r="L170" s="113"/>
      <c r="M170" s="113"/>
      <c r="N170" s="113"/>
      <c r="O170" s="113"/>
      <c r="P170" s="113"/>
      <c r="Q170" s="113"/>
      <c r="R170" s="156">
        <f>+R70</f>
        <v>2039</v>
      </c>
      <c r="S170" s="116"/>
      <c r="T170" s="2"/>
    </row>
    <row r="171" spans="1:252" ht="15.6" x14ac:dyDescent="0.3">
      <c r="A171" s="112"/>
      <c r="B171" s="113" t="s">
        <v>126</v>
      </c>
      <c r="C171" s="113"/>
      <c r="D171" s="113"/>
      <c r="E171" s="113"/>
      <c r="F171" s="113"/>
      <c r="G171" s="113"/>
      <c r="H171" s="113"/>
      <c r="I171" s="113"/>
      <c r="J171" s="113"/>
      <c r="K171" s="113"/>
      <c r="L171" s="113"/>
      <c r="M171" s="113"/>
      <c r="N171" s="113"/>
      <c r="O171" s="113"/>
      <c r="P171" s="113"/>
      <c r="Q171" s="113"/>
      <c r="R171" s="156">
        <f>+R168+R169+R170</f>
        <v>239347</v>
      </c>
      <c r="S171" s="116"/>
      <c r="T171" s="2"/>
    </row>
    <row r="172" spans="1:252" ht="15.6" x14ac:dyDescent="0.3">
      <c r="A172" s="112"/>
      <c r="B172" s="113" t="s">
        <v>45</v>
      </c>
      <c r="C172" s="113"/>
      <c r="D172" s="113"/>
      <c r="E172" s="113"/>
      <c r="F172" s="113"/>
      <c r="G172" s="113"/>
      <c r="H172" s="113"/>
      <c r="I172" s="113"/>
      <c r="J172" s="113"/>
      <c r="K172" s="113"/>
      <c r="L172" s="113"/>
      <c r="M172" s="113"/>
      <c r="N172" s="113"/>
      <c r="O172" s="113"/>
      <c r="P172" s="113"/>
      <c r="Q172" s="113"/>
      <c r="R172" s="156">
        <f>R72</f>
        <v>239347</v>
      </c>
      <c r="S172" s="116"/>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2"/>
      <c r="S173" s="218"/>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217"/>
      <c r="T174" s="2"/>
    </row>
    <row r="175" spans="1:252" ht="15.6" x14ac:dyDescent="0.3">
      <c r="A175" s="12"/>
      <c r="B175" s="41" t="s">
        <v>46</v>
      </c>
      <c r="C175" s="37"/>
      <c r="D175" s="45"/>
      <c r="E175" s="45"/>
      <c r="F175" s="45"/>
      <c r="G175" s="45"/>
      <c r="H175" s="45"/>
      <c r="I175" s="45"/>
      <c r="J175" s="45"/>
      <c r="K175" s="45"/>
      <c r="L175" s="45"/>
      <c r="M175" s="45"/>
      <c r="N175" s="45"/>
      <c r="O175" s="45" t="s">
        <v>82</v>
      </c>
      <c r="P175" s="45" t="s">
        <v>173</v>
      </c>
      <c r="Q175" s="16"/>
      <c r="R175" s="46" t="s">
        <v>94</v>
      </c>
      <c r="S175" s="225"/>
      <c r="T175" s="2"/>
    </row>
    <row r="176" spans="1:252" ht="15.6" x14ac:dyDescent="0.3">
      <c r="A176" s="112"/>
      <c r="B176" s="113" t="s">
        <v>47</v>
      </c>
      <c r="C176" s="113"/>
      <c r="D176" s="113"/>
      <c r="E176" s="113"/>
      <c r="F176" s="113"/>
      <c r="G176" s="113"/>
      <c r="H176" s="113"/>
      <c r="I176" s="113"/>
      <c r="J176" s="113"/>
      <c r="K176" s="113"/>
      <c r="L176" s="113"/>
      <c r="M176" s="113"/>
      <c r="N176" s="113"/>
      <c r="O176" s="156">
        <f>+R28*0.05</f>
        <v>12500</v>
      </c>
      <c r="P176" s="145"/>
      <c r="Q176" s="113"/>
      <c r="R176" s="156"/>
      <c r="S176" s="116"/>
      <c r="T176" s="2"/>
    </row>
    <row r="177" spans="1:20" ht="15.6" x14ac:dyDescent="0.3">
      <c r="A177" s="112"/>
      <c r="B177" s="113" t="s">
        <v>48</v>
      </c>
      <c r="C177" s="113"/>
      <c r="D177" s="113"/>
      <c r="E177" s="113"/>
      <c r="F177" s="113"/>
      <c r="G177" s="113"/>
      <c r="H177" s="113"/>
      <c r="I177" s="113"/>
      <c r="J177" s="113"/>
      <c r="K177" s="113"/>
      <c r="L177" s="113"/>
      <c r="M177" s="113"/>
      <c r="N177" s="113"/>
      <c r="O177" s="156">
        <f>+'May 15'!O179</f>
        <v>21</v>
      </c>
      <c r="P177" s="156">
        <f>+'May 15'!P179</f>
        <v>413</v>
      </c>
      <c r="Q177" s="113"/>
      <c r="R177" s="156">
        <f>O177+P177</f>
        <v>434</v>
      </c>
      <c r="S177" s="116"/>
      <c r="T177" s="2"/>
    </row>
    <row r="178" spans="1:20" ht="15.6" x14ac:dyDescent="0.3">
      <c r="A178" s="112"/>
      <c r="B178" s="113" t="s">
        <v>49</v>
      </c>
      <c r="C178" s="113"/>
      <c r="D178" s="113"/>
      <c r="E178" s="113"/>
      <c r="F178" s="113"/>
      <c r="G178" s="113"/>
      <c r="H178" s="113"/>
      <c r="I178" s="113"/>
      <c r="J178" s="113"/>
      <c r="K178" s="113"/>
      <c r="L178" s="113"/>
      <c r="M178" s="113"/>
      <c r="N178" s="113"/>
      <c r="O178" s="155">
        <v>115</v>
      </c>
      <c r="P178" s="155">
        <v>31</v>
      </c>
      <c r="Q178" s="113"/>
      <c r="R178" s="156">
        <f>O178+P178</f>
        <v>146</v>
      </c>
      <c r="S178" s="116"/>
      <c r="T178" s="2"/>
    </row>
    <row r="179" spans="1:20" ht="15.6" x14ac:dyDescent="0.3">
      <c r="A179" s="112"/>
      <c r="B179" s="113" t="s">
        <v>50</v>
      </c>
      <c r="C179" s="113"/>
      <c r="D179" s="113"/>
      <c r="E179" s="113"/>
      <c r="F179" s="113"/>
      <c r="G179" s="113"/>
      <c r="H179" s="113"/>
      <c r="I179" s="113"/>
      <c r="J179" s="113"/>
      <c r="K179" s="113"/>
      <c r="L179" s="113"/>
      <c r="M179" s="113"/>
      <c r="N179" s="113"/>
      <c r="O179" s="156">
        <f>O177+O178</f>
        <v>136</v>
      </c>
      <c r="P179" s="156">
        <f>P178+P177</f>
        <v>444</v>
      </c>
      <c r="Q179" s="113"/>
      <c r="R179" s="156">
        <f>O179+P179</f>
        <v>580</v>
      </c>
      <c r="S179" s="116"/>
      <c r="T179" s="2"/>
    </row>
    <row r="180" spans="1:20" ht="15.6" x14ac:dyDescent="0.3">
      <c r="A180" s="112"/>
      <c r="B180" s="113" t="s">
        <v>51</v>
      </c>
      <c r="C180" s="113"/>
      <c r="D180" s="113"/>
      <c r="E180" s="113"/>
      <c r="F180" s="113"/>
      <c r="G180" s="113"/>
      <c r="H180" s="113"/>
      <c r="I180" s="113"/>
      <c r="J180" s="113"/>
      <c r="K180" s="113"/>
      <c r="L180" s="113"/>
      <c r="M180" s="113"/>
      <c r="N180" s="113"/>
      <c r="O180" s="156">
        <f>O176-O179-P179</f>
        <v>11920</v>
      </c>
      <c r="P180" s="145"/>
      <c r="Q180" s="113"/>
      <c r="R180" s="156"/>
      <c r="S180" s="116"/>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2"/>
      <c r="S181" s="218"/>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217"/>
      <c r="T182" s="2"/>
    </row>
    <row r="183" spans="1:20" ht="15.6" x14ac:dyDescent="0.3">
      <c r="A183" s="12"/>
      <c r="B183" s="41" t="s">
        <v>52</v>
      </c>
      <c r="C183" s="14"/>
      <c r="D183" s="14"/>
      <c r="E183" s="14"/>
      <c r="F183" s="14"/>
      <c r="G183" s="14"/>
      <c r="H183" s="14"/>
      <c r="I183" s="14"/>
      <c r="J183" s="14"/>
      <c r="K183" s="14"/>
      <c r="L183" s="14"/>
      <c r="M183" s="14"/>
      <c r="N183" s="14"/>
      <c r="O183" s="14"/>
      <c r="P183" s="14"/>
      <c r="Q183" s="14"/>
      <c r="R183" s="47"/>
      <c r="S183" s="218"/>
      <c r="T183" s="2"/>
    </row>
    <row r="184" spans="1:20" ht="15.6" x14ac:dyDescent="0.3">
      <c r="A184" s="112"/>
      <c r="B184" s="113" t="s">
        <v>53</v>
      </c>
      <c r="C184" s="113"/>
      <c r="D184" s="113"/>
      <c r="E184" s="113"/>
      <c r="F184" s="113"/>
      <c r="G184" s="113"/>
      <c r="H184" s="113"/>
      <c r="I184" s="113"/>
      <c r="J184" s="113"/>
      <c r="K184" s="113"/>
      <c r="L184" s="113"/>
      <c r="M184" s="113"/>
      <c r="N184" s="113"/>
      <c r="O184" s="113"/>
      <c r="P184" s="113"/>
      <c r="Q184" s="113"/>
      <c r="R184" s="161">
        <f>(R92+R94+R95+R96+R97)/-(R98)</f>
        <v>3.5882352941176472</v>
      </c>
      <c r="S184" s="116" t="s">
        <v>95</v>
      </c>
      <c r="T184" s="2"/>
    </row>
    <row r="185" spans="1:20" ht="15.6" x14ac:dyDescent="0.3">
      <c r="A185" s="112"/>
      <c r="B185" s="113" t="s">
        <v>54</v>
      </c>
      <c r="C185" s="113"/>
      <c r="D185" s="113"/>
      <c r="E185" s="113"/>
      <c r="F185" s="113"/>
      <c r="G185" s="113"/>
      <c r="H185" s="113"/>
      <c r="I185" s="113"/>
      <c r="J185" s="113"/>
      <c r="K185" s="113"/>
      <c r="L185" s="113"/>
      <c r="M185" s="113"/>
      <c r="N185" s="113"/>
      <c r="O185" s="113"/>
      <c r="P185" s="113"/>
      <c r="Q185" s="113"/>
      <c r="R185" s="164">
        <v>3.42</v>
      </c>
      <c r="S185" s="116" t="s">
        <v>95</v>
      </c>
      <c r="T185" s="2"/>
    </row>
    <row r="186" spans="1:20" ht="15.6" x14ac:dyDescent="0.3">
      <c r="A186" s="112"/>
      <c r="B186" s="113" t="s">
        <v>192</v>
      </c>
      <c r="C186" s="113"/>
      <c r="D186" s="113"/>
      <c r="E186" s="113"/>
      <c r="F186" s="113"/>
      <c r="G186" s="113"/>
      <c r="H186" s="113"/>
      <c r="I186" s="113"/>
      <c r="J186" s="113"/>
      <c r="K186" s="113"/>
      <c r="L186" s="113"/>
      <c r="M186" s="113"/>
      <c r="N186" s="113"/>
      <c r="O186" s="113"/>
      <c r="P186" s="113"/>
      <c r="Q186" s="113"/>
      <c r="R186" s="161">
        <f>(R92+R94+R95+R96+R97+R98)/-(R99)</f>
        <v>21.5</v>
      </c>
      <c r="S186" s="116" t="s">
        <v>95</v>
      </c>
      <c r="T186" s="2"/>
    </row>
    <row r="187" spans="1:20" ht="15.6" x14ac:dyDescent="0.3">
      <c r="A187" s="112"/>
      <c r="B187" s="113" t="s">
        <v>193</v>
      </c>
      <c r="C187" s="113"/>
      <c r="D187" s="113"/>
      <c r="E187" s="113"/>
      <c r="F187" s="113"/>
      <c r="G187" s="113"/>
      <c r="H187" s="113"/>
      <c r="I187" s="113"/>
      <c r="J187" s="113"/>
      <c r="K187" s="113"/>
      <c r="L187" s="113"/>
      <c r="M187" s="113"/>
      <c r="N187" s="113"/>
      <c r="O187" s="113"/>
      <c r="P187" s="113"/>
      <c r="Q187" s="113"/>
      <c r="R187" s="164">
        <v>20.57</v>
      </c>
      <c r="S187" s="116" t="s">
        <v>95</v>
      </c>
      <c r="T187" s="2"/>
    </row>
    <row r="188" spans="1:20" ht="15.6" x14ac:dyDescent="0.3">
      <c r="A188" s="112"/>
      <c r="B188" s="113" t="s">
        <v>194</v>
      </c>
      <c r="C188" s="113"/>
      <c r="D188" s="113"/>
      <c r="E188" s="113"/>
      <c r="F188" s="113"/>
      <c r="G188" s="113"/>
      <c r="H188" s="113"/>
      <c r="I188" s="113"/>
      <c r="J188" s="113"/>
      <c r="K188" s="113"/>
      <c r="L188" s="113"/>
      <c r="M188" s="113"/>
      <c r="N188" s="113"/>
      <c r="O188" s="113"/>
      <c r="P188" s="113"/>
      <c r="Q188" s="113"/>
      <c r="R188" s="161">
        <f>(R92+R94+R95+R96+R97+R98+R99)/-(R100)</f>
        <v>38.382978723404257</v>
      </c>
      <c r="S188" s="116" t="s">
        <v>95</v>
      </c>
      <c r="T188" s="2"/>
    </row>
    <row r="189" spans="1:20" ht="15.6" x14ac:dyDescent="0.3">
      <c r="A189" s="112"/>
      <c r="B189" s="113" t="s">
        <v>195</v>
      </c>
      <c r="C189" s="113"/>
      <c r="D189" s="113"/>
      <c r="E189" s="113"/>
      <c r="F189" s="113"/>
      <c r="G189" s="113"/>
      <c r="H189" s="113"/>
      <c r="I189" s="113"/>
      <c r="J189" s="113"/>
      <c r="K189" s="113"/>
      <c r="L189" s="113"/>
      <c r="M189" s="113"/>
      <c r="N189" s="113"/>
      <c r="O189" s="113"/>
      <c r="P189" s="113"/>
      <c r="Q189" s="113"/>
      <c r="R189" s="164">
        <v>36.409999999999997</v>
      </c>
      <c r="S189" s="116" t="s">
        <v>95</v>
      </c>
      <c r="T189" s="2"/>
    </row>
    <row r="190" spans="1:20" ht="15.6" x14ac:dyDescent="0.3">
      <c r="A190" s="112"/>
      <c r="B190" s="113" t="s">
        <v>196</v>
      </c>
      <c r="C190" s="113"/>
      <c r="D190" s="113"/>
      <c r="E190" s="113"/>
      <c r="F190" s="113"/>
      <c r="G190" s="113"/>
      <c r="H190" s="113"/>
      <c r="I190" s="113"/>
      <c r="J190" s="113"/>
      <c r="K190" s="113"/>
      <c r="L190" s="113"/>
      <c r="M190" s="113"/>
      <c r="N190" s="113"/>
      <c r="O190" s="113"/>
      <c r="P190" s="113"/>
      <c r="Q190" s="113"/>
      <c r="R190" s="161">
        <f>(R92+R94+R95+R96+R97+R98+R99+R100+R101+R102+R103+R104+R105)/-(R106)</f>
        <v>41.333333333333336</v>
      </c>
      <c r="S190" s="116" t="s">
        <v>95</v>
      </c>
      <c r="T190" s="2"/>
    </row>
    <row r="191" spans="1:20" ht="15.6" x14ac:dyDescent="0.3">
      <c r="A191" s="112"/>
      <c r="B191" s="113" t="s">
        <v>197</v>
      </c>
      <c r="C191" s="113"/>
      <c r="D191" s="113"/>
      <c r="E191" s="113"/>
      <c r="F191" s="113"/>
      <c r="G191" s="113"/>
      <c r="H191" s="113"/>
      <c r="I191" s="113"/>
      <c r="J191" s="113"/>
      <c r="K191" s="113"/>
      <c r="L191" s="113"/>
      <c r="M191" s="113"/>
      <c r="N191" s="113"/>
      <c r="O191" s="113"/>
      <c r="P191" s="113"/>
      <c r="Q191" s="113"/>
      <c r="R191" s="164">
        <v>39.22</v>
      </c>
      <c r="S191" s="116" t="s">
        <v>95</v>
      </c>
      <c r="T191" s="2"/>
    </row>
    <row r="192" spans="1:20" ht="15.6" x14ac:dyDescent="0.3">
      <c r="A192" s="112"/>
      <c r="B192" s="113"/>
      <c r="C192" s="113"/>
      <c r="D192" s="113"/>
      <c r="E192" s="113"/>
      <c r="F192" s="113"/>
      <c r="G192" s="113"/>
      <c r="H192" s="113"/>
      <c r="I192" s="113"/>
      <c r="J192" s="113"/>
      <c r="K192" s="113"/>
      <c r="L192" s="113"/>
      <c r="M192" s="113"/>
      <c r="N192" s="113"/>
      <c r="O192" s="113"/>
      <c r="P192" s="113"/>
      <c r="Q192" s="113"/>
      <c r="R192" s="113"/>
      <c r="S192" s="116"/>
      <c r="T192" s="2"/>
    </row>
    <row r="193" spans="1:20" ht="15.6" x14ac:dyDescent="0.3">
      <c r="A193" s="12"/>
      <c r="B193" s="163"/>
      <c r="C193" s="163"/>
      <c r="D193" s="163"/>
      <c r="E193" s="163"/>
      <c r="F193" s="163"/>
      <c r="G193" s="163"/>
      <c r="H193" s="163"/>
      <c r="I193" s="163"/>
      <c r="J193" s="163"/>
      <c r="K193" s="163"/>
      <c r="L193" s="163"/>
      <c r="M193" s="163"/>
      <c r="N193" s="163"/>
      <c r="O193" s="163"/>
      <c r="P193" s="163"/>
      <c r="Q193" s="163"/>
      <c r="R193" s="163"/>
      <c r="S193" s="219"/>
      <c r="T193" s="2"/>
    </row>
    <row r="194" spans="1:20" ht="15.6" x14ac:dyDescent="0.3">
      <c r="A194" s="12"/>
      <c r="B194" s="84"/>
      <c r="C194" s="84"/>
      <c r="D194" s="84"/>
      <c r="E194" s="84"/>
      <c r="F194" s="84"/>
      <c r="G194" s="84"/>
      <c r="H194" s="84"/>
      <c r="I194" s="84"/>
      <c r="J194" s="84"/>
      <c r="K194" s="84"/>
      <c r="L194" s="84"/>
      <c r="M194" s="84"/>
      <c r="N194" s="84"/>
      <c r="O194" s="84"/>
      <c r="P194" s="84"/>
      <c r="Q194" s="84"/>
      <c r="R194" s="84"/>
      <c r="S194" s="219"/>
      <c r="T194" s="2"/>
    </row>
    <row r="195" spans="1:20" ht="18" thickBot="1" x14ac:dyDescent="0.35">
      <c r="A195" s="28"/>
      <c r="B195" s="97" t="str">
        <f>B123</f>
        <v>PM21 INVESTOR REPORT QUARTER ENDING AUGUST 2015</v>
      </c>
      <c r="C195" s="98"/>
      <c r="D195" s="98"/>
      <c r="E195" s="98"/>
      <c r="F195" s="98"/>
      <c r="G195" s="98"/>
      <c r="H195" s="98"/>
      <c r="I195" s="98"/>
      <c r="J195" s="98"/>
      <c r="K195" s="98"/>
      <c r="L195" s="98"/>
      <c r="M195" s="98"/>
      <c r="N195" s="98"/>
      <c r="O195" s="98"/>
      <c r="P195" s="98"/>
      <c r="Q195" s="98"/>
      <c r="R195" s="98"/>
      <c r="S195" s="99"/>
      <c r="T195" s="2"/>
    </row>
    <row r="196" spans="1:20" ht="15.6" x14ac:dyDescent="0.3">
      <c r="A196" s="65"/>
      <c r="B196" s="66" t="s">
        <v>55</v>
      </c>
      <c r="C196" s="69"/>
      <c r="D196" s="70"/>
      <c r="E196" s="70"/>
      <c r="F196" s="70"/>
      <c r="G196" s="70"/>
      <c r="H196" s="70"/>
      <c r="I196" s="70"/>
      <c r="J196" s="70"/>
      <c r="K196" s="70"/>
      <c r="L196" s="70"/>
      <c r="M196" s="70"/>
      <c r="N196" s="70"/>
      <c r="O196" s="70"/>
      <c r="P196" s="70">
        <v>42244</v>
      </c>
      <c r="Q196" s="67"/>
      <c r="R196" s="67"/>
      <c r="S196" s="224"/>
      <c r="T196" s="2"/>
    </row>
    <row r="197" spans="1:20" ht="15.6" x14ac:dyDescent="0.3">
      <c r="A197" s="48"/>
      <c r="B197" s="49"/>
      <c r="C197" s="50"/>
      <c r="D197" s="51"/>
      <c r="E197" s="51"/>
      <c r="F197" s="51"/>
      <c r="G197" s="51"/>
      <c r="H197" s="51"/>
      <c r="I197" s="51"/>
      <c r="J197" s="51"/>
      <c r="K197" s="51"/>
      <c r="L197" s="51"/>
      <c r="M197" s="51"/>
      <c r="N197" s="51"/>
      <c r="O197" s="51"/>
      <c r="P197" s="51"/>
      <c r="Q197" s="14"/>
      <c r="R197" s="14"/>
      <c r="S197" s="218"/>
      <c r="T197" s="2"/>
    </row>
    <row r="198" spans="1:20" ht="15.6" x14ac:dyDescent="0.3">
      <c r="A198" s="167"/>
      <c r="B198" s="113" t="s">
        <v>56</v>
      </c>
      <c r="C198" s="168"/>
      <c r="D198" s="148"/>
      <c r="E198" s="148"/>
      <c r="F198" s="148"/>
      <c r="G198" s="148"/>
      <c r="H198" s="148"/>
      <c r="I198" s="148"/>
      <c r="J198" s="148"/>
      <c r="K198" s="148"/>
      <c r="L198" s="148"/>
      <c r="M198" s="148"/>
      <c r="N198" s="148"/>
      <c r="O198" s="148"/>
      <c r="P198" s="142">
        <v>4.1349999999999998E-2</v>
      </c>
      <c r="Q198" s="113"/>
      <c r="R198" s="113"/>
      <c r="S198" s="116"/>
      <c r="T198" s="2"/>
    </row>
    <row r="199" spans="1:20" ht="15.6" x14ac:dyDescent="0.3">
      <c r="A199" s="167"/>
      <c r="B199" s="113" t="s">
        <v>161</v>
      </c>
      <c r="C199" s="168"/>
      <c r="D199" s="148"/>
      <c r="E199" s="148"/>
      <c r="F199" s="148"/>
      <c r="G199" s="148"/>
      <c r="H199" s="148"/>
      <c r="I199" s="148"/>
      <c r="J199" s="148"/>
      <c r="K199" s="148"/>
      <c r="L199" s="148"/>
      <c r="M199" s="148"/>
      <c r="N199" s="148"/>
      <c r="O199" s="148"/>
      <c r="P199" s="142">
        <v>1.50706E-2</v>
      </c>
      <c r="Q199" s="113"/>
      <c r="R199" s="113"/>
      <c r="S199" s="116"/>
      <c r="T199" s="2"/>
    </row>
    <row r="200" spans="1:20" ht="15.6" x14ac:dyDescent="0.3">
      <c r="A200" s="167"/>
      <c r="B200" s="113" t="s">
        <v>57</v>
      </c>
      <c r="C200" s="168"/>
      <c r="D200" s="148"/>
      <c r="E200" s="148"/>
      <c r="F200" s="148"/>
      <c r="G200" s="148"/>
      <c r="H200" s="148"/>
      <c r="I200" s="148"/>
      <c r="J200" s="148"/>
      <c r="K200" s="148"/>
      <c r="L200" s="148"/>
      <c r="M200" s="148"/>
      <c r="N200" s="148"/>
      <c r="O200" s="148"/>
      <c r="P200" s="211">
        <f>P198-P199</f>
        <v>2.6279399999999998E-2</v>
      </c>
      <c r="Q200" s="113"/>
      <c r="R200" s="113"/>
      <c r="S200" s="116"/>
      <c r="T200" s="2"/>
    </row>
    <row r="201" spans="1:20" ht="15.6" x14ac:dyDescent="0.3">
      <c r="A201" s="167"/>
      <c r="B201" s="113" t="s">
        <v>164</v>
      </c>
      <c r="C201" s="168"/>
      <c r="D201" s="148"/>
      <c r="E201" s="148"/>
      <c r="F201" s="148"/>
      <c r="G201" s="148"/>
      <c r="H201" s="148"/>
      <c r="I201" s="148"/>
      <c r="J201" s="148"/>
      <c r="K201" s="148"/>
      <c r="L201" s="148"/>
      <c r="M201" s="148"/>
      <c r="N201" s="148"/>
      <c r="O201" s="148"/>
      <c r="P201" s="211">
        <v>4.5712500000000003E-2</v>
      </c>
      <c r="Q201" s="113"/>
      <c r="R201" s="113"/>
      <c r="S201" s="116"/>
      <c r="T201" s="2"/>
    </row>
    <row r="202" spans="1:20" ht="15.6" x14ac:dyDescent="0.3">
      <c r="A202" s="167"/>
      <c r="B202" s="113" t="s">
        <v>58</v>
      </c>
      <c r="C202" s="168"/>
      <c r="D202" s="148"/>
      <c r="E202" s="148"/>
      <c r="F202" s="148"/>
      <c r="G202" s="148"/>
      <c r="H202" s="148"/>
      <c r="I202" s="148"/>
      <c r="J202" s="148"/>
      <c r="K202" s="148"/>
      <c r="L202" s="148"/>
      <c r="M202" s="148"/>
      <c r="N202" s="148"/>
      <c r="O202" s="148"/>
      <c r="P202" s="209">
        <v>4.1410000000000002E-2</v>
      </c>
      <c r="Q202" s="113"/>
      <c r="R202" s="113"/>
      <c r="S202" s="116"/>
      <c r="T202" s="2"/>
    </row>
    <row r="203" spans="1:20" ht="15.6" x14ac:dyDescent="0.3">
      <c r="A203" s="167"/>
      <c r="B203" s="113" t="s">
        <v>162</v>
      </c>
      <c r="C203" s="168"/>
      <c r="D203" s="148"/>
      <c r="E203" s="148"/>
      <c r="F203" s="148"/>
      <c r="G203" s="148"/>
      <c r="H203" s="148"/>
      <c r="I203" s="148"/>
      <c r="J203" s="148"/>
      <c r="K203" s="148"/>
      <c r="L203" s="148"/>
      <c r="M203" s="148"/>
      <c r="N203" s="148"/>
      <c r="O203" s="148"/>
      <c r="P203" s="142">
        <f>R34</f>
        <v>1.4800527548427653E-2</v>
      </c>
      <c r="Q203" s="113"/>
      <c r="R203" s="113"/>
      <c r="S203" s="116"/>
      <c r="T203" s="2"/>
    </row>
    <row r="204" spans="1:20" ht="15.6" x14ac:dyDescent="0.3">
      <c r="A204" s="167"/>
      <c r="B204" s="113" t="s">
        <v>59</v>
      </c>
      <c r="C204" s="168"/>
      <c r="D204" s="148"/>
      <c r="E204" s="148"/>
      <c r="F204" s="148"/>
      <c r="G204" s="148"/>
      <c r="H204" s="148"/>
      <c r="I204" s="148"/>
      <c r="J204" s="148"/>
      <c r="K204" s="148"/>
      <c r="L204" s="148"/>
      <c r="M204" s="148"/>
      <c r="N204" s="148"/>
      <c r="O204" s="148"/>
      <c r="P204" s="142">
        <f>P202-P203</f>
        <v>2.6609472451572351E-2</v>
      </c>
      <c r="Q204" s="113"/>
      <c r="R204" s="113"/>
      <c r="S204" s="116"/>
      <c r="T204" s="2"/>
    </row>
    <row r="205" spans="1:20" ht="15.6" x14ac:dyDescent="0.3">
      <c r="A205" s="167"/>
      <c r="B205" s="113" t="s">
        <v>139</v>
      </c>
      <c r="C205" s="168"/>
      <c r="D205" s="148"/>
      <c r="E205" s="148"/>
      <c r="F205" s="148"/>
      <c r="G205" s="148"/>
      <c r="H205" s="148"/>
      <c r="I205" s="148"/>
      <c r="J205" s="148"/>
      <c r="K205" s="148"/>
      <c r="L205" s="148"/>
      <c r="M205" s="148"/>
      <c r="N205" s="148"/>
      <c r="O205" s="148"/>
      <c r="P205" s="142">
        <f>(+R92+R94)/H72</f>
        <v>1.2339597546858452E-2</v>
      </c>
      <c r="Q205" s="113"/>
      <c r="R205" s="113"/>
      <c r="S205" s="116"/>
      <c r="T205" s="2"/>
    </row>
    <row r="206" spans="1:20" ht="15.6" x14ac:dyDescent="0.3">
      <c r="A206" s="167"/>
      <c r="B206" s="113" t="s">
        <v>132</v>
      </c>
      <c r="C206" s="168"/>
      <c r="D206" s="148"/>
      <c r="E206" s="148"/>
      <c r="F206" s="148"/>
      <c r="G206" s="148"/>
      <c r="H206" s="148"/>
      <c r="I206" s="148"/>
      <c r="J206" s="148"/>
      <c r="K206" s="148"/>
      <c r="L206" s="148"/>
      <c r="M206" s="148"/>
      <c r="N206" s="148"/>
      <c r="O206" s="148"/>
      <c r="P206" s="169">
        <v>15507</v>
      </c>
      <c r="Q206" s="113"/>
      <c r="R206" s="113"/>
      <c r="S206" s="116"/>
      <c r="T206" s="2"/>
    </row>
    <row r="207" spans="1:20" ht="15.6" x14ac:dyDescent="0.3">
      <c r="A207" s="167"/>
      <c r="B207" s="113" t="s">
        <v>198</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199</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200</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60</v>
      </c>
      <c r="C210" s="168"/>
      <c r="D210" s="148"/>
      <c r="E210" s="148"/>
      <c r="F210" s="148"/>
      <c r="G210" s="148"/>
      <c r="H210" s="148"/>
      <c r="I210" s="148"/>
      <c r="J210" s="148"/>
      <c r="K210" s="148"/>
      <c r="L210" s="148"/>
      <c r="M210" s="148"/>
      <c r="N210" s="148"/>
      <c r="O210" s="148"/>
      <c r="P210" s="146">
        <v>20.170000000000002</v>
      </c>
      <c r="Q210" s="113" t="s">
        <v>90</v>
      </c>
      <c r="R210" s="113"/>
      <c r="S210" s="116"/>
      <c r="T210" s="2"/>
    </row>
    <row r="211" spans="1:20" ht="15.6" x14ac:dyDescent="0.3">
      <c r="A211" s="167"/>
      <c r="B211" s="113" t="s">
        <v>61</v>
      </c>
      <c r="C211" s="168"/>
      <c r="D211" s="148"/>
      <c r="E211" s="148"/>
      <c r="F211" s="148"/>
      <c r="G211" s="148"/>
      <c r="H211" s="148"/>
      <c r="I211" s="148"/>
      <c r="J211" s="148"/>
      <c r="K211" s="148"/>
      <c r="L211" s="148"/>
      <c r="M211" s="148"/>
      <c r="N211" s="148"/>
      <c r="O211" s="148"/>
      <c r="P211" s="210">
        <v>19.440000000000001</v>
      </c>
      <c r="Q211" s="113" t="s">
        <v>90</v>
      </c>
      <c r="R211" s="113"/>
      <c r="S211" s="116"/>
      <c r="T211" s="2"/>
    </row>
    <row r="212" spans="1:20" ht="15.6" x14ac:dyDescent="0.3">
      <c r="A212" s="167"/>
      <c r="B212" s="113" t="s">
        <v>62</v>
      </c>
      <c r="C212" s="168"/>
      <c r="D212" s="148"/>
      <c r="E212" s="148"/>
      <c r="F212" s="148"/>
      <c r="G212" s="148"/>
      <c r="H212" s="148"/>
      <c r="I212" s="148"/>
      <c r="J212" s="148"/>
      <c r="K212" s="148"/>
      <c r="L212" s="148"/>
      <c r="M212" s="148"/>
      <c r="N212" s="148"/>
      <c r="O212" s="148"/>
      <c r="P212" s="142">
        <f>(+J56+L56)/H56</f>
        <v>1.7767506585159784E-2</v>
      </c>
      <c r="Q212" s="113"/>
      <c r="R212" s="113"/>
      <c r="S212" s="116"/>
      <c r="T212" s="2"/>
    </row>
    <row r="213" spans="1:20" ht="15.6" x14ac:dyDescent="0.3">
      <c r="A213" s="167"/>
      <c r="B213" s="113" t="s">
        <v>63</v>
      </c>
      <c r="C213" s="168"/>
      <c r="D213" s="148"/>
      <c r="E213" s="148"/>
      <c r="F213" s="148"/>
      <c r="G213" s="148"/>
      <c r="H213" s="148"/>
      <c r="I213" s="148"/>
      <c r="J213" s="148"/>
      <c r="K213" s="148"/>
      <c r="L213" s="148"/>
      <c r="M213" s="148"/>
      <c r="N213" s="148"/>
      <c r="O213" s="148"/>
      <c r="P213" s="211">
        <v>5.3199999999999997E-2</v>
      </c>
      <c r="Q213" s="113"/>
      <c r="R213" s="113"/>
      <c r="S213" s="116"/>
      <c r="T213" s="2"/>
    </row>
    <row r="214" spans="1:20" ht="15.6" x14ac:dyDescent="0.3">
      <c r="A214" s="48"/>
      <c r="B214" s="165"/>
      <c r="C214" s="165"/>
      <c r="D214" s="43"/>
      <c r="E214" s="43"/>
      <c r="F214" s="43"/>
      <c r="G214" s="43"/>
      <c r="H214" s="43"/>
      <c r="I214" s="43"/>
      <c r="J214" s="43"/>
      <c r="K214" s="43"/>
      <c r="L214" s="43"/>
      <c r="M214" s="43"/>
      <c r="N214" s="43"/>
      <c r="O214" s="43"/>
      <c r="P214" s="162"/>
      <c r="Q214" s="43"/>
      <c r="R214" s="166"/>
      <c r="S214" s="218"/>
      <c r="T214" s="2"/>
    </row>
    <row r="215" spans="1:20" ht="15.6" x14ac:dyDescent="0.3">
      <c r="A215" s="71"/>
      <c r="B215" s="61" t="s">
        <v>64</v>
      </c>
      <c r="C215" s="62"/>
      <c r="D215" s="62"/>
      <c r="E215" s="62"/>
      <c r="F215" s="62"/>
      <c r="G215" s="62"/>
      <c r="H215" s="62"/>
      <c r="I215" s="62"/>
      <c r="J215" s="62"/>
      <c r="K215" s="62"/>
      <c r="L215" s="62"/>
      <c r="M215" s="62"/>
      <c r="N215" s="62"/>
      <c r="O215" s="62" t="s">
        <v>83</v>
      </c>
      <c r="P215" s="72" t="s">
        <v>88</v>
      </c>
      <c r="Q215" s="54"/>
      <c r="R215" s="54"/>
      <c r="S215" s="220"/>
      <c r="T215" s="2"/>
    </row>
    <row r="216" spans="1:20" ht="15.6" x14ac:dyDescent="0.3">
      <c r="A216" s="52"/>
      <c r="B216" s="79" t="s">
        <v>65</v>
      </c>
      <c r="C216" s="78"/>
      <c r="D216" s="95"/>
      <c r="E216" s="95"/>
      <c r="F216" s="95"/>
      <c r="G216" s="95"/>
      <c r="H216" s="95"/>
      <c r="I216" s="95"/>
      <c r="J216" s="95"/>
      <c r="K216" s="95"/>
      <c r="L216" s="95"/>
      <c r="M216" s="95"/>
      <c r="N216" s="95"/>
      <c r="O216" s="95">
        <v>0</v>
      </c>
      <c r="P216" s="96">
        <v>0</v>
      </c>
      <c r="Q216" s="79"/>
      <c r="R216" s="94"/>
      <c r="S216" s="226"/>
      <c r="T216" s="2"/>
    </row>
    <row r="217" spans="1:20" ht="15.6" x14ac:dyDescent="0.3">
      <c r="A217" s="173"/>
      <c r="B217" s="113" t="s">
        <v>113</v>
      </c>
      <c r="C217" s="155"/>
      <c r="D217" s="123"/>
      <c r="E217" s="123"/>
      <c r="F217" s="123"/>
      <c r="G217" s="123"/>
      <c r="H217" s="123"/>
      <c r="I217" s="123"/>
      <c r="J217" s="123"/>
      <c r="K217" s="123"/>
      <c r="L217" s="123"/>
      <c r="M217" s="123"/>
      <c r="N217" s="123"/>
      <c r="O217" s="174">
        <f>+N269</f>
        <v>0</v>
      </c>
      <c r="P217" s="175">
        <f>+P269</f>
        <v>0</v>
      </c>
      <c r="Q217" s="113"/>
      <c r="R217" s="176"/>
      <c r="S217" s="177"/>
      <c r="T217" s="2"/>
    </row>
    <row r="218" spans="1:20" ht="15.6" x14ac:dyDescent="0.3">
      <c r="A218" s="173"/>
      <c r="B218" s="113" t="s">
        <v>66</v>
      </c>
      <c r="C218" s="155"/>
      <c r="D218" s="123"/>
      <c r="E218" s="123"/>
      <c r="F218" s="123"/>
      <c r="G218" s="123"/>
      <c r="H218" s="123"/>
      <c r="I218" s="123"/>
      <c r="J218" s="123"/>
      <c r="K218" s="123"/>
      <c r="L218" s="123"/>
      <c r="M218" s="123"/>
      <c r="N218" s="123"/>
      <c r="O218" s="174">
        <f>+N281</f>
        <v>0</v>
      </c>
      <c r="P218" s="175">
        <f>+P281</f>
        <v>0</v>
      </c>
      <c r="Q218" s="113"/>
      <c r="R218" s="176"/>
      <c r="S218" s="177"/>
      <c r="T218" s="2"/>
    </row>
    <row r="219" spans="1:20" ht="15.6" x14ac:dyDescent="0.3">
      <c r="A219" s="173"/>
      <c r="B219" s="134" t="s">
        <v>263</v>
      </c>
      <c r="C219" s="178"/>
      <c r="D219" s="135"/>
      <c r="E219" s="135"/>
      <c r="F219" s="135"/>
      <c r="G219" s="135"/>
      <c r="H219" s="135"/>
      <c r="I219" s="135"/>
      <c r="J219" s="135"/>
      <c r="K219" s="135"/>
      <c r="L219" s="135"/>
      <c r="M219" s="135"/>
      <c r="N219" s="135"/>
      <c r="O219" s="113"/>
      <c r="P219" s="175">
        <v>0</v>
      </c>
      <c r="Q219" s="135"/>
      <c r="R219" s="179"/>
      <c r="S219" s="177"/>
      <c r="T219" s="2"/>
    </row>
    <row r="220" spans="1:20" ht="15.6" x14ac:dyDescent="0.3">
      <c r="A220" s="173"/>
      <c r="B220" s="134" t="s">
        <v>140</v>
      </c>
      <c r="C220" s="178"/>
      <c r="D220" s="135"/>
      <c r="E220" s="135"/>
      <c r="F220" s="135"/>
      <c r="G220" s="135"/>
      <c r="H220" s="135"/>
      <c r="I220" s="135"/>
      <c r="J220" s="135"/>
      <c r="K220" s="135"/>
      <c r="L220" s="135"/>
      <c r="M220" s="135"/>
      <c r="N220" s="135"/>
      <c r="O220" s="113"/>
      <c r="P220" s="175">
        <f>-J69</f>
        <v>0</v>
      </c>
      <c r="Q220" s="135"/>
      <c r="R220" s="179"/>
      <c r="S220" s="177"/>
      <c r="T220" s="2"/>
    </row>
    <row r="221" spans="1:20" ht="15.6" x14ac:dyDescent="0.3">
      <c r="A221" s="180"/>
      <c r="B221" s="134" t="s">
        <v>67</v>
      </c>
      <c r="C221" s="181"/>
      <c r="D221" s="135"/>
      <c r="E221" s="135"/>
      <c r="F221" s="135"/>
      <c r="G221" s="135"/>
      <c r="H221" s="135"/>
      <c r="I221" s="135"/>
      <c r="J221" s="135"/>
      <c r="K221" s="135"/>
      <c r="L221" s="135"/>
      <c r="M221" s="135"/>
      <c r="N221" s="135"/>
      <c r="O221" s="113"/>
      <c r="P221" s="175"/>
      <c r="Q221" s="135"/>
      <c r="R221" s="179"/>
      <c r="S221" s="182"/>
      <c r="T221" s="2"/>
    </row>
    <row r="222" spans="1:20" ht="15.6" x14ac:dyDescent="0.3">
      <c r="A222" s="180"/>
      <c r="B222" s="118" t="s">
        <v>68</v>
      </c>
      <c r="C222" s="181"/>
      <c r="D222" s="135"/>
      <c r="E222" s="135"/>
      <c r="F222" s="135"/>
      <c r="G222" s="135"/>
      <c r="H222" s="135"/>
      <c r="I222" s="135"/>
      <c r="J222" s="135"/>
      <c r="K222" s="135"/>
      <c r="L222" s="135"/>
      <c r="M222" s="135"/>
      <c r="N222" s="135"/>
      <c r="O222" s="123"/>
      <c r="P222" s="175">
        <f>R153</f>
        <v>0</v>
      </c>
      <c r="Q222" s="135"/>
      <c r="R222" s="179"/>
      <c r="S222" s="182"/>
      <c r="T222" s="2"/>
    </row>
    <row r="223" spans="1:20" ht="15.6" x14ac:dyDescent="0.3">
      <c r="A223" s="173"/>
      <c r="B223" s="113" t="s">
        <v>69</v>
      </c>
      <c r="C223" s="178"/>
      <c r="D223" s="135"/>
      <c r="E223" s="135"/>
      <c r="F223" s="135"/>
      <c r="G223" s="135"/>
      <c r="H223" s="135"/>
      <c r="I223" s="135"/>
      <c r="J223" s="135"/>
      <c r="K223" s="135"/>
      <c r="L223" s="135"/>
      <c r="M223" s="135"/>
      <c r="N223" s="135"/>
      <c r="O223" s="123"/>
      <c r="P223" s="175">
        <f>+'May 15'!P223+P222</f>
        <v>0</v>
      </c>
      <c r="Q223" s="135"/>
      <c r="R223" s="179"/>
      <c r="S223" s="182"/>
      <c r="T223" s="2"/>
    </row>
    <row r="224" spans="1:20" ht="15.6" x14ac:dyDescent="0.3">
      <c r="A224" s="180"/>
      <c r="B224" s="134" t="s">
        <v>151</v>
      </c>
      <c r="C224" s="181"/>
      <c r="D224" s="135"/>
      <c r="E224" s="135"/>
      <c r="F224" s="135"/>
      <c r="G224" s="135"/>
      <c r="H224" s="135"/>
      <c r="I224" s="135"/>
      <c r="J224" s="135"/>
      <c r="K224" s="135"/>
      <c r="L224" s="135"/>
      <c r="M224" s="135"/>
      <c r="N224" s="135"/>
      <c r="O224" s="123"/>
      <c r="P224" s="175"/>
      <c r="Q224" s="135"/>
      <c r="R224" s="179"/>
      <c r="S224" s="182"/>
      <c r="T224" s="2"/>
    </row>
    <row r="225" spans="1:20" ht="15.6" x14ac:dyDescent="0.3">
      <c r="A225" s="180"/>
      <c r="B225" s="113" t="s">
        <v>163</v>
      </c>
      <c r="C225" s="181"/>
      <c r="D225" s="135"/>
      <c r="E225" s="135"/>
      <c r="F225" s="135"/>
      <c r="G225" s="135"/>
      <c r="H225" s="135"/>
      <c r="I225" s="135"/>
      <c r="J225" s="135"/>
      <c r="K225" s="135"/>
      <c r="L225" s="135"/>
      <c r="M225" s="135"/>
      <c r="N225" s="135"/>
      <c r="O225" s="123">
        <v>0</v>
      </c>
      <c r="P225" s="175">
        <v>0</v>
      </c>
      <c r="Q225" s="135"/>
      <c r="R225" s="179"/>
      <c r="S225" s="182"/>
      <c r="T225" s="2"/>
    </row>
    <row r="226" spans="1:20" ht="15.6" x14ac:dyDescent="0.3">
      <c r="A226" s="173"/>
      <c r="B226" s="113" t="s">
        <v>70</v>
      </c>
      <c r="C226" s="183"/>
      <c r="D226" s="135"/>
      <c r="E226" s="135"/>
      <c r="F226" s="135"/>
      <c r="G226" s="135"/>
      <c r="H226" s="135"/>
      <c r="I226" s="135"/>
      <c r="J226" s="135"/>
      <c r="K226" s="135"/>
      <c r="L226" s="135"/>
      <c r="M226" s="135"/>
      <c r="N226" s="135"/>
      <c r="O226" s="113"/>
      <c r="P226" s="184">
        <v>0</v>
      </c>
      <c r="Q226" s="135"/>
      <c r="R226" s="179"/>
      <c r="S226" s="182"/>
      <c r="T226" s="2"/>
    </row>
    <row r="227" spans="1:20" ht="15.6" x14ac:dyDescent="0.3">
      <c r="A227" s="173"/>
      <c r="B227" s="113" t="s">
        <v>71</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34" t="s">
        <v>136</v>
      </c>
      <c r="C228" s="183"/>
      <c r="D228" s="135"/>
      <c r="E228" s="135"/>
      <c r="F228" s="135"/>
      <c r="G228" s="135"/>
      <c r="H228" s="135"/>
      <c r="I228" s="135"/>
      <c r="J228" s="135"/>
      <c r="K228" s="135"/>
      <c r="L228" s="135"/>
      <c r="M228" s="135"/>
      <c r="N228" s="135"/>
      <c r="O228" s="113"/>
      <c r="P228" s="185"/>
      <c r="Q228" s="135"/>
      <c r="R228" s="179"/>
      <c r="S228" s="182"/>
      <c r="T228" s="2"/>
    </row>
    <row r="229" spans="1:20" ht="15.6" x14ac:dyDescent="0.3">
      <c r="A229" s="173"/>
      <c r="B229" s="113" t="s">
        <v>163</v>
      </c>
      <c r="C229" s="183"/>
      <c r="D229" s="135"/>
      <c r="E229" s="135"/>
      <c r="F229" s="135"/>
      <c r="G229" s="135"/>
      <c r="H229" s="135"/>
      <c r="I229" s="135"/>
      <c r="J229" s="135"/>
      <c r="K229" s="135"/>
      <c r="L229" s="135"/>
      <c r="M229" s="135"/>
      <c r="N229" s="135"/>
      <c r="O229" s="123">
        <v>0</v>
      </c>
      <c r="P229" s="175">
        <v>0</v>
      </c>
      <c r="Q229" s="135"/>
      <c r="R229" s="179"/>
      <c r="S229" s="182"/>
      <c r="T229" s="2"/>
    </row>
    <row r="230" spans="1:20" ht="15.6" x14ac:dyDescent="0.3">
      <c r="A230" s="173"/>
      <c r="B230" s="113" t="s">
        <v>137</v>
      </c>
      <c r="C230" s="183"/>
      <c r="D230" s="135"/>
      <c r="E230" s="135"/>
      <c r="F230" s="135"/>
      <c r="G230" s="135"/>
      <c r="H230" s="135"/>
      <c r="I230" s="135"/>
      <c r="J230" s="135"/>
      <c r="K230" s="135"/>
      <c r="L230" s="135"/>
      <c r="M230" s="135"/>
      <c r="N230" s="135"/>
      <c r="O230" s="113"/>
      <c r="P230" s="184">
        <v>0</v>
      </c>
      <c r="Q230" s="135"/>
      <c r="R230" s="179"/>
      <c r="S230" s="182"/>
      <c r="T230" s="2"/>
    </row>
    <row r="231" spans="1:20" ht="15.6" x14ac:dyDescent="0.3">
      <c r="A231" s="173"/>
      <c r="B231" s="181"/>
      <c r="C231" s="183"/>
      <c r="D231" s="135"/>
      <c r="E231" s="135"/>
      <c r="F231" s="135"/>
      <c r="G231" s="135"/>
      <c r="H231" s="135"/>
      <c r="I231" s="135"/>
      <c r="J231" s="135"/>
      <c r="K231" s="135"/>
      <c r="L231" s="135"/>
      <c r="M231" s="135"/>
      <c r="N231" s="135"/>
      <c r="O231" s="113"/>
      <c r="P231" s="185"/>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35"/>
      <c r="P232" s="186"/>
      <c r="Q232" s="135"/>
      <c r="R232" s="179"/>
      <c r="S232" s="182"/>
      <c r="T232" s="2"/>
    </row>
    <row r="233" spans="1:20" ht="17.399999999999999" x14ac:dyDescent="0.3">
      <c r="A233" s="173"/>
      <c r="B233" s="187" t="s">
        <v>129</v>
      </c>
      <c r="C233" s="183"/>
      <c r="D233" s="135"/>
      <c r="E233" s="135"/>
      <c r="F233" s="135"/>
      <c r="G233" s="135"/>
      <c r="H233" s="135"/>
      <c r="I233" s="135"/>
      <c r="J233" s="135"/>
      <c r="K233" s="135"/>
      <c r="L233" s="188"/>
      <c r="M233" s="135"/>
      <c r="N233" s="188" t="s">
        <v>128</v>
      </c>
      <c r="O233" s="188"/>
      <c r="P233" s="186"/>
      <c r="Q233" s="135"/>
      <c r="R233" s="179"/>
      <c r="S233" s="182"/>
      <c r="T233" s="2"/>
    </row>
    <row r="234" spans="1:20" ht="17.399999999999999" x14ac:dyDescent="0.3">
      <c r="A234" s="170"/>
      <c r="B234" s="200"/>
      <c r="C234" s="171"/>
      <c r="D234" s="43"/>
      <c r="E234" s="43"/>
      <c r="F234" s="43"/>
      <c r="G234" s="43"/>
      <c r="H234" s="43"/>
      <c r="I234" s="43"/>
      <c r="J234" s="43"/>
      <c r="K234" s="43"/>
      <c r="L234" s="201"/>
      <c r="M234" s="43"/>
      <c r="N234" s="43"/>
      <c r="O234" s="43"/>
      <c r="P234" s="172"/>
      <c r="Q234" s="43"/>
      <c r="R234" s="166"/>
      <c r="S234" s="227"/>
      <c r="T234" s="2"/>
    </row>
    <row r="235" spans="1:20" ht="15.6" x14ac:dyDescent="0.3">
      <c r="A235" s="53"/>
      <c r="B235" s="61" t="s">
        <v>153</v>
      </c>
      <c r="C235" s="62"/>
      <c r="D235" s="62"/>
      <c r="E235" s="62"/>
      <c r="F235" s="62"/>
      <c r="G235" s="62"/>
      <c r="H235" s="62"/>
      <c r="I235" s="62"/>
      <c r="J235" s="62"/>
      <c r="K235" s="62"/>
      <c r="L235" s="62"/>
      <c r="M235" s="62"/>
      <c r="N235" s="72" t="s">
        <v>83</v>
      </c>
      <c r="O235" s="62" t="s">
        <v>84</v>
      </c>
      <c r="P235" s="72" t="s">
        <v>89</v>
      </c>
      <c r="Q235" s="62" t="s">
        <v>84</v>
      </c>
      <c r="R235" s="54"/>
      <c r="S235" s="228"/>
      <c r="T235" s="2"/>
    </row>
    <row r="236" spans="1:20" ht="15.6" x14ac:dyDescent="0.3">
      <c r="A236" s="24"/>
      <c r="B236" s="78" t="s">
        <v>72</v>
      </c>
      <c r="C236" s="93"/>
      <c r="D236" s="93"/>
      <c r="E236" s="93"/>
      <c r="F236" s="93"/>
      <c r="G236" s="93"/>
      <c r="H236" s="93"/>
      <c r="I236" s="93"/>
      <c r="J236" s="93"/>
      <c r="K236" s="93"/>
      <c r="L236" s="93"/>
      <c r="M236" s="93"/>
      <c r="N236" s="78">
        <f t="shared" ref="N236:N243" si="1">+N248+N260+N272</f>
        <v>1529</v>
      </c>
      <c r="O236" s="81">
        <f>N236/$N$245</f>
        <v>1</v>
      </c>
      <c r="P236" s="82">
        <f t="shared" ref="P236:P243" si="2">+P248+P260+P272</f>
        <v>237308</v>
      </c>
      <c r="Q236" s="81">
        <f t="shared" ref="Q236:Q243" si="3">P236/$P$245</f>
        <v>1</v>
      </c>
      <c r="R236" s="94"/>
      <c r="S236" s="229"/>
      <c r="T236" s="2"/>
    </row>
    <row r="237" spans="1:20" ht="15.6" x14ac:dyDescent="0.3">
      <c r="A237" s="112"/>
      <c r="B237" s="155" t="s">
        <v>73</v>
      </c>
      <c r="C237" s="192"/>
      <c r="D237" s="192"/>
      <c r="E237" s="192"/>
      <c r="F237" s="192"/>
      <c r="G237" s="192"/>
      <c r="H237" s="192"/>
      <c r="I237" s="192"/>
      <c r="J237" s="192"/>
      <c r="K237" s="192"/>
      <c r="L237" s="192"/>
      <c r="M237" s="192"/>
      <c r="N237" s="155">
        <f t="shared" si="1"/>
        <v>0</v>
      </c>
      <c r="O237" s="193">
        <f t="shared" ref="O237:O243" si="4">N237/$N$245</f>
        <v>0</v>
      </c>
      <c r="P237" s="156">
        <f t="shared" si="2"/>
        <v>0</v>
      </c>
      <c r="Q237" s="193">
        <f t="shared" si="3"/>
        <v>0</v>
      </c>
      <c r="R237" s="176"/>
      <c r="S237" s="194"/>
      <c r="T237" s="2"/>
    </row>
    <row r="238" spans="1:20" ht="15.6" x14ac:dyDescent="0.3">
      <c r="A238" s="112"/>
      <c r="B238" s="155" t="s">
        <v>74</v>
      </c>
      <c r="C238" s="192"/>
      <c r="D238" s="192"/>
      <c r="E238" s="192"/>
      <c r="F238" s="192"/>
      <c r="G238" s="192"/>
      <c r="H238" s="192"/>
      <c r="I238" s="192"/>
      <c r="J238" s="192"/>
      <c r="K238" s="192"/>
      <c r="L238" s="192"/>
      <c r="M238" s="192"/>
      <c r="N238" s="155">
        <f t="shared" si="1"/>
        <v>0</v>
      </c>
      <c r="O238" s="193">
        <f t="shared" si="4"/>
        <v>0</v>
      </c>
      <c r="P238" s="156">
        <f t="shared" si="2"/>
        <v>0</v>
      </c>
      <c r="Q238" s="193">
        <f t="shared" si="3"/>
        <v>0</v>
      </c>
      <c r="R238" s="176"/>
      <c r="S238" s="194"/>
      <c r="T238" s="2"/>
    </row>
    <row r="239" spans="1:20" ht="15.6" x14ac:dyDescent="0.3">
      <c r="A239" s="112"/>
      <c r="B239" s="155" t="s">
        <v>119</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120</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121</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122</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123</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c r="C244" s="192"/>
      <c r="D244" s="192"/>
      <c r="E244" s="192"/>
      <c r="F244" s="192"/>
      <c r="G244" s="192"/>
      <c r="H244" s="192"/>
      <c r="I244" s="192"/>
      <c r="J244" s="192"/>
      <c r="K244" s="192"/>
      <c r="L244" s="192"/>
      <c r="M244" s="192"/>
      <c r="N244" s="155"/>
      <c r="O244" s="193"/>
      <c r="P244" s="156"/>
      <c r="Q244" s="193"/>
      <c r="R244" s="176"/>
      <c r="S244" s="194"/>
      <c r="T244" s="2"/>
    </row>
    <row r="245" spans="1:21" ht="15.6" x14ac:dyDescent="0.3">
      <c r="A245" s="112"/>
      <c r="B245" s="113" t="s">
        <v>94</v>
      </c>
      <c r="C245" s="113"/>
      <c r="D245" s="195"/>
      <c r="E245" s="195"/>
      <c r="F245" s="195"/>
      <c r="G245" s="195"/>
      <c r="H245" s="195"/>
      <c r="I245" s="195"/>
      <c r="J245" s="195"/>
      <c r="K245" s="195"/>
      <c r="L245" s="195"/>
      <c r="M245" s="195"/>
      <c r="N245" s="155">
        <f>SUM(N236:N244)</f>
        <v>1529</v>
      </c>
      <c r="O245" s="193">
        <f>SUM(O236:O244)</f>
        <v>1</v>
      </c>
      <c r="P245" s="156">
        <f>SUM(P236:P244)</f>
        <v>237308</v>
      </c>
      <c r="Q245" s="193">
        <f>SUM(Q236:Q244)</f>
        <v>1</v>
      </c>
      <c r="R245" s="113"/>
      <c r="S245" s="116"/>
      <c r="T245" s="2"/>
    </row>
    <row r="246" spans="1:21" ht="15.6" x14ac:dyDescent="0.3">
      <c r="A246" s="12"/>
      <c r="B246" s="165"/>
      <c r="C246" s="171"/>
      <c r="D246" s="43"/>
      <c r="E246" s="43"/>
      <c r="F246" s="43"/>
      <c r="G246" s="43"/>
      <c r="H246" s="43"/>
      <c r="I246" s="43"/>
      <c r="J246" s="43"/>
      <c r="K246" s="43"/>
      <c r="L246" s="43"/>
      <c r="M246" s="43"/>
      <c r="N246" s="43"/>
      <c r="O246" s="43"/>
      <c r="P246" s="172"/>
      <c r="Q246" s="43"/>
      <c r="R246" s="43"/>
      <c r="S246" s="218"/>
      <c r="T246" s="2"/>
    </row>
    <row r="247" spans="1:21" ht="15.6" x14ac:dyDescent="0.3">
      <c r="A247" s="53"/>
      <c r="B247" s="61" t="s">
        <v>124</v>
      </c>
      <c r="C247" s="62"/>
      <c r="D247" s="62"/>
      <c r="E247" s="62"/>
      <c r="F247" s="62"/>
      <c r="G247" s="62"/>
      <c r="H247" s="62"/>
      <c r="I247" s="62"/>
      <c r="J247" s="62"/>
      <c r="K247" s="62"/>
      <c r="L247" s="62"/>
      <c r="M247" s="62"/>
      <c r="N247" s="72" t="s">
        <v>83</v>
      </c>
      <c r="O247" s="62" t="s">
        <v>84</v>
      </c>
      <c r="P247" s="72" t="s">
        <v>89</v>
      </c>
      <c r="Q247" s="62" t="s">
        <v>84</v>
      </c>
      <c r="R247" s="54"/>
      <c r="S247" s="228"/>
      <c r="T247" s="2"/>
    </row>
    <row r="248" spans="1:21" ht="15.6" x14ac:dyDescent="0.3">
      <c r="A248" s="24"/>
      <c r="B248" s="78" t="s">
        <v>72</v>
      </c>
      <c r="C248" s="93"/>
      <c r="D248" s="93"/>
      <c r="E248" s="93"/>
      <c r="F248" s="93"/>
      <c r="G248" s="93"/>
      <c r="H248" s="93"/>
      <c r="I248" s="93"/>
      <c r="J248" s="93"/>
      <c r="K248" s="93"/>
      <c r="L248" s="93"/>
      <c r="M248" s="93"/>
      <c r="N248" s="78">
        <v>1529</v>
      </c>
      <c r="O248" s="81">
        <f>N248/$N$257</f>
        <v>1</v>
      </c>
      <c r="P248" s="82">
        <v>237308</v>
      </c>
      <c r="Q248" s="81">
        <f t="shared" ref="Q248:Q255" si="5">P248/$P$257</f>
        <v>1</v>
      </c>
      <c r="R248" s="94"/>
      <c r="S248" s="229"/>
      <c r="T248" s="2"/>
    </row>
    <row r="249" spans="1:21" ht="15.6" x14ac:dyDescent="0.3">
      <c r="A249" s="112"/>
      <c r="B249" s="155" t="s">
        <v>73</v>
      </c>
      <c r="C249" s="192"/>
      <c r="D249" s="192"/>
      <c r="E249" s="192"/>
      <c r="F249" s="192"/>
      <c r="G249" s="192"/>
      <c r="H249" s="192"/>
      <c r="I249" s="192"/>
      <c r="J249" s="192"/>
      <c r="K249" s="192"/>
      <c r="L249" s="192"/>
      <c r="M249" s="192"/>
      <c r="N249" s="155">
        <v>0</v>
      </c>
      <c r="O249" s="193">
        <f t="shared" ref="O249:O255" si="6">N249/$N$257</f>
        <v>0</v>
      </c>
      <c r="P249" s="156">
        <v>0</v>
      </c>
      <c r="Q249" s="193">
        <f t="shared" si="5"/>
        <v>0</v>
      </c>
      <c r="R249" s="176"/>
      <c r="S249" s="194"/>
      <c r="T249" s="2"/>
      <c r="U249" s="4"/>
    </row>
    <row r="250" spans="1:21" ht="15.6" x14ac:dyDescent="0.3">
      <c r="A250" s="112"/>
      <c r="B250" s="155" t="s">
        <v>74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row>
    <row r="251" spans="1:21" ht="15.6" x14ac:dyDescent="0.3">
      <c r="A251" s="112"/>
      <c r="B251" s="155" t="s">
        <v>119</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c r="U251" s="4"/>
    </row>
    <row r="252" spans="1:21" ht="15.6" x14ac:dyDescent="0.3">
      <c r="A252" s="112"/>
      <c r="B252" s="155" t="s">
        <v>120</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row>
    <row r="253" spans="1:21" ht="15.6" x14ac:dyDescent="0.3">
      <c r="A253" s="112"/>
      <c r="B253" s="155" t="s">
        <v>121</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c r="U253" s="4"/>
    </row>
    <row r="254" spans="1:21" ht="15.6" x14ac:dyDescent="0.3">
      <c r="A254" s="112"/>
      <c r="B254" s="155" t="s">
        <v>122</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row>
    <row r="255" spans="1:21" ht="15.6" x14ac:dyDescent="0.3">
      <c r="A255" s="112"/>
      <c r="B255" s="155" t="s">
        <v>123</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c r="U255" s="4"/>
    </row>
    <row r="256" spans="1:21" ht="15.6" x14ac:dyDescent="0.3">
      <c r="A256" s="112"/>
      <c r="B256" s="155"/>
      <c r="C256" s="192"/>
      <c r="D256" s="192"/>
      <c r="E256" s="192"/>
      <c r="F256" s="192"/>
      <c r="G256" s="192"/>
      <c r="H256" s="192"/>
      <c r="I256" s="192"/>
      <c r="J256" s="192"/>
      <c r="K256" s="192"/>
      <c r="L256" s="192"/>
      <c r="M256" s="192"/>
      <c r="N256" s="155"/>
      <c r="O256" s="193"/>
      <c r="P256" s="156"/>
      <c r="Q256" s="193"/>
      <c r="R256" s="176"/>
      <c r="S256" s="194"/>
      <c r="T256" s="2"/>
    </row>
    <row r="257" spans="1:20" ht="15.6" x14ac:dyDescent="0.3">
      <c r="A257" s="112"/>
      <c r="B257" s="113" t="s">
        <v>94</v>
      </c>
      <c r="C257" s="113"/>
      <c r="D257" s="195"/>
      <c r="E257" s="195"/>
      <c r="F257" s="195"/>
      <c r="G257" s="195"/>
      <c r="H257" s="195"/>
      <c r="I257" s="195"/>
      <c r="J257" s="195"/>
      <c r="K257" s="195"/>
      <c r="L257" s="195"/>
      <c r="M257" s="195"/>
      <c r="N257" s="155">
        <f>SUM(N248:N256)</f>
        <v>1529</v>
      </c>
      <c r="O257" s="193">
        <f>SUM(O248:O256)</f>
        <v>1</v>
      </c>
      <c r="P257" s="156">
        <f>SUM(P248:P256)</f>
        <v>237308</v>
      </c>
      <c r="Q257" s="193">
        <f>SUM(Q248:Q256)</f>
        <v>1</v>
      </c>
      <c r="R257" s="113"/>
      <c r="S257" s="116"/>
      <c r="T257" s="2"/>
    </row>
    <row r="258" spans="1:20" ht="15.6" x14ac:dyDescent="0.3">
      <c r="A258" s="12"/>
      <c r="B258" s="43"/>
      <c r="C258" s="43"/>
      <c r="D258" s="189"/>
      <c r="E258" s="189"/>
      <c r="F258" s="189"/>
      <c r="G258" s="189"/>
      <c r="H258" s="189"/>
      <c r="I258" s="189"/>
      <c r="J258" s="189"/>
      <c r="K258" s="189"/>
      <c r="L258" s="189"/>
      <c r="M258" s="189"/>
      <c r="N258" s="153"/>
      <c r="O258" s="190"/>
      <c r="P258" s="191"/>
      <c r="Q258" s="190"/>
      <c r="R258" s="43"/>
      <c r="S258" s="218"/>
      <c r="T258" s="2"/>
    </row>
    <row r="259" spans="1:20" ht="15.6" x14ac:dyDescent="0.3">
      <c r="A259" s="73"/>
      <c r="B259" s="61" t="s">
        <v>146</v>
      </c>
      <c r="C259" s="62"/>
      <c r="D259" s="62"/>
      <c r="E259" s="62"/>
      <c r="F259" s="62"/>
      <c r="G259" s="62"/>
      <c r="H259" s="62"/>
      <c r="I259" s="62"/>
      <c r="J259" s="62"/>
      <c r="K259" s="62"/>
      <c r="L259" s="62"/>
      <c r="M259" s="62"/>
      <c r="N259" s="72" t="s">
        <v>83</v>
      </c>
      <c r="O259" s="62" t="s">
        <v>84</v>
      </c>
      <c r="P259" s="72" t="s">
        <v>89</v>
      </c>
      <c r="Q259" s="62" t="s">
        <v>84</v>
      </c>
      <c r="R259" s="74"/>
      <c r="S259" s="75"/>
      <c r="T259" s="2"/>
    </row>
    <row r="260" spans="1:20" ht="15.6" x14ac:dyDescent="0.3">
      <c r="A260" s="24"/>
      <c r="B260" s="78" t="s">
        <v>72</v>
      </c>
      <c r="C260" s="93"/>
      <c r="D260" s="93"/>
      <c r="E260" s="93"/>
      <c r="F260" s="93"/>
      <c r="G260" s="93"/>
      <c r="H260" s="93"/>
      <c r="I260" s="93"/>
      <c r="J260" s="93"/>
      <c r="K260" s="93"/>
      <c r="L260" s="93"/>
      <c r="M260" s="93"/>
      <c r="N260" s="78">
        <v>0</v>
      </c>
      <c r="O260" s="81">
        <v>0</v>
      </c>
      <c r="P260" s="82">
        <v>0</v>
      </c>
      <c r="Q260" s="81">
        <v>0</v>
      </c>
      <c r="R260" s="79"/>
      <c r="S260" s="221"/>
      <c r="T260" s="2"/>
    </row>
    <row r="261" spans="1:20" ht="15.6" x14ac:dyDescent="0.3">
      <c r="A261" s="112"/>
      <c r="B261" s="155" t="s">
        <v>73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74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119</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120</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121</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122</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123</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c r="C268" s="192"/>
      <c r="D268" s="192"/>
      <c r="E268" s="192"/>
      <c r="F268" s="192"/>
      <c r="G268" s="192"/>
      <c r="H268" s="192"/>
      <c r="I268" s="192"/>
      <c r="J268" s="192"/>
      <c r="K268" s="192"/>
      <c r="L268" s="192"/>
      <c r="M268" s="192"/>
      <c r="N268" s="155"/>
      <c r="O268" s="193"/>
      <c r="P268" s="156"/>
      <c r="Q268" s="193"/>
      <c r="R268" s="113"/>
      <c r="S268" s="116"/>
      <c r="T268" s="2"/>
    </row>
    <row r="269" spans="1:20" ht="15.6" x14ac:dyDescent="0.3">
      <c r="A269" s="112"/>
      <c r="B269" s="113" t="s">
        <v>94</v>
      </c>
      <c r="C269" s="113"/>
      <c r="D269" s="195"/>
      <c r="E269" s="195"/>
      <c r="F269" s="195"/>
      <c r="G269" s="195"/>
      <c r="H269" s="195"/>
      <c r="I269" s="195"/>
      <c r="J269" s="195"/>
      <c r="K269" s="195"/>
      <c r="L269" s="195"/>
      <c r="M269" s="195"/>
      <c r="N269" s="155">
        <f>SUM(N260:N268)</f>
        <v>0</v>
      </c>
      <c r="O269" s="193">
        <f>SUM(O260:O268)</f>
        <v>0</v>
      </c>
      <c r="P269" s="156">
        <f>SUM(P260:P268)</f>
        <v>0</v>
      </c>
      <c r="Q269" s="193">
        <f>SUM(Q260:Q268)</f>
        <v>0</v>
      </c>
      <c r="R269" s="113"/>
      <c r="S269" s="116"/>
      <c r="T269" s="2"/>
    </row>
    <row r="270" spans="1:20" ht="15.6" x14ac:dyDescent="0.3">
      <c r="A270" s="12"/>
      <c r="B270" s="43"/>
      <c r="C270" s="43"/>
      <c r="D270" s="189"/>
      <c r="E270" s="189"/>
      <c r="F270" s="189"/>
      <c r="G270" s="189"/>
      <c r="H270" s="189"/>
      <c r="I270" s="189"/>
      <c r="J270" s="189"/>
      <c r="K270" s="189"/>
      <c r="L270" s="189"/>
      <c r="M270" s="189"/>
      <c r="N270" s="153"/>
      <c r="O270" s="190"/>
      <c r="P270" s="191"/>
      <c r="Q270" s="190"/>
      <c r="R270" s="43"/>
      <c r="S270" s="218"/>
      <c r="T270" s="2"/>
    </row>
    <row r="271" spans="1:20" ht="15.6" x14ac:dyDescent="0.3">
      <c r="A271" s="73"/>
      <c r="B271" s="61" t="s">
        <v>125</v>
      </c>
      <c r="C271" s="74"/>
      <c r="D271" s="76"/>
      <c r="E271" s="76"/>
      <c r="F271" s="76"/>
      <c r="G271" s="76"/>
      <c r="H271" s="76"/>
      <c r="I271" s="76"/>
      <c r="J271" s="76"/>
      <c r="K271" s="76"/>
      <c r="L271" s="76"/>
      <c r="M271" s="76"/>
      <c r="N271" s="72" t="s">
        <v>83</v>
      </c>
      <c r="O271" s="62" t="s">
        <v>84</v>
      </c>
      <c r="P271" s="72" t="s">
        <v>89</v>
      </c>
      <c r="Q271" s="62" t="s">
        <v>84</v>
      </c>
      <c r="R271" s="74"/>
      <c r="S271" s="75"/>
      <c r="T271" s="2"/>
    </row>
    <row r="272" spans="1:20" ht="15.6" x14ac:dyDescent="0.3">
      <c r="A272" s="77"/>
      <c r="B272" s="78" t="s">
        <v>72</v>
      </c>
      <c r="C272" s="79"/>
      <c r="D272" s="80"/>
      <c r="E272" s="80"/>
      <c r="F272" s="80"/>
      <c r="G272" s="80"/>
      <c r="H272" s="80"/>
      <c r="I272" s="80"/>
      <c r="J272" s="80"/>
      <c r="K272" s="80"/>
      <c r="L272" s="80"/>
      <c r="M272" s="80"/>
      <c r="N272" s="78">
        <v>0</v>
      </c>
      <c r="O272" s="81">
        <v>0</v>
      </c>
      <c r="P272" s="82">
        <v>0</v>
      </c>
      <c r="Q272" s="81">
        <v>0</v>
      </c>
      <c r="R272" s="79"/>
      <c r="S272" s="221"/>
      <c r="T272" s="2"/>
    </row>
    <row r="273" spans="1:20" ht="15.6" x14ac:dyDescent="0.3">
      <c r="A273" s="122"/>
      <c r="B273" s="155" t="s">
        <v>73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74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119</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120</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121</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122</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123</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c r="C280" s="113"/>
      <c r="D280" s="195"/>
      <c r="E280" s="195"/>
      <c r="F280" s="195"/>
      <c r="G280" s="195"/>
      <c r="H280" s="195"/>
      <c r="I280" s="195"/>
      <c r="J280" s="195"/>
      <c r="K280" s="195"/>
      <c r="L280" s="195"/>
      <c r="M280" s="195"/>
      <c r="N280" s="155"/>
      <c r="O280" s="193"/>
      <c r="P280" s="156"/>
      <c r="Q280" s="193"/>
      <c r="R280" s="113"/>
      <c r="S280" s="116"/>
      <c r="T280" s="2"/>
    </row>
    <row r="281" spans="1:20" ht="15.6" x14ac:dyDescent="0.3">
      <c r="A281" s="122"/>
      <c r="B281" s="113" t="s">
        <v>94</v>
      </c>
      <c r="C281" s="113"/>
      <c r="D281" s="195"/>
      <c r="E281" s="195"/>
      <c r="F281" s="195"/>
      <c r="G281" s="195"/>
      <c r="H281" s="195"/>
      <c r="I281" s="195"/>
      <c r="J281" s="195"/>
      <c r="K281" s="195"/>
      <c r="L281" s="195"/>
      <c r="M281" s="195"/>
      <c r="N281" s="155">
        <f>SUM(N272:N279)</f>
        <v>0</v>
      </c>
      <c r="O281" s="193">
        <f>SUM(O272:O279)</f>
        <v>0</v>
      </c>
      <c r="P281" s="156">
        <f>SUM(P272:P279)</f>
        <v>0</v>
      </c>
      <c r="Q281" s="193">
        <f>SUM(Q272:Q279)</f>
        <v>0</v>
      </c>
      <c r="R281" s="113"/>
      <c r="S281" s="116"/>
      <c r="T281" s="2"/>
    </row>
    <row r="282" spans="1:20" ht="15.6" x14ac:dyDescent="0.3">
      <c r="A282" s="122"/>
      <c r="B282" s="113"/>
      <c r="C282" s="113"/>
      <c r="D282" s="195"/>
      <c r="E282" s="195"/>
      <c r="F282" s="195"/>
      <c r="G282" s="195"/>
      <c r="H282" s="195"/>
      <c r="I282" s="195"/>
      <c r="J282" s="195"/>
      <c r="K282" s="195"/>
      <c r="L282" s="195"/>
      <c r="M282" s="195"/>
      <c r="N282" s="155"/>
      <c r="O282" s="193"/>
      <c r="P282" s="156"/>
      <c r="Q282" s="193"/>
      <c r="R282" s="113"/>
      <c r="S282" s="116"/>
      <c r="T282" s="2"/>
    </row>
    <row r="283" spans="1:20" ht="15.6" x14ac:dyDescent="0.3">
      <c r="A283" s="122"/>
      <c r="B283" s="124" t="s">
        <v>182</v>
      </c>
      <c r="C283" s="113"/>
      <c r="D283" s="195"/>
      <c r="E283" s="195"/>
      <c r="F283" s="195"/>
      <c r="G283" s="195"/>
      <c r="H283" s="195"/>
      <c r="I283" s="195"/>
      <c r="J283" s="195"/>
      <c r="K283" s="195"/>
      <c r="L283" s="195"/>
      <c r="M283" s="195"/>
      <c r="N283" s="197">
        <f>N281+N269+N257</f>
        <v>1529</v>
      </c>
      <c r="O283" s="193"/>
      <c r="P283" s="198">
        <f>+P281+P269+P257</f>
        <v>237308</v>
      </c>
      <c r="Q283" s="193"/>
      <c r="R283" s="113"/>
      <c r="S283" s="116"/>
      <c r="T283" s="2"/>
    </row>
    <row r="284" spans="1:20" ht="15.6" x14ac:dyDescent="0.3">
      <c r="A284" s="122"/>
      <c r="B284" s="124" t="s">
        <v>247</v>
      </c>
      <c r="C284" s="124"/>
      <c r="D284" s="206"/>
      <c r="E284" s="206"/>
      <c r="F284" s="206"/>
      <c r="G284" s="206"/>
      <c r="H284" s="206"/>
      <c r="I284" s="206"/>
      <c r="J284" s="206"/>
      <c r="K284" s="206"/>
      <c r="L284" s="206"/>
      <c r="M284" s="206"/>
      <c r="N284" s="197"/>
      <c r="O284" s="207"/>
      <c r="P284" s="208">
        <f>+R170</f>
        <v>2039</v>
      </c>
      <c r="Q284" s="193"/>
      <c r="R284" s="113"/>
      <c r="S284" s="116"/>
      <c r="T284" s="2"/>
    </row>
    <row r="285" spans="1:20" ht="15.6" x14ac:dyDescent="0.3">
      <c r="A285" s="122"/>
      <c r="B285" s="124" t="s">
        <v>126</v>
      </c>
      <c r="C285" s="124"/>
      <c r="D285" s="206"/>
      <c r="E285" s="206"/>
      <c r="F285" s="206"/>
      <c r="G285" s="206"/>
      <c r="H285" s="206"/>
      <c r="I285" s="206"/>
      <c r="J285" s="206"/>
      <c r="K285" s="206"/>
      <c r="L285" s="206"/>
      <c r="M285" s="206"/>
      <c r="N285" s="197"/>
      <c r="O285" s="207"/>
      <c r="P285" s="208">
        <f>+P283+P284</f>
        <v>239347</v>
      </c>
      <c r="Q285" s="193"/>
      <c r="R285" s="113"/>
      <c r="S285" s="116"/>
      <c r="T285" s="2"/>
    </row>
    <row r="286" spans="1:20" ht="15.6" x14ac:dyDescent="0.3">
      <c r="A286" s="122"/>
      <c r="B286" s="124" t="s">
        <v>181</v>
      </c>
      <c r="C286" s="113"/>
      <c r="D286" s="195"/>
      <c r="E286" s="195"/>
      <c r="F286" s="195"/>
      <c r="G286" s="195"/>
      <c r="H286" s="195"/>
      <c r="I286" s="195"/>
      <c r="J286" s="195"/>
      <c r="K286" s="195"/>
      <c r="L286" s="195"/>
      <c r="M286" s="195"/>
      <c r="N286" s="197"/>
      <c r="O286" s="193"/>
      <c r="P286" s="198">
        <f>+R72</f>
        <v>239347</v>
      </c>
      <c r="Q286" s="193"/>
      <c r="R286" s="113"/>
      <c r="S286" s="116"/>
      <c r="T286" s="2"/>
    </row>
    <row r="287" spans="1:20" ht="15.6" x14ac:dyDescent="0.3">
      <c r="A287" s="122"/>
      <c r="B287" s="124"/>
      <c r="C287" s="113"/>
      <c r="D287" s="195"/>
      <c r="E287" s="195"/>
      <c r="F287" s="195"/>
      <c r="G287" s="195"/>
      <c r="H287" s="195"/>
      <c r="I287" s="195"/>
      <c r="J287" s="195"/>
      <c r="K287" s="195"/>
      <c r="L287" s="195"/>
      <c r="M287" s="195"/>
      <c r="N287" s="197"/>
      <c r="O287" s="193"/>
      <c r="P287" s="198"/>
      <c r="Q287" s="193"/>
      <c r="R287" s="113"/>
      <c r="S287" s="116"/>
      <c r="T287" s="2"/>
    </row>
    <row r="288" spans="1:20" ht="15.6" x14ac:dyDescent="0.3">
      <c r="A288" s="122"/>
      <c r="B288" s="124" t="s">
        <v>221</v>
      </c>
      <c r="C288" s="113"/>
      <c r="D288" s="195"/>
      <c r="E288" s="195"/>
      <c r="F288" s="195"/>
      <c r="G288" s="195"/>
      <c r="H288" s="195"/>
      <c r="I288" s="195"/>
      <c r="J288" s="195"/>
      <c r="K288" s="195"/>
      <c r="L288" s="195"/>
      <c r="M288" s="195"/>
      <c r="N288" s="197"/>
      <c r="O288" s="193"/>
      <c r="P288" s="215">
        <f>(J30+R138)/R30</f>
        <v>5.2434307933314689E-2</v>
      </c>
      <c r="Q288" s="193"/>
      <c r="R288" s="113"/>
      <c r="S288" s="116"/>
      <c r="T288" s="2"/>
    </row>
    <row r="289" spans="1:20" ht="15.6" x14ac:dyDescent="0.3">
      <c r="A289" s="83"/>
      <c r="B289" s="84"/>
      <c r="C289" s="84"/>
      <c r="D289" s="85"/>
      <c r="E289" s="85"/>
      <c r="F289" s="85"/>
      <c r="G289" s="85"/>
      <c r="H289" s="85"/>
      <c r="I289" s="85"/>
      <c r="J289" s="85"/>
      <c r="K289" s="85"/>
      <c r="L289" s="85"/>
      <c r="M289" s="85"/>
      <c r="N289" s="85"/>
      <c r="O289" s="85"/>
      <c r="P289" s="86"/>
      <c r="Q289" s="85"/>
      <c r="R289" s="84"/>
      <c r="S289" s="219"/>
      <c r="T289" s="2"/>
    </row>
    <row r="290" spans="1:20" ht="15.6" x14ac:dyDescent="0.3">
      <c r="A290" s="87"/>
      <c r="B290" s="88" t="s">
        <v>75</v>
      </c>
      <c r="C290" s="84"/>
      <c r="D290" s="89" t="s">
        <v>79</v>
      </c>
      <c r="E290" s="88"/>
      <c r="F290" s="88" t="s">
        <v>80</v>
      </c>
      <c r="G290" s="84"/>
      <c r="H290" s="88"/>
      <c r="I290" s="90"/>
      <c r="J290" s="90"/>
      <c r="K290" s="90"/>
      <c r="L290" s="90"/>
      <c r="M290" s="90"/>
      <c r="N290" s="90"/>
      <c r="O290" s="90"/>
      <c r="P290" s="90"/>
      <c r="Q290" s="90"/>
      <c r="R290" s="90"/>
      <c r="S290" s="230"/>
      <c r="T290" s="2"/>
    </row>
    <row r="291" spans="1:20" ht="15.6" x14ac:dyDescent="0.3">
      <c r="A291" s="87"/>
      <c r="B291" s="90"/>
      <c r="C291" s="84"/>
      <c r="D291" s="84"/>
      <c r="E291" s="84"/>
      <c r="F291" s="84"/>
      <c r="G291" s="84"/>
      <c r="H291" s="84"/>
      <c r="I291" s="90"/>
      <c r="J291" s="90"/>
      <c r="K291" s="90"/>
      <c r="L291" s="90"/>
      <c r="M291" s="90"/>
      <c r="N291" s="90"/>
      <c r="O291" s="90"/>
      <c r="P291" s="90"/>
      <c r="Q291" s="90"/>
      <c r="R291" s="90"/>
      <c r="S291" s="230"/>
      <c r="T291" s="2"/>
    </row>
    <row r="292" spans="1:20" ht="15.6" x14ac:dyDescent="0.3">
      <c r="A292" s="87"/>
      <c r="B292" s="214" t="s">
        <v>211</v>
      </c>
      <c r="C292" s="88"/>
      <c r="D292" s="91" t="s">
        <v>115</v>
      </c>
      <c r="E292" s="88"/>
      <c r="F292" s="88" t="s">
        <v>116</v>
      </c>
      <c r="G292" s="88"/>
      <c r="H292" s="88"/>
      <c r="I292" s="90"/>
      <c r="J292" s="90"/>
      <c r="K292" s="90"/>
      <c r="L292" s="90"/>
      <c r="M292" s="90"/>
      <c r="N292" s="90"/>
      <c r="O292" s="90"/>
      <c r="P292" s="90"/>
      <c r="Q292" s="90"/>
      <c r="R292" s="90"/>
      <c r="S292" s="230"/>
      <c r="T292" s="2"/>
    </row>
    <row r="293" spans="1:20" ht="15.6" x14ac:dyDescent="0.3">
      <c r="A293" s="87"/>
      <c r="B293" s="214" t="s">
        <v>212</v>
      </c>
      <c r="C293" s="88"/>
      <c r="D293" s="91" t="s">
        <v>147</v>
      </c>
      <c r="E293" s="88"/>
      <c r="F293" s="88" t="s">
        <v>148</v>
      </c>
      <c r="G293" s="88"/>
      <c r="H293" s="88"/>
      <c r="I293" s="90"/>
      <c r="J293" s="90"/>
      <c r="K293" s="90"/>
      <c r="L293" s="90"/>
      <c r="M293" s="90"/>
      <c r="N293" s="90"/>
      <c r="O293" s="90"/>
      <c r="P293" s="90"/>
      <c r="Q293" s="90"/>
      <c r="R293" s="90"/>
      <c r="S293" s="230"/>
      <c r="T293" s="2"/>
    </row>
    <row r="294" spans="1:20" ht="15.6" x14ac:dyDescent="0.3">
      <c r="A294" s="87"/>
      <c r="B294" s="214" t="s">
        <v>213</v>
      </c>
      <c r="C294" s="88"/>
      <c r="D294" s="91" t="s">
        <v>114</v>
      </c>
      <c r="E294" s="88"/>
      <c r="F294" s="88" t="s">
        <v>117</v>
      </c>
      <c r="G294" s="88"/>
      <c r="H294" s="88"/>
      <c r="I294" s="90"/>
      <c r="J294" s="90"/>
      <c r="K294" s="90"/>
      <c r="L294" s="90"/>
      <c r="M294" s="90"/>
      <c r="N294" s="90"/>
      <c r="O294" s="90"/>
      <c r="P294" s="90"/>
      <c r="Q294" s="90"/>
      <c r="R294" s="90"/>
      <c r="S294" s="230"/>
      <c r="T294" s="2"/>
    </row>
    <row r="295" spans="1:20" ht="15.6" x14ac:dyDescent="0.3">
      <c r="A295" s="87"/>
      <c r="B295" s="88"/>
      <c r="C295" s="88"/>
      <c r="D295" s="90"/>
      <c r="E295" s="90"/>
      <c r="F295" s="90"/>
      <c r="G295" s="90"/>
      <c r="H295" s="90"/>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8" thickBot="1" x14ac:dyDescent="0.35">
      <c r="A297" s="87"/>
      <c r="B297" s="92" t="str">
        <f>B195</f>
        <v>PM21 INVESTOR REPORT QUARTER ENDING AUGUST 2015</v>
      </c>
      <c r="C297" s="88"/>
      <c r="D297" s="90"/>
      <c r="E297" s="90"/>
      <c r="F297" s="90"/>
      <c r="G297" s="90"/>
      <c r="H297" s="90"/>
      <c r="I297" s="90"/>
      <c r="J297" s="90"/>
      <c r="K297" s="90"/>
      <c r="L297" s="90"/>
      <c r="M297" s="90"/>
      <c r="N297" s="90"/>
      <c r="O297" s="90"/>
      <c r="P297" s="90"/>
      <c r="Q297" s="90"/>
      <c r="R297" s="90"/>
      <c r="S297" s="99"/>
      <c r="T297" s="2"/>
    </row>
    <row r="298" spans="1:20" x14ac:dyDescent="0.25">
      <c r="A298" s="3"/>
      <c r="B298" s="3"/>
      <c r="C298" s="3"/>
      <c r="D298" s="3"/>
      <c r="E298" s="3"/>
      <c r="F298" s="3"/>
      <c r="G298" s="3"/>
      <c r="H298" s="3"/>
      <c r="I298" s="3"/>
      <c r="J298" s="3"/>
      <c r="K298" s="3"/>
      <c r="L298" s="3"/>
      <c r="M298" s="3"/>
      <c r="N298" s="3"/>
      <c r="O298" s="3"/>
      <c r="P298" s="3"/>
      <c r="Q298" s="3"/>
      <c r="R298" s="3"/>
      <c r="S298"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5" max="18" man="1"/>
  </rowBreaks>
  <colBreaks count="1" manualBreakCount="1">
    <brk id="19" max="299"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29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42360</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188</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207247.10868999999</v>
      </c>
      <c r="E29" s="130"/>
      <c r="F29" s="202">
        <f>F28*F32</f>
        <v>17700</v>
      </c>
      <c r="G29" s="202"/>
      <c r="H29" s="202">
        <f>H28*H32</f>
        <v>8100</v>
      </c>
      <c r="I29" s="126"/>
      <c r="J29" s="202">
        <f>J28*J32</f>
        <v>6300</v>
      </c>
      <c r="K29" s="126"/>
      <c r="L29" s="130"/>
      <c r="M29" s="126"/>
      <c r="N29" s="130"/>
      <c r="O29" s="126"/>
      <c r="P29" s="126"/>
      <c r="Q29" s="127"/>
      <c r="R29" s="126">
        <f>SUM(D29:J29)</f>
        <v>239347.10868999999</v>
      </c>
      <c r="S29" s="128"/>
      <c r="T29" s="2"/>
    </row>
    <row r="30" spans="1:23" ht="15.6" x14ac:dyDescent="0.3">
      <c r="A30" s="122"/>
      <c r="B30" s="121" t="s">
        <v>107</v>
      </c>
      <c r="C30" s="125"/>
      <c r="D30" s="203">
        <f>D28*D31</f>
        <v>203838.19393000001</v>
      </c>
      <c r="E30" s="203"/>
      <c r="F30" s="203">
        <f t="shared" ref="F30:J30" si="0">F28*F31</f>
        <v>17700</v>
      </c>
      <c r="G30" s="203"/>
      <c r="H30" s="203">
        <f>H28*H31</f>
        <v>8100</v>
      </c>
      <c r="I30" s="203"/>
      <c r="J30" s="203">
        <f t="shared" si="0"/>
        <v>6300</v>
      </c>
      <c r="K30" s="131"/>
      <c r="L30" s="133"/>
      <c r="M30" s="131"/>
      <c r="N30" s="133"/>
      <c r="O30" s="126"/>
      <c r="P30" s="126"/>
      <c r="Q30" s="127"/>
      <c r="R30" s="204">
        <f>SUM(D30:J30)</f>
        <v>235938.19393000001</v>
      </c>
      <c r="S30" s="128"/>
      <c r="T30" s="2"/>
    </row>
    <row r="31" spans="1:23" ht="15.6" x14ac:dyDescent="0.3">
      <c r="A31" s="112"/>
      <c r="B31" s="134" t="s">
        <v>103</v>
      </c>
      <c r="C31" s="135"/>
      <c r="D31" s="136">
        <v>0.93546669999999998</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0.95111109999999999</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1.3875E-2</v>
      </c>
      <c r="E34" s="143"/>
      <c r="F34" s="143">
        <v>1.9875E-2</v>
      </c>
      <c r="G34" s="143"/>
      <c r="H34" s="143">
        <v>2.3375E-2</v>
      </c>
      <c r="I34" s="143"/>
      <c r="J34" s="143">
        <v>2.6875E-2</v>
      </c>
      <c r="K34" s="143"/>
      <c r="L34" s="143"/>
      <c r="M34" s="142"/>
      <c r="N34" s="143"/>
      <c r="O34" s="123"/>
      <c r="P34" s="123"/>
      <c r="Q34" s="115"/>
      <c r="R34" s="142">
        <f>SUMPRODUCT(D34:J34,D29:J29)/R29</f>
        <v>1.4982387515356578E-2</v>
      </c>
      <c r="S34" s="116"/>
      <c r="T34" s="2"/>
    </row>
    <row r="35" spans="1:21" ht="15.6" x14ac:dyDescent="0.3">
      <c r="A35" s="112"/>
      <c r="B35" s="113" t="s">
        <v>10</v>
      </c>
      <c r="C35" s="144"/>
      <c r="D35" s="143">
        <v>1.3712500000000001E-2</v>
      </c>
      <c r="E35" s="143"/>
      <c r="F35" s="143">
        <v>1.9712500000000001E-2</v>
      </c>
      <c r="G35" s="143"/>
      <c r="H35" s="143">
        <v>2.32125E-2</v>
      </c>
      <c r="I35" s="143"/>
      <c r="J35" s="143">
        <v>2.67125E-2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0.15747784740981097</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42353</v>
      </c>
      <c r="S45" s="116"/>
      <c r="T45" s="2"/>
    </row>
    <row r="46" spans="1:21" ht="15.6" x14ac:dyDescent="0.3">
      <c r="A46" s="112"/>
      <c r="B46" s="113" t="s">
        <v>99</v>
      </c>
      <c r="C46" s="113"/>
      <c r="D46" s="150"/>
      <c r="E46" s="150"/>
      <c r="F46" s="150"/>
      <c r="G46" s="150"/>
      <c r="H46" s="150"/>
      <c r="I46" s="150"/>
      <c r="J46" s="150"/>
      <c r="K46" s="150"/>
      <c r="L46" s="150"/>
      <c r="M46" s="150"/>
      <c r="N46" s="113">
        <v>92</v>
      </c>
      <c r="O46" s="113"/>
      <c r="P46" s="151">
        <v>42170</v>
      </c>
      <c r="Q46" s="152"/>
      <c r="R46" s="151">
        <v>42261</v>
      </c>
      <c r="S46" s="116"/>
      <c r="T46" s="2"/>
    </row>
    <row r="47" spans="1:21" ht="15.6" x14ac:dyDescent="0.3">
      <c r="A47" s="112"/>
      <c r="B47" s="113" t="s">
        <v>100</v>
      </c>
      <c r="C47" s="113"/>
      <c r="D47" s="113"/>
      <c r="E47" s="113"/>
      <c r="F47" s="113"/>
      <c r="G47" s="113"/>
      <c r="H47" s="113"/>
      <c r="I47" s="113"/>
      <c r="J47" s="113"/>
      <c r="K47" s="113"/>
      <c r="L47" s="113"/>
      <c r="M47" s="113"/>
      <c r="N47" s="113">
        <f>+R47-P47+1</f>
        <v>91</v>
      </c>
      <c r="O47" s="113"/>
      <c r="P47" s="151">
        <v>42262</v>
      </c>
      <c r="Q47" s="152"/>
      <c r="R47" s="151">
        <v>42352</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42339</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258</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237308</v>
      </c>
      <c r="I56" s="155"/>
      <c r="J56" s="156">
        <v>140</v>
      </c>
      <c r="K56" s="155"/>
      <c r="L56" s="155">
        <f>2299+405-140</f>
        <v>2564</v>
      </c>
      <c r="M56" s="155"/>
      <c r="N56" s="155">
        <f>119+18</f>
        <v>137</v>
      </c>
      <c r="O56" s="155"/>
      <c r="P56" s="155">
        <v>0</v>
      </c>
      <c r="Q56" s="155"/>
      <c r="R56" s="156">
        <f>H56-J56-L56+N56-P56</f>
        <v>234741</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237308</v>
      </c>
      <c r="I59" s="155"/>
      <c r="J59" s="155">
        <f>J56+J57</f>
        <v>140</v>
      </c>
      <c r="K59" s="155"/>
      <c r="L59" s="155">
        <f>SUM(L56:L58)</f>
        <v>2564</v>
      </c>
      <c r="M59" s="155"/>
      <c r="N59" s="155">
        <f>SUM(N56:N58)</f>
        <v>137</v>
      </c>
      <c r="O59" s="155"/>
      <c r="P59" s="155">
        <f>SUM(P56:P58)</f>
        <v>0</v>
      </c>
      <c r="Q59" s="155"/>
      <c r="R59" s="155">
        <f>SUM(R56:R58)</f>
        <v>234741</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2039</v>
      </c>
      <c r="I70" s="155"/>
      <c r="J70" s="155"/>
      <c r="K70" s="155"/>
      <c r="L70" s="155"/>
      <c r="M70" s="155"/>
      <c r="N70" s="155">
        <v>-842</v>
      </c>
      <c r="O70" s="155"/>
      <c r="P70" s="155"/>
      <c r="Q70" s="155"/>
      <c r="R70" s="155">
        <f>+H70+N70</f>
        <v>1197</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239347</v>
      </c>
      <c r="I72" s="155"/>
      <c r="J72" s="155"/>
      <c r="K72" s="155"/>
      <c r="L72" s="155"/>
      <c r="M72" s="155"/>
      <c r="N72" s="155"/>
      <c r="O72" s="155"/>
      <c r="P72" s="155"/>
      <c r="Q72" s="155"/>
      <c r="R72" s="155">
        <f>SUM(R59:R71)</f>
        <v>235938</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+P196</f>
        <v>42338</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842</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v>-119</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2704</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2841-405</f>
        <v>2436</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60</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11</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16</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449</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3427</v>
      </c>
      <c r="Q89" s="113"/>
      <c r="R89" s="155">
        <f>SUM(R76:R88)</f>
        <v>2972</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3427</v>
      </c>
      <c r="Q92" s="113"/>
      <c r="R92" s="155">
        <f>R89+R90+R91</f>
        <v>2972</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236</v>
      </c>
      <c r="C96" s="113"/>
      <c r="D96" s="135"/>
      <c r="E96" s="135"/>
      <c r="F96" s="135"/>
      <c r="G96" s="135"/>
      <c r="H96" s="135"/>
      <c r="I96" s="135"/>
      <c r="J96" s="135"/>
      <c r="K96" s="135"/>
      <c r="L96" s="135"/>
      <c r="M96" s="135"/>
      <c r="N96" s="135"/>
      <c r="O96" s="135"/>
      <c r="P96" s="113"/>
      <c r="Q96" s="113"/>
      <c r="R96" s="156">
        <f>-89-1-3</f>
        <v>-93</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-273</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-717</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-88</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-47</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-1</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-42</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-89</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-24-156</f>
        <v>-180</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-1419</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-P178</f>
        <v>-18</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v>0</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-3409</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-3427</v>
      </c>
      <c r="Q119" s="155"/>
      <c r="R119" s="155">
        <f>SUM(R93:R118)</f>
        <v>-2972</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NOVEMBER 2015</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509.0451517499996</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5740.9548482500004</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f>+'Aug 15'!R149</f>
        <v>2039</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-119</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-723</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1197</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+'Aug 15'!R163</f>
        <v>279</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144</v>
      </c>
      <c r="C162" s="113"/>
      <c r="D162" s="113"/>
      <c r="E162" s="113"/>
      <c r="F162" s="113"/>
      <c r="G162" s="113"/>
      <c r="H162" s="113"/>
      <c r="I162" s="113"/>
      <c r="J162" s="113"/>
      <c r="K162" s="113"/>
      <c r="L162" s="113"/>
      <c r="M162" s="113"/>
      <c r="N162" s="113"/>
      <c r="O162" s="113"/>
      <c r="P162" s="113"/>
      <c r="Q162" s="113"/>
      <c r="R162" s="156">
        <f>+R84</f>
        <v>16</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142</v>
      </c>
      <c r="C163" s="113"/>
      <c r="D163" s="113"/>
      <c r="E163" s="113"/>
      <c r="F163" s="113"/>
      <c r="G163" s="113"/>
      <c r="H163" s="113"/>
      <c r="I163" s="113"/>
      <c r="J163" s="113"/>
      <c r="K163" s="113"/>
      <c r="L163" s="113"/>
      <c r="M163" s="113"/>
      <c r="N163" s="113"/>
      <c r="O163" s="113"/>
      <c r="P163" s="113"/>
      <c r="Q163" s="113"/>
      <c r="R163" s="156">
        <f>+R161-R162</f>
        <v>263</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2"/>
      <c r="S164" s="218"/>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217"/>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44</v>
      </c>
      <c r="C166" s="14"/>
      <c r="D166" s="14"/>
      <c r="E166" s="14"/>
      <c r="F166" s="14"/>
      <c r="G166" s="14"/>
      <c r="H166" s="14"/>
      <c r="I166" s="14"/>
      <c r="J166" s="14"/>
      <c r="K166" s="14"/>
      <c r="L166" s="14"/>
      <c r="M166" s="14"/>
      <c r="N166" s="14"/>
      <c r="O166" s="14"/>
      <c r="P166" s="14"/>
      <c r="Q166" s="14"/>
      <c r="R166" s="33"/>
      <c r="S166" s="218"/>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218"/>
      <c r="T167" s="2"/>
    </row>
    <row r="168" spans="1:252" ht="15.6" x14ac:dyDescent="0.3">
      <c r="A168" s="112"/>
      <c r="B168" s="113" t="s">
        <v>177</v>
      </c>
      <c r="C168" s="113"/>
      <c r="D168" s="113"/>
      <c r="E168" s="113"/>
      <c r="F168" s="113"/>
      <c r="G168" s="113"/>
      <c r="H168" s="113"/>
      <c r="I168" s="113"/>
      <c r="J168" s="113"/>
      <c r="K168" s="113"/>
      <c r="L168" s="113"/>
      <c r="M168" s="113"/>
      <c r="N168" s="113"/>
      <c r="O168" s="113"/>
      <c r="P168" s="113"/>
      <c r="Q168" s="113"/>
      <c r="R168" s="156">
        <f>+R59</f>
        <v>234741</v>
      </c>
      <c r="S168" s="116"/>
      <c r="T168" s="2"/>
    </row>
    <row r="169" spans="1:252" ht="15.6" x14ac:dyDescent="0.3">
      <c r="A169" s="112"/>
      <c r="B169" s="113" t="s">
        <v>178</v>
      </c>
      <c r="C169" s="113"/>
      <c r="D169" s="113"/>
      <c r="E169" s="113"/>
      <c r="F169" s="113"/>
      <c r="G169" s="113"/>
      <c r="H169" s="113"/>
      <c r="I169" s="113"/>
      <c r="J169" s="113"/>
      <c r="K169" s="113"/>
      <c r="L169" s="113"/>
      <c r="M169" s="113"/>
      <c r="N169" s="113"/>
      <c r="O169" s="113"/>
      <c r="P169" s="113"/>
      <c r="Q169" s="113"/>
      <c r="R169" s="156">
        <f>+R69</f>
        <v>0</v>
      </c>
      <c r="S169" s="116"/>
      <c r="T169" s="2"/>
    </row>
    <row r="170" spans="1:252" ht="15.6" x14ac:dyDescent="0.3">
      <c r="A170" s="112"/>
      <c r="B170" s="113" t="s">
        <v>246</v>
      </c>
      <c r="C170" s="113"/>
      <c r="D170" s="113"/>
      <c r="E170" s="113"/>
      <c r="F170" s="113"/>
      <c r="G170" s="113"/>
      <c r="H170" s="113"/>
      <c r="I170" s="113"/>
      <c r="J170" s="113"/>
      <c r="K170" s="113"/>
      <c r="L170" s="113"/>
      <c r="M170" s="113"/>
      <c r="N170" s="113"/>
      <c r="O170" s="113"/>
      <c r="P170" s="113"/>
      <c r="Q170" s="113"/>
      <c r="R170" s="156">
        <f>+R70</f>
        <v>1197</v>
      </c>
      <c r="S170" s="116"/>
      <c r="T170" s="2"/>
    </row>
    <row r="171" spans="1:252" ht="15.6" x14ac:dyDescent="0.3">
      <c r="A171" s="112"/>
      <c r="B171" s="113" t="s">
        <v>126</v>
      </c>
      <c r="C171" s="113"/>
      <c r="D171" s="113"/>
      <c r="E171" s="113"/>
      <c r="F171" s="113"/>
      <c r="G171" s="113"/>
      <c r="H171" s="113"/>
      <c r="I171" s="113"/>
      <c r="J171" s="113"/>
      <c r="K171" s="113"/>
      <c r="L171" s="113"/>
      <c r="M171" s="113"/>
      <c r="N171" s="113"/>
      <c r="O171" s="113"/>
      <c r="P171" s="113"/>
      <c r="Q171" s="113"/>
      <c r="R171" s="156">
        <f>+R168+R169+R170</f>
        <v>235938</v>
      </c>
      <c r="S171" s="116"/>
      <c r="T171" s="2"/>
    </row>
    <row r="172" spans="1:252" ht="15.6" x14ac:dyDescent="0.3">
      <c r="A172" s="112"/>
      <c r="B172" s="113" t="s">
        <v>45</v>
      </c>
      <c r="C172" s="113"/>
      <c r="D172" s="113"/>
      <c r="E172" s="113"/>
      <c r="F172" s="113"/>
      <c r="G172" s="113"/>
      <c r="H172" s="113"/>
      <c r="I172" s="113"/>
      <c r="J172" s="113"/>
      <c r="K172" s="113"/>
      <c r="L172" s="113"/>
      <c r="M172" s="113"/>
      <c r="N172" s="113"/>
      <c r="O172" s="113"/>
      <c r="P172" s="113"/>
      <c r="Q172" s="113"/>
      <c r="R172" s="156">
        <f>R72</f>
        <v>235938</v>
      </c>
      <c r="S172" s="116"/>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2"/>
      <c r="S173" s="218"/>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217"/>
      <c r="T174" s="2"/>
    </row>
    <row r="175" spans="1:252" ht="15.6" x14ac:dyDescent="0.3">
      <c r="A175" s="12"/>
      <c r="B175" s="41" t="s">
        <v>46</v>
      </c>
      <c r="C175" s="37"/>
      <c r="D175" s="45"/>
      <c r="E175" s="45"/>
      <c r="F175" s="45"/>
      <c r="G175" s="45"/>
      <c r="H175" s="45"/>
      <c r="I175" s="45"/>
      <c r="J175" s="45"/>
      <c r="K175" s="45"/>
      <c r="L175" s="45"/>
      <c r="M175" s="45"/>
      <c r="N175" s="45"/>
      <c r="O175" s="45" t="s">
        <v>82</v>
      </c>
      <c r="P175" s="45" t="s">
        <v>173</v>
      </c>
      <c r="Q175" s="16"/>
      <c r="R175" s="46" t="s">
        <v>94</v>
      </c>
      <c r="S175" s="225"/>
      <c r="T175" s="2"/>
    </row>
    <row r="176" spans="1:252" ht="15.6" x14ac:dyDescent="0.3">
      <c r="A176" s="112"/>
      <c r="B176" s="113" t="s">
        <v>47</v>
      </c>
      <c r="C176" s="113"/>
      <c r="D176" s="113"/>
      <c r="E176" s="113"/>
      <c r="F176" s="113"/>
      <c r="G176" s="113"/>
      <c r="H176" s="113"/>
      <c r="I176" s="113"/>
      <c r="J176" s="113"/>
      <c r="K176" s="113"/>
      <c r="L176" s="113"/>
      <c r="M176" s="113"/>
      <c r="N176" s="113"/>
      <c r="O176" s="156">
        <f>+R28*0.05</f>
        <v>12500</v>
      </c>
      <c r="P176" s="145"/>
      <c r="Q176" s="113"/>
      <c r="R176" s="156"/>
      <c r="S176" s="116"/>
      <c r="T176" s="2"/>
    </row>
    <row r="177" spans="1:20" ht="15.6" x14ac:dyDescent="0.3">
      <c r="A177" s="112"/>
      <c r="B177" s="113" t="s">
        <v>48</v>
      </c>
      <c r="C177" s="113"/>
      <c r="D177" s="113"/>
      <c r="E177" s="113"/>
      <c r="F177" s="113"/>
      <c r="G177" s="113"/>
      <c r="H177" s="113"/>
      <c r="I177" s="113"/>
      <c r="J177" s="113"/>
      <c r="K177" s="113"/>
      <c r="L177" s="113"/>
      <c r="M177" s="113"/>
      <c r="N177" s="113"/>
      <c r="O177" s="156">
        <f>+'Aug 15'!O179</f>
        <v>136</v>
      </c>
      <c r="P177" s="156">
        <f>+'Aug 15'!P179</f>
        <v>444</v>
      </c>
      <c r="Q177" s="113"/>
      <c r="R177" s="156">
        <f>O177+P177</f>
        <v>580</v>
      </c>
      <c r="S177" s="116"/>
      <c r="T177" s="2"/>
    </row>
    <row r="178" spans="1:20" ht="15.6" x14ac:dyDescent="0.3">
      <c r="A178" s="112"/>
      <c r="B178" s="113" t="s">
        <v>49</v>
      </c>
      <c r="C178" s="113"/>
      <c r="D178" s="113"/>
      <c r="E178" s="113"/>
      <c r="F178" s="113"/>
      <c r="G178" s="113"/>
      <c r="H178" s="113"/>
      <c r="I178" s="113"/>
      <c r="J178" s="113"/>
      <c r="K178" s="113"/>
      <c r="L178" s="113"/>
      <c r="M178" s="113"/>
      <c r="N178" s="113"/>
      <c r="O178" s="155">
        <v>119</v>
      </c>
      <c r="P178" s="155">
        <v>18</v>
      </c>
      <c r="Q178" s="113"/>
      <c r="R178" s="156">
        <f>O178+P178</f>
        <v>137</v>
      </c>
      <c r="S178" s="116"/>
      <c r="T178" s="2"/>
    </row>
    <row r="179" spans="1:20" ht="15.6" x14ac:dyDescent="0.3">
      <c r="A179" s="112"/>
      <c r="B179" s="113" t="s">
        <v>50</v>
      </c>
      <c r="C179" s="113"/>
      <c r="D179" s="113"/>
      <c r="E179" s="113"/>
      <c r="F179" s="113"/>
      <c r="G179" s="113"/>
      <c r="H179" s="113"/>
      <c r="I179" s="113"/>
      <c r="J179" s="113"/>
      <c r="K179" s="113"/>
      <c r="L179" s="113"/>
      <c r="M179" s="113"/>
      <c r="N179" s="113"/>
      <c r="O179" s="156">
        <f>O177+O178</f>
        <v>255</v>
      </c>
      <c r="P179" s="156">
        <f>P178+P177</f>
        <v>462</v>
      </c>
      <c r="Q179" s="113"/>
      <c r="R179" s="156">
        <f>O179+P179</f>
        <v>717</v>
      </c>
      <c r="S179" s="116"/>
      <c r="T179" s="2"/>
    </row>
    <row r="180" spans="1:20" ht="15.6" x14ac:dyDescent="0.3">
      <c r="A180" s="112"/>
      <c r="B180" s="113" t="s">
        <v>51</v>
      </c>
      <c r="C180" s="113"/>
      <c r="D180" s="113"/>
      <c r="E180" s="113"/>
      <c r="F180" s="113"/>
      <c r="G180" s="113"/>
      <c r="H180" s="113"/>
      <c r="I180" s="113"/>
      <c r="J180" s="113"/>
      <c r="K180" s="113"/>
      <c r="L180" s="113"/>
      <c r="M180" s="113"/>
      <c r="N180" s="113"/>
      <c r="O180" s="156">
        <f>O176-O179-P179</f>
        <v>11783</v>
      </c>
      <c r="P180" s="145"/>
      <c r="Q180" s="113"/>
      <c r="R180" s="156"/>
      <c r="S180" s="116"/>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2"/>
      <c r="S181" s="218"/>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217"/>
      <c r="T182" s="2"/>
    </row>
    <row r="183" spans="1:20" ht="15.6" x14ac:dyDescent="0.3">
      <c r="A183" s="12"/>
      <c r="B183" s="41" t="s">
        <v>52</v>
      </c>
      <c r="C183" s="14"/>
      <c r="D183" s="14"/>
      <c r="E183" s="14"/>
      <c r="F183" s="14"/>
      <c r="G183" s="14"/>
      <c r="H183" s="14"/>
      <c r="I183" s="14"/>
      <c r="J183" s="14"/>
      <c r="K183" s="14"/>
      <c r="L183" s="14"/>
      <c r="M183" s="14"/>
      <c r="N183" s="14"/>
      <c r="O183" s="14"/>
      <c r="P183" s="14"/>
      <c r="Q183" s="14"/>
      <c r="R183" s="47"/>
      <c r="S183" s="218"/>
      <c r="T183" s="2"/>
    </row>
    <row r="184" spans="1:20" ht="15.6" x14ac:dyDescent="0.3">
      <c r="A184" s="112"/>
      <c r="B184" s="113" t="s">
        <v>53</v>
      </c>
      <c r="C184" s="113"/>
      <c r="D184" s="113"/>
      <c r="E184" s="113"/>
      <c r="F184" s="113"/>
      <c r="G184" s="113"/>
      <c r="H184" s="113"/>
      <c r="I184" s="113"/>
      <c r="J184" s="113"/>
      <c r="K184" s="113"/>
      <c r="L184" s="113"/>
      <c r="M184" s="113"/>
      <c r="N184" s="113"/>
      <c r="O184" s="113"/>
      <c r="P184" s="113"/>
      <c r="Q184" s="113"/>
      <c r="R184" s="161">
        <f>(R92+R94+R95+R96+R97)/-(R98)</f>
        <v>3.6304044630404464</v>
      </c>
      <c r="S184" s="116" t="s">
        <v>95</v>
      </c>
      <c r="T184" s="2"/>
    </row>
    <row r="185" spans="1:20" ht="15.6" x14ac:dyDescent="0.3">
      <c r="A185" s="112"/>
      <c r="B185" s="113" t="s">
        <v>54</v>
      </c>
      <c r="C185" s="113"/>
      <c r="D185" s="113"/>
      <c r="E185" s="113"/>
      <c r="F185" s="113"/>
      <c r="G185" s="113"/>
      <c r="H185" s="113"/>
      <c r="I185" s="113"/>
      <c r="J185" s="113"/>
      <c r="K185" s="113"/>
      <c r="L185" s="113"/>
      <c r="M185" s="113"/>
      <c r="N185" s="113"/>
      <c r="O185" s="113"/>
      <c r="P185" s="113"/>
      <c r="Q185" s="113"/>
      <c r="R185" s="164">
        <v>3.47</v>
      </c>
      <c r="S185" s="116" t="s">
        <v>95</v>
      </c>
      <c r="T185" s="2"/>
    </row>
    <row r="186" spans="1:20" ht="15.6" x14ac:dyDescent="0.3">
      <c r="A186" s="112"/>
      <c r="B186" s="113" t="s">
        <v>192</v>
      </c>
      <c r="C186" s="113"/>
      <c r="D186" s="113"/>
      <c r="E186" s="113"/>
      <c r="F186" s="113"/>
      <c r="G186" s="113"/>
      <c r="H186" s="113"/>
      <c r="I186" s="113"/>
      <c r="J186" s="113"/>
      <c r="K186" s="113"/>
      <c r="L186" s="113"/>
      <c r="M186" s="113"/>
      <c r="N186" s="113"/>
      <c r="O186" s="113"/>
      <c r="P186" s="113"/>
      <c r="Q186" s="113"/>
      <c r="R186" s="161">
        <f>(R92+R94+R95+R96+R97+R98)/-(R99)</f>
        <v>21.431818181818183</v>
      </c>
      <c r="S186" s="116" t="s">
        <v>95</v>
      </c>
      <c r="T186" s="2"/>
    </row>
    <row r="187" spans="1:20" ht="15.6" x14ac:dyDescent="0.3">
      <c r="A187" s="112"/>
      <c r="B187" s="113" t="s">
        <v>193</v>
      </c>
      <c r="C187" s="113"/>
      <c r="D187" s="113"/>
      <c r="E187" s="113"/>
      <c r="F187" s="113"/>
      <c r="G187" s="113"/>
      <c r="H187" s="113"/>
      <c r="I187" s="113"/>
      <c r="J187" s="113"/>
      <c r="K187" s="113"/>
      <c r="L187" s="113"/>
      <c r="M187" s="113"/>
      <c r="N187" s="113"/>
      <c r="O187" s="113"/>
      <c r="P187" s="113"/>
      <c r="Q187" s="113"/>
      <c r="R187" s="164">
        <v>20.77</v>
      </c>
      <c r="S187" s="116" t="s">
        <v>95</v>
      </c>
      <c r="T187" s="2"/>
    </row>
    <row r="188" spans="1:20" ht="15.6" x14ac:dyDescent="0.3">
      <c r="A188" s="112"/>
      <c r="B188" s="113" t="s">
        <v>194</v>
      </c>
      <c r="C188" s="113"/>
      <c r="D188" s="113"/>
      <c r="E188" s="113"/>
      <c r="F188" s="113"/>
      <c r="G188" s="113"/>
      <c r="H188" s="113"/>
      <c r="I188" s="113"/>
      <c r="J188" s="113"/>
      <c r="K188" s="113"/>
      <c r="L188" s="113"/>
      <c r="M188" s="113"/>
      <c r="N188" s="113"/>
      <c r="O188" s="113"/>
      <c r="P188" s="113"/>
      <c r="Q188" s="113"/>
      <c r="R188" s="161">
        <f>(R92+R94+R95+R96+R97+R98+R99)/-(R100)</f>
        <v>38.255319148936174</v>
      </c>
      <c r="S188" s="116" t="s">
        <v>95</v>
      </c>
      <c r="T188" s="2"/>
    </row>
    <row r="189" spans="1:20" ht="15.6" x14ac:dyDescent="0.3">
      <c r="A189" s="112"/>
      <c r="B189" s="113" t="s">
        <v>195</v>
      </c>
      <c r="C189" s="113"/>
      <c r="D189" s="113"/>
      <c r="E189" s="113"/>
      <c r="F189" s="113"/>
      <c r="G189" s="113"/>
      <c r="H189" s="113"/>
      <c r="I189" s="113"/>
      <c r="J189" s="113"/>
      <c r="K189" s="113"/>
      <c r="L189" s="113"/>
      <c r="M189" s="113"/>
      <c r="N189" s="113"/>
      <c r="O189" s="113"/>
      <c r="P189" s="113"/>
      <c r="Q189" s="113"/>
      <c r="R189" s="164">
        <v>36.83</v>
      </c>
      <c r="S189" s="116" t="s">
        <v>95</v>
      </c>
      <c r="T189" s="2"/>
    </row>
    <row r="190" spans="1:20" ht="15.6" x14ac:dyDescent="0.3">
      <c r="A190" s="112"/>
      <c r="B190" s="113" t="s">
        <v>196</v>
      </c>
      <c r="C190" s="113"/>
      <c r="D190" s="113"/>
      <c r="E190" s="113"/>
      <c r="F190" s="113"/>
      <c r="G190" s="113"/>
      <c r="H190" s="113"/>
      <c r="I190" s="113"/>
      <c r="J190" s="113"/>
      <c r="K190" s="113"/>
      <c r="L190" s="113"/>
      <c r="M190" s="113"/>
      <c r="N190" s="113"/>
      <c r="O190" s="113"/>
      <c r="P190" s="113"/>
      <c r="Q190" s="113"/>
      <c r="R190" s="161">
        <f>(R92+R94+R95+R96+R97+R98+R99+R100+R101+R102+R103+R104+R105)/-(R106)</f>
        <v>41.19047619047619</v>
      </c>
      <c r="S190" s="116" t="s">
        <v>95</v>
      </c>
      <c r="T190" s="2"/>
    </row>
    <row r="191" spans="1:20" ht="15.6" x14ac:dyDescent="0.3">
      <c r="A191" s="112"/>
      <c r="B191" s="113" t="s">
        <v>197</v>
      </c>
      <c r="C191" s="113"/>
      <c r="D191" s="113"/>
      <c r="E191" s="113"/>
      <c r="F191" s="113"/>
      <c r="G191" s="113"/>
      <c r="H191" s="113"/>
      <c r="I191" s="113"/>
      <c r="J191" s="113"/>
      <c r="K191" s="113"/>
      <c r="L191" s="113"/>
      <c r="M191" s="113"/>
      <c r="N191" s="113"/>
      <c r="O191" s="113"/>
      <c r="P191" s="113"/>
      <c r="Q191" s="113"/>
      <c r="R191" s="164">
        <v>39.67</v>
      </c>
      <c r="S191" s="116" t="s">
        <v>95</v>
      </c>
      <c r="T191" s="2"/>
    </row>
    <row r="192" spans="1:20" ht="15.6" x14ac:dyDescent="0.3">
      <c r="A192" s="112"/>
      <c r="B192" s="113"/>
      <c r="C192" s="113"/>
      <c r="D192" s="113"/>
      <c r="E192" s="113"/>
      <c r="F192" s="113"/>
      <c r="G192" s="113"/>
      <c r="H192" s="113"/>
      <c r="I192" s="113"/>
      <c r="J192" s="113"/>
      <c r="K192" s="113"/>
      <c r="L192" s="113"/>
      <c r="M192" s="113"/>
      <c r="N192" s="113"/>
      <c r="O192" s="113"/>
      <c r="P192" s="113"/>
      <c r="Q192" s="113"/>
      <c r="R192" s="113"/>
      <c r="S192" s="116"/>
      <c r="T192" s="2"/>
    </row>
    <row r="193" spans="1:20" ht="15.6" x14ac:dyDescent="0.3">
      <c r="A193" s="12"/>
      <c r="B193" s="163"/>
      <c r="C193" s="163"/>
      <c r="D193" s="163"/>
      <c r="E193" s="163"/>
      <c r="F193" s="163"/>
      <c r="G193" s="163"/>
      <c r="H193" s="163"/>
      <c r="I193" s="163"/>
      <c r="J193" s="163"/>
      <c r="K193" s="163"/>
      <c r="L193" s="163"/>
      <c r="M193" s="163"/>
      <c r="N193" s="163"/>
      <c r="O193" s="163"/>
      <c r="P193" s="163"/>
      <c r="Q193" s="163"/>
      <c r="R193" s="163"/>
      <c r="S193" s="219"/>
      <c r="T193" s="2"/>
    </row>
    <row r="194" spans="1:20" ht="15.6" x14ac:dyDescent="0.3">
      <c r="A194" s="12"/>
      <c r="B194" s="84"/>
      <c r="C194" s="84"/>
      <c r="D194" s="84"/>
      <c r="E194" s="84"/>
      <c r="F194" s="84"/>
      <c r="G194" s="84"/>
      <c r="H194" s="84"/>
      <c r="I194" s="84"/>
      <c r="J194" s="84"/>
      <c r="K194" s="84"/>
      <c r="L194" s="84"/>
      <c r="M194" s="84"/>
      <c r="N194" s="84"/>
      <c r="O194" s="84"/>
      <c r="P194" s="84"/>
      <c r="Q194" s="84"/>
      <c r="R194" s="84"/>
      <c r="S194" s="219"/>
      <c r="T194" s="2"/>
    </row>
    <row r="195" spans="1:20" ht="18" thickBot="1" x14ac:dyDescent="0.35">
      <c r="A195" s="28"/>
      <c r="B195" s="97" t="str">
        <f>B123</f>
        <v>PM21 INVESTOR REPORT QUARTER ENDING NOVEMBER 2015</v>
      </c>
      <c r="C195" s="98"/>
      <c r="D195" s="98"/>
      <c r="E195" s="98"/>
      <c r="F195" s="98"/>
      <c r="G195" s="98"/>
      <c r="H195" s="98"/>
      <c r="I195" s="98"/>
      <c r="J195" s="98"/>
      <c r="K195" s="98"/>
      <c r="L195" s="98"/>
      <c r="M195" s="98"/>
      <c r="N195" s="98"/>
      <c r="O195" s="98"/>
      <c r="P195" s="98"/>
      <c r="Q195" s="98"/>
      <c r="R195" s="98"/>
      <c r="S195" s="99"/>
      <c r="T195" s="2"/>
    </row>
    <row r="196" spans="1:20" ht="15.6" x14ac:dyDescent="0.3">
      <c r="A196" s="65"/>
      <c r="B196" s="66" t="s">
        <v>55</v>
      </c>
      <c r="C196" s="69"/>
      <c r="D196" s="70"/>
      <c r="E196" s="70"/>
      <c r="F196" s="70"/>
      <c r="G196" s="70"/>
      <c r="H196" s="70"/>
      <c r="I196" s="70"/>
      <c r="J196" s="70"/>
      <c r="K196" s="70"/>
      <c r="L196" s="70"/>
      <c r="M196" s="70"/>
      <c r="N196" s="70"/>
      <c r="O196" s="70"/>
      <c r="P196" s="70">
        <v>42338</v>
      </c>
      <c r="Q196" s="67"/>
      <c r="R196" s="67"/>
      <c r="S196" s="224"/>
      <c r="T196" s="2"/>
    </row>
    <row r="197" spans="1:20" ht="15.6" x14ac:dyDescent="0.3">
      <c r="A197" s="48"/>
      <c r="B197" s="49"/>
      <c r="C197" s="50"/>
      <c r="D197" s="51"/>
      <c r="E197" s="51"/>
      <c r="F197" s="51"/>
      <c r="G197" s="51"/>
      <c r="H197" s="51"/>
      <c r="I197" s="51"/>
      <c r="J197" s="51"/>
      <c r="K197" s="51"/>
      <c r="L197" s="51"/>
      <c r="M197" s="51"/>
      <c r="N197" s="51"/>
      <c r="O197" s="51"/>
      <c r="P197" s="51"/>
      <c r="Q197" s="14"/>
      <c r="R197" s="14"/>
      <c r="S197" s="218"/>
      <c r="T197" s="2"/>
    </row>
    <row r="198" spans="1:20" ht="15.6" x14ac:dyDescent="0.3">
      <c r="A198" s="167"/>
      <c r="B198" s="113" t="s">
        <v>56</v>
      </c>
      <c r="C198" s="168"/>
      <c r="D198" s="148"/>
      <c r="E198" s="148"/>
      <c r="F198" s="148"/>
      <c r="G198" s="148"/>
      <c r="H198" s="148"/>
      <c r="I198" s="148"/>
      <c r="J198" s="148"/>
      <c r="K198" s="148"/>
      <c r="L198" s="148"/>
      <c r="M198" s="148"/>
      <c r="N198" s="148"/>
      <c r="O198" s="148"/>
      <c r="P198" s="142">
        <v>4.1349999999999998E-2</v>
      </c>
      <c r="Q198" s="113"/>
      <c r="R198" s="113"/>
      <c r="S198" s="116"/>
      <c r="T198" s="2"/>
    </row>
    <row r="199" spans="1:20" ht="15.6" x14ac:dyDescent="0.3">
      <c r="A199" s="167"/>
      <c r="B199" s="113" t="s">
        <v>161</v>
      </c>
      <c r="C199" s="168"/>
      <c r="D199" s="148"/>
      <c r="E199" s="148"/>
      <c r="F199" s="148"/>
      <c r="G199" s="148"/>
      <c r="H199" s="148"/>
      <c r="I199" s="148"/>
      <c r="J199" s="148"/>
      <c r="K199" s="148"/>
      <c r="L199" s="148"/>
      <c r="M199" s="148"/>
      <c r="N199" s="148"/>
      <c r="O199" s="148"/>
      <c r="P199" s="142">
        <v>1.50706E-2</v>
      </c>
      <c r="Q199" s="113"/>
      <c r="R199" s="113"/>
      <c r="S199" s="116"/>
      <c r="T199" s="2"/>
    </row>
    <row r="200" spans="1:20" ht="15.6" x14ac:dyDescent="0.3">
      <c r="A200" s="167"/>
      <c r="B200" s="113" t="s">
        <v>57</v>
      </c>
      <c r="C200" s="168"/>
      <c r="D200" s="148"/>
      <c r="E200" s="148"/>
      <c r="F200" s="148"/>
      <c r="G200" s="148"/>
      <c r="H200" s="148"/>
      <c r="I200" s="148"/>
      <c r="J200" s="148"/>
      <c r="K200" s="148"/>
      <c r="L200" s="148"/>
      <c r="M200" s="148"/>
      <c r="N200" s="148"/>
      <c r="O200" s="148"/>
      <c r="P200" s="211">
        <f>P198-P199</f>
        <v>2.6279399999999998E-2</v>
      </c>
      <c r="Q200" s="113"/>
      <c r="R200" s="113"/>
      <c r="S200" s="116"/>
      <c r="T200" s="2"/>
    </row>
    <row r="201" spans="1:20" ht="15.6" x14ac:dyDescent="0.3">
      <c r="A201" s="167"/>
      <c r="B201" s="113" t="s">
        <v>164</v>
      </c>
      <c r="C201" s="168"/>
      <c r="D201" s="148"/>
      <c r="E201" s="148"/>
      <c r="F201" s="148"/>
      <c r="G201" s="148"/>
      <c r="H201" s="148"/>
      <c r="I201" s="148"/>
      <c r="J201" s="148"/>
      <c r="K201" s="148"/>
      <c r="L201" s="148"/>
      <c r="M201" s="148"/>
      <c r="N201" s="148"/>
      <c r="O201" s="148"/>
      <c r="P201" s="211">
        <v>4.5874999999999999E-2</v>
      </c>
      <c r="Q201" s="113"/>
      <c r="R201" s="113"/>
      <c r="S201" s="116"/>
      <c r="T201" s="2"/>
    </row>
    <row r="202" spans="1:20" ht="15.6" x14ac:dyDescent="0.3">
      <c r="A202" s="167"/>
      <c r="B202" s="113" t="s">
        <v>58</v>
      </c>
      <c r="C202" s="168"/>
      <c r="D202" s="148"/>
      <c r="E202" s="148"/>
      <c r="F202" s="148"/>
      <c r="G202" s="148"/>
      <c r="H202" s="148"/>
      <c r="I202" s="148"/>
      <c r="J202" s="148"/>
      <c r="K202" s="148"/>
      <c r="L202" s="148"/>
      <c r="M202" s="148"/>
      <c r="N202" s="148"/>
      <c r="O202" s="148"/>
      <c r="P202" s="209">
        <v>4.1410000000000002E-2</v>
      </c>
      <c r="Q202" s="113"/>
      <c r="R202" s="113"/>
      <c r="S202" s="116"/>
      <c r="T202" s="2"/>
    </row>
    <row r="203" spans="1:20" ht="15.6" x14ac:dyDescent="0.3">
      <c r="A203" s="167"/>
      <c r="B203" s="113" t="s">
        <v>162</v>
      </c>
      <c r="C203" s="168"/>
      <c r="D203" s="148"/>
      <c r="E203" s="148"/>
      <c r="F203" s="148"/>
      <c r="G203" s="148"/>
      <c r="H203" s="148"/>
      <c r="I203" s="148"/>
      <c r="J203" s="148"/>
      <c r="K203" s="148"/>
      <c r="L203" s="148"/>
      <c r="M203" s="148"/>
      <c r="N203" s="148"/>
      <c r="O203" s="148"/>
      <c r="P203" s="142">
        <f>R34</f>
        <v>1.4982387515356578E-2</v>
      </c>
      <c r="Q203" s="113"/>
      <c r="R203" s="113"/>
      <c r="S203" s="116"/>
      <c r="T203" s="2"/>
    </row>
    <row r="204" spans="1:20" ht="15.6" x14ac:dyDescent="0.3">
      <c r="A204" s="167"/>
      <c r="B204" s="113" t="s">
        <v>59</v>
      </c>
      <c r="C204" s="168"/>
      <c r="D204" s="148"/>
      <c r="E204" s="148"/>
      <c r="F204" s="148"/>
      <c r="G204" s="148"/>
      <c r="H204" s="148"/>
      <c r="I204" s="148"/>
      <c r="J204" s="148"/>
      <c r="K204" s="148"/>
      <c r="L204" s="148"/>
      <c r="M204" s="148"/>
      <c r="N204" s="148"/>
      <c r="O204" s="148"/>
      <c r="P204" s="142">
        <f>P202-P203</f>
        <v>2.6427612484643426E-2</v>
      </c>
      <c r="Q204" s="113"/>
      <c r="R204" s="113"/>
      <c r="S204" s="116"/>
      <c r="T204" s="2"/>
    </row>
    <row r="205" spans="1:20" ht="15.6" x14ac:dyDescent="0.3">
      <c r="A205" s="167"/>
      <c r="B205" s="113" t="s">
        <v>139</v>
      </c>
      <c r="C205" s="168"/>
      <c r="D205" s="148"/>
      <c r="E205" s="148"/>
      <c r="F205" s="148"/>
      <c r="G205" s="148"/>
      <c r="H205" s="148"/>
      <c r="I205" s="148"/>
      <c r="J205" s="148"/>
      <c r="K205" s="148"/>
      <c r="L205" s="148"/>
      <c r="M205" s="148"/>
      <c r="N205" s="148"/>
      <c r="O205" s="148"/>
      <c r="P205" s="142">
        <f>(+R92+R94)/H72</f>
        <v>1.2417118242551609E-2</v>
      </c>
      <c r="Q205" s="113"/>
      <c r="R205" s="113"/>
      <c r="S205" s="116"/>
      <c r="T205" s="2"/>
    </row>
    <row r="206" spans="1:20" ht="15.6" x14ac:dyDescent="0.3">
      <c r="A206" s="167"/>
      <c r="B206" s="113" t="s">
        <v>132</v>
      </c>
      <c r="C206" s="168"/>
      <c r="D206" s="148"/>
      <c r="E206" s="148"/>
      <c r="F206" s="148"/>
      <c r="G206" s="148"/>
      <c r="H206" s="148"/>
      <c r="I206" s="148"/>
      <c r="J206" s="148"/>
      <c r="K206" s="148"/>
      <c r="L206" s="148"/>
      <c r="M206" s="148"/>
      <c r="N206" s="148"/>
      <c r="O206" s="148"/>
      <c r="P206" s="169">
        <v>15507</v>
      </c>
      <c r="Q206" s="113"/>
      <c r="R206" s="113"/>
      <c r="S206" s="116"/>
      <c r="T206" s="2"/>
    </row>
    <row r="207" spans="1:20" ht="15.6" x14ac:dyDescent="0.3">
      <c r="A207" s="167"/>
      <c r="B207" s="113" t="s">
        <v>198</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199</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200</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60</v>
      </c>
      <c r="C210" s="168"/>
      <c r="D210" s="148"/>
      <c r="E210" s="148"/>
      <c r="F210" s="148"/>
      <c r="G210" s="148"/>
      <c r="H210" s="148"/>
      <c r="I210" s="148"/>
      <c r="J210" s="148"/>
      <c r="K210" s="148"/>
      <c r="L210" s="148"/>
      <c r="M210" s="148"/>
      <c r="N210" s="148"/>
      <c r="O210" s="148"/>
      <c r="P210" s="146">
        <v>20.170000000000002</v>
      </c>
      <c r="Q210" s="113" t="s">
        <v>90</v>
      </c>
      <c r="R210" s="113"/>
      <c r="S210" s="116"/>
      <c r="T210" s="2"/>
    </row>
    <row r="211" spans="1:20" ht="15.6" x14ac:dyDescent="0.3">
      <c r="A211" s="167"/>
      <c r="B211" s="113" t="s">
        <v>61</v>
      </c>
      <c r="C211" s="168"/>
      <c r="D211" s="148"/>
      <c r="E211" s="148"/>
      <c r="F211" s="148"/>
      <c r="G211" s="148"/>
      <c r="H211" s="148"/>
      <c r="I211" s="148"/>
      <c r="J211" s="148"/>
      <c r="K211" s="148"/>
      <c r="L211" s="148"/>
      <c r="M211" s="148"/>
      <c r="N211" s="148"/>
      <c r="O211" s="148"/>
      <c r="P211" s="210">
        <v>19.21</v>
      </c>
      <c r="Q211" s="113" t="s">
        <v>90</v>
      </c>
      <c r="R211" s="113"/>
      <c r="S211" s="116"/>
      <c r="T211" s="2"/>
    </row>
    <row r="212" spans="1:20" ht="15.6" x14ac:dyDescent="0.3">
      <c r="A212" s="167"/>
      <c r="B212" s="113" t="s">
        <v>62</v>
      </c>
      <c r="C212" s="168"/>
      <c r="D212" s="148"/>
      <c r="E212" s="148"/>
      <c r="F212" s="148"/>
      <c r="G212" s="148"/>
      <c r="H212" s="148"/>
      <c r="I212" s="148"/>
      <c r="J212" s="148"/>
      <c r="K212" s="148"/>
      <c r="L212" s="148"/>
      <c r="M212" s="148"/>
      <c r="N212" s="148"/>
      <c r="O212" s="148"/>
      <c r="P212" s="142">
        <f>(+J56+L56)/H56</f>
        <v>1.1394474691118714E-2</v>
      </c>
      <c r="Q212" s="113"/>
      <c r="R212" s="113"/>
      <c r="S212" s="116"/>
      <c r="T212" s="2"/>
    </row>
    <row r="213" spans="1:20" ht="15.6" x14ac:dyDescent="0.3">
      <c r="A213" s="167"/>
      <c r="B213" s="113" t="s">
        <v>63</v>
      </c>
      <c r="C213" s="168"/>
      <c r="D213" s="148"/>
      <c r="E213" s="148"/>
      <c r="F213" s="148"/>
      <c r="G213" s="148"/>
      <c r="H213" s="148"/>
      <c r="I213" s="148"/>
      <c r="J213" s="148"/>
      <c r="K213" s="148"/>
      <c r="L213" s="148"/>
      <c r="M213" s="148"/>
      <c r="N213" s="148"/>
      <c r="O213" s="148"/>
      <c r="P213" s="211">
        <v>5.1299999999999998E-2</v>
      </c>
      <c r="Q213" s="113"/>
      <c r="R213" s="113"/>
      <c r="S213" s="116"/>
      <c r="T213" s="2"/>
    </row>
    <row r="214" spans="1:20" ht="15.6" x14ac:dyDescent="0.3">
      <c r="A214" s="48"/>
      <c r="B214" s="165"/>
      <c r="C214" s="165"/>
      <c r="D214" s="43"/>
      <c r="E214" s="43"/>
      <c r="F214" s="43"/>
      <c r="G214" s="43"/>
      <c r="H214" s="43"/>
      <c r="I214" s="43"/>
      <c r="J214" s="43"/>
      <c r="K214" s="43"/>
      <c r="L214" s="43"/>
      <c r="M214" s="43"/>
      <c r="N214" s="43"/>
      <c r="O214" s="43"/>
      <c r="P214" s="162"/>
      <c r="Q214" s="43"/>
      <c r="R214" s="166"/>
      <c r="S214" s="218"/>
      <c r="T214" s="2"/>
    </row>
    <row r="215" spans="1:20" ht="15.6" x14ac:dyDescent="0.3">
      <c r="A215" s="71"/>
      <c r="B215" s="61" t="s">
        <v>64</v>
      </c>
      <c r="C215" s="62"/>
      <c r="D215" s="62"/>
      <c r="E215" s="62"/>
      <c r="F215" s="62"/>
      <c r="G215" s="62"/>
      <c r="H215" s="62"/>
      <c r="I215" s="62"/>
      <c r="J215" s="62"/>
      <c r="K215" s="62"/>
      <c r="L215" s="62"/>
      <c r="M215" s="62"/>
      <c r="N215" s="62"/>
      <c r="O215" s="62" t="s">
        <v>83</v>
      </c>
      <c r="P215" s="72" t="s">
        <v>88</v>
      </c>
      <c r="Q215" s="54"/>
      <c r="R215" s="54"/>
      <c r="S215" s="220"/>
      <c r="T215" s="2"/>
    </row>
    <row r="216" spans="1:20" ht="15.6" x14ac:dyDescent="0.3">
      <c r="A216" s="52"/>
      <c r="B216" s="79" t="s">
        <v>65</v>
      </c>
      <c r="C216" s="78"/>
      <c r="D216" s="95"/>
      <c r="E216" s="95"/>
      <c r="F216" s="95"/>
      <c r="G216" s="95"/>
      <c r="H216" s="95"/>
      <c r="I216" s="95"/>
      <c r="J216" s="95"/>
      <c r="K216" s="95"/>
      <c r="L216" s="95"/>
      <c r="M216" s="95"/>
      <c r="N216" s="95"/>
      <c r="O216" s="95">
        <v>0</v>
      </c>
      <c r="P216" s="96">
        <v>0</v>
      </c>
      <c r="Q216" s="79"/>
      <c r="R216" s="94"/>
      <c r="S216" s="226"/>
      <c r="T216" s="2"/>
    </row>
    <row r="217" spans="1:20" ht="15.6" x14ac:dyDescent="0.3">
      <c r="A217" s="173"/>
      <c r="B217" s="113" t="s">
        <v>113</v>
      </c>
      <c r="C217" s="155"/>
      <c r="D217" s="123"/>
      <c r="E217" s="123"/>
      <c r="F217" s="123"/>
      <c r="G217" s="123"/>
      <c r="H217" s="123"/>
      <c r="I217" s="123"/>
      <c r="J217" s="123"/>
      <c r="K217" s="123"/>
      <c r="L217" s="123"/>
      <c r="M217" s="123"/>
      <c r="N217" s="123"/>
      <c r="O217" s="174">
        <f>+N269</f>
        <v>0</v>
      </c>
      <c r="P217" s="175">
        <f>+P269</f>
        <v>0</v>
      </c>
      <c r="Q217" s="113"/>
      <c r="R217" s="176"/>
      <c r="S217" s="177"/>
      <c r="T217" s="2"/>
    </row>
    <row r="218" spans="1:20" ht="15.6" x14ac:dyDescent="0.3">
      <c r="A218" s="173"/>
      <c r="B218" s="113" t="s">
        <v>66</v>
      </c>
      <c r="C218" s="155"/>
      <c r="D218" s="123"/>
      <c r="E218" s="123"/>
      <c r="F218" s="123"/>
      <c r="G218" s="123"/>
      <c r="H218" s="123"/>
      <c r="I218" s="123"/>
      <c r="J218" s="123"/>
      <c r="K218" s="123"/>
      <c r="L218" s="123"/>
      <c r="M218" s="123"/>
      <c r="N218" s="123"/>
      <c r="O218" s="174">
        <f>+N281</f>
        <v>0</v>
      </c>
      <c r="P218" s="175">
        <f>+P281</f>
        <v>0</v>
      </c>
      <c r="Q218" s="113"/>
      <c r="R218" s="176"/>
      <c r="S218" s="177"/>
      <c r="T218" s="2"/>
    </row>
    <row r="219" spans="1:20" ht="15.6" x14ac:dyDescent="0.3">
      <c r="A219" s="173"/>
      <c r="B219" s="134" t="s">
        <v>263</v>
      </c>
      <c r="C219" s="178"/>
      <c r="D219" s="135"/>
      <c r="E219" s="135"/>
      <c r="F219" s="135"/>
      <c r="G219" s="135"/>
      <c r="H219" s="135"/>
      <c r="I219" s="135"/>
      <c r="J219" s="135"/>
      <c r="K219" s="135"/>
      <c r="L219" s="135"/>
      <c r="M219" s="135"/>
      <c r="N219" s="135"/>
      <c r="O219" s="113"/>
      <c r="P219" s="175">
        <v>0</v>
      </c>
      <c r="Q219" s="135"/>
      <c r="R219" s="179"/>
      <c r="S219" s="177"/>
      <c r="T219" s="2"/>
    </row>
    <row r="220" spans="1:20" ht="15.6" x14ac:dyDescent="0.3">
      <c r="A220" s="173"/>
      <c r="B220" s="134" t="s">
        <v>140</v>
      </c>
      <c r="C220" s="178"/>
      <c r="D220" s="135"/>
      <c r="E220" s="135"/>
      <c r="F220" s="135"/>
      <c r="G220" s="135"/>
      <c r="H220" s="135"/>
      <c r="I220" s="135"/>
      <c r="J220" s="135"/>
      <c r="K220" s="135"/>
      <c r="L220" s="135"/>
      <c r="M220" s="135"/>
      <c r="N220" s="135"/>
      <c r="O220" s="113"/>
      <c r="P220" s="175">
        <f>-J69</f>
        <v>0</v>
      </c>
      <c r="Q220" s="135"/>
      <c r="R220" s="179"/>
      <c r="S220" s="177"/>
      <c r="T220" s="2"/>
    </row>
    <row r="221" spans="1:20" ht="15.6" x14ac:dyDescent="0.3">
      <c r="A221" s="180"/>
      <c r="B221" s="134" t="s">
        <v>67</v>
      </c>
      <c r="C221" s="181"/>
      <c r="D221" s="135"/>
      <c r="E221" s="135"/>
      <c r="F221" s="135"/>
      <c r="G221" s="135"/>
      <c r="H221" s="135"/>
      <c r="I221" s="135"/>
      <c r="J221" s="135"/>
      <c r="K221" s="135"/>
      <c r="L221" s="135"/>
      <c r="M221" s="135"/>
      <c r="N221" s="135"/>
      <c r="O221" s="113"/>
      <c r="P221" s="175"/>
      <c r="Q221" s="135"/>
      <c r="R221" s="179"/>
      <c r="S221" s="182"/>
      <c r="T221" s="2"/>
    </row>
    <row r="222" spans="1:20" ht="15.6" x14ac:dyDescent="0.3">
      <c r="A222" s="180"/>
      <c r="B222" s="118" t="s">
        <v>68</v>
      </c>
      <c r="C222" s="181"/>
      <c r="D222" s="135"/>
      <c r="E222" s="135"/>
      <c r="F222" s="135"/>
      <c r="G222" s="135"/>
      <c r="H222" s="135"/>
      <c r="I222" s="135"/>
      <c r="J222" s="135"/>
      <c r="K222" s="135"/>
      <c r="L222" s="135"/>
      <c r="M222" s="135"/>
      <c r="N222" s="135"/>
      <c r="O222" s="123"/>
      <c r="P222" s="175">
        <f>R153</f>
        <v>0</v>
      </c>
      <c r="Q222" s="135"/>
      <c r="R222" s="179"/>
      <c r="S222" s="182"/>
      <c r="T222" s="2"/>
    </row>
    <row r="223" spans="1:20" ht="15.6" x14ac:dyDescent="0.3">
      <c r="A223" s="173"/>
      <c r="B223" s="113" t="s">
        <v>69</v>
      </c>
      <c r="C223" s="178"/>
      <c r="D223" s="135"/>
      <c r="E223" s="135"/>
      <c r="F223" s="135"/>
      <c r="G223" s="135"/>
      <c r="H223" s="135"/>
      <c r="I223" s="135"/>
      <c r="J223" s="135"/>
      <c r="K223" s="135"/>
      <c r="L223" s="135"/>
      <c r="M223" s="135"/>
      <c r="N223" s="135"/>
      <c r="O223" s="123"/>
      <c r="P223" s="175">
        <f>+'Aug 15'!P223+P222</f>
        <v>0</v>
      </c>
      <c r="Q223" s="135"/>
      <c r="R223" s="179"/>
      <c r="S223" s="182"/>
      <c r="T223" s="2"/>
    </row>
    <row r="224" spans="1:20" ht="15.6" x14ac:dyDescent="0.3">
      <c r="A224" s="180"/>
      <c r="B224" s="134" t="s">
        <v>151</v>
      </c>
      <c r="C224" s="181"/>
      <c r="D224" s="135"/>
      <c r="E224" s="135"/>
      <c r="F224" s="135"/>
      <c r="G224" s="135"/>
      <c r="H224" s="135"/>
      <c r="I224" s="135"/>
      <c r="J224" s="135"/>
      <c r="K224" s="135"/>
      <c r="L224" s="135"/>
      <c r="M224" s="135"/>
      <c r="N224" s="135"/>
      <c r="O224" s="123"/>
      <c r="P224" s="175"/>
      <c r="Q224" s="135"/>
      <c r="R224" s="179"/>
      <c r="S224" s="182"/>
      <c r="T224" s="2"/>
    </row>
    <row r="225" spans="1:20" ht="15.6" x14ac:dyDescent="0.3">
      <c r="A225" s="180"/>
      <c r="B225" s="113" t="s">
        <v>163</v>
      </c>
      <c r="C225" s="181"/>
      <c r="D225" s="135"/>
      <c r="E225" s="135"/>
      <c r="F225" s="135"/>
      <c r="G225" s="135"/>
      <c r="H225" s="135"/>
      <c r="I225" s="135"/>
      <c r="J225" s="135"/>
      <c r="K225" s="135"/>
      <c r="L225" s="135"/>
      <c r="M225" s="135"/>
      <c r="N225" s="135"/>
      <c r="O225" s="123">
        <v>0</v>
      </c>
      <c r="P225" s="175">
        <v>0</v>
      </c>
      <c r="Q225" s="135"/>
      <c r="R225" s="179"/>
      <c r="S225" s="182"/>
      <c r="T225" s="2"/>
    </row>
    <row r="226" spans="1:20" ht="15.6" x14ac:dyDescent="0.3">
      <c r="A226" s="173"/>
      <c r="B226" s="113" t="s">
        <v>70</v>
      </c>
      <c r="C226" s="183"/>
      <c r="D226" s="135"/>
      <c r="E226" s="135"/>
      <c r="F226" s="135"/>
      <c r="G226" s="135"/>
      <c r="H226" s="135"/>
      <c r="I226" s="135"/>
      <c r="J226" s="135"/>
      <c r="K226" s="135"/>
      <c r="L226" s="135"/>
      <c r="M226" s="135"/>
      <c r="N226" s="135"/>
      <c r="O226" s="113"/>
      <c r="P226" s="184">
        <v>0</v>
      </c>
      <c r="Q226" s="135"/>
      <c r="R226" s="179"/>
      <c r="S226" s="182"/>
      <c r="T226" s="2"/>
    </row>
    <row r="227" spans="1:20" ht="15.6" x14ac:dyDescent="0.3">
      <c r="A227" s="173"/>
      <c r="B227" s="113" t="s">
        <v>71</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34" t="s">
        <v>136</v>
      </c>
      <c r="C228" s="183"/>
      <c r="D228" s="135"/>
      <c r="E228" s="135"/>
      <c r="F228" s="135"/>
      <c r="G228" s="135"/>
      <c r="H228" s="135"/>
      <c r="I228" s="135"/>
      <c r="J228" s="135"/>
      <c r="K228" s="135"/>
      <c r="L228" s="135"/>
      <c r="M228" s="135"/>
      <c r="N228" s="135"/>
      <c r="O228" s="113"/>
      <c r="P228" s="185"/>
      <c r="Q228" s="135"/>
      <c r="R228" s="179"/>
      <c r="S228" s="182"/>
      <c r="T228" s="2"/>
    </row>
    <row r="229" spans="1:20" ht="15.6" x14ac:dyDescent="0.3">
      <c r="A229" s="173"/>
      <c r="B229" s="113" t="s">
        <v>163</v>
      </c>
      <c r="C229" s="183"/>
      <c r="D229" s="135"/>
      <c r="E229" s="135"/>
      <c r="F229" s="135"/>
      <c r="G229" s="135"/>
      <c r="H229" s="135"/>
      <c r="I229" s="135"/>
      <c r="J229" s="135"/>
      <c r="K229" s="135"/>
      <c r="L229" s="135"/>
      <c r="M229" s="135"/>
      <c r="N229" s="135"/>
      <c r="O229" s="123">
        <v>0</v>
      </c>
      <c r="P229" s="175">
        <v>0</v>
      </c>
      <c r="Q229" s="135"/>
      <c r="R229" s="179"/>
      <c r="S229" s="182"/>
      <c r="T229" s="2"/>
    </row>
    <row r="230" spans="1:20" ht="15.6" x14ac:dyDescent="0.3">
      <c r="A230" s="173"/>
      <c r="B230" s="113" t="s">
        <v>137</v>
      </c>
      <c r="C230" s="183"/>
      <c r="D230" s="135"/>
      <c r="E230" s="135"/>
      <c r="F230" s="135"/>
      <c r="G230" s="135"/>
      <c r="H230" s="135"/>
      <c r="I230" s="135"/>
      <c r="J230" s="135"/>
      <c r="K230" s="135"/>
      <c r="L230" s="135"/>
      <c r="M230" s="135"/>
      <c r="N230" s="135"/>
      <c r="O230" s="113"/>
      <c r="P230" s="184">
        <v>0</v>
      </c>
      <c r="Q230" s="135"/>
      <c r="R230" s="179"/>
      <c r="S230" s="182"/>
      <c r="T230" s="2"/>
    </row>
    <row r="231" spans="1:20" ht="15.6" x14ac:dyDescent="0.3">
      <c r="A231" s="173"/>
      <c r="B231" s="181"/>
      <c r="C231" s="183"/>
      <c r="D231" s="135"/>
      <c r="E231" s="135"/>
      <c r="F231" s="135"/>
      <c r="G231" s="135"/>
      <c r="H231" s="135"/>
      <c r="I231" s="135"/>
      <c r="J231" s="135"/>
      <c r="K231" s="135"/>
      <c r="L231" s="135"/>
      <c r="M231" s="135"/>
      <c r="N231" s="135"/>
      <c r="O231" s="113"/>
      <c r="P231" s="185"/>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35"/>
      <c r="P232" s="186"/>
      <c r="Q232" s="135"/>
      <c r="R232" s="179"/>
      <c r="S232" s="182"/>
      <c r="T232" s="2"/>
    </row>
    <row r="233" spans="1:20" ht="17.399999999999999" x14ac:dyDescent="0.3">
      <c r="A233" s="173"/>
      <c r="B233" s="187" t="s">
        <v>129</v>
      </c>
      <c r="C233" s="183"/>
      <c r="D233" s="135"/>
      <c r="E233" s="135"/>
      <c r="F233" s="135"/>
      <c r="G233" s="135"/>
      <c r="H233" s="135"/>
      <c r="I233" s="135"/>
      <c r="J233" s="135"/>
      <c r="K233" s="135"/>
      <c r="L233" s="188"/>
      <c r="M233" s="135"/>
      <c r="N233" s="188" t="s">
        <v>128</v>
      </c>
      <c r="O233" s="188"/>
      <c r="P233" s="186"/>
      <c r="Q233" s="135"/>
      <c r="R233" s="179"/>
      <c r="S233" s="182"/>
      <c r="T233" s="2"/>
    </row>
    <row r="234" spans="1:20" ht="17.399999999999999" x14ac:dyDescent="0.3">
      <c r="A234" s="170"/>
      <c r="B234" s="200"/>
      <c r="C234" s="171"/>
      <c r="D234" s="43"/>
      <c r="E234" s="43"/>
      <c r="F234" s="43"/>
      <c r="G234" s="43"/>
      <c r="H234" s="43"/>
      <c r="I234" s="43"/>
      <c r="J234" s="43"/>
      <c r="K234" s="43"/>
      <c r="L234" s="201"/>
      <c r="M234" s="43"/>
      <c r="N234" s="43"/>
      <c r="O234" s="43"/>
      <c r="P234" s="172"/>
      <c r="Q234" s="43"/>
      <c r="R234" s="166"/>
      <c r="S234" s="227"/>
      <c r="T234" s="2"/>
    </row>
    <row r="235" spans="1:20" ht="15.6" x14ac:dyDescent="0.3">
      <c r="A235" s="53"/>
      <c r="B235" s="61" t="s">
        <v>153</v>
      </c>
      <c r="C235" s="62"/>
      <c r="D235" s="62"/>
      <c r="E235" s="62"/>
      <c r="F235" s="62"/>
      <c r="G235" s="62"/>
      <c r="H235" s="62"/>
      <c r="I235" s="62"/>
      <c r="J235" s="62"/>
      <c r="K235" s="62"/>
      <c r="L235" s="62"/>
      <c r="M235" s="62"/>
      <c r="N235" s="72" t="s">
        <v>83</v>
      </c>
      <c r="O235" s="62" t="s">
        <v>84</v>
      </c>
      <c r="P235" s="72" t="s">
        <v>89</v>
      </c>
      <c r="Q235" s="62" t="s">
        <v>84</v>
      </c>
      <c r="R235" s="54"/>
      <c r="S235" s="228"/>
      <c r="T235" s="2"/>
    </row>
    <row r="236" spans="1:20" ht="15.6" x14ac:dyDescent="0.3">
      <c r="A236" s="24"/>
      <c r="B236" s="78" t="s">
        <v>72</v>
      </c>
      <c r="C236" s="93"/>
      <c r="D236" s="93"/>
      <c r="E236" s="93"/>
      <c r="F236" s="93"/>
      <c r="G236" s="93"/>
      <c r="H236" s="93"/>
      <c r="I236" s="93"/>
      <c r="J236" s="93"/>
      <c r="K236" s="93"/>
      <c r="L236" s="93"/>
      <c r="M236" s="93"/>
      <c r="N236" s="78">
        <f t="shared" ref="N236:N243" si="1">+N248+N260+N272</f>
        <v>1514</v>
      </c>
      <c r="O236" s="81">
        <f>N236/$N$245</f>
        <v>1</v>
      </c>
      <c r="P236" s="82">
        <f t="shared" ref="P236:P243" si="2">+P248+P260+P272</f>
        <v>234741</v>
      </c>
      <c r="Q236" s="81">
        <f t="shared" ref="Q236:Q243" si="3">P236/$P$245</f>
        <v>1</v>
      </c>
      <c r="R236" s="94"/>
      <c r="S236" s="229"/>
      <c r="T236" s="2"/>
    </row>
    <row r="237" spans="1:20" ht="15.6" x14ac:dyDescent="0.3">
      <c r="A237" s="112"/>
      <c r="B237" s="155" t="s">
        <v>73</v>
      </c>
      <c r="C237" s="192"/>
      <c r="D237" s="192"/>
      <c r="E237" s="192"/>
      <c r="F237" s="192"/>
      <c r="G237" s="192"/>
      <c r="H237" s="192"/>
      <c r="I237" s="192"/>
      <c r="J237" s="192"/>
      <c r="K237" s="192"/>
      <c r="L237" s="192"/>
      <c r="M237" s="192"/>
      <c r="N237" s="155">
        <f t="shared" si="1"/>
        <v>0</v>
      </c>
      <c r="O237" s="193">
        <f t="shared" ref="O237:O243" si="4">N237/$N$245</f>
        <v>0</v>
      </c>
      <c r="P237" s="156">
        <f t="shared" si="2"/>
        <v>0</v>
      </c>
      <c r="Q237" s="193">
        <f t="shared" si="3"/>
        <v>0</v>
      </c>
      <c r="R237" s="176"/>
      <c r="S237" s="194"/>
      <c r="T237" s="2"/>
    </row>
    <row r="238" spans="1:20" ht="15.6" x14ac:dyDescent="0.3">
      <c r="A238" s="112"/>
      <c r="B238" s="155" t="s">
        <v>74</v>
      </c>
      <c r="C238" s="192"/>
      <c r="D238" s="192"/>
      <c r="E238" s="192"/>
      <c r="F238" s="192"/>
      <c r="G238" s="192"/>
      <c r="H238" s="192"/>
      <c r="I238" s="192"/>
      <c r="J238" s="192"/>
      <c r="K238" s="192"/>
      <c r="L238" s="192"/>
      <c r="M238" s="192"/>
      <c r="N238" s="155">
        <f t="shared" si="1"/>
        <v>0</v>
      </c>
      <c r="O238" s="193">
        <f t="shared" si="4"/>
        <v>0</v>
      </c>
      <c r="P238" s="156">
        <f t="shared" si="2"/>
        <v>0</v>
      </c>
      <c r="Q238" s="193">
        <f t="shared" si="3"/>
        <v>0</v>
      </c>
      <c r="R238" s="176"/>
      <c r="S238" s="194"/>
      <c r="T238" s="2"/>
    </row>
    <row r="239" spans="1:20" ht="15.6" x14ac:dyDescent="0.3">
      <c r="A239" s="112"/>
      <c r="B239" s="155" t="s">
        <v>119</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120</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121</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122</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123</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c r="C244" s="192"/>
      <c r="D244" s="192"/>
      <c r="E244" s="192"/>
      <c r="F244" s="192"/>
      <c r="G244" s="192"/>
      <c r="H244" s="192"/>
      <c r="I244" s="192"/>
      <c r="J244" s="192"/>
      <c r="K244" s="192"/>
      <c r="L244" s="192"/>
      <c r="M244" s="192"/>
      <c r="N244" s="155"/>
      <c r="O244" s="193"/>
      <c r="P244" s="156"/>
      <c r="Q244" s="193"/>
      <c r="R244" s="176"/>
      <c r="S244" s="194"/>
      <c r="T244" s="2"/>
    </row>
    <row r="245" spans="1:21" ht="15.6" x14ac:dyDescent="0.3">
      <c r="A245" s="112"/>
      <c r="B245" s="113" t="s">
        <v>94</v>
      </c>
      <c r="C245" s="113"/>
      <c r="D245" s="195"/>
      <c r="E245" s="195"/>
      <c r="F245" s="195"/>
      <c r="G245" s="195"/>
      <c r="H245" s="195"/>
      <c r="I245" s="195"/>
      <c r="J245" s="195"/>
      <c r="K245" s="195"/>
      <c r="L245" s="195"/>
      <c r="M245" s="195"/>
      <c r="N245" s="155">
        <f>SUM(N236:N244)</f>
        <v>1514</v>
      </c>
      <c r="O245" s="193">
        <f>SUM(O236:O244)</f>
        <v>1</v>
      </c>
      <c r="P245" s="156">
        <f>SUM(P236:P244)</f>
        <v>234741</v>
      </c>
      <c r="Q245" s="193">
        <f>SUM(Q236:Q244)</f>
        <v>1</v>
      </c>
      <c r="R245" s="113"/>
      <c r="S245" s="116"/>
      <c r="T245" s="2"/>
    </row>
    <row r="246" spans="1:21" ht="15.6" x14ac:dyDescent="0.3">
      <c r="A246" s="12"/>
      <c r="B246" s="165"/>
      <c r="C246" s="171"/>
      <c r="D246" s="43"/>
      <c r="E246" s="43"/>
      <c r="F246" s="43"/>
      <c r="G246" s="43"/>
      <c r="H246" s="43"/>
      <c r="I246" s="43"/>
      <c r="J246" s="43"/>
      <c r="K246" s="43"/>
      <c r="L246" s="43"/>
      <c r="M246" s="43"/>
      <c r="N246" s="43"/>
      <c r="O246" s="43"/>
      <c r="P246" s="172"/>
      <c r="Q246" s="43"/>
      <c r="R246" s="43"/>
      <c r="S246" s="218"/>
      <c r="T246" s="2"/>
    </row>
    <row r="247" spans="1:21" ht="15.6" x14ac:dyDescent="0.3">
      <c r="A247" s="53"/>
      <c r="B247" s="61" t="s">
        <v>124</v>
      </c>
      <c r="C247" s="62"/>
      <c r="D247" s="62"/>
      <c r="E247" s="62"/>
      <c r="F247" s="62"/>
      <c r="G247" s="62"/>
      <c r="H247" s="62"/>
      <c r="I247" s="62"/>
      <c r="J247" s="62"/>
      <c r="K247" s="62"/>
      <c r="L247" s="62"/>
      <c r="M247" s="62"/>
      <c r="N247" s="72" t="s">
        <v>83</v>
      </c>
      <c r="O247" s="62" t="s">
        <v>84</v>
      </c>
      <c r="P247" s="72" t="s">
        <v>89</v>
      </c>
      <c r="Q247" s="62" t="s">
        <v>84</v>
      </c>
      <c r="R247" s="54"/>
      <c r="S247" s="228"/>
      <c r="T247" s="2"/>
    </row>
    <row r="248" spans="1:21" ht="15.6" x14ac:dyDescent="0.3">
      <c r="A248" s="24"/>
      <c r="B248" s="78" t="s">
        <v>72</v>
      </c>
      <c r="C248" s="93"/>
      <c r="D248" s="93"/>
      <c r="E248" s="93"/>
      <c r="F248" s="93"/>
      <c r="G248" s="93"/>
      <c r="H248" s="93"/>
      <c r="I248" s="93"/>
      <c r="J248" s="93"/>
      <c r="K248" s="93"/>
      <c r="L248" s="93"/>
      <c r="M248" s="93"/>
      <c r="N248" s="78">
        <v>1514</v>
      </c>
      <c r="O248" s="81">
        <f>N248/$N$257</f>
        <v>1</v>
      </c>
      <c r="P248" s="82">
        <v>234741</v>
      </c>
      <c r="Q248" s="81">
        <f t="shared" ref="Q248:Q255" si="5">P248/$P$257</f>
        <v>1</v>
      </c>
      <c r="R248" s="94"/>
      <c r="S248" s="229"/>
      <c r="T248" s="2"/>
    </row>
    <row r="249" spans="1:21" ht="15.6" x14ac:dyDescent="0.3">
      <c r="A249" s="112"/>
      <c r="B249" s="155" t="s">
        <v>73</v>
      </c>
      <c r="C249" s="192"/>
      <c r="D249" s="192"/>
      <c r="E249" s="192"/>
      <c r="F249" s="192"/>
      <c r="G249" s="192"/>
      <c r="H249" s="192"/>
      <c r="I249" s="192"/>
      <c r="J249" s="192"/>
      <c r="K249" s="192"/>
      <c r="L249" s="192"/>
      <c r="M249" s="192"/>
      <c r="N249" s="155">
        <v>0</v>
      </c>
      <c r="O249" s="193">
        <f t="shared" ref="O249:O255" si="6">N249/$N$257</f>
        <v>0</v>
      </c>
      <c r="P249" s="156">
        <v>0</v>
      </c>
      <c r="Q249" s="193">
        <f t="shared" si="5"/>
        <v>0</v>
      </c>
      <c r="R249" s="176"/>
      <c r="S249" s="194"/>
      <c r="T249" s="2"/>
      <c r="U249" s="4"/>
    </row>
    <row r="250" spans="1:21" ht="15.6" x14ac:dyDescent="0.3">
      <c r="A250" s="112"/>
      <c r="B250" s="155" t="s">
        <v>74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row>
    <row r="251" spans="1:21" ht="15.6" x14ac:dyDescent="0.3">
      <c r="A251" s="112"/>
      <c r="B251" s="155" t="s">
        <v>119</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c r="U251" s="4"/>
    </row>
    <row r="252" spans="1:21" ht="15.6" x14ac:dyDescent="0.3">
      <c r="A252" s="112"/>
      <c r="B252" s="155" t="s">
        <v>120</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row>
    <row r="253" spans="1:21" ht="15.6" x14ac:dyDescent="0.3">
      <c r="A253" s="112"/>
      <c r="B253" s="155" t="s">
        <v>121</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c r="U253" s="4"/>
    </row>
    <row r="254" spans="1:21" ht="15.6" x14ac:dyDescent="0.3">
      <c r="A254" s="112"/>
      <c r="B254" s="155" t="s">
        <v>122</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row>
    <row r="255" spans="1:21" ht="15.6" x14ac:dyDescent="0.3">
      <c r="A255" s="112"/>
      <c r="B255" s="155" t="s">
        <v>123</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c r="U255" s="4"/>
    </row>
    <row r="256" spans="1:21" ht="15.6" x14ac:dyDescent="0.3">
      <c r="A256" s="112"/>
      <c r="B256" s="155"/>
      <c r="C256" s="192"/>
      <c r="D256" s="192"/>
      <c r="E256" s="192"/>
      <c r="F256" s="192"/>
      <c r="G256" s="192"/>
      <c r="H256" s="192"/>
      <c r="I256" s="192"/>
      <c r="J256" s="192"/>
      <c r="K256" s="192"/>
      <c r="L256" s="192"/>
      <c r="M256" s="192"/>
      <c r="N256" s="155"/>
      <c r="O256" s="193"/>
      <c r="P256" s="156"/>
      <c r="Q256" s="193"/>
      <c r="R256" s="176"/>
      <c r="S256" s="194"/>
      <c r="T256" s="2"/>
    </row>
    <row r="257" spans="1:20" ht="15.6" x14ac:dyDescent="0.3">
      <c r="A257" s="112"/>
      <c r="B257" s="113" t="s">
        <v>94</v>
      </c>
      <c r="C257" s="113"/>
      <c r="D257" s="195"/>
      <c r="E257" s="195"/>
      <c r="F257" s="195"/>
      <c r="G257" s="195"/>
      <c r="H257" s="195"/>
      <c r="I257" s="195"/>
      <c r="J257" s="195"/>
      <c r="K257" s="195"/>
      <c r="L257" s="195"/>
      <c r="M257" s="195"/>
      <c r="N257" s="155">
        <f>SUM(N248:N256)</f>
        <v>1514</v>
      </c>
      <c r="O257" s="193">
        <f>SUM(O248:O256)</f>
        <v>1</v>
      </c>
      <c r="P257" s="156">
        <f>SUM(P248:P256)</f>
        <v>234741</v>
      </c>
      <c r="Q257" s="193">
        <f>SUM(Q248:Q256)</f>
        <v>1</v>
      </c>
      <c r="R257" s="113"/>
      <c r="S257" s="116"/>
      <c r="T257" s="2"/>
    </row>
    <row r="258" spans="1:20" ht="15.6" x14ac:dyDescent="0.3">
      <c r="A258" s="12"/>
      <c r="B258" s="43"/>
      <c r="C258" s="43"/>
      <c r="D258" s="189"/>
      <c r="E258" s="189"/>
      <c r="F258" s="189"/>
      <c r="G258" s="189"/>
      <c r="H258" s="189"/>
      <c r="I258" s="189"/>
      <c r="J258" s="189"/>
      <c r="K258" s="189"/>
      <c r="L258" s="189"/>
      <c r="M258" s="189"/>
      <c r="N258" s="153"/>
      <c r="O258" s="190"/>
      <c r="P258" s="191"/>
      <c r="Q258" s="190"/>
      <c r="R258" s="43"/>
      <c r="S258" s="218"/>
      <c r="T258" s="2"/>
    </row>
    <row r="259" spans="1:20" ht="15.6" x14ac:dyDescent="0.3">
      <c r="A259" s="73"/>
      <c r="B259" s="61" t="s">
        <v>146</v>
      </c>
      <c r="C259" s="62"/>
      <c r="D259" s="62"/>
      <c r="E259" s="62"/>
      <c r="F259" s="62"/>
      <c r="G259" s="62"/>
      <c r="H259" s="62"/>
      <c r="I259" s="62"/>
      <c r="J259" s="62"/>
      <c r="K259" s="62"/>
      <c r="L259" s="62"/>
      <c r="M259" s="62"/>
      <c r="N259" s="72" t="s">
        <v>83</v>
      </c>
      <c r="O259" s="62" t="s">
        <v>84</v>
      </c>
      <c r="P259" s="72" t="s">
        <v>89</v>
      </c>
      <c r="Q259" s="62" t="s">
        <v>84</v>
      </c>
      <c r="R259" s="74"/>
      <c r="S259" s="75"/>
      <c r="T259" s="2"/>
    </row>
    <row r="260" spans="1:20" ht="15.6" x14ac:dyDescent="0.3">
      <c r="A260" s="24"/>
      <c r="B260" s="78" t="s">
        <v>72</v>
      </c>
      <c r="C260" s="93"/>
      <c r="D260" s="93"/>
      <c r="E260" s="93"/>
      <c r="F260" s="93"/>
      <c r="G260" s="93"/>
      <c r="H260" s="93"/>
      <c r="I260" s="93"/>
      <c r="J260" s="93"/>
      <c r="K260" s="93"/>
      <c r="L260" s="93"/>
      <c r="M260" s="93"/>
      <c r="N260" s="78">
        <v>0</v>
      </c>
      <c r="O260" s="81">
        <v>0</v>
      </c>
      <c r="P260" s="82">
        <v>0</v>
      </c>
      <c r="Q260" s="81">
        <v>0</v>
      </c>
      <c r="R260" s="79"/>
      <c r="S260" s="221"/>
      <c r="T260" s="2"/>
    </row>
    <row r="261" spans="1:20" ht="15.6" x14ac:dyDescent="0.3">
      <c r="A261" s="112"/>
      <c r="B261" s="155" t="s">
        <v>73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74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119</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120</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121</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122</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123</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c r="C268" s="192"/>
      <c r="D268" s="192"/>
      <c r="E268" s="192"/>
      <c r="F268" s="192"/>
      <c r="G268" s="192"/>
      <c r="H268" s="192"/>
      <c r="I268" s="192"/>
      <c r="J268" s="192"/>
      <c r="K268" s="192"/>
      <c r="L268" s="192"/>
      <c r="M268" s="192"/>
      <c r="N268" s="155"/>
      <c r="O268" s="193"/>
      <c r="P268" s="156"/>
      <c r="Q268" s="193"/>
      <c r="R268" s="113"/>
      <c r="S268" s="116"/>
      <c r="T268" s="2"/>
    </row>
    <row r="269" spans="1:20" ht="15.6" x14ac:dyDescent="0.3">
      <c r="A269" s="112"/>
      <c r="B269" s="113" t="s">
        <v>94</v>
      </c>
      <c r="C269" s="113"/>
      <c r="D269" s="195"/>
      <c r="E269" s="195"/>
      <c r="F269" s="195"/>
      <c r="G269" s="195"/>
      <c r="H269" s="195"/>
      <c r="I269" s="195"/>
      <c r="J269" s="195"/>
      <c r="K269" s="195"/>
      <c r="L269" s="195"/>
      <c r="M269" s="195"/>
      <c r="N269" s="155">
        <f>SUM(N260:N268)</f>
        <v>0</v>
      </c>
      <c r="O269" s="193">
        <f>SUM(O260:O268)</f>
        <v>0</v>
      </c>
      <c r="P269" s="156">
        <f>SUM(P260:P268)</f>
        <v>0</v>
      </c>
      <c r="Q269" s="193">
        <f>SUM(Q260:Q268)</f>
        <v>0</v>
      </c>
      <c r="R269" s="113"/>
      <c r="S269" s="116"/>
      <c r="T269" s="2"/>
    </row>
    <row r="270" spans="1:20" ht="15.6" x14ac:dyDescent="0.3">
      <c r="A270" s="12"/>
      <c r="B270" s="43"/>
      <c r="C270" s="43"/>
      <c r="D270" s="189"/>
      <c r="E270" s="189"/>
      <c r="F270" s="189"/>
      <c r="G270" s="189"/>
      <c r="H270" s="189"/>
      <c r="I270" s="189"/>
      <c r="J270" s="189"/>
      <c r="K270" s="189"/>
      <c r="L270" s="189"/>
      <c r="M270" s="189"/>
      <c r="N270" s="153"/>
      <c r="O270" s="190"/>
      <c r="P270" s="191"/>
      <c r="Q270" s="190"/>
      <c r="R270" s="43"/>
      <c r="S270" s="218"/>
      <c r="T270" s="2"/>
    </row>
    <row r="271" spans="1:20" ht="15.6" x14ac:dyDescent="0.3">
      <c r="A271" s="73"/>
      <c r="B271" s="61" t="s">
        <v>125</v>
      </c>
      <c r="C271" s="74"/>
      <c r="D271" s="76"/>
      <c r="E271" s="76"/>
      <c r="F271" s="76"/>
      <c r="G271" s="76"/>
      <c r="H271" s="76"/>
      <c r="I271" s="76"/>
      <c r="J271" s="76"/>
      <c r="K271" s="76"/>
      <c r="L271" s="76"/>
      <c r="M271" s="76"/>
      <c r="N271" s="72" t="s">
        <v>83</v>
      </c>
      <c r="O271" s="62" t="s">
        <v>84</v>
      </c>
      <c r="P271" s="72" t="s">
        <v>89</v>
      </c>
      <c r="Q271" s="62" t="s">
        <v>84</v>
      </c>
      <c r="R271" s="74"/>
      <c r="S271" s="75"/>
      <c r="T271" s="2"/>
    </row>
    <row r="272" spans="1:20" ht="15.6" x14ac:dyDescent="0.3">
      <c r="A272" s="77"/>
      <c r="B272" s="78" t="s">
        <v>72</v>
      </c>
      <c r="C272" s="79"/>
      <c r="D272" s="80"/>
      <c r="E272" s="80"/>
      <c r="F272" s="80"/>
      <c r="G272" s="80"/>
      <c r="H272" s="80"/>
      <c r="I272" s="80"/>
      <c r="J272" s="80"/>
      <c r="K272" s="80"/>
      <c r="L272" s="80"/>
      <c r="M272" s="80"/>
      <c r="N272" s="78">
        <v>0</v>
      </c>
      <c r="O272" s="81">
        <v>0</v>
      </c>
      <c r="P272" s="82">
        <v>0</v>
      </c>
      <c r="Q272" s="81">
        <v>0</v>
      </c>
      <c r="R272" s="79"/>
      <c r="S272" s="221"/>
      <c r="T272" s="2"/>
    </row>
    <row r="273" spans="1:20" ht="15.6" x14ac:dyDescent="0.3">
      <c r="A273" s="122"/>
      <c r="B273" s="155" t="s">
        <v>73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74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119</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120</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121</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122</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123</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c r="C280" s="113"/>
      <c r="D280" s="195"/>
      <c r="E280" s="195"/>
      <c r="F280" s="195"/>
      <c r="G280" s="195"/>
      <c r="H280" s="195"/>
      <c r="I280" s="195"/>
      <c r="J280" s="195"/>
      <c r="K280" s="195"/>
      <c r="L280" s="195"/>
      <c r="M280" s="195"/>
      <c r="N280" s="155"/>
      <c r="O280" s="193"/>
      <c r="P280" s="156"/>
      <c r="Q280" s="193"/>
      <c r="R280" s="113"/>
      <c r="S280" s="116"/>
      <c r="T280" s="2"/>
    </row>
    <row r="281" spans="1:20" ht="15.6" x14ac:dyDescent="0.3">
      <c r="A281" s="122"/>
      <c r="B281" s="113" t="s">
        <v>94</v>
      </c>
      <c r="C281" s="113"/>
      <c r="D281" s="195"/>
      <c r="E281" s="195"/>
      <c r="F281" s="195"/>
      <c r="G281" s="195"/>
      <c r="H281" s="195"/>
      <c r="I281" s="195"/>
      <c r="J281" s="195"/>
      <c r="K281" s="195"/>
      <c r="L281" s="195"/>
      <c r="M281" s="195"/>
      <c r="N281" s="155">
        <f>SUM(N272:N279)</f>
        <v>0</v>
      </c>
      <c r="O281" s="193">
        <f>SUM(O272:O279)</f>
        <v>0</v>
      </c>
      <c r="P281" s="156">
        <f>SUM(P272:P279)</f>
        <v>0</v>
      </c>
      <c r="Q281" s="193">
        <f>SUM(Q272:Q279)</f>
        <v>0</v>
      </c>
      <c r="R281" s="113"/>
      <c r="S281" s="116"/>
      <c r="T281" s="2"/>
    </row>
    <row r="282" spans="1:20" ht="15.6" x14ac:dyDescent="0.3">
      <c r="A282" s="122"/>
      <c r="B282" s="113"/>
      <c r="C282" s="113"/>
      <c r="D282" s="195"/>
      <c r="E282" s="195"/>
      <c r="F282" s="195"/>
      <c r="G282" s="195"/>
      <c r="H282" s="195"/>
      <c r="I282" s="195"/>
      <c r="J282" s="195"/>
      <c r="K282" s="195"/>
      <c r="L282" s="195"/>
      <c r="M282" s="195"/>
      <c r="N282" s="155"/>
      <c r="O282" s="193"/>
      <c r="P282" s="156"/>
      <c r="Q282" s="193"/>
      <c r="R282" s="113"/>
      <c r="S282" s="116"/>
      <c r="T282" s="2"/>
    </row>
    <row r="283" spans="1:20" ht="15.6" x14ac:dyDescent="0.3">
      <c r="A283" s="122"/>
      <c r="B283" s="124" t="s">
        <v>182</v>
      </c>
      <c r="C283" s="113"/>
      <c r="D283" s="195"/>
      <c r="E283" s="195"/>
      <c r="F283" s="195"/>
      <c r="G283" s="195"/>
      <c r="H283" s="195"/>
      <c r="I283" s="195"/>
      <c r="J283" s="195"/>
      <c r="K283" s="195"/>
      <c r="L283" s="195"/>
      <c r="M283" s="195"/>
      <c r="N283" s="197">
        <f>N281+N269+N257</f>
        <v>1514</v>
      </c>
      <c r="O283" s="193"/>
      <c r="P283" s="198">
        <f>+P281+P269+P257</f>
        <v>234741</v>
      </c>
      <c r="Q283" s="193"/>
      <c r="R283" s="113"/>
      <c r="S283" s="116"/>
      <c r="T283" s="2"/>
    </row>
    <row r="284" spans="1:20" ht="15.6" x14ac:dyDescent="0.3">
      <c r="A284" s="122"/>
      <c r="B284" s="124" t="s">
        <v>247</v>
      </c>
      <c r="C284" s="124"/>
      <c r="D284" s="206"/>
      <c r="E284" s="206"/>
      <c r="F284" s="206"/>
      <c r="G284" s="206"/>
      <c r="H284" s="206"/>
      <c r="I284" s="206"/>
      <c r="J284" s="206"/>
      <c r="K284" s="206"/>
      <c r="L284" s="206"/>
      <c r="M284" s="206"/>
      <c r="N284" s="197"/>
      <c r="O284" s="207"/>
      <c r="P284" s="208">
        <f>+R170</f>
        <v>1197</v>
      </c>
      <c r="Q284" s="193"/>
      <c r="R284" s="113"/>
      <c r="S284" s="116"/>
      <c r="T284" s="2"/>
    </row>
    <row r="285" spans="1:20" ht="15.6" x14ac:dyDescent="0.3">
      <c r="A285" s="122"/>
      <c r="B285" s="124" t="s">
        <v>126</v>
      </c>
      <c r="C285" s="124"/>
      <c r="D285" s="206"/>
      <c r="E285" s="206"/>
      <c r="F285" s="206"/>
      <c r="G285" s="206"/>
      <c r="H285" s="206"/>
      <c r="I285" s="206"/>
      <c r="J285" s="206"/>
      <c r="K285" s="206"/>
      <c r="L285" s="206"/>
      <c r="M285" s="206"/>
      <c r="N285" s="197"/>
      <c r="O285" s="207"/>
      <c r="P285" s="208">
        <f>+P283+P284</f>
        <v>235938</v>
      </c>
      <c r="Q285" s="193"/>
      <c r="R285" s="113"/>
      <c r="S285" s="116"/>
      <c r="T285" s="2"/>
    </row>
    <row r="286" spans="1:20" ht="15.6" x14ac:dyDescent="0.3">
      <c r="A286" s="122"/>
      <c r="B286" s="124" t="s">
        <v>181</v>
      </c>
      <c r="C286" s="113"/>
      <c r="D286" s="195"/>
      <c r="E286" s="195"/>
      <c r="F286" s="195"/>
      <c r="G286" s="195"/>
      <c r="H286" s="195"/>
      <c r="I286" s="195"/>
      <c r="J286" s="195"/>
      <c r="K286" s="195"/>
      <c r="L286" s="195"/>
      <c r="M286" s="195"/>
      <c r="N286" s="197"/>
      <c r="O286" s="193"/>
      <c r="P286" s="198">
        <f>+R72</f>
        <v>235938</v>
      </c>
      <c r="Q286" s="193"/>
      <c r="R286" s="113"/>
      <c r="S286" s="116"/>
      <c r="T286" s="2"/>
    </row>
    <row r="287" spans="1:20" ht="15.6" x14ac:dyDescent="0.3">
      <c r="A287" s="122"/>
      <c r="B287" s="124"/>
      <c r="C287" s="113"/>
      <c r="D287" s="195"/>
      <c r="E287" s="195"/>
      <c r="F287" s="195"/>
      <c r="G287" s="195"/>
      <c r="H287" s="195"/>
      <c r="I287" s="195"/>
      <c r="J287" s="195"/>
      <c r="K287" s="195"/>
      <c r="L287" s="195"/>
      <c r="M287" s="195"/>
      <c r="N287" s="197"/>
      <c r="O287" s="193"/>
      <c r="P287" s="198"/>
      <c r="Q287" s="193"/>
      <c r="R287" s="113"/>
      <c r="S287" s="116"/>
      <c r="T287" s="2"/>
    </row>
    <row r="288" spans="1:20" ht="15.6" x14ac:dyDescent="0.3">
      <c r="A288" s="122"/>
      <c r="B288" s="124" t="s">
        <v>221</v>
      </c>
      <c r="C288" s="113"/>
      <c r="D288" s="195"/>
      <c r="E288" s="195"/>
      <c r="F288" s="195"/>
      <c r="G288" s="195"/>
      <c r="H288" s="195"/>
      <c r="I288" s="195"/>
      <c r="J288" s="195"/>
      <c r="K288" s="195"/>
      <c r="L288" s="195"/>
      <c r="M288" s="195"/>
      <c r="N288" s="197"/>
      <c r="O288" s="193"/>
      <c r="P288" s="215">
        <f>(J30+R138)/R30</f>
        <v>5.3191896534239946E-2</v>
      </c>
      <c r="Q288" s="193"/>
      <c r="R288" s="113"/>
      <c r="S288" s="116"/>
      <c r="T288" s="2"/>
    </row>
    <row r="289" spans="1:20" ht="15.6" x14ac:dyDescent="0.3">
      <c r="A289" s="83"/>
      <c r="B289" s="84"/>
      <c r="C289" s="84"/>
      <c r="D289" s="85"/>
      <c r="E289" s="85"/>
      <c r="F289" s="85"/>
      <c r="G289" s="85"/>
      <c r="H289" s="85"/>
      <c r="I289" s="85"/>
      <c r="J289" s="85"/>
      <c r="K289" s="85"/>
      <c r="L289" s="85"/>
      <c r="M289" s="85"/>
      <c r="N289" s="85"/>
      <c r="O289" s="85"/>
      <c r="P289" s="86"/>
      <c r="Q289" s="85"/>
      <c r="R289" s="84"/>
      <c r="S289" s="219"/>
      <c r="T289" s="2"/>
    </row>
    <row r="290" spans="1:20" ht="15.6" x14ac:dyDescent="0.3">
      <c r="A290" s="87"/>
      <c r="B290" s="88" t="s">
        <v>75</v>
      </c>
      <c r="C290" s="84"/>
      <c r="D290" s="89" t="s">
        <v>79</v>
      </c>
      <c r="E290" s="88"/>
      <c r="F290" s="88" t="s">
        <v>80</v>
      </c>
      <c r="G290" s="84"/>
      <c r="H290" s="88"/>
      <c r="I290" s="90"/>
      <c r="J290" s="90"/>
      <c r="K290" s="90"/>
      <c r="L290" s="90"/>
      <c r="M290" s="90"/>
      <c r="N290" s="90"/>
      <c r="O290" s="90"/>
      <c r="P290" s="90"/>
      <c r="Q290" s="90"/>
      <c r="R290" s="90"/>
      <c r="S290" s="230"/>
      <c r="T290" s="2"/>
    </row>
    <row r="291" spans="1:20" ht="15.6" x14ac:dyDescent="0.3">
      <c r="A291" s="87"/>
      <c r="B291" s="90"/>
      <c r="C291" s="84"/>
      <c r="D291" s="84"/>
      <c r="E291" s="84"/>
      <c r="F291" s="84"/>
      <c r="G291" s="84"/>
      <c r="H291" s="84"/>
      <c r="I291" s="90"/>
      <c r="J291" s="90"/>
      <c r="K291" s="90"/>
      <c r="L291" s="90"/>
      <c r="M291" s="90"/>
      <c r="N291" s="90"/>
      <c r="O291" s="90"/>
      <c r="P291" s="90"/>
      <c r="Q291" s="90"/>
      <c r="R291" s="90"/>
      <c r="S291" s="230"/>
      <c r="T291" s="2"/>
    </row>
    <row r="292" spans="1:20" ht="15.6" x14ac:dyDescent="0.3">
      <c r="A292" s="87"/>
      <c r="B292" s="214" t="s">
        <v>211</v>
      </c>
      <c r="C292" s="88"/>
      <c r="D292" s="91" t="s">
        <v>115</v>
      </c>
      <c r="E292" s="88"/>
      <c r="F292" s="88" t="s">
        <v>116</v>
      </c>
      <c r="G292" s="88"/>
      <c r="H292" s="88"/>
      <c r="I292" s="90"/>
      <c r="J292" s="90"/>
      <c r="K292" s="90"/>
      <c r="L292" s="90"/>
      <c r="M292" s="90"/>
      <c r="N292" s="90"/>
      <c r="O292" s="90"/>
      <c r="P292" s="90"/>
      <c r="Q292" s="90"/>
      <c r="R292" s="90"/>
      <c r="S292" s="230"/>
      <c r="T292" s="2"/>
    </row>
    <row r="293" spans="1:20" ht="15.6" x14ac:dyDescent="0.3">
      <c r="A293" s="87"/>
      <c r="B293" s="214" t="s">
        <v>212</v>
      </c>
      <c r="C293" s="88"/>
      <c r="D293" s="91" t="s">
        <v>147</v>
      </c>
      <c r="E293" s="88"/>
      <c r="F293" s="88" t="s">
        <v>148</v>
      </c>
      <c r="G293" s="88"/>
      <c r="H293" s="88"/>
      <c r="I293" s="90"/>
      <c r="J293" s="90"/>
      <c r="K293" s="90"/>
      <c r="L293" s="90"/>
      <c r="M293" s="90"/>
      <c r="N293" s="90"/>
      <c r="O293" s="90"/>
      <c r="P293" s="90"/>
      <c r="Q293" s="90"/>
      <c r="R293" s="90"/>
      <c r="S293" s="230"/>
      <c r="T293" s="2"/>
    </row>
    <row r="294" spans="1:20" ht="15.6" x14ac:dyDescent="0.3">
      <c r="A294" s="87"/>
      <c r="B294" s="214" t="s">
        <v>213</v>
      </c>
      <c r="C294" s="88"/>
      <c r="D294" s="91" t="s">
        <v>114</v>
      </c>
      <c r="E294" s="88"/>
      <c r="F294" s="88" t="s">
        <v>117</v>
      </c>
      <c r="G294" s="88"/>
      <c r="H294" s="88"/>
      <c r="I294" s="90"/>
      <c r="J294" s="90"/>
      <c r="K294" s="90"/>
      <c r="L294" s="90"/>
      <c r="M294" s="90"/>
      <c r="N294" s="90"/>
      <c r="O294" s="90"/>
      <c r="P294" s="90"/>
      <c r="Q294" s="90"/>
      <c r="R294" s="90"/>
      <c r="S294" s="230"/>
      <c r="T294" s="2"/>
    </row>
    <row r="295" spans="1:20" ht="15.6" x14ac:dyDescent="0.3">
      <c r="A295" s="87"/>
      <c r="B295" s="88"/>
      <c r="C295" s="88"/>
      <c r="D295" s="90"/>
      <c r="E295" s="90"/>
      <c r="F295" s="90"/>
      <c r="G295" s="90"/>
      <c r="H295" s="90"/>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8" thickBot="1" x14ac:dyDescent="0.35">
      <c r="A297" s="87"/>
      <c r="B297" s="92" t="str">
        <f>B195</f>
        <v>PM21 INVESTOR REPORT QUARTER ENDING NOVEMBER 2015</v>
      </c>
      <c r="C297" s="88"/>
      <c r="D297" s="90"/>
      <c r="E297" s="90"/>
      <c r="F297" s="90"/>
      <c r="G297" s="90"/>
      <c r="H297" s="90"/>
      <c r="I297" s="90"/>
      <c r="J297" s="90"/>
      <c r="K297" s="90"/>
      <c r="L297" s="90"/>
      <c r="M297" s="90"/>
      <c r="N297" s="90"/>
      <c r="O297" s="90"/>
      <c r="P297" s="90"/>
      <c r="Q297" s="90"/>
      <c r="R297" s="90"/>
      <c r="S297" s="99"/>
      <c r="T297" s="2"/>
    </row>
    <row r="298" spans="1:20" x14ac:dyDescent="0.25">
      <c r="A298" s="3"/>
      <c r="B298" s="3"/>
      <c r="C298" s="3"/>
      <c r="D298" s="3"/>
      <c r="E298" s="3"/>
      <c r="F298" s="3"/>
      <c r="G298" s="3"/>
      <c r="H298" s="3"/>
      <c r="I298" s="3"/>
      <c r="J298" s="3"/>
      <c r="K298" s="3"/>
      <c r="L298" s="3"/>
      <c r="M298" s="3"/>
      <c r="N298" s="3"/>
      <c r="O298" s="3"/>
      <c r="P298" s="3"/>
      <c r="Q298" s="3"/>
      <c r="R298" s="3"/>
      <c r="S298"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5" max="18" man="1"/>
  </rowBreaks>
  <colBreaks count="1" manualBreakCount="1">
    <brk id="19" max="29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29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42450</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188</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203838.19393000001</v>
      </c>
      <c r="E29" s="130"/>
      <c r="F29" s="202">
        <f>F28*F32</f>
        <v>17700</v>
      </c>
      <c r="G29" s="202"/>
      <c r="H29" s="202">
        <f>H28*H32</f>
        <v>8100</v>
      </c>
      <c r="I29" s="126"/>
      <c r="J29" s="202">
        <f>J28*J32</f>
        <v>6300</v>
      </c>
      <c r="K29" s="126"/>
      <c r="L29" s="130"/>
      <c r="M29" s="126"/>
      <c r="N29" s="130"/>
      <c r="O29" s="126"/>
      <c r="P29" s="126"/>
      <c r="Q29" s="127"/>
      <c r="R29" s="126">
        <f>SUM(D29:J29)</f>
        <v>235938.19393000001</v>
      </c>
      <c r="S29" s="128"/>
      <c r="T29" s="2"/>
    </row>
    <row r="30" spans="1:23" ht="15.6" x14ac:dyDescent="0.3">
      <c r="A30" s="122"/>
      <c r="B30" s="121" t="s">
        <v>107</v>
      </c>
      <c r="C30" s="125"/>
      <c r="D30" s="203">
        <f>D28*D31</f>
        <v>200187.41017000002</v>
      </c>
      <c r="E30" s="203"/>
      <c r="F30" s="203">
        <f t="shared" ref="F30:J30" si="0">F28*F31</f>
        <v>17700</v>
      </c>
      <c r="G30" s="203"/>
      <c r="H30" s="203">
        <f>H28*H31</f>
        <v>8100</v>
      </c>
      <c r="I30" s="203"/>
      <c r="J30" s="203">
        <f t="shared" si="0"/>
        <v>6300</v>
      </c>
      <c r="K30" s="131"/>
      <c r="L30" s="133"/>
      <c r="M30" s="131"/>
      <c r="N30" s="133"/>
      <c r="O30" s="126"/>
      <c r="P30" s="126"/>
      <c r="Q30" s="127"/>
      <c r="R30" s="204">
        <f>SUM(D30:J30)</f>
        <v>232287.41017000002</v>
      </c>
      <c r="S30" s="128"/>
      <c r="T30" s="2"/>
    </row>
    <row r="31" spans="1:23" ht="15.6" x14ac:dyDescent="0.3">
      <c r="A31" s="112"/>
      <c r="B31" s="134" t="s">
        <v>103</v>
      </c>
      <c r="C31" s="135"/>
      <c r="D31" s="136">
        <v>0.91871230000000004</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0.93546669999999998</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1.38338E-2</v>
      </c>
      <c r="E34" s="143"/>
      <c r="F34" s="143">
        <v>1.9833799999999999E-2</v>
      </c>
      <c r="G34" s="143"/>
      <c r="H34" s="143">
        <v>2.3333799999999998E-2</v>
      </c>
      <c r="I34" s="143"/>
      <c r="J34" s="143">
        <v>2.6833800000000001E-2</v>
      </c>
      <c r="K34" s="143"/>
      <c r="L34" s="143"/>
      <c r="M34" s="142"/>
      <c r="N34" s="143"/>
      <c r="O34" s="123"/>
      <c r="P34" s="123"/>
      <c r="Q34" s="115"/>
      <c r="R34" s="142">
        <f>SUMPRODUCT(D34:J34,D29:J29)/R29</f>
        <v>1.4957187424414365E-2</v>
      </c>
      <c r="S34" s="116"/>
      <c r="T34" s="2"/>
    </row>
    <row r="35" spans="1:21" ht="15.6" x14ac:dyDescent="0.3">
      <c r="A35" s="112"/>
      <c r="B35" s="113" t="s">
        <v>10</v>
      </c>
      <c r="C35" s="144"/>
      <c r="D35" s="143">
        <v>1.3875E-2</v>
      </c>
      <c r="E35" s="143"/>
      <c r="F35" s="143">
        <v>1.9875E-2</v>
      </c>
      <c r="G35" s="143"/>
      <c r="H35" s="143">
        <v>2.3375E-2</v>
      </c>
      <c r="I35" s="143"/>
      <c r="J35" s="143">
        <v>2.6875E-2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0.16034974413596009</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42444</v>
      </c>
      <c r="S45" s="116"/>
      <c r="T45" s="2"/>
    </row>
    <row r="46" spans="1:21" ht="15.6" x14ac:dyDescent="0.3">
      <c r="A46" s="112"/>
      <c r="B46" s="113" t="s">
        <v>99</v>
      </c>
      <c r="C46" s="113"/>
      <c r="D46" s="150"/>
      <c r="E46" s="150"/>
      <c r="F46" s="150"/>
      <c r="G46" s="150"/>
      <c r="H46" s="150"/>
      <c r="I46" s="150"/>
      <c r="J46" s="150"/>
      <c r="K46" s="150"/>
      <c r="L46" s="150"/>
      <c r="M46" s="150"/>
      <c r="N46" s="113">
        <v>91</v>
      </c>
      <c r="O46" s="113"/>
      <c r="P46" s="151">
        <v>42262</v>
      </c>
      <c r="Q46" s="152"/>
      <c r="R46" s="151">
        <v>42352</v>
      </c>
      <c r="S46" s="116"/>
      <c r="T46" s="2"/>
    </row>
    <row r="47" spans="1:21" ht="15.6" x14ac:dyDescent="0.3">
      <c r="A47" s="112"/>
      <c r="B47" s="113" t="s">
        <v>100</v>
      </c>
      <c r="C47" s="113"/>
      <c r="D47" s="113"/>
      <c r="E47" s="113"/>
      <c r="F47" s="113"/>
      <c r="G47" s="113"/>
      <c r="H47" s="113"/>
      <c r="I47" s="113"/>
      <c r="J47" s="113"/>
      <c r="K47" s="113"/>
      <c r="L47" s="113"/>
      <c r="M47" s="113"/>
      <c r="N47" s="113">
        <f>+R47-P47+1</f>
        <v>91</v>
      </c>
      <c r="O47" s="113"/>
      <c r="P47" s="151">
        <v>42353</v>
      </c>
      <c r="Q47" s="152"/>
      <c r="R47" s="151">
        <v>42443</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42430</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259</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234741</v>
      </c>
      <c r="I56" s="155"/>
      <c r="J56" s="156">
        <v>142</v>
      </c>
      <c r="K56" s="155"/>
      <c r="L56" s="155">
        <f>3522+164-142</f>
        <v>3544</v>
      </c>
      <c r="M56" s="155"/>
      <c r="N56" s="155">
        <f>381+35</f>
        <v>416</v>
      </c>
      <c r="O56" s="155"/>
      <c r="P56" s="155">
        <v>0</v>
      </c>
      <c r="Q56" s="155"/>
      <c r="R56" s="156">
        <f>H56-J56-L56+N56-P56</f>
        <v>231471</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234741</v>
      </c>
      <c r="I59" s="155"/>
      <c r="J59" s="155">
        <f>J56+J57</f>
        <v>142</v>
      </c>
      <c r="K59" s="155"/>
      <c r="L59" s="155">
        <f>SUM(L56:L58)</f>
        <v>3544</v>
      </c>
      <c r="M59" s="155"/>
      <c r="N59" s="155">
        <f>SUM(N56:N58)</f>
        <v>416</v>
      </c>
      <c r="O59" s="155"/>
      <c r="P59" s="155">
        <f>SUM(P56:P58)</f>
        <v>0</v>
      </c>
      <c r="Q59" s="155"/>
      <c r="R59" s="155">
        <f>SUM(R56:R58)</f>
        <v>231471</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1197</v>
      </c>
      <c r="I70" s="155"/>
      <c r="J70" s="155"/>
      <c r="K70" s="155"/>
      <c r="L70" s="155"/>
      <c r="M70" s="155"/>
      <c r="N70" s="155">
        <v>-381</v>
      </c>
      <c r="O70" s="155"/>
      <c r="P70" s="155"/>
      <c r="Q70" s="155"/>
      <c r="R70" s="155">
        <f>+H70+N70</f>
        <v>816</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235938</v>
      </c>
      <c r="I72" s="155"/>
      <c r="J72" s="155"/>
      <c r="K72" s="155"/>
      <c r="L72" s="155"/>
      <c r="M72" s="155"/>
      <c r="N72" s="155"/>
      <c r="O72" s="155"/>
      <c r="P72" s="155"/>
      <c r="Q72" s="155"/>
      <c r="R72" s="155">
        <f>SUM(R59:R71)</f>
        <v>232287</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+P196</f>
        <v>42429</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381</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f>-P77</f>
        <v>-381</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3686</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2573-164</f>
        <v>2409</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126</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13</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16</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375</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3686</v>
      </c>
      <c r="Q89" s="113"/>
      <c r="R89" s="155">
        <f>SUM(R76:R88)</f>
        <v>2939</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3686</v>
      </c>
      <c r="Q92" s="113"/>
      <c r="R92" s="155">
        <f>R89+R90+R91</f>
        <v>2939</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236</v>
      </c>
      <c r="C96" s="113"/>
      <c r="D96" s="135"/>
      <c r="E96" s="135"/>
      <c r="F96" s="135"/>
      <c r="G96" s="135"/>
      <c r="H96" s="135"/>
      <c r="I96" s="135"/>
      <c r="J96" s="135"/>
      <c r="K96" s="135"/>
      <c r="L96" s="135"/>
      <c r="M96" s="135"/>
      <c r="N96" s="135"/>
      <c r="O96" s="135"/>
      <c r="P96" s="113"/>
      <c r="Q96" s="113"/>
      <c r="R96" s="156">
        <f>-88-2-3</f>
        <v>-93</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-274</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-703</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-88</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-47</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-1</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-42</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-88</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-22-156</f>
        <v>-178</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-1402</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-P178</f>
        <v>-35</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v>0</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-3651</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-3686</v>
      </c>
      <c r="Q119" s="155"/>
      <c r="R119" s="155">
        <f>SUM(R93:R118)</f>
        <v>-2939</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FEBRUARY 2016</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600.31474574999902</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5649.685254250001</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f>+'Nov 15'!R149</f>
        <v>1197</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-381</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0</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816</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+'Nov 15'!R163</f>
        <v>263</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144</v>
      </c>
      <c r="C162" s="113"/>
      <c r="D162" s="113"/>
      <c r="E162" s="113"/>
      <c r="F162" s="113"/>
      <c r="G162" s="113"/>
      <c r="H162" s="113"/>
      <c r="I162" s="113"/>
      <c r="J162" s="113"/>
      <c r="K162" s="113"/>
      <c r="L162" s="113"/>
      <c r="M162" s="113"/>
      <c r="N162" s="113"/>
      <c r="O162" s="113"/>
      <c r="P162" s="113"/>
      <c r="Q162" s="113"/>
      <c r="R162" s="156">
        <f>+R84</f>
        <v>16</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142</v>
      </c>
      <c r="C163" s="113"/>
      <c r="D163" s="113"/>
      <c r="E163" s="113"/>
      <c r="F163" s="113"/>
      <c r="G163" s="113"/>
      <c r="H163" s="113"/>
      <c r="I163" s="113"/>
      <c r="J163" s="113"/>
      <c r="K163" s="113"/>
      <c r="L163" s="113"/>
      <c r="M163" s="113"/>
      <c r="N163" s="113"/>
      <c r="O163" s="113"/>
      <c r="P163" s="113"/>
      <c r="Q163" s="113"/>
      <c r="R163" s="156">
        <f>+R161-R162</f>
        <v>247</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2"/>
      <c r="S164" s="218"/>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217"/>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44</v>
      </c>
      <c r="C166" s="14"/>
      <c r="D166" s="14"/>
      <c r="E166" s="14"/>
      <c r="F166" s="14"/>
      <c r="G166" s="14"/>
      <c r="H166" s="14"/>
      <c r="I166" s="14"/>
      <c r="J166" s="14"/>
      <c r="K166" s="14"/>
      <c r="L166" s="14"/>
      <c r="M166" s="14"/>
      <c r="N166" s="14"/>
      <c r="O166" s="14"/>
      <c r="P166" s="14"/>
      <c r="Q166" s="14"/>
      <c r="R166" s="33"/>
      <c r="S166" s="218"/>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218"/>
      <c r="T167" s="2"/>
    </row>
    <row r="168" spans="1:252" ht="15.6" x14ac:dyDescent="0.3">
      <c r="A168" s="112"/>
      <c r="B168" s="113" t="s">
        <v>177</v>
      </c>
      <c r="C168" s="113"/>
      <c r="D168" s="113"/>
      <c r="E168" s="113"/>
      <c r="F168" s="113"/>
      <c r="G168" s="113"/>
      <c r="H168" s="113"/>
      <c r="I168" s="113"/>
      <c r="J168" s="113"/>
      <c r="K168" s="113"/>
      <c r="L168" s="113"/>
      <c r="M168" s="113"/>
      <c r="N168" s="113"/>
      <c r="O168" s="113"/>
      <c r="P168" s="113"/>
      <c r="Q168" s="113"/>
      <c r="R168" s="156">
        <f>+R59</f>
        <v>231471</v>
      </c>
      <c r="S168" s="116"/>
      <c r="T168" s="2"/>
    </row>
    <row r="169" spans="1:252" ht="15.6" x14ac:dyDescent="0.3">
      <c r="A169" s="112"/>
      <c r="B169" s="113" t="s">
        <v>178</v>
      </c>
      <c r="C169" s="113"/>
      <c r="D169" s="113"/>
      <c r="E169" s="113"/>
      <c r="F169" s="113"/>
      <c r="G169" s="113"/>
      <c r="H169" s="113"/>
      <c r="I169" s="113"/>
      <c r="J169" s="113"/>
      <c r="K169" s="113"/>
      <c r="L169" s="113"/>
      <c r="M169" s="113"/>
      <c r="N169" s="113"/>
      <c r="O169" s="113"/>
      <c r="P169" s="113"/>
      <c r="Q169" s="113"/>
      <c r="R169" s="156">
        <f>+R69</f>
        <v>0</v>
      </c>
      <c r="S169" s="116"/>
      <c r="T169" s="2"/>
    </row>
    <row r="170" spans="1:252" ht="15.6" x14ac:dyDescent="0.3">
      <c r="A170" s="112"/>
      <c r="B170" s="113" t="s">
        <v>246</v>
      </c>
      <c r="C170" s="113"/>
      <c r="D170" s="113"/>
      <c r="E170" s="113"/>
      <c r="F170" s="113"/>
      <c r="G170" s="113"/>
      <c r="H170" s="113"/>
      <c r="I170" s="113"/>
      <c r="J170" s="113"/>
      <c r="K170" s="113"/>
      <c r="L170" s="113"/>
      <c r="M170" s="113"/>
      <c r="N170" s="113"/>
      <c r="O170" s="113"/>
      <c r="P170" s="113"/>
      <c r="Q170" s="113"/>
      <c r="R170" s="156">
        <f>+R70</f>
        <v>816</v>
      </c>
      <c r="S170" s="116"/>
      <c r="T170" s="2"/>
    </row>
    <row r="171" spans="1:252" ht="15.6" x14ac:dyDescent="0.3">
      <c r="A171" s="112"/>
      <c r="B171" s="113" t="s">
        <v>126</v>
      </c>
      <c r="C171" s="113"/>
      <c r="D171" s="113"/>
      <c r="E171" s="113"/>
      <c r="F171" s="113"/>
      <c r="G171" s="113"/>
      <c r="H171" s="113"/>
      <c r="I171" s="113"/>
      <c r="J171" s="113"/>
      <c r="K171" s="113"/>
      <c r="L171" s="113"/>
      <c r="M171" s="113"/>
      <c r="N171" s="113"/>
      <c r="O171" s="113"/>
      <c r="P171" s="113"/>
      <c r="Q171" s="113"/>
      <c r="R171" s="156">
        <f>+R168+R169+R170</f>
        <v>232287</v>
      </c>
      <c r="S171" s="116"/>
      <c r="T171" s="2"/>
    </row>
    <row r="172" spans="1:252" ht="15.6" x14ac:dyDescent="0.3">
      <c r="A172" s="112"/>
      <c r="B172" s="113" t="s">
        <v>45</v>
      </c>
      <c r="C172" s="113"/>
      <c r="D172" s="113"/>
      <c r="E172" s="113"/>
      <c r="F172" s="113"/>
      <c r="G172" s="113"/>
      <c r="H172" s="113"/>
      <c r="I172" s="113"/>
      <c r="J172" s="113"/>
      <c r="K172" s="113"/>
      <c r="L172" s="113"/>
      <c r="M172" s="113"/>
      <c r="N172" s="113"/>
      <c r="O172" s="113"/>
      <c r="P172" s="113"/>
      <c r="Q172" s="113"/>
      <c r="R172" s="156">
        <f>R72</f>
        <v>232287</v>
      </c>
      <c r="S172" s="116"/>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2"/>
      <c r="S173" s="218"/>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217"/>
      <c r="T174" s="2"/>
    </row>
    <row r="175" spans="1:252" ht="15.6" x14ac:dyDescent="0.3">
      <c r="A175" s="12"/>
      <c r="B175" s="41" t="s">
        <v>46</v>
      </c>
      <c r="C175" s="37"/>
      <c r="D175" s="45"/>
      <c r="E175" s="45"/>
      <c r="F175" s="45"/>
      <c r="G175" s="45"/>
      <c r="H175" s="45"/>
      <c r="I175" s="45"/>
      <c r="J175" s="45"/>
      <c r="K175" s="45"/>
      <c r="L175" s="45"/>
      <c r="M175" s="45"/>
      <c r="N175" s="45"/>
      <c r="O175" s="45" t="s">
        <v>82</v>
      </c>
      <c r="P175" s="45" t="s">
        <v>173</v>
      </c>
      <c r="Q175" s="16"/>
      <c r="R175" s="46" t="s">
        <v>94</v>
      </c>
      <c r="S175" s="225"/>
      <c r="T175" s="2"/>
    </row>
    <row r="176" spans="1:252" ht="15.6" x14ac:dyDescent="0.3">
      <c r="A176" s="112"/>
      <c r="B176" s="113" t="s">
        <v>47</v>
      </c>
      <c r="C176" s="113"/>
      <c r="D176" s="113"/>
      <c r="E176" s="113"/>
      <c r="F176" s="113"/>
      <c r="G176" s="113"/>
      <c r="H176" s="113"/>
      <c r="I176" s="113"/>
      <c r="J176" s="113"/>
      <c r="K176" s="113"/>
      <c r="L176" s="113"/>
      <c r="M176" s="113"/>
      <c r="N176" s="113"/>
      <c r="O176" s="156">
        <f>+R28*0.05</f>
        <v>12500</v>
      </c>
      <c r="P176" s="145"/>
      <c r="Q176" s="113"/>
      <c r="R176" s="156"/>
      <c r="S176" s="116"/>
      <c r="T176" s="2"/>
    </row>
    <row r="177" spans="1:20" ht="15.6" x14ac:dyDescent="0.3">
      <c r="A177" s="112"/>
      <c r="B177" s="113" t="s">
        <v>48</v>
      </c>
      <c r="C177" s="113"/>
      <c r="D177" s="113"/>
      <c r="E177" s="113"/>
      <c r="F177" s="113"/>
      <c r="G177" s="113"/>
      <c r="H177" s="113"/>
      <c r="I177" s="113"/>
      <c r="J177" s="113"/>
      <c r="K177" s="113"/>
      <c r="L177" s="113"/>
      <c r="M177" s="113"/>
      <c r="N177" s="113"/>
      <c r="O177" s="156">
        <f>+'Nov 15'!O179</f>
        <v>255</v>
      </c>
      <c r="P177" s="156">
        <f>+'Nov 15'!P179</f>
        <v>462</v>
      </c>
      <c r="Q177" s="113"/>
      <c r="R177" s="156">
        <f>O177+P177</f>
        <v>717</v>
      </c>
      <c r="S177" s="116"/>
      <c r="T177" s="2"/>
    </row>
    <row r="178" spans="1:20" ht="15.6" x14ac:dyDescent="0.3">
      <c r="A178" s="112"/>
      <c r="B178" s="113" t="s">
        <v>49</v>
      </c>
      <c r="C178" s="113"/>
      <c r="D178" s="113"/>
      <c r="E178" s="113"/>
      <c r="F178" s="113"/>
      <c r="G178" s="113"/>
      <c r="H178" s="113"/>
      <c r="I178" s="113"/>
      <c r="J178" s="113"/>
      <c r="K178" s="113"/>
      <c r="L178" s="113"/>
      <c r="M178" s="113"/>
      <c r="N178" s="113"/>
      <c r="O178" s="155">
        <v>381</v>
      </c>
      <c r="P178" s="155">
        <v>35</v>
      </c>
      <c r="Q178" s="113"/>
      <c r="R178" s="156">
        <f>O178+P178</f>
        <v>416</v>
      </c>
      <c r="S178" s="116"/>
      <c r="T178" s="2"/>
    </row>
    <row r="179" spans="1:20" ht="15.6" x14ac:dyDescent="0.3">
      <c r="A179" s="112"/>
      <c r="B179" s="113" t="s">
        <v>50</v>
      </c>
      <c r="C179" s="113"/>
      <c r="D179" s="113"/>
      <c r="E179" s="113"/>
      <c r="F179" s="113"/>
      <c r="G179" s="113"/>
      <c r="H179" s="113"/>
      <c r="I179" s="113"/>
      <c r="J179" s="113"/>
      <c r="K179" s="113"/>
      <c r="L179" s="113"/>
      <c r="M179" s="113"/>
      <c r="N179" s="113"/>
      <c r="O179" s="156">
        <f>O177+O178</f>
        <v>636</v>
      </c>
      <c r="P179" s="156">
        <f>P178+P177</f>
        <v>497</v>
      </c>
      <c r="Q179" s="113"/>
      <c r="R179" s="156">
        <f>O179+P179</f>
        <v>1133</v>
      </c>
      <c r="S179" s="116"/>
      <c r="T179" s="2"/>
    </row>
    <row r="180" spans="1:20" ht="15.6" x14ac:dyDescent="0.3">
      <c r="A180" s="112"/>
      <c r="B180" s="113" t="s">
        <v>51</v>
      </c>
      <c r="C180" s="113"/>
      <c r="D180" s="113"/>
      <c r="E180" s="113"/>
      <c r="F180" s="113"/>
      <c r="G180" s="113"/>
      <c r="H180" s="113"/>
      <c r="I180" s="113"/>
      <c r="J180" s="113"/>
      <c r="K180" s="113"/>
      <c r="L180" s="113"/>
      <c r="M180" s="113"/>
      <c r="N180" s="113"/>
      <c r="O180" s="156">
        <f>O176-O179-P179</f>
        <v>11367</v>
      </c>
      <c r="P180" s="145"/>
      <c r="Q180" s="113"/>
      <c r="R180" s="156"/>
      <c r="S180" s="116"/>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2"/>
      <c r="S181" s="218"/>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217"/>
      <c r="T182" s="2"/>
    </row>
    <row r="183" spans="1:20" ht="15.6" x14ac:dyDescent="0.3">
      <c r="A183" s="12"/>
      <c r="B183" s="41" t="s">
        <v>52</v>
      </c>
      <c r="C183" s="14"/>
      <c r="D183" s="14"/>
      <c r="E183" s="14"/>
      <c r="F183" s="14"/>
      <c r="G183" s="14"/>
      <c r="H183" s="14"/>
      <c r="I183" s="14"/>
      <c r="J183" s="14"/>
      <c r="K183" s="14"/>
      <c r="L183" s="14"/>
      <c r="M183" s="14"/>
      <c r="N183" s="14"/>
      <c r="O183" s="14"/>
      <c r="P183" s="14"/>
      <c r="Q183" s="14"/>
      <c r="R183" s="47"/>
      <c r="S183" s="218"/>
      <c r="T183" s="2"/>
    </row>
    <row r="184" spans="1:20" ht="15.6" x14ac:dyDescent="0.3">
      <c r="A184" s="112"/>
      <c r="B184" s="113" t="s">
        <v>53</v>
      </c>
      <c r="C184" s="113"/>
      <c r="D184" s="113"/>
      <c r="E184" s="113"/>
      <c r="F184" s="113"/>
      <c r="G184" s="113"/>
      <c r="H184" s="113"/>
      <c r="I184" s="113"/>
      <c r="J184" s="113"/>
      <c r="K184" s="113"/>
      <c r="L184" s="113"/>
      <c r="M184" s="113"/>
      <c r="N184" s="113"/>
      <c r="O184" s="113"/>
      <c r="P184" s="113"/>
      <c r="Q184" s="113"/>
      <c r="R184" s="161">
        <f>(R92+R94+R95+R96+R97)/-(R98)</f>
        <v>3.654338549075391</v>
      </c>
      <c r="S184" s="116" t="s">
        <v>95</v>
      </c>
      <c r="T184" s="2"/>
    </row>
    <row r="185" spans="1:20" ht="15.6" x14ac:dyDescent="0.3">
      <c r="A185" s="112"/>
      <c r="B185" s="113" t="s">
        <v>54</v>
      </c>
      <c r="C185" s="113"/>
      <c r="D185" s="113"/>
      <c r="E185" s="113"/>
      <c r="F185" s="113"/>
      <c r="G185" s="113"/>
      <c r="H185" s="113"/>
      <c r="I185" s="113"/>
      <c r="J185" s="113"/>
      <c r="K185" s="113"/>
      <c r="L185" s="113"/>
      <c r="M185" s="113"/>
      <c r="N185" s="113"/>
      <c r="O185" s="113"/>
      <c r="P185" s="113"/>
      <c r="Q185" s="113"/>
      <c r="R185" s="164">
        <v>3.5</v>
      </c>
      <c r="S185" s="116" t="s">
        <v>95</v>
      </c>
      <c r="T185" s="2"/>
    </row>
    <row r="186" spans="1:20" ht="15.6" x14ac:dyDescent="0.3">
      <c r="A186" s="112"/>
      <c r="B186" s="113" t="s">
        <v>192</v>
      </c>
      <c r="C186" s="113"/>
      <c r="D186" s="113"/>
      <c r="E186" s="113"/>
      <c r="F186" s="113"/>
      <c r="G186" s="113"/>
      <c r="H186" s="113"/>
      <c r="I186" s="113"/>
      <c r="J186" s="113"/>
      <c r="K186" s="113"/>
      <c r="L186" s="113"/>
      <c r="M186" s="113"/>
      <c r="N186" s="113"/>
      <c r="O186" s="113"/>
      <c r="P186" s="113"/>
      <c r="Q186" s="113"/>
      <c r="R186" s="161">
        <f>(R92+R94+R95+R96+R97+R98)/-(R99)</f>
        <v>21.204545454545453</v>
      </c>
      <c r="S186" s="116" t="s">
        <v>95</v>
      </c>
      <c r="T186" s="2"/>
    </row>
    <row r="187" spans="1:20" ht="15.6" x14ac:dyDescent="0.3">
      <c r="A187" s="112"/>
      <c r="B187" s="113" t="s">
        <v>193</v>
      </c>
      <c r="C187" s="113"/>
      <c r="D187" s="113"/>
      <c r="E187" s="113"/>
      <c r="F187" s="113"/>
      <c r="G187" s="113"/>
      <c r="H187" s="113"/>
      <c r="I187" s="113"/>
      <c r="J187" s="113"/>
      <c r="K187" s="113"/>
      <c r="L187" s="113"/>
      <c r="M187" s="113"/>
      <c r="N187" s="113"/>
      <c r="O187" s="113"/>
      <c r="P187" s="113"/>
      <c r="Q187" s="113"/>
      <c r="R187" s="164">
        <v>20.85</v>
      </c>
      <c r="S187" s="116" t="s">
        <v>95</v>
      </c>
      <c r="T187" s="2"/>
    </row>
    <row r="188" spans="1:20" ht="15.6" x14ac:dyDescent="0.3">
      <c r="A188" s="112"/>
      <c r="B188" s="113" t="s">
        <v>194</v>
      </c>
      <c r="C188" s="113"/>
      <c r="D188" s="113"/>
      <c r="E188" s="113"/>
      <c r="F188" s="113"/>
      <c r="G188" s="113"/>
      <c r="H188" s="113"/>
      <c r="I188" s="113"/>
      <c r="J188" s="113"/>
      <c r="K188" s="113"/>
      <c r="L188" s="113"/>
      <c r="M188" s="113"/>
      <c r="N188" s="113"/>
      <c r="O188" s="113"/>
      <c r="P188" s="113"/>
      <c r="Q188" s="113"/>
      <c r="R188" s="161">
        <f>(R92+R94+R95+R96+R97+R98+R99)/-(R100)</f>
        <v>37.829787234042556</v>
      </c>
      <c r="S188" s="116" t="s">
        <v>95</v>
      </c>
      <c r="T188" s="2"/>
    </row>
    <row r="189" spans="1:20" ht="15.6" x14ac:dyDescent="0.3">
      <c r="A189" s="112"/>
      <c r="B189" s="113" t="s">
        <v>195</v>
      </c>
      <c r="C189" s="113"/>
      <c r="D189" s="113"/>
      <c r="E189" s="113"/>
      <c r="F189" s="113"/>
      <c r="G189" s="113"/>
      <c r="H189" s="113"/>
      <c r="I189" s="113"/>
      <c r="J189" s="113"/>
      <c r="K189" s="113"/>
      <c r="L189" s="113"/>
      <c r="M189" s="113"/>
      <c r="N189" s="113"/>
      <c r="O189" s="113"/>
      <c r="P189" s="113"/>
      <c r="Q189" s="113"/>
      <c r="R189" s="164">
        <v>37.020000000000003</v>
      </c>
      <c r="S189" s="116" t="s">
        <v>95</v>
      </c>
      <c r="T189" s="2"/>
    </row>
    <row r="190" spans="1:20" ht="15.6" x14ac:dyDescent="0.3">
      <c r="A190" s="112"/>
      <c r="B190" s="113" t="s">
        <v>196</v>
      </c>
      <c r="C190" s="113"/>
      <c r="D190" s="113"/>
      <c r="E190" s="113"/>
      <c r="F190" s="113"/>
      <c r="G190" s="113"/>
      <c r="H190" s="113"/>
      <c r="I190" s="113"/>
      <c r="J190" s="113"/>
      <c r="K190" s="113"/>
      <c r="L190" s="113"/>
      <c r="M190" s="113"/>
      <c r="N190" s="113"/>
      <c r="O190" s="113"/>
      <c r="P190" s="113"/>
      <c r="Q190" s="113"/>
      <c r="R190" s="161">
        <f>(R92+R94+R95+R96+R97+R98+R99+R100+R101+R102+R103+R104+R105)/-(R106)</f>
        <v>40.714285714285715</v>
      </c>
      <c r="S190" s="116" t="s">
        <v>95</v>
      </c>
      <c r="T190" s="2"/>
    </row>
    <row r="191" spans="1:20" ht="15.6" x14ac:dyDescent="0.3">
      <c r="A191" s="112"/>
      <c r="B191" s="113" t="s">
        <v>197</v>
      </c>
      <c r="C191" s="113"/>
      <c r="D191" s="113"/>
      <c r="E191" s="113"/>
      <c r="F191" s="113"/>
      <c r="G191" s="113"/>
      <c r="H191" s="113"/>
      <c r="I191" s="113"/>
      <c r="J191" s="113"/>
      <c r="K191" s="113"/>
      <c r="L191" s="113"/>
      <c r="M191" s="113"/>
      <c r="N191" s="113"/>
      <c r="O191" s="113"/>
      <c r="P191" s="113"/>
      <c r="Q191" s="113"/>
      <c r="R191" s="164">
        <v>39.869999999999997</v>
      </c>
      <c r="S191" s="116" t="s">
        <v>95</v>
      </c>
      <c r="T191" s="2"/>
    </row>
    <row r="192" spans="1:20" ht="15.6" x14ac:dyDescent="0.3">
      <c r="A192" s="112"/>
      <c r="B192" s="113"/>
      <c r="C192" s="113"/>
      <c r="D192" s="113"/>
      <c r="E192" s="113"/>
      <c r="F192" s="113"/>
      <c r="G192" s="113"/>
      <c r="H192" s="113"/>
      <c r="I192" s="113"/>
      <c r="J192" s="113"/>
      <c r="K192" s="113"/>
      <c r="L192" s="113"/>
      <c r="M192" s="113"/>
      <c r="N192" s="113"/>
      <c r="O192" s="113"/>
      <c r="P192" s="113"/>
      <c r="Q192" s="113"/>
      <c r="R192" s="113"/>
      <c r="S192" s="116"/>
      <c r="T192" s="2"/>
    </row>
    <row r="193" spans="1:20" ht="15.6" x14ac:dyDescent="0.3">
      <c r="A193" s="12"/>
      <c r="B193" s="163"/>
      <c r="C193" s="163"/>
      <c r="D193" s="163"/>
      <c r="E193" s="163"/>
      <c r="F193" s="163"/>
      <c r="G193" s="163"/>
      <c r="H193" s="163"/>
      <c r="I193" s="163"/>
      <c r="J193" s="163"/>
      <c r="K193" s="163"/>
      <c r="L193" s="163"/>
      <c r="M193" s="163"/>
      <c r="N193" s="163"/>
      <c r="O193" s="163"/>
      <c r="P193" s="163"/>
      <c r="Q193" s="163"/>
      <c r="R193" s="163"/>
      <c r="S193" s="219"/>
      <c r="T193" s="2"/>
    </row>
    <row r="194" spans="1:20" ht="15.6" x14ac:dyDescent="0.3">
      <c r="A194" s="12"/>
      <c r="B194" s="84"/>
      <c r="C194" s="84"/>
      <c r="D194" s="84"/>
      <c r="E194" s="84"/>
      <c r="F194" s="84"/>
      <c r="G194" s="84"/>
      <c r="H194" s="84"/>
      <c r="I194" s="84"/>
      <c r="J194" s="84"/>
      <c r="K194" s="84"/>
      <c r="L194" s="84"/>
      <c r="M194" s="84"/>
      <c r="N194" s="84"/>
      <c r="O194" s="84"/>
      <c r="P194" s="84"/>
      <c r="Q194" s="84"/>
      <c r="R194" s="84"/>
      <c r="S194" s="219"/>
      <c r="T194" s="2"/>
    </row>
    <row r="195" spans="1:20" ht="18" thickBot="1" x14ac:dyDescent="0.35">
      <c r="A195" s="28"/>
      <c r="B195" s="97" t="str">
        <f>B123</f>
        <v>PM21 INVESTOR REPORT QUARTER ENDING FEBRUARY 2016</v>
      </c>
      <c r="C195" s="98"/>
      <c r="D195" s="98"/>
      <c r="E195" s="98"/>
      <c r="F195" s="98"/>
      <c r="G195" s="98"/>
      <c r="H195" s="98"/>
      <c r="I195" s="98"/>
      <c r="J195" s="98"/>
      <c r="K195" s="98"/>
      <c r="L195" s="98"/>
      <c r="M195" s="98"/>
      <c r="N195" s="98"/>
      <c r="O195" s="98"/>
      <c r="P195" s="98"/>
      <c r="Q195" s="98"/>
      <c r="R195" s="98"/>
      <c r="S195" s="99"/>
      <c r="T195" s="2"/>
    </row>
    <row r="196" spans="1:20" ht="15.6" x14ac:dyDescent="0.3">
      <c r="A196" s="65"/>
      <c r="B196" s="66" t="s">
        <v>55</v>
      </c>
      <c r="C196" s="69"/>
      <c r="D196" s="70"/>
      <c r="E196" s="70"/>
      <c r="F196" s="70"/>
      <c r="G196" s="70"/>
      <c r="H196" s="70"/>
      <c r="I196" s="70"/>
      <c r="J196" s="70"/>
      <c r="K196" s="70"/>
      <c r="L196" s="70"/>
      <c r="M196" s="70"/>
      <c r="N196" s="70"/>
      <c r="O196" s="70"/>
      <c r="P196" s="70">
        <v>42429</v>
      </c>
      <c r="Q196" s="67"/>
      <c r="R196" s="67"/>
      <c r="S196" s="224"/>
      <c r="T196" s="2"/>
    </row>
    <row r="197" spans="1:20" ht="15.6" x14ac:dyDescent="0.3">
      <c r="A197" s="48"/>
      <c r="B197" s="49"/>
      <c r="C197" s="50"/>
      <c r="D197" s="51"/>
      <c r="E197" s="51"/>
      <c r="F197" s="51"/>
      <c r="G197" s="51"/>
      <c r="H197" s="51"/>
      <c r="I197" s="51"/>
      <c r="J197" s="51"/>
      <c r="K197" s="51"/>
      <c r="L197" s="51"/>
      <c r="M197" s="51"/>
      <c r="N197" s="51"/>
      <c r="O197" s="51"/>
      <c r="P197" s="51"/>
      <c r="Q197" s="14"/>
      <c r="R197" s="14"/>
      <c r="S197" s="218"/>
      <c r="T197" s="2"/>
    </row>
    <row r="198" spans="1:20" ht="15.6" x14ac:dyDescent="0.3">
      <c r="A198" s="167"/>
      <c r="B198" s="113" t="s">
        <v>56</v>
      </c>
      <c r="C198" s="168"/>
      <c r="D198" s="148"/>
      <c r="E198" s="148"/>
      <c r="F198" s="148"/>
      <c r="G198" s="148"/>
      <c r="H198" s="148"/>
      <c r="I198" s="148"/>
      <c r="J198" s="148"/>
      <c r="K198" s="148"/>
      <c r="L198" s="148"/>
      <c r="M198" s="148"/>
      <c r="N198" s="148"/>
      <c r="O198" s="148"/>
      <c r="P198" s="142">
        <v>4.1349999999999998E-2</v>
      </c>
      <c r="Q198" s="113"/>
      <c r="R198" s="113"/>
      <c r="S198" s="116"/>
      <c r="T198" s="2"/>
    </row>
    <row r="199" spans="1:20" ht="15.6" x14ac:dyDescent="0.3">
      <c r="A199" s="167"/>
      <c r="B199" s="113" t="s">
        <v>161</v>
      </c>
      <c r="C199" s="168"/>
      <c r="D199" s="148"/>
      <c r="E199" s="148"/>
      <c r="F199" s="148"/>
      <c r="G199" s="148"/>
      <c r="H199" s="148"/>
      <c r="I199" s="148"/>
      <c r="J199" s="148"/>
      <c r="K199" s="148"/>
      <c r="L199" s="148"/>
      <c r="M199" s="148"/>
      <c r="N199" s="148"/>
      <c r="O199" s="148"/>
      <c r="P199" s="142">
        <v>1.50706E-2</v>
      </c>
      <c r="Q199" s="113"/>
      <c r="R199" s="113"/>
      <c r="S199" s="116"/>
      <c r="T199" s="2"/>
    </row>
    <row r="200" spans="1:20" ht="15.6" x14ac:dyDescent="0.3">
      <c r="A200" s="167"/>
      <c r="B200" s="113" t="s">
        <v>57</v>
      </c>
      <c r="C200" s="168"/>
      <c r="D200" s="148"/>
      <c r="E200" s="148"/>
      <c r="F200" s="148"/>
      <c r="G200" s="148"/>
      <c r="H200" s="148"/>
      <c r="I200" s="148"/>
      <c r="J200" s="148"/>
      <c r="K200" s="148"/>
      <c r="L200" s="148"/>
      <c r="M200" s="148"/>
      <c r="N200" s="148"/>
      <c r="O200" s="148"/>
      <c r="P200" s="211">
        <f>P198-P199</f>
        <v>2.6279399999999998E-2</v>
      </c>
      <c r="Q200" s="113"/>
      <c r="R200" s="113"/>
      <c r="S200" s="116"/>
      <c r="T200" s="2"/>
    </row>
    <row r="201" spans="1:20" ht="15.6" x14ac:dyDescent="0.3">
      <c r="A201" s="167"/>
      <c r="B201" s="113" t="s">
        <v>164</v>
      </c>
      <c r="C201" s="168"/>
      <c r="D201" s="148"/>
      <c r="E201" s="148"/>
      <c r="F201" s="148"/>
      <c r="G201" s="148"/>
      <c r="H201" s="148"/>
      <c r="I201" s="148"/>
      <c r="J201" s="148"/>
      <c r="K201" s="148"/>
      <c r="L201" s="148"/>
      <c r="M201" s="148"/>
      <c r="N201" s="148"/>
      <c r="O201" s="148"/>
      <c r="P201" s="211">
        <v>4.5833800000000001E-2</v>
      </c>
      <c r="Q201" s="113"/>
      <c r="R201" s="113"/>
      <c r="S201" s="116"/>
      <c r="T201" s="2"/>
    </row>
    <row r="202" spans="1:20" ht="15.6" x14ac:dyDescent="0.3">
      <c r="A202" s="167"/>
      <c r="B202" s="113" t="s">
        <v>58</v>
      </c>
      <c r="C202" s="168"/>
      <c r="D202" s="148"/>
      <c r="E202" s="148"/>
      <c r="F202" s="148"/>
      <c r="G202" s="148"/>
      <c r="H202" s="148"/>
      <c r="I202" s="148"/>
      <c r="J202" s="148"/>
      <c r="K202" s="148"/>
      <c r="L202" s="148"/>
      <c r="M202" s="148"/>
      <c r="N202" s="148"/>
      <c r="O202" s="148"/>
      <c r="P202" s="209">
        <v>4.1430000000000002E-2</v>
      </c>
      <c r="Q202" s="113"/>
      <c r="R202" s="113"/>
      <c r="S202" s="116"/>
      <c r="T202" s="2"/>
    </row>
    <row r="203" spans="1:20" ht="15.6" x14ac:dyDescent="0.3">
      <c r="A203" s="167"/>
      <c r="B203" s="113" t="s">
        <v>162</v>
      </c>
      <c r="C203" s="168"/>
      <c r="D203" s="148"/>
      <c r="E203" s="148"/>
      <c r="F203" s="148"/>
      <c r="G203" s="148"/>
      <c r="H203" s="148"/>
      <c r="I203" s="148"/>
      <c r="J203" s="148"/>
      <c r="K203" s="148"/>
      <c r="L203" s="148"/>
      <c r="M203" s="148"/>
      <c r="N203" s="148"/>
      <c r="O203" s="148"/>
      <c r="P203" s="142">
        <f>R34</f>
        <v>1.4957187424414365E-2</v>
      </c>
      <c r="Q203" s="113"/>
      <c r="R203" s="113"/>
      <c r="S203" s="116"/>
      <c r="T203" s="2"/>
    </row>
    <row r="204" spans="1:20" ht="15.6" x14ac:dyDescent="0.3">
      <c r="A204" s="167"/>
      <c r="B204" s="113" t="s">
        <v>59</v>
      </c>
      <c r="C204" s="168"/>
      <c r="D204" s="148"/>
      <c r="E204" s="148"/>
      <c r="F204" s="148"/>
      <c r="G204" s="148"/>
      <c r="H204" s="148"/>
      <c r="I204" s="148"/>
      <c r="J204" s="148"/>
      <c r="K204" s="148"/>
      <c r="L204" s="148"/>
      <c r="M204" s="148"/>
      <c r="N204" s="148"/>
      <c r="O204" s="148"/>
      <c r="P204" s="142">
        <f>P202-P203</f>
        <v>2.6472812575585637E-2</v>
      </c>
      <c r="Q204" s="113"/>
      <c r="R204" s="113"/>
      <c r="S204" s="116"/>
      <c r="T204" s="2"/>
    </row>
    <row r="205" spans="1:20" ht="15.6" x14ac:dyDescent="0.3">
      <c r="A205" s="167"/>
      <c r="B205" s="113" t="s">
        <v>139</v>
      </c>
      <c r="C205" s="168"/>
      <c r="D205" s="148"/>
      <c r="E205" s="148"/>
      <c r="F205" s="148"/>
      <c r="G205" s="148"/>
      <c r="H205" s="148"/>
      <c r="I205" s="148"/>
      <c r="J205" s="148"/>
      <c r="K205" s="148"/>
      <c r="L205" s="148"/>
      <c r="M205" s="148"/>
      <c r="N205" s="148"/>
      <c r="O205" s="148"/>
      <c r="P205" s="142">
        <f>(+R92+R94)/H72</f>
        <v>1.2456662343497021E-2</v>
      </c>
      <c r="Q205" s="113"/>
      <c r="R205" s="113"/>
      <c r="S205" s="116"/>
      <c r="T205" s="2"/>
    </row>
    <row r="206" spans="1:20" ht="15.6" x14ac:dyDescent="0.3">
      <c r="A206" s="167"/>
      <c r="B206" s="113" t="s">
        <v>132</v>
      </c>
      <c r="C206" s="168"/>
      <c r="D206" s="148"/>
      <c r="E206" s="148"/>
      <c r="F206" s="148"/>
      <c r="G206" s="148"/>
      <c r="H206" s="148"/>
      <c r="I206" s="148"/>
      <c r="J206" s="148"/>
      <c r="K206" s="148"/>
      <c r="L206" s="148"/>
      <c r="M206" s="148"/>
      <c r="N206" s="148"/>
      <c r="O206" s="148"/>
      <c r="P206" s="169">
        <v>15507</v>
      </c>
      <c r="Q206" s="113"/>
      <c r="R206" s="113"/>
      <c r="S206" s="116"/>
      <c r="T206" s="2"/>
    </row>
    <row r="207" spans="1:20" ht="15.6" x14ac:dyDescent="0.3">
      <c r="A207" s="167"/>
      <c r="B207" s="113" t="s">
        <v>198</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199</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200</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60</v>
      </c>
      <c r="C210" s="168"/>
      <c r="D210" s="148"/>
      <c r="E210" s="148"/>
      <c r="F210" s="148"/>
      <c r="G210" s="148"/>
      <c r="H210" s="148"/>
      <c r="I210" s="148"/>
      <c r="J210" s="148"/>
      <c r="K210" s="148"/>
      <c r="L210" s="148"/>
      <c r="M210" s="148"/>
      <c r="N210" s="148"/>
      <c r="O210" s="148"/>
      <c r="P210" s="146">
        <v>20.170000000000002</v>
      </c>
      <c r="Q210" s="113" t="s">
        <v>90</v>
      </c>
      <c r="R210" s="113"/>
      <c r="S210" s="116"/>
      <c r="T210" s="2"/>
    </row>
    <row r="211" spans="1:20" ht="15.6" x14ac:dyDescent="0.3">
      <c r="A211" s="167"/>
      <c r="B211" s="113" t="s">
        <v>61</v>
      </c>
      <c r="C211" s="168"/>
      <c r="D211" s="148"/>
      <c r="E211" s="148"/>
      <c r="F211" s="148"/>
      <c r="G211" s="148"/>
      <c r="H211" s="148"/>
      <c r="I211" s="148"/>
      <c r="J211" s="148"/>
      <c r="K211" s="148"/>
      <c r="L211" s="148"/>
      <c r="M211" s="148"/>
      <c r="N211" s="148"/>
      <c r="O211" s="148"/>
      <c r="P211" s="210">
        <v>18.98</v>
      </c>
      <c r="Q211" s="113" t="s">
        <v>90</v>
      </c>
      <c r="R211" s="113"/>
      <c r="S211" s="116"/>
      <c r="T211" s="2"/>
    </row>
    <row r="212" spans="1:20" ht="15.6" x14ac:dyDescent="0.3">
      <c r="A212" s="167"/>
      <c r="B212" s="113" t="s">
        <v>62</v>
      </c>
      <c r="C212" s="168"/>
      <c r="D212" s="148"/>
      <c r="E212" s="148"/>
      <c r="F212" s="148"/>
      <c r="G212" s="148"/>
      <c r="H212" s="148"/>
      <c r="I212" s="148"/>
      <c r="J212" s="148"/>
      <c r="K212" s="148"/>
      <c r="L212" s="148"/>
      <c r="M212" s="148"/>
      <c r="N212" s="148"/>
      <c r="O212" s="148"/>
      <c r="P212" s="142">
        <f>(+J56+L56)/H56</f>
        <v>1.5702412446057568E-2</v>
      </c>
      <c r="Q212" s="113"/>
      <c r="R212" s="113"/>
      <c r="S212" s="116"/>
      <c r="T212" s="2"/>
    </row>
    <row r="213" spans="1:20" ht="15.6" x14ac:dyDescent="0.3">
      <c r="A213" s="167"/>
      <c r="B213" s="113" t="s">
        <v>63</v>
      </c>
      <c r="C213" s="168"/>
      <c r="D213" s="148"/>
      <c r="E213" s="148"/>
      <c r="F213" s="148"/>
      <c r="G213" s="148"/>
      <c r="H213" s="148"/>
      <c r="I213" s="148"/>
      <c r="J213" s="148"/>
      <c r="K213" s="148"/>
      <c r="L213" s="148"/>
      <c r="M213" s="148"/>
      <c r="N213" s="148"/>
      <c r="O213" s="148"/>
      <c r="P213" s="211">
        <v>5.3199999999999997E-2</v>
      </c>
      <c r="Q213" s="113"/>
      <c r="R213" s="113"/>
      <c r="S213" s="116"/>
      <c r="T213" s="2"/>
    </row>
    <row r="214" spans="1:20" ht="15.6" x14ac:dyDescent="0.3">
      <c r="A214" s="48"/>
      <c r="B214" s="165"/>
      <c r="C214" s="165"/>
      <c r="D214" s="43"/>
      <c r="E214" s="43"/>
      <c r="F214" s="43"/>
      <c r="G214" s="43"/>
      <c r="H214" s="43"/>
      <c r="I214" s="43"/>
      <c r="J214" s="43"/>
      <c r="K214" s="43"/>
      <c r="L214" s="43"/>
      <c r="M214" s="43"/>
      <c r="N214" s="43"/>
      <c r="O214" s="43"/>
      <c r="P214" s="162"/>
      <c r="Q214" s="43"/>
      <c r="R214" s="166"/>
      <c r="S214" s="218"/>
      <c r="T214" s="2"/>
    </row>
    <row r="215" spans="1:20" ht="15.6" x14ac:dyDescent="0.3">
      <c r="A215" s="71"/>
      <c r="B215" s="61" t="s">
        <v>64</v>
      </c>
      <c r="C215" s="62"/>
      <c r="D215" s="62"/>
      <c r="E215" s="62"/>
      <c r="F215" s="62"/>
      <c r="G215" s="62"/>
      <c r="H215" s="62"/>
      <c r="I215" s="62"/>
      <c r="J215" s="62"/>
      <c r="K215" s="62"/>
      <c r="L215" s="62"/>
      <c r="M215" s="62"/>
      <c r="N215" s="62"/>
      <c r="O215" s="62" t="s">
        <v>83</v>
      </c>
      <c r="P215" s="72" t="s">
        <v>88</v>
      </c>
      <c r="Q215" s="54"/>
      <c r="R215" s="54"/>
      <c r="S215" s="220"/>
      <c r="T215" s="2"/>
    </row>
    <row r="216" spans="1:20" ht="15.6" x14ac:dyDescent="0.3">
      <c r="A216" s="52"/>
      <c r="B216" s="79" t="s">
        <v>65</v>
      </c>
      <c r="C216" s="78"/>
      <c r="D216" s="95"/>
      <c r="E216" s="95"/>
      <c r="F216" s="95"/>
      <c r="G216" s="95"/>
      <c r="H216" s="95"/>
      <c r="I216" s="95"/>
      <c r="J216" s="95"/>
      <c r="K216" s="95"/>
      <c r="L216" s="95"/>
      <c r="M216" s="95"/>
      <c r="N216" s="95"/>
      <c r="O216" s="95">
        <v>0</v>
      </c>
      <c r="P216" s="96">
        <v>0</v>
      </c>
      <c r="Q216" s="79"/>
      <c r="R216" s="94"/>
      <c r="S216" s="226"/>
      <c r="T216" s="2"/>
    </row>
    <row r="217" spans="1:20" ht="15.6" x14ac:dyDescent="0.3">
      <c r="A217" s="173"/>
      <c r="B217" s="113" t="s">
        <v>113</v>
      </c>
      <c r="C217" s="155"/>
      <c r="D217" s="123"/>
      <c r="E217" s="123"/>
      <c r="F217" s="123"/>
      <c r="G217" s="123"/>
      <c r="H217" s="123"/>
      <c r="I217" s="123"/>
      <c r="J217" s="123"/>
      <c r="K217" s="123"/>
      <c r="L217" s="123"/>
      <c r="M217" s="123"/>
      <c r="N217" s="123"/>
      <c r="O217" s="174">
        <f>+N269</f>
        <v>0</v>
      </c>
      <c r="P217" s="175">
        <f>+P269</f>
        <v>0</v>
      </c>
      <c r="Q217" s="113"/>
      <c r="R217" s="176"/>
      <c r="S217" s="177"/>
      <c r="T217" s="2"/>
    </row>
    <row r="218" spans="1:20" ht="15.6" x14ac:dyDescent="0.3">
      <c r="A218" s="173"/>
      <c r="B218" s="113" t="s">
        <v>66</v>
      </c>
      <c r="C218" s="155"/>
      <c r="D218" s="123"/>
      <c r="E218" s="123"/>
      <c r="F218" s="123"/>
      <c r="G218" s="123"/>
      <c r="H218" s="123"/>
      <c r="I218" s="123"/>
      <c r="J218" s="123"/>
      <c r="K218" s="123"/>
      <c r="L218" s="123"/>
      <c r="M218" s="123"/>
      <c r="N218" s="123"/>
      <c r="O218" s="174">
        <f>+N281</f>
        <v>0</v>
      </c>
      <c r="P218" s="175">
        <f>+P281</f>
        <v>0</v>
      </c>
      <c r="Q218" s="113"/>
      <c r="R218" s="176"/>
      <c r="S218" s="177"/>
      <c r="T218" s="2"/>
    </row>
    <row r="219" spans="1:20" ht="15.6" x14ac:dyDescent="0.3">
      <c r="A219" s="173"/>
      <c r="B219" s="134" t="s">
        <v>263</v>
      </c>
      <c r="C219" s="178"/>
      <c r="D219" s="135"/>
      <c r="E219" s="135"/>
      <c r="F219" s="135"/>
      <c r="G219" s="135"/>
      <c r="H219" s="135"/>
      <c r="I219" s="135"/>
      <c r="J219" s="135"/>
      <c r="K219" s="135"/>
      <c r="L219" s="135"/>
      <c r="M219" s="135"/>
      <c r="N219" s="135"/>
      <c r="O219" s="113"/>
      <c r="P219" s="175">
        <v>0</v>
      </c>
      <c r="Q219" s="135"/>
      <c r="R219" s="179"/>
      <c r="S219" s="177"/>
      <c r="T219" s="2"/>
    </row>
    <row r="220" spans="1:20" ht="15.6" x14ac:dyDescent="0.3">
      <c r="A220" s="173"/>
      <c r="B220" s="134" t="s">
        <v>140</v>
      </c>
      <c r="C220" s="178"/>
      <c r="D220" s="135"/>
      <c r="E220" s="135"/>
      <c r="F220" s="135"/>
      <c r="G220" s="135"/>
      <c r="H220" s="135"/>
      <c r="I220" s="135"/>
      <c r="J220" s="135"/>
      <c r="K220" s="135"/>
      <c r="L220" s="135"/>
      <c r="M220" s="135"/>
      <c r="N220" s="135"/>
      <c r="O220" s="113"/>
      <c r="P220" s="175">
        <f>-J69</f>
        <v>0</v>
      </c>
      <c r="Q220" s="135"/>
      <c r="R220" s="179"/>
      <c r="S220" s="177"/>
      <c r="T220" s="2"/>
    </row>
    <row r="221" spans="1:20" ht="15.6" x14ac:dyDescent="0.3">
      <c r="A221" s="180"/>
      <c r="B221" s="134" t="s">
        <v>67</v>
      </c>
      <c r="C221" s="181"/>
      <c r="D221" s="135"/>
      <c r="E221" s="135"/>
      <c r="F221" s="135"/>
      <c r="G221" s="135"/>
      <c r="H221" s="135"/>
      <c r="I221" s="135"/>
      <c r="J221" s="135"/>
      <c r="K221" s="135"/>
      <c r="L221" s="135"/>
      <c r="M221" s="135"/>
      <c r="N221" s="135"/>
      <c r="O221" s="113"/>
      <c r="P221" s="175"/>
      <c r="Q221" s="135"/>
      <c r="R221" s="179"/>
      <c r="S221" s="182"/>
      <c r="T221" s="2"/>
    </row>
    <row r="222" spans="1:20" ht="15.6" x14ac:dyDescent="0.3">
      <c r="A222" s="180"/>
      <c r="B222" s="118" t="s">
        <v>68</v>
      </c>
      <c r="C222" s="181"/>
      <c r="D222" s="135"/>
      <c r="E222" s="135"/>
      <c r="F222" s="135"/>
      <c r="G222" s="135"/>
      <c r="H222" s="135"/>
      <c r="I222" s="135"/>
      <c r="J222" s="135"/>
      <c r="K222" s="135"/>
      <c r="L222" s="135"/>
      <c r="M222" s="135"/>
      <c r="N222" s="135"/>
      <c r="O222" s="123"/>
      <c r="P222" s="175">
        <f>R153</f>
        <v>0</v>
      </c>
      <c r="Q222" s="135"/>
      <c r="R222" s="179"/>
      <c r="S222" s="182"/>
      <c r="T222" s="2"/>
    </row>
    <row r="223" spans="1:20" ht="15.6" x14ac:dyDescent="0.3">
      <c r="A223" s="173"/>
      <c r="B223" s="113" t="s">
        <v>69</v>
      </c>
      <c r="C223" s="178"/>
      <c r="D223" s="135"/>
      <c r="E223" s="135"/>
      <c r="F223" s="135"/>
      <c r="G223" s="135"/>
      <c r="H223" s="135"/>
      <c r="I223" s="135"/>
      <c r="J223" s="135"/>
      <c r="K223" s="135"/>
      <c r="L223" s="135"/>
      <c r="M223" s="135"/>
      <c r="N223" s="135"/>
      <c r="O223" s="123"/>
      <c r="P223" s="175">
        <f>+'Nov 15'!P223+P222</f>
        <v>0</v>
      </c>
      <c r="Q223" s="135"/>
      <c r="R223" s="179"/>
      <c r="S223" s="182"/>
      <c r="T223" s="2"/>
    </row>
    <row r="224" spans="1:20" ht="15.6" x14ac:dyDescent="0.3">
      <c r="A224" s="180"/>
      <c r="B224" s="134" t="s">
        <v>151</v>
      </c>
      <c r="C224" s="181"/>
      <c r="D224" s="135"/>
      <c r="E224" s="135"/>
      <c r="F224" s="135"/>
      <c r="G224" s="135"/>
      <c r="H224" s="135"/>
      <c r="I224" s="135"/>
      <c r="J224" s="135"/>
      <c r="K224" s="135"/>
      <c r="L224" s="135"/>
      <c r="M224" s="135"/>
      <c r="N224" s="135"/>
      <c r="O224" s="123"/>
      <c r="P224" s="175"/>
      <c r="Q224" s="135"/>
      <c r="R224" s="179"/>
      <c r="S224" s="182"/>
      <c r="T224" s="2"/>
    </row>
    <row r="225" spans="1:20" ht="15.6" x14ac:dyDescent="0.3">
      <c r="A225" s="180"/>
      <c r="B225" s="113" t="s">
        <v>163</v>
      </c>
      <c r="C225" s="181"/>
      <c r="D225" s="135"/>
      <c r="E225" s="135"/>
      <c r="F225" s="135"/>
      <c r="G225" s="135"/>
      <c r="H225" s="135"/>
      <c r="I225" s="135"/>
      <c r="J225" s="135"/>
      <c r="K225" s="135"/>
      <c r="L225" s="135"/>
      <c r="M225" s="135"/>
      <c r="N225" s="135"/>
      <c r="O225" s="123">
        <v>0</v>
      </c>
      <c r="P225" s="175">
        <v>0</v>
      </c>
      <c r="Q225" s="135"/>
      <c r="R225" s="179"/>
      <c r="S225" s="182"/>
      <c r="T225" s="2"/>
    </row>
    <row r="226" spans="1:20" ht="15.6" x14ac:dyDescent="0.3">
      <c r="A226" s="173"/>
      <c r="B226" s="113" t="s">
        <v>70</v>
      </c>
      <c r="C226" s="183"/>
      <c r="D226" s="135"/>
      <c r="E226" s="135"/>
      <c r="F226" s="135"/>
      <c r="G226" s="135"/>
      <c r="H226" s="135"/>
      <c r="I226" s="135"/>
      <c r="J226" s="135"/>
      <c r="K226" s="135"/>
      <c r="L226" s="135"/>
      <c r="M226" s="135"/>
      <c r="N226" s="135"/>
      <c r="O226" s="113"/>
      <c r="P226" s="184">
        <v>0</v>
      </c>
      <c r="Q226" s="135"/>
      <c r="R226" s="179"/>
      <c r="S226" s="182"/>
      <c r="T226" s="2"/>
    </row>
    <row r="227" spans="1:20" ht="15.6" x14ac:dyDescent="0.3">
      <c r="A227" s="173"/>
      <c r="B227" s="113" t="s">
        <v>71</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34" t="s">
        <v>136</v>
      </c>
      <c r="C228" s="183"/>
      <c r="D228" s="135"/>
      <c r="E228" s="135"/>
      <c r="F228" s="135"/>
      <c r="G228" s="135"/>
      <c r="H228" s="135"/>
      <c r="I228" s="135"/>
      <c r="J228" s="135"/>
      <c r="K228" s="135"/>
      <c r="L228" s="135"/>
      <c r="M228" s="135"/>
      <c r="N228" s="135"/>
      <c r="O228" s="113"/>
      <c r="P228" s="185"/>
      <c r="Q228" s="135"/>
      <c r="R228" s="179"/>
      <c r="S228" s="182"/>
      <c r="T228" s="2"/>
    </row>
    <row r="229" spans="1:20" ht="15.6" x14ac:dyDescent="0.3">
      <c r="A229" s="173"/>
      <c r="B229" s="113" t="s">
        <v>163</v>
      </c>
      <c r="C229" s="183"/>
      <c r="D229" s="135"/>
      <c r="E229" s="135"/>
      <c r="F229" s="135"/>
      <c r="G229" s="135"/>
      <c r="H229" s="135"/>
      <c r="I229" s="135"/>
      <c r="J229" s="135"/>
      <c r="K229" s="135"/>
      <c r="L229" s="135"/>
      <c r="M229" s="135"/>
      <c r="N229" s="135"/>
      <c r="O229" s="123">
        <v>0</v>
      </c>
      <c r="P229" s="175">
        <v>0</v>
      </c>
      <c r="Q229" s="135"/>
      <c r="R229" s="179"/>
      <c r="S229" s="182"/>
      <c r="T229" s="2"/>
    </row>
    <row r="230" spans="1:20" ht="15.6" x14ac:dyDescent="0.3">
      <c r="A230" s="173"/>
      <c r="B230" s="113" t="s">
        <v>137</v>
      </c>
      <c r="C230" s="183"/>
      <c r="D230" s="135"/>
      <c r="E230" s="135"/>
      <c r="F230" s="135"/>
      <c r="G230" s="135"/>
      <c r="H230" s="135"/>
      <c r="I230" s="135"/>
      <c r="J230" s="135"/>
      <c r="K230" s="135"/>
      <c r="L230" s="135"/>
      <c r="M230" s="135"/>
      <c r="N230" s="135"/>
      <c r="O230" s="113"/>
      <c r="P230" s="184">
        <v>0</v>
      </c>
      <c r="Q230" s="135"/>
      <c r="R230" s="179"/>
      <c r="S230" s="182"/>
      <c r="T230" s="2"/>
    </row>
    <row r="231" spans="1:20" ht="15.6" x14ac:dyDescent="0.3">
      <c r="A231" s="173"/>
      <c r="B231" s="181"/>
      <c r="C231" s="183"/>
      <c r="D231" s="135"/>
      <c r="E231" s="135"/>
      <c r="F231" s="135"/>
      <c r="G231" s="135"/>
      <c r="H231" s="135"/>
      <c r="I231" s="135"/>
      <c r="J231" s="135"/>
      <c r="K231" s="135"/>
      <c r="L231" s="135"/>
      <c r="M231" s="135"/>
      <c r="N231" s="135"/>
      <c r="O231" s="113"/>
      <c r="P231" s="185"/>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35"/>
      <c r="P232" s="186"/>
      <c r="Q232" s="135"/>
      <c r="R232" s="179"/>
      <c r="S232" s="182"/>
      <c r="T232" s="2"/>
    </row>
    <row r="233" spans="1:20" ht="17.399999999999999" x14ac:dyDescent="0.3">
      <c r="A233" s="173"/>
      <c r="B233" s="187" t="s">
        <v>129</v>
      </c>
      <c r="C233" s="183"/>
      <c r="D233" s="135"/>
      <c r="E233" s="135"/>
      <c r="F233" s="135"/>
      <c r="G233" s="135"/>
      <c r="H233" s="135"/>
      <c r="I233" s="135"/>
      <c r="J233" s="135"/>
      <c r="K233" s="135"/>
      <c r="L233" s="188"/>
      <c r="M233" s="135"/>
      <c r="N233" s="188" t="s">
        <v>128</v>
      </c>
      <c r="O233" s="188"/>
      <c r="P233" s="186"/>
      <c r="Q233" s="135"/>
      <c r="R233" s="179"/>
      <c r="S233" s="182"/>
      <c r="T233" s="2"/>
    </row>
    <row r="234" spans="1:20" ht="17.399999999999999" x14ac:dyDescent="0.3">
      <c r="A234" s="170"/>
      <c r="B234" s="200"/>
      <c r="C234" s="171"/>
      <c r="D234" s="43"/>
      <c r="E234" s="43"/>
      <c r="F234" s="43"/>
      <c r="G234" s="43"/>
      <c r="H234" s="43"/>
      <c r="I234" s="43"/>
      <c r="J234" s="43"/>
      <c r="K234" s="43"/>
      <c r="L234" s="201"/>
      <c r="M234" s="43"/>
      <c r="N234" s="43"/>
      <c r="O234" s="43"/>
      <c r="P234" s="172"/>
      <c r="Q234" s="43"/>
      <c r="R234" s="166"/>
      <c r="S234" s="227"/>
      <c r="T234" s="2"/>
    </row>
    <row r="235" spans="1:20" ht="15.6" x14ac:dyDescent="0.3">
      <c r="A235" s="53"/>
      <c r="B235" s="61" t="s">
        <v>153</v>
      </c>
      <c r="C235" s="62"/>
      <c r="D235" s="62"/>
      <c r="E235" s="62"/>
      <c r="F235" s="62"/>
      <c r="G235" s="62"/>
      <c r="H235" s="62"/>
      <c r="I235" s="62"/>
      <c r="J235" s="62"/>
      <c r="K235" s="62"/>
      <c r="L235" s="62"/>
      <c r="M235" s="62"/>
      <c r="N235" s="72" t="s">
        <v>83</v>
      </c>
      <c r="O235" s="62" t="s">
        <v>84</v>
      </c>
      <c r="P235" s="72" t="s">
        <v>89</v>
      </c>
      <c r="Q235" s="62" t="s">
        <v>84</v>
      </c>
      <c r="R235" s="54"/>
      <c r="S235" s="228"/>
      <c r="T235" s="2"/>
    </row>
    <row r="236" spans="1:20" ht="15.6" x14ac:dyDescent="0.3">
      <c r="A236" s="24"/>
      <c r="B236" s="78" t="s">
        <v>72</v>
      </c>
      <c r="C236" s="93"/>
      <c r="D236" s="93"/>
      <c r="E236" s="93"/>
      <c r="F236" s="93"/>
      <c r="G236" s="93"/>
      <c r="H236" s="93"/>
      <c r="I236" s="93"/>
      <c r="J236" s="93"/>
      <c r="K236" s="93"/>
      <c r="L236" s="93"/>
      <c r="M236" s="93"/>
      <c r="N236" s="78">
        <f t="shared" ref="N236:N243" si="1">+N248+N260+N272</f>
        <v>1491</v>
      </c>
      <c r="O236" s="81">
        <f>N236/$N$245</f>
        <v>1</v>
      </c>
      <c r="P236" s="82">
        <f t="shared" ref="P236:P243" si="2">+P248+P260+P272</f>
        <v>231471</v>
      </c>
      <c r="Q236" s="81">
        <f t="shared" ref="Q236:Q243" si="3">P236/$P$245</f>
        <v>1</v>
      </c>
      <c r="R236" s="94"/>
      <c r="S236" s="229"/>
      <c r="T236" s="2"/>
    </row>
    <row r="237" spans="1:20" ht="15.6" x14ac:dyDescent="0.3">
      <c r="A237" s="112"/>
      <c r="B237" s="155" t="s">
        <v>73</v>
      </c>
      <c r="C237" s="192"/>
      <c r="D237" s="192"/>
      <c r="E237" s="192"/>
      <c r="F237" s="192"/>
      <c r="G237" s="192"/>
      <c r="H237" s="192"/>
      <c r="I237" s="192"/>
      <c r="J237" s="192"/>
      <c r="K237" s="192"/>
      <c r="L237" s="192"/>
      <c r="M237" s="192"/>
      <c r="N237" s="155">
        <f t="shared" si="1"/>
        <v>0</v>
      </c>
      <c r="O237" s="193">
        <f t="shared" ref="O237:O243" si="4">N237/$N$245</f>
        <v>0</v>
      </c>
      <c r="P237" s="156">
        <f t="shared" si="2"/>
        <v>0</v>
      </c>
      <c r="Q237" s="193">
        <f t="shared" si="3"/>
        <v>0</v>
      </c>
      <c r="R237" s="176"/>
      <c r="S237" s="194"/>
      <c r="T237" s="2"/>
    </row>
    <row r="238" spans="1:20" ht="15.6" x14ac:dyDescent="0.3">
      <c r="A238" s="112"/>
      <c r="B238" s="155" t="s">
        <v>74</v>
      </c>
      <c r="C238" s="192"/>
      <c r="D238" s="192"/>
      <c r="E238" s="192"/>
      <c r="F238" s="192"/>
      <c r="G238" s="192"/>
      <c r="H238" s="192"/>
      <c r="I238" s="192"/>
      <c r="J238" s="192"/>
      <c r="K238" s="192"/>
      <c r="L238" s="192"/>
      <c r="M238" s="192"/>
      <c r="N238" s="155">
        <f t="shared" si="1"/>
        <v>0</v>
      </c>
      <c r="O238" s="193">
        <f t="shared" si="4"/>
        <v>0</v>
      </c>
      <c r="P238" s="156">
        <f t="shared" si="2"/>
        <v>0</v>
      </c>
      <c r="Q238" s="193">
        <f t="shared" si="3"/>
        <v>0</v>
      </c>
      <c r="R238" s="176"/>
      <c r="S238" s="194"/>
      <c r="T238" s="2"/>
    </row>
    <row r="239" spans="1:20" ht="15.6" x14ac:dyDescent="0.3">
      <c r="A239" s="112"/>
      <c r="B239" s="155" t="s">
        <v>119</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120</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121</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122</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123</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c r="C244" s="192"/>
      <c r="D244" s="192"/>
      <c r="E244" s="192"/>
      <c r="F244" s="192"/>
      <c r="G244" s="192"/>
      <c r="H244" s="192"/>
      <c r="I244" s="192"/>
      <c r="J244" s="192"/>
      <c r="K244" s="192"/>
      <c r="L244" s="192"/>
      <c r="M244" s="192"/>
      <c r="N244" s="155"/>
      <c r="O244" s="193"/>
      <c r="P244" s="156"/>
      <c r="Q244" s="193"/>
      <c r="R244" s="176"/>
      <c r="S244" s="194"/>
      <c r="T244" s="2"/>
    </row>
    <row r="245" spans="1:21" ht="15.6" x14ac:dyDescent="0.3">
      <c r="A245" s="112"/>
      <c r="B245" s="113" t="s">
        <v>94</v>
      </c>
      <c r="C245" s="113"/>
      <c r="D245" s="195"/>
      <c r="E245" s="195"/>
      <c r="F245" s="195"/>
      <c r="G245" s="195"/>
      <c r="H245" s="195"/>
      <c r="I245" s="195"/>
      <c r="J245" s="195"/>
      <c r="K245" s="195"/>
      <c r="L245" s="195"/>
      <c r="M245" s="195"/>
      <c r="N245" s="155">
        <f>SUM(N236:N244)</f>
        <v>1491</v>
      </c>
      <c r="O245" s="193">
        <f>SUM(O236:O244)</f>
        <v>1</v>
      </c>
      <c r="P245" s="156">
        <f>SUM(P236:P244)</f>
        <v>231471</v>
      </c>
      <c r="Q245" s="193">
        <f>SUM(Q236:Q244)</f>
        <v>1</v>
      </c>
      <c r="R245" s="113"/>
      <c r="S245" s="116"/>
      <c r="T245" s="2"/>
    </row>
    <row r="246" spans="1:21" ht="15.6" x14ac:dyDescent="0.3">
      <c r="A246" s="12"/>
      <c r="B246" s="165"/>
      <c r="C246" s="171"/>
      <c r="D246" s="43"/>
      <c r="E246" s="43"/>
      <c r="F246" s="43"/>
      <c r="G246" s="43"/>
      <c r="H246" s="43"/>
      <c r="I246" s="43"/>
      <c r="J246" s="43"/>
      <c r="K246" s="43"/>
      <c r="L246" s="43"/>
      <c r="M246" s="43"/>
      <c r="N246" s="43"/>
      <c r="O246" s="43"/>
      <c r="P246" s="172"/>
      <c r="Q246" s="43"/>
      <c r="R246" s="43"/>
      <c r="S246" s="218"/>
      <c r="T246" s="2"/>
    </row>
    <row r="247" spans="1:21" ht="15.6" x14ac:dyDescent="0.3">
      <c r="A247" s="53"/>
      <c r="B247" s="61" t="s">
        <v>124</v>
      </c>
      <c r="C247" s="62"/>
      <c r="D247" s="62"/>
      <c r="E247" s="62"/>
      <c r="F247" s="62"/>
      <c r="G247" s="62"/>
      <c r="H247" s="62"/>
      <c r="I247" s="62"/>
      <c r="J247" s="62"/>
      <c r="K247" s="62"/>
      <c r="L247" s="62"/>
      <c r="M247" s="62"/>
      <c r="N247" s="72" t="s">
        <v>83</v>
      </c>
      <c r="O247" s="62" t="s">
        <v>84</v>
      </c>
      <c r="P247" s="72" t="s">
        <v>89</v>
      </c>
      <c r="Q247" s="62" t="s">
        <v>84</v>
      </c>
      <c r="R247" s="54"/>
      <c r="S247" s="228"/>
      <c r="T247" s="2"/>
    </row>
    <row r="248" spans="1:21" ht="15.6" x14ac:dyDescent="0.3">
      <c r="A248" s="24"/>
      <c r="B248" s="78" t="s">
        <v>72</v>
      </c>
      <c r="C248" s="93"/>
      <c r="D248" s="93"/>
      <c r="E248" s="93"/>
      <c r="F248" s="93"/>
      <c r="G248" s="93"/>
      <c r="H248" s="93"/>
      <c r="I248" s="93"/>
      <c r="J248" s="93"/>
      <c r="K248" s="93"/>
      <c r="L248" s="93"/>
      <c r="M248" s="93"/>
      <c r="N248" s="78">
        <v>1491</v>
      </c>
      <c r="O248" s="81">
        <f>N248/$N$257</f>
        <v>1</v>
      </c>
      <c r="P248" s="82">
        <v>231471</v>
      </c>
      <c r="Q248" s="81">
        <f t="shared" ref="Q248:Q255" si="5">P248/$P$257</f>
        <v>1</v>
      </c>
      <c r="R248" s="94"/>
      <c r="S248" s="229"/>
      <c r="T248" s="2"/>
    </row>
    <row r="249" spans="1:21" ht="15.6" x14ac:dyDescent="0.3">
      <c r="A249" s="112"/>
      <c r="B249" s="155" t="s">
        <v>73</v>
      </c>
      <c r="C249" s="192"/>
      <c r="D249" s="192"/>
      <c r="E249" s="192"/>
      <c r="F249" s="192"/>
      <c r="G249" s="192"/>
      <c r="H249" s="192"/>
      <c r="I249" s="192"/>
      <c r="J249" s="192"/>
      <c r="K249" s="192"/>
      <c r="L249" s="192"/>
      <c r="M249" s="192"/>
      <c r="N249" s="155">
        <v>0</v>
      </c>
      <c r="O249" s="193">
        <f t="shared" ref="O249:O255" si="6">N249/$N$257</f>
        <v>0</v>
      </c>
      <c r="P249" s="156">
        <v>0</v>
      </c>
      <c r="Q249" s="193">
        <f t="shared" si="5"/>
        <v>0</v>
      </c>
      <c r="R249" s="176"/>
      <c r="S249" s="194"/>
      <c r="T249" s="2"/>
      <c r="U249" s="4"/>
    </row>
    <row r="250" spans="1:21" ht="15.6" x14ac:dyDescent="0.3">
      <c r="A250" s="112"/>
      <c r="B250" s="155" t="s">
        <v>74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row>
    <row r="251" spans="1:21" ht="15.6" x14ac:dyDescent="0.3">
      <c r="A251" s="112"/>
      <c r="B251" s="155" t="s">
        <v>119</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c r="U251" s="4"/>
    </row>
    <row r="252" spans="1:21" ht="15.6" x14ac:dyDescent="0.3">
      <c r="A252" s="112"/>
      <c r="B252" s="155" t="s">
        <v>120</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row>
    <row r="253" spans="1:21" ht="15.6" x14ac:dyDescent="0.3">
      <c r="A253" s="112"/>
      <c r="B253" s="155" t="s">
        <v>121</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c r="U253" s="4"/>
    </row>
    <row r="254" spans="1:21" ht="15.6" x14ac:dyDescent="0.3">
      <c r="A254" s="112"/>
      <c r="B254" s="155" t="s">
        <v>122</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row>
    <row r="255" spans="1:21" ht="15.6" x14ac:dyDescent="0.3">
      <c r="A255" s="112"/>
      <c r="B255" s="155" t="s">
        <v>123</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c r="U255" s="4"/>
    </row>
    <row r="256" spans="1:21" ht="15.6" x14ac:dyDescent="0.3">
      <c r="A256" s="112"/>
      <c r="B256" s="155"/>
      <c r="C256" s="192"/>
      <c r="D256" s="192"/>
      <c r="E256" s="192"/>
      <c r="F256" s="192"/>
      <c r="G256" s="192"/>
      <c r="H256" s="192"/>
      <c r="I256" s="192"/>
      <c r="J256" s="192"/>
      <c r="K256" s="192"/>
      <c r="L256" s="192"/>
      <c r="M256" s="192"/>
      <c r="N256" s="155"/>
      <c r="O256" s="193"/>
      <c r="P256" s="156"/>
      <c r="Q256" s="193"/>
      <c r="R256" s="176"/>
      <c r="S256" s="194"/>
      <c r="T256" s="2"/>
    </row>
    <row r="257" spans="1:20" ht="15.6" x14ac:dyDescent="0.3">
      <c r="A257" s="112"/>
      <c r="B257" s="113" t="s">
        <v>94</v>
      </c>
      <c r="C257" s="113"/>
      <c r="D257" s="195"/>
      <c r="E257" s="195"/>
      <c r="F257" s="195"/>
      <c r="G257" s="195"/>
      <c r="H257" s="195"/>
      <c r="I257" s="195"/>
      <c r="J257" s="195"/>
      <c r="K257" s="195"/>
      <c r="L257" s="195"/>
      <c r="M257" s="195"/>
      <c r="N257" s="155">
        <f>SUM(N248:N256)</f>
        <v>1491</v>
      </c>
      <c r="O257" s="193">
        <f>SUM(O248:O256)</f>
        <v>1</v>
      </c>
      <c r="P257" s="156">
        <f>SUM(P248:P256)</f>
        <v>231471</v>
      </c>
      <c r="Q257" s="193">
        <f>SUM(Q248:Q256)</f>
        <v>1</v>
      </c>
      <c r="R257" s="113"/>
      <c r="S257" s="116"/>
      <c r="T257" s="2"/>
    </row>
    <row r="258" spans="1:20" ht="15.6" x14ac:dyDescent="0.3">
      <c r="A258" s="12"/>
      <c r="B258" s="43"/>
      <c r="C258" s="43"/>
      <c r="D258" s="189"/>
      <c r="E258" s="189"/>
      <c r="F258" s="189"/>
      <c r="G258" s="189"/>
      <c r="H258" s="189"/>
      <c r="I258" s="189"/>
      <c r="J258" s="189"/>
      <c r="K258" s="189"/>
      <c r="L258" s="189"/>
      <c r="M258" s="189"/>
      <c r="N258" s="153"/>
      <c r="O258" s="190"/>
      <c r="P258" s="191"/>
      <c r="Q258" s="190"/>
      <c r="R258" s="43"/>
      <c r="S258" s="218"/>
      <c r="T258" s="2"/>
    </row>
    <row r="259" spans="1:20" ht="15.6" x14ac:dyDescent="0.3">
      <c r="A259" s="73"/>
      <c r="B259" s="61" t="s">
        <v>146</v>
      </c>
      <c r="C259" s="62"/>
      <c r="D259" s="62"/>
      <c r="E259" s="62"/>
      <c r="F259" s="62"/>
      <c r="G259" s="62"/>
      <c r="H259" s="62"/>
      <c r="I259" s="62"/>
      <c r="J259" s="62"/>
      <c r="K259" s="62"/>
      <c r="L259" s="62"/>
      <c r="M259" s="62"/>
      <c r="N259" s="72" t="s">
        <v>83</v>
      </c>
      <c r="O259" s="62" t="s">
        <v>84</v>
      </c>
      <c r="P259" s="72" t="s">
        <v>89</v>
      </c>
      <c r="Q259" s="62" t="s">
        <v>84</v>
      </c>
      <c r="R259" s="74"/>
      <c r="S259" s="75"/>
      <c r="T259" s="2"/>
    </row>
    <row r="260" spans="1:20" ht="15.6" x14ac:dyDescent="0.3">
      <c r="A260" s="24"/>
      <c r="B260" s="78" t="s">
        <v>72</v>
      </c>
      <c r="C260" s="93"/>
      <c r="D260" s="93"/>
      <c r="E260" s="93"/>
      <c r="F260" s="93"/>
      <c r="G260" s="93"/>
      <c r="H260" s="93"/>
      <c r="I260" s="93"/>
      <c r="J260" s="93"/>
      <c r="K260" s="93"/>
      <c r="L260" s="93"/>
      <c r="M260" s="93"/>
      <c r="N260" s="78">
        <v>0</v>
      </c>
      <c r="O260" s="81">
        <v>0</v>
      </c>
      <c r="P260" s="82">
        <v>0</v>
      </c>
      <c r="Q260" s="81">
        <v>0</v>
      </c>
      <c r="R260" s="79"/>
      <c r="S260" s="221"/>
      <c r="T260" s="2"/>
    </row>
    <row r="261" spans="1:20" ht="15.6" x14ac:dyDescent="0.3">
      <c r="A261" s="112"/>
      <c r="B261" s="155" t="s">
        <v>73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74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119</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120</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121</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122</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123</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c r="C268" s="192"/>
      <c r="D268" s="192"/>
      <c r="E268" s="192"/>
      <c r="F268" s="192"/>
      <c r="G268" s="192"/>
      <c r="H268" s="192"/>
      <c r="I268" s="192"/>
      <c r="J268" s="192"/>
      <c r="K268" s="192"/>
      <c r="L268" s="192"/>
      <c r="M268" s="192"/>
      <c r="N268" s="155"/>
      <c r="O268" s="193"/>
      <c r="P268" s="156"/>
      <c r="Q268" s="193"/>
      <c r="R268" s="113"/>
      <c r="S268" s="116"/>
      <c r="T268" s="2"/>
    </row>
    <row r="269" spans="1:20" ht="15.6" x14ac:dyDescent="0.3">
      <c r="A269" s="112"/>
      <c r="B269" s="113" t="s">
        <v>94</v>
      </c>
      <c r="C269" s="113"/>
      <c r="D269" s="195"/>
      <c r="E269" s="195"/>
      <c r="F269" s="195"/>
      <c r="G269" s="195"/>
      <c r="H269" s="195"/>
      <c r="I269" s="195"/>
      <c r="J269" s="195"/>
      <c r="K269" s="195"/>
      <c r="L269" s="195"/>
      <c r="M269" s="195"/>
      <c r="N269" s="155">
        <f>SUM(N260:N268)</f>
        <v>0</v>
      </c>
      <c r="O269" s="193">
        <f>SUM(O260:O268)</f>
        <v>0</v>
      </c>
      <c r="P269" s="156">
        <f>SUM(P260:P268)</f>
        <v>0</v>
      </c>
      <c r="Q269" s="193">
        <f>SUM(Q260:Q268)</f>
        <v>0</v>
      </c>
      <c r="R269" s="113"/>
      <c r="S269" s="116"/>
      <c r="T269" s="2"/>
    </row>
    <row r="270" spans="1:20" ht="15.6" x14ac:dyDescent="0.3">
      <c r="A270" s="12"/>
      <c r="B270" s="43"/>
      <c r="C270" s="43"/>
      <c r="D270" s="189"/>
      <c r="E270" s="189"/>
      <c r="F270" s="189"/>
      <c r="G270" s="189"/>
      <c r="H270" s="189"/>
      <c r="I270" s="189"/>
      <c r="J270" s="189"/>
      <c r="K270" s="189"/>
      <c r="L270" s="189"/>
      <c r="M270" s="189"/>
      <c r="N270" s="153"/>
      <c r="O270" s="190"/>
      <c r="P270" s="191"/>
      <c r="Q270" s="190"/>
      <c r="R270" s="43"/>
      <c r="S270" s="218"/>
      <c r="T270" s="2"/>
    </row>
    <row r="271" spans="1:20" ht="15.6" x14ac:dyDescent="0.3">
      <c r="A271" s="73"/>
      <c r="B271" s="61" t="s">
        <v>125</v>
      </c>
      <c r="C271" s="74"/>
      <c r="D271" s="76"/>
      <c r="E271" s="76"/>
      <c r="F271" s="76"/>
      <c r="G271" s="76"/>
      <c r="H271" s="76"/>
      <c r="I271" s="76"/>
      <c r="J271" s="76"/>
      <c r="K271" s="76"/>
      <c r="L271" s="76"/>
      <c r="M271" s="76"/>
      <c r="N271" s="72" t="s">
        <v>83</v>
      </c>
      <c r="O271" s="62" t="s">
        <v>84</v>
      </c>
      <c r="P271" s="72" t="s">
        <v>89</v>
      </c>
      <c r="Q271" s="62" t="s">
        <v>84</v>
      </c>
      <c r="R271" s="74"/>
      <c r="S271" s="75"/>
      <c r="T271" s="2"/>
    </row>
    <row r="272" spans="1:20" ht="15.6" x14ac:dyDescent="0.3">
      <c r="A272" s="77"/>
      <c r="B272" s="78" t="s">
        <v>72</v>
      </c>
      <c r="C272" s="79"/>
      <c r="D272" s="80"/>
      <c r="E272" s="80"/>
      <c r="F272" s="80"/>
      <c r="G272" s="80"/>
      <c r="H272" s="80"/>
      <c r="I272" s="80"/>
      <c r="J272" s="80"/>
      <c r="K272" s="80"/>
      <c r="L272" s="80"/>
      <c r="M272" s="80"/>
      <c r="N272" s="78">
        <v>0</v>
      </c>
      <c r="O272" s="81">
        <v>0</v>
      </c>
      <c r="P272" s="82">
        <v>0</v>
      </c>
      <c r="Q272" s="81">
        <v>0</v>
      </c>
      <c r="R272" s="79"/>
      <c r="S272" s="221"/>
      <c r="T272" s="2"/>
    </row>
    <row r="273" spans="1:20" ht="15.6" x14ac:dyDescent="0.3">
      <c r="A273" s="122"/>
      <c r="B273" s="155" t="s">
        <v>73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74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119</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120</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121</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122</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123</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c r="C280" s="113"/>
      <c r="D280" s="195"/>
      <c r="E280" s="195"/>
      <c r="F280" s="195"/>
      <c r="G280" s="195"/>
      <c r="H280" s="195"/>
      <c r="I280" s="195"/>
      <c r="J280" s="195"/>
      <c r="K280" s="195"/>
      <c r="L280" s="195"/>
      <c r="M280" s="195"/>
      <c r="N280" s="155"/>
      <c r="O280" s="193"/>
      <c r="P280" s="156"/>
      <c r="Q280" s="193"/>
      <c r="R280" s="113"/>
      <c r="S280" s="116"/>
      <c r="T280" s="2"/>
    </row>
    <row r="281" spans="1:20" ht="15.6" x14ac:dyDescent="0.3">
      <c r="A281" s="122"/>
      <c r="B281" s="113" t="s">
        <v>94</v>
      </c>
      <c r="C281" s="113"/>
      <c r="D281" s="195"/>
      <c r="E281" s="195"/>
      <c r="F281" s="195"/>
      <c r="G281" s="195"/>
      <c r="H281" s="195"/>
      <c r="I281" s="195"/>
      <c r="J281" s="195"/>
      <c r="K281" s="195"/>
      <c r="L281" s="195"/>
      <c r="M281" s="195"/>
      <c r="N281" s="155">
        <f>SUM(N272:N279)</f>
        <v>0</v>
      </c>
      <c r="O281" s="193">
        <f>SUM(O272:O279)</f>
        <v>0</v>
      </c>
      <c r="P281" s="156">
        <f>SUM(P272:P279)</f>
        <v>0</v>
      </c>
      <c r="Q281" s="193">
        <f>SUM(Q272:Q279)</f>
        <v>0</v>
      </c>
      <c r="R281" s="113"/>
      <c r="S281" s="116"/>
      <c r="T281" s="2"/>
    </row>
    <row r="282" spans="1:20" ht="15.6" x14ac:dyDescent="0.3">
      <c r="A282" s="122"/>
      <c r="B282" s="113"/>
      <c r="C282" s="113"/>
      <c r="D282" s="195"/>
      <c r="E282" s="195"/>
      <c r="F282" s="195"/>
      <c r="G282" s="195"/>
      <c r="H282" s="195"/>
      <c r="I282" s="195"/>
      <c r="J282" s="195"/>
      <c r="K282" s="195"/>
      <c r="L282" s="195"/>
      <c r="M282" s="195"/>
      <c r="N282" s="155"/>
      <c r="O282" s="193"/>
      <c r="P282" s="156"/>
      <c r="Q282" s="193"/>
      <c r="R282" s="113"/>
      <c r="S282" s="116"/>
      <c r="T282" s="2"/>
    </row>
    <row r="283" spans="1:20" ht="15.6" x14ac:dyDescent="0.3">
      <c r="A283" s="122"/>
      <c r="B283" s="124" t="s">
        <v>182</v>
      </c>
      <c r="C283" s="113"/>
      <c r="D283" s="195"/>
      <c r="E283" s="195"/>
      <c r="F283" s="195"/>
      <c r="G283" s="195"/>
      <c r="H283" s="195"/>
      <c r="I283" s="195"/>
      <c r="J283" s="195"/>
      <c r="K283" s="195"/>
      <c r="L283" s="195"/>
      <c r="M283" s="195"/>
      <c r="N283" s="197">
        <f>N281+N269+N257</f>
        <v>1491</v>
      </c>
      <c r="O283" s="193"/>
      <c r="P283" s="198">
        <f>+P281+P269+P257</f>
        <v>231471</v>
      </c>
      <c r="Q283" s="193"/>
      <c r="R283" s="113"/>
      <c r="S283" s="116"/>
      <c r="T283" s="2"/>
    </row>
    <row r="284" spans="1:20" ht="15.6" x14ac:dyDescent="0.3">
      <c r="A284" s="122"/>
      <c r="B284" s="124" t="s">
        <v>247</v>
      </c>
      <c r="C284" s="124"/>
      <c r="D284" s="206"/>
      <c r="E284" s="206"/>
      <c r="F284" s="206"/>
      <c r="G284" s="206"/>
      <c r="H284" s="206"/>
      <c r="I284" s="206"/>
      <c r="J284" s="206"/>
      <c r="K284" s="206"/>
      <c r="L284" s="206"/>
      <c r="M284" s="206"/>
      <c r="N284" s="197"/>
      <c r="O284" s="207"/>
      <c r="P284" s="208">
        <f>+R170</f>
        <v>816</v>
      </c>
      <c r="Q284" s="193"/>
      <c r="R284" s="113"/>
      <c r="S284" s="116"/>
      <c r="T284" s="2"/>
    </row>
    <row r="285" spans="1:20" ht="15.6" x14ac:dyDescent="0.3">
      <c r="A285" s="122"/>
      <c r="B285" s="124" t="s">
        <v>126</v>
      </c>
      <c r="C285" s="124"/>
      <c r="D285" s="206"/>
      <c r="E285" s="206"/>
      <c r="F285" s="206"/>
      <c r="G285" s="206"/>
      <c r="H285" s="206"/>
      <c r="I285" s="206"/>
      <c r="J285" s="206"/>
      <c r="K285" s="206"/>
      <c r="L285" s="206"/>
      <c r="M285" s="206"/>
      <c r="N285" s="197"/>
      <c r="O285" s="207"/>
      <c r="P285" s="208">
        <f>+P283+P284</f>
        <v>232287</v>
      </c>
      <c r="Q285" s="193"/>
      <c r="R285" s="113"/>
      <c r="S285" s="116"/>
      <c r="T285" s="2"/>
    </row>
    <row r="286" spans="1:20" ht="15.6" x14ac:dyDescent="0.3">
      <c r="A286" s="122"/>
      <c r="B286" s="124" t="s">
        <v>181</v>
      </c>
      <c r="C286" s="113"/>
      <c r="D286" s="195"/>
      <c r="E286" s="195"/>
      <c r="F286" s="195"/>
      <c r="G286" s="195"/>
      <c r="H286" s="195"/>
      <c r="I286" s="195"/>
      <c r="J286" s="195"/>
      <c r="K286" s="195"/>
      <c r="L286" s="195"/>
      <c r="M286" s="195"/>
      <c r="N286" s="197"/>
      <c r="O286" s="193"/>
      <c r="P286" s="198">
        <f>+R72</f>
        <v>232287</v>
      </c>
      <c r="Q286" s="193"/>
      <c r="R286" s="113"/>
      <c r="S286" s="116"/>
      <c r="T286" s="2"/>
    </row>
    <row r="287" spans="1:20" ht="15.6" x14ac:dyDescent="0.3">
      <c r="A287" s="122"/>
      <c r="B287" s="124"/>
      <c r="C287" s="113"/>
      <c r="D287" s="195"/>
      <c r="E287" s="195"/>
      <c r="F287" s="195"/>
      <c r="G287" s="195"/>
      <c r="H287" s="195"/>
      <c r="I287" s="195"/>
      <c r="J287" s="195"/>
      <c r="K287" s="195"/>
      <c r="L287" s="195"/>
      <c r="M287" s="195"/>
      <c r="N287" s="197"/>
      <c r="O287" s="193"/>
      <c r="P287" s="198"/>
      <c r="Q287" s="193"/>
      <c r="R287" s="113"/>
      <c r="S287" s="116"/>
      <c r="T287" s="2"/>
    </row>
    <row r="288" spans="1:20" ht="15.6" x14ac:dyDescent="0.3">
      <c r="A288" s="122"/>
      <c r="B288" s="124" t="s">
        <v>221</v>
      </c>
      <c r="C288" s="113"/>
      <c r="D288" s="195"/>
      <c r="E288" s="195"/>
      <c r="F288" s="195"/>
      <c r="G288" s="195"/>
      <c r="H288" s="195"/>
      <c r="I288" s="195"/>
      <c r="J288" s="195"/>
      <c r="K288" s="195"/>
      <c r="L288" s="195"/>
      <c r="M288" s="195"/>
      <c r="N288" s="197"/>
      <c r="O288" s="193"/>
      <c r="P288" s="215">
        <f>(J30+R138)/R30</f>
        <v>5.4027895833077037E-2</v>
      </c>
      <c r="Q288" s="193"/>
      <c r="R288" s="113"/>
      <c r="S288" s="116"/>
      <c r="T288" s="2"/>
    </row>
    <row r="289" spans="1:20" ht="15.6" x14ac:dyDescent="0.3">
      <c r="A289" s="83"/>
      <c r="B289" s="84"/>
      <c r="C289" s="84"/>
      <c r="D289" s="85"/>
      <c r="E289" s="85"/>
      <c r="F289" s="85"/>
      <c r="G289" s="85"/>
      <c r="H289" s="85"/>
      <c r="I289" s="85"/>
      <c r="J289" s="85"/>
      <c r="K289" s="85"/>
      <c r="L289" s="85"/>
      <c r="M289" s="85"/>
      <c r="N289" s="85"/>
      <c r="O289" s="85"/>
      <c r="P289" s="86"/>
      <c r="Q289" s="85"/>
      <c r="R289" s="84"/>
      <c r="S289" s="219"/>
      <c r="T289" s="2"/>
    </row>
    <row r="290" spans="1:20" ht="15.6" x14ac:dyDescent="0.3">
      <c r="A290" s="87"/>
      <c r="B290" s="88" t="s">
        <v>75</v>
      </c>
      <c r="C290" s="84"/>
      <c r="D290" s="89" t="s">
        <v>79</v>
      </c>
      <c r="E290" s="88"/>
      <c r="F290" s="88" t="s">
        <v>80</v>
      </c>
      <c r="G290" s="84"/>
      <c r="H290" s="88"/>
      <c r="I290" s="90"/>
      <c r="J290" s="90"/>
      <c r="K290" s="90"/>
      <c r="L290" s="90"/>
      <c r="M290" s="90"/>
      <c r="N290" s="90"/>
      <c r="O290" s="90"/>
      <c r="P290" s="90"/>
      <c r="Q290" s="90"/>
      <c r="R290" s="90"/>
      <c r="S290" s="230"/>
      <c r="T290" s="2"/>
    </row>
    <row r="291" spans="1:20" ht="15.6" x14ac:dyDescent="0.3">
      <c r="A291" s="87"/>
      <c r="B291" s="90"/>
      <c r="C291" s="84"/>
      <c r="D291" s="84"/>
      <c r="E291" s="84"/>
      <c r="F291" s="84"/>
      <c r="G291" s="84"/>
      <c r="H291" s="84"/>
      <c r="I291" s="90"/>
      <c r="J291" s="90"/>
      <c r="K291" s="90"/>
      <c r="L291" s="90"/>
      <c r="M291" s="90"/>
      <c r="N291" s="90"/>
      <c r="O291" s="90"/>
      <c r="P291" s="90"/>
      <c r="Q291" s="90"/>
      <c r="R291" s="90"/>
      <c r="S291" s="230"/>
      <c r="T291" s="2"/>
    </row>
    <row r="292" spans="1:20" ht="15.6" x14ac:dyDescent="0.3">
      <c r="A292" s="87"/>
      <c r="B292" s="214" t="s">
        <v>211</v>
      </c>
      <c r="C292" s="88"/>
      <c r="D292" s="91" t="s">
        <v>115</v>
      </c>
      <c r="E292" s="88"/>
      <c r="F292" s="88" t="s">
        <v>116</v>
      </c>
      <c r="G292" s="88"/>
      <c r="H292" s="88"/>
      <c r="I292" s="90"/>
      <c r="J292" s="90"/>
      <c r="K292" s="90"/>
      <c r="L292" s="90"/>
      <c r="M292" s="90"/>
      <c r="N292" s="90"/>
      <c r="O292" s="90"/>
      <c r="P292" s="90"/>
      <c r="Q292" s="90"/>
      <c r="R292" s="90"/>
      <c r="S292" s="230"/>
      <c r="T292" s="2"/>
    </row>
    <row r="293" spans="1:20" ht="15.6" x14ac:dyDescent="0.3">
      <c r="A293" s="87"/>
      <c r="B293" s="214" t="s">
        <v>212</v>
      </c>
      <c r="C293" s="88"/>
      <c r="D293" s="91" t="s">
        <v>147</v>
      </c>
      <c r="E293" s="88"/>
      <c r="F293" s="88" t="s">
        <v>148</v>
      </c>
      <c r="G293" s="88"/>
      <c r="H293" s="88"/>
      <c r="I293" s="90"/>
      <c r="J293" s="90"/>
      <c r="K293" s="90"/>
      <c r="L293" s="90"/>
      <c r="M293" s="90"/>
      <c r="N293" s="90"/>
      <c r="O293" s="90"/>
      <c r="P293" s="90"/>
      <c r="Q293" s="90"/>
      <c r="R293" s="90"/>
      <c r="S293" s="230"/>
      <c r="T293" s="2"/>
    </row>
    <row r="294" spans="1:20" ht="15.6" x14ac:dyDescent="0.3">
      <c r="A294" s="87"/>
      <c r="B294" s="214" t="s">
        <v>213</v>
      </c>
      <c r="C294" s="88"/>
      <c r="D294" s="91" t="s">
        <v>114</v>
      </c>
      <c r="E294" s="88"/>
      <c r="F294" s="88" t="s">
        <v>117</v>
      </c>
      <c r="G294" s="88"/>
      <c r="H294" s="88"/>
      <c r="I294" s="90"/>
      <c r="J294" s="90"/>
      <c r="K294" s="90"/>
      <c r="L294" s="90"/>
      <c r="M294" s="90"/>
      <c r="N294" s="90"/>
      <c r="O294" s="90"/>
      <c r="P294" s="90"/>
      <c r="Q294" s="90"/>
      <c r="R294" s="90"/>
      <c r="S294" s="230"/>
      <c r="T294" s="2"/>
    </row>
    <row r="295" spans="1:20" ht="15.6" x14ac:dyDescent="0.3">
      <c r="A295" s="87"/>
      <c r="B295" s="88"/>
      <c r="C295" s="88"/>
      <c r="D295" s="90"/>
      <c r="E295" s="90"/>
      <c r="F295" s="90"/>
      <c r="G295" s="90"/>
      <c r="H295" s="90"/>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8" thickBot="1" x14ac:dyDescent="0.35">
      <c r="A297" s="87"/>
      <c r="B297" s="92" t="str">
        <f>B195</f>
        <v>PM21 INVESTOR REPORT QUARTER ENDING FEBRUARY 2016</v>
      </c>
      <c r="C297" s="88"/>
      <c r="D297" s="90"/>
      <c r="E297" s="90"/>
      <c r="F297" s="90"/>
      <c r="G297" s="90"/>
      <c r="H297" s="90"/>
      <c r="I297" s="90"/>
      <c r="J297" s="90"/>
      <c r="K297" s="90"/>
      <c r="L297" s="90"/>
      <c r="M297" s="90"/>
      <c r="N297" s="90"/>
      <c r="O297" s="90"/>
      <c r="P297" s="90"/>
      <c r="Q297" s="90"/>
      <c r="R297" s="90"/>
      <c r="S297" s="99"/>
      <c r="T297" s="2"/>
    </row>
    <row r="298" spans="1:20" x14ac:dyDescent="0.25">
      <c r="A298" s="3"/>
      <c r="B298" s="3"/>
      <c r="C298" s="3"/>
      <c r="D298" s="3"/>
      <c r="E298" s="3"/>
      <c r="F298" s="3"/>
      <c r="G298" s="3"/>
      <c r="H298" s="3"/>
      <c r="I298" s="3"/>
      <c r="J298" s="3"/>
      <c r="K298" s="3"/>
      <c r="L298" s="3"/>
      <c r="M298" s="3"/>
      <c r="N298" s="3"/>
      <c r="O298" s="3"/>
      <c r="P298" s="3"/>
      <c r="Q298" s="3"/>
      <c r="R298" s="3"/>
      <c r="S298"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5" max="18" man="1"/>
  </rowBreaks>
  <colBreaks count="1" manualBreakCount="1">
    <brk id="19" max="299"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29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42542</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188</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200187.41017000002</v>
      </c>
      <c r="E29" s="130"/>
      <c r="F29" s="202">
        <f>F28*F32</f>
        <v>17700</v>
      </c>
      <c r="G29" s="202"/>
      <c r="H29" s="202">
        <f>H28*H32</f>
        <v>8100</v>
      </c>
      <c r="I29" s="126"/>
      <c r="J29" s="202">
        <f>J28*J32</f>
        <v>6300</v>
      </c>
      <c r="K29" s="126"/>
      <c r="L29" s="130"/>
      <c r="M29" s="126"/>
      <c r="N29" s="130"/>
      <c r="O29" s="126"/>
      <c r="P29" s="126"/>
      <c r="Q29" s="127"/>
      <c r="R29" s="126">
        <f>SUM(D29:J29)</f>
        <v>232287.41017000002</v>
      </c>
      <c r="S29" s="128"/>
      <c r="T29" s="2"/>
    </row>
    <row r="30" spans="1:23" ht="15.6" x14ac:dyDescent="0.3">
      <c r="A30" s="122"/>
      <c r="B30" s="121" t="s">
        <v>107</v>
      </c>
      <c r="C30" s="125"/>
      <c r="D30" s="203">
        <f>D28*D31</f>
        <v>194015.93742</v>
      </c>
      <c r="E30" s="203"/>
      <c r="F30" s="203">
        <f t="shared" ref="F30:J30" si="0">F28*F31</f>
        <v>17700</v>
      </c>
      <c r="G30" s="203"/>
      <c r="H30" s="203">
        <f>H28*H31</f>
        <v>8100</v>
      </c>
      <c r="I30" s="203"/>
      <c r="J30" s="203">
        <f t="shared" si="0"/>
        <v>6300</v>
      </c>
      <c r="K30" s="131"/>
      <c r="L30" s="133"/>
      <c r="M30" s="131"/>
      <c r="N30" s="133"/>
      <c r="O30" s="126"/>
      <c r="P30" s="126"/>
      <c r="Q30" s="127"/>
      <c r="R30" s="204">
        <f>SUM(D30:J30)</f>
        <v>226115.93742</v>
      </c>
      <c r="S30" s="128"/>
      <c r="T30" s="2"/>
    </row>
    <row r="31" spans="1:23" ht="15.6" x14ac:dyDescent="0.3">
      <c r="A31" s="112"/>
      <c r="B31" s="134" t="s">
        <v>103</v>
      </c>
      <c r="C31" s="135"/>
      <c r="D31" s="136">
        <v>0.89038980000000001</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0.91871230000000004</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1.39125E-2</v>
      </c>
      <c r="E34" s="143"/>
      <c r="F34" s="143">
        <v>1.99125E-2</v>
      </c>
      <c r="G34" s="143"/>
      <c r="H34" s="143">
        <v>2.3412499999999999E-2</v>
      </c>
      <c r="I34" s="143"/>
      <c r="J34" s="143">
        <v>2.6912499999999999E-2</v>
      </c>
      <c r="K34" s="143"/>
      <c r="L34" s="143"/>
      <c r="M34" s="142"/>
      <c r="N34" s="143"/>
      <c r="O34" s="123"/>
      <c r="P34" s="123"/>
      <c r="Q34" s="115"/>
      <c r="R34" s="142">
        <f>SUMPRODUCT(D34:J34,D29:J29)/R29</f>
        <v>1.5053543329924866E-2</v>
      </c>
      <c r="S34" s="116"/>
      <c r="T34" s="2"/>
    </row>
    <row r="35" spans="1:21" ht="15.6" x14ac:dyDescent="0.3">
      <c r="A35" s="112"/>
      <c r="B35" s="113" t="s">
        <v>10</v>
      </c>
      <c r="C35" s="144"/>
      <c r="D35" s="143">
        <v>1.38338E-2</v>
      </c>
      <c r="E35" s="143"/>
      <c r="F35" s="143">
        <v>1.9833799999999999E-2</v>
      </c>
      <c r="G35" s="143"/>
      <c r="H35" s="143">
        <v>2.3333799999999998E-2</v>
      </c>
      <c r="I35" s="143"/>
      <c r="J35" s="143">
        <v>2.6833800000000001E-2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0.1654503255086249</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42536</v>
      </c>
      <c r="S45" s="116"/>
      <c r="T45" s="2"/>
    </row>
    <row r="46" spans="1:21" ht="15.6" x14ac:dyDescent="0.3">
      <c r="A46" s="112"/>
      <c r="B46" s="113" t="s">
        <v>99</v>
      </c>
      <c r="C46" s="113"/>
      <c r="D46" s="150"/>
      <c r="E46" s="150"/>
      <c r="F46" s="150"/>
      <c r="G46" s="150"/>
      <c r="H46" s="150"/>
      <c r="I46" s="150"/>
      <c r="J46" s="150"/>
      <c r="K46" s="150"/>
      <c r="L46" s="150"/>
      <c r="M46" s="150"/>
      <c r="N46" s="113">
        <v>91</v>
      </c>
      <c r="O46" s="113"/>
      <c r="P46" s="151">
        <v>42353</v>
      </c>
      <c r="Q46" s="152"/>
      <c r="R46" s="151">
        <v>42443</v>
      </c>
      <c r="S46" s="116"/>
      <c r="T46" s="2"/>
    </row>
    <row r="47" spans="1:21" ht="15.6" x14ac:dyDescent="0.3">
      <c r="A47" s="112"/>
      <c r="B47" s="113" t="s">
        <v>100</v>
      </c>
      <c r="C47" s="113"/>
      <c r="D47" s="113"/>
      <c r="E47" s="113"/>
      <c r="F47" s="113"/>
      <c r="G47" s="113"/>
      <c r="H47" s="113"/>
      <c r="I47" s="113"/>
      <c r="J47" s="113"/>
      <c r="K47" s="113"/>
      <c r="L47" s="113"/>
      <c r="M47" s="113"/>
      <c r="N47" s="113">
        <f>+R47-P47+1</f>
        <v>92</v>
      </c>
      <c r="O47" s="113"/>
      <c r="P47" s="151">
        <v>42444</v>
      </c>
      <c r="Q47" s="152"/>
      <c r="R47" s="151">
        <v>42535</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42522</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260</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231471</v>
      </c>
      <c r="I56" s="155"/>
      <c r="J56" s="156">
        <v>143</v>
      </c>
      <c r="K56" s="155"/>
      <c r="L56" s="155">
        <f>4998+504-143</f>
        <v>5359</v>
      </c>
      <c r="M56" s="155"/>
      <c r="N56" s="155">
        <f>17+130</f>
        <v>147</v>
      </c>
      <c r="O56" s="155"/>
      <c r="P56" s="155">
        <v>0</v>
      </c>
      <c r="Q56" s="155"/>
      <c r="R56" s="156">
        <f>H56-J56-L56+N56-P56</f>
        <v>226116</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231471</v>
      </c>
      <c r="I59" s="155"/>
      <c r="J59" s="155">
        <f>J56+J57</f>
        <v>143</v>
      </c>
      <c r="K59" s="155"/>
      <c r="L59" s="155">
        <f>SUM(L56:L58)</f>
        <v>5359</v>
      </c>
      <c r="M59" s="155"/>
      <c r="N59" s="155">
        <f>SUM(N56:N58)</f>
        <v>147</v>
      </c>
      <c r="O59" s="155"/>
      <c r="P59" s="155">
        <f>SUM(P56:P58)</f>
        <v>0</v>
      </c>
      <c r="Q59" s="155"/>
      <c r="R59" s="155">
        <f>SUM(R56:R58)</f>
        <v>226116</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816</v>
      </c>
      <c r="I70" s="155"/>
      <c r="J70" s="155"/>
      <c r="K70" s="155"/>
      <c r="L70" s="155"/>
      <c r="M70" s="155"/>
      <c r="N70" s="155">
        <v>-816</v>
      </c>
      <c r="O70" s="155"/>
      <c r="P70" s="155"/>
      <c r="Q70" s="155"/>
      <c r="R70" s="155">
        <f>+H70+N70</f>
        <v>0</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232287</v>
      </c>
      <c r="I72" s="155"/>
      <c r="J72" s="155"/>
      <c r="K72" s="155"/>
      <c r="L72" s="155"/>
      <c r="M72" s="155"/>
      <c r="N72" s="155"/>
      <c r="O72" s="155"/>
      <c r="P72" s="155"/>
      <c r="Q72" s="155"/>
      <c r="R72" s="155">
        <f>SUM(R59:R71)</f>
        <v>226116</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+P196</f>
        <v>42521</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816</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v>-130</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5502</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2878-504</f>
        <v>2374</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108</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15</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16</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376</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6188</v>
      </c>
      <c r="Q89" s="113"/>
      <c r="R89" s="155">
        <f>SUM(R76:R88)</f>
        <v>2889</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6188</v>
      </c>
      <c r="Q92" s="113"/>
      <c r="R92" s="155">
        <f>R89+R90+R91</f>
        <v>2889</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236</v>
      </c>
      <c r="C96" s="113"/>
      <c r="D96" s="135"/>
      <c r="E96" s="135"/>
      <c r="F96" s="135"/>
      <c r="G96" s="135"/>
      <c r="H96" s="135"/>
      <c r="I96" s="135"/>
      <c r="J96" s="135"/>
      <c r="K96" s="135"/>
      <c r="L96" s="135"/>
      <c r="M96" s="135"/>
      <c r="N96" s="135"/>
      <c r="O96" s="135"/>
      <c r="P96" s="113"/>
      <c r="Q96" s="113"/>
      <c r="R96" s="156">
        <f>-88-2-3</f>
        <v>-93</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-265</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-702</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-89</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-48</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-1</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-43</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-87</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-21-157</f>
        <v>-178</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-1360</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-P178</f>
        <v>-17</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v>0</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-6171</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-6188</v>
      </c>
      <c r="Q119" s="155"/>
      <c r="R119" s="155">
        <f>SUM(R93:R118)</f>
        <v>-2889</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MAY 2016</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754.60156449999977</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5495.3984355000002</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f>+'Feb 16'!R149</f>
        <v>816</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-130</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-686</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0</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+'Feb 16'!R163</f>
        <v>247</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144</v>
      </c>
      <c r="C162" s="113"/>
      <c r="D162" s="113"/>
      <c r="E162" s="113"/>
      <c r="F162" s="113"/>
      <c r="G162" s="113"/>
      <c r="H162" s="113"/>
      <c r="I162" s="113"/>
      <c r="J162" s="113"/>
      <c r="K162" s="113"/>
      <c r="L162" s="113"/>
      <c r="M162" s="113"/>
      <c r="N162" s="113"/>
      <c r="O162" s="113"/>
      <c r="P162" s="113"/>
      <c r="Q162" s="113"/>
      <c r="R162" s="156">
        <f>+R84</f>
        <v>16</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142</v>
      </c>
      <c r="C163" s="113"/>
      <c r="D163" s="113"/>
      <c r="E163" s="113"/>
      <c r="F163" s="113"/>
      <c r="G163" s="113"/>
      <c r="H163" s="113"/>
      <c r="I163" s="113"/>
      <c r="J163" s="113"/>
      <c r="K163" s="113"/>
      <c r="L163" s="113"/>
      <c r="M163" s="113"/>
      <c r="N163" s="113"/>
      <c r="O163" s="113"/>
      <c r="P163" s="113"/>
      <c r="Q163" s="113"/>
      <c r="R163" s="156">
        <f>+R161-R162</f>
        <v>231</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2"/>
      <c r="S164" s="218"/>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217"/>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44</v>
      </c>
      <c r="C166" s="14"/>
      <c r="D166" s="14"/>
      <c r="E166" s="14"/>
      <c r="F166" s="14"/>
      <c r="G166" s="14"/>
      <c r="H166" s="14"/>
      <c r="I166" s="14"/>
      <c r="J166" s="14"/>
      <c r="K166" s="14"/>
      <c r="L166" s="14"/>
      <c r="M166" s="14"/>
      <c r="N166" s="14"/>
      <c r="O166" s="14"/>
      <c r="P166" s="14"/>
      <c r="Q166" s="14"/>
      <c r="R166" s="33"/>
      <c r="S166" s="218"/>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218"/>
      <c r="T167" s="2"/>
    </row>
    <row r="168" spans="1:252" ht="15.6" x14ac:dyDescent="0.3">
      <c r="A168" s="112"/>
      <c r="B168" s="113" t="s">
        <v>177</v>
      </c>
      <c r="C168" s="113"/>
      <c r="D168" s="113"/>
      <c r="E168" s="113"/>
      <c r="F168" s="113"/>
      <c r="G168" s="113"/>
      <c r="H168" s="113"/>
      <c r="I168" s="113"/>
      <c r="J168" s="113"/>
      <c r="K168" s="113"/>
      <c r="L168" s="113"/>
      <c r="M168" s="113"/>
      <c r="N168" s="113"/>
      <c r="O168" s="113"/>
      <c r="P168" s="113"/>
      <c r="Q168" s="113"/>
      <c r="R168" s="156">
        <f>+R59</f>
        <v>226116</v>
      </c>
      <c r="S168" s="116"/>
      <c r="T168" s="2"/>
    </row>
    <row r="169" spans="1:252" ht="15.6" x14ac:dyDescent="0.3">
      <c r="A169" s="112"/>
      <c r="B169" s="113" t="s">
        <v>178</v>
      </c>
      <c r="C169" s="113"/>
      <c r="D169" s="113"/>
      <c r="E169" s="113"/>
      <c r="F169" s="113"/>
      <c r="G169" s="113"/>
      <c r="H169" s="113"/>
      <c r="I169" s="113"/>
      <c r="J169" s="113"/>
      <c r="K169" s="113"/>
      <c r="L169" s="113"/>
      <c r="M169" s="113"/>
      <c r="N169" s="113"/>
      <c r="O169" s="113"/>
      <c r="P169" s="113"/>
      <c r="Q169" s="113"/>
      <c r="R169" s="156">
        <f>+R69</f>
        <v>0</v>
      </c>
      <c r="S169" s="116"/>
      <c r="T169" s="2"/>
    </row>
    <row r="170" spans="1:252" ht="15.6" x14ac:dyDescent="0.3">
      <c r="A170" s="112"/>
      <c r="B170" s="113" t="s">
        <v>246</v>
      </c>
      <c r="C170" s="113"/>
      <c r="D170" s="113"/>
      <c r="E170" s="113"/>
      <c r="F170" s="113"/>
      <c r="G170" s="113"/>
      <c r="H170" s="113"/>
      <c r="I170" s="113"/>
      <c r="J170" s="113"/>
      <c r="K170" s="113"/>
      <c r="L170" s="113"/>
      <c r="M170" s="113"/>
      <c r="N170" s="113"/>
      <c r="O170" s="113"/>
      <c r="P170" s="113"/>
      <c r="Q170" s="113"/>
      <c r="R170" s="156">
        <f>+R70</f>
        <v>0</v>
      </c>
      <c r="S170" s="116"/>
      <c r="T170" s="2"/>
    </row>
    <row r="171" spans="1:252" ht="15.6" x14ac:dyDescent="0.3">
      <c r="A171" s="112"/>
      <c r="B171" s="113" t="s">
        <v>126</v>
      </c>
      <c r="C171" s="113"/>
      <c r="D171" s="113"/>
      <c r="E171" s="113"/>
      <c r="F171" s="113"/>
      <c r="G171" s="113"/>
      <c r="H171" s="113"/>
      <c r="I171" s="113"/>
      <c r="J171" s="113"/>
      <c r="K171" s="113"/>
      <c r="L171" s="113"/>
      <c r="M171" s="113"/>
      <c r="N171" s="113"/>
      <c r="O171" s="113"/>
      <c r="P171" s="113"/>
      <c r="Q171" s="113"/>
      <c r="R171" s="156">
        <f>+R168+R169+R170</f>
        <v>226116</v>
      </c>
      <c r="S171" s="116"/>
      <c r="T171" s="2"/>
    </row>
    <row r="172" spans="1:252" ht="15.6" x14ac:dyDescent="0.3">
      <c r="A172" s="112"/>
      <c r="B172" s="113" t="s">
        <v>45</v>
      </c>
      <c r="C172" s="113"/>
      <c r="D172" s="113"/>
      <c r="E172" s="113"/>
      <c r="F172" s="113"/>
      <c r="G172" s="113"/>
      <c r="H172" s="113"/>
      <c r="I172" s="113"/>
      <c r="J172" s="113"/>
      <c r="K172" s="113"/>
      <c r="L172" s="113"/>
      <c r="M172" s="113"/>
      <c r="N172" s="113"/>
      <c r="O172" s="113"/>
      <c r="P172" s="113"/>
      <c r="Q172" s="113"/>
      <c r="R172" s="156">
        <f>R72</f>
        <v>226116</v>
      </c>
      <c r="S172" s="116"/>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2"/>
      <c r="S173" s="218"/>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217"/>
      <c r="T174" s="2"/>
    </row>
    <row r="175" spans="1:252" ht="15.6" x14ac:dyDescent="0.3">
      <c r="A175" s="12"/>
      <c r="B175" s="41" t="s">
        <v>46</v>
      </c>
      <c r="C175" s="37"/>
      <c r="D175" s="45"/>
      <c r="E175" s="45"/>
      <c r="F175" s="45"/>
      <c r="G175" s="45"/>
      <c r="H175" s="45"/>
      <c r="I175" s="45"/>
      <c r="J175" s="45"/>
      <c r="K175" s="45"/>
      <c r="L175" s="45"/>
      <c r="M175" s="45"/>
      <c r="N175" s="45"/>
      <c r="O175" s="45" t="s">
        <v>82</v>
      </c>
      <c r="P175" s="45" t="s">
        <v>173</v>
      </c>
      <c r="Q175" s="16"/>
      <c r="R175" s="46" t="s">
        <v>94</v>
      </c>
      <c r="S175" s="225"/>
      <c r="T175" s="2"/>
    </row>
    <row r="176" spans="1:252" ht="15.6" x14ac:dyDescent="0.3">
      <c r="A176" s="112"/>
      <c r="B176" s="113" t="s">
        <v>47</v>
      </c>
      <c r="C176" s="113"/>
      <c r="D176" s="113"/>
      <c r="E176" s="113"/>
      <c r="F176" s="113"/>
      <c r="G176" s="113"/>
      <c r="H176" s="113"/>
      <c r="I176" s="113"/>
      <c r="J176" s="113"/>
      <c r="K176" s="113"/>
      <c r="L176" s="113"/>
      <c r="M176" s="113"/>
      <c r="N176" s="113"/>
      <c r="O176" s="156">
        <f>+R28*0.05</f>
        <v>12500</v>
      </c>
      <c r="P176" s="145"/>
      <c r="Q176" s="113"/>
      <c r="R176" s="156"/>
      <c r="S176" s="116"/>
      <c r="T176" s="2"/>
    </row>
    <row r="177" spans="1:20" ht="15.6" x14ac:dyDescent="0.3">
      <c r="A177" s="112"/>
      <c r="B177" s="113" t="s">
        <v>48</v>
      </c>
      <c r="C177" s="113"/>
      <c r="D177" s="113"/>
      <c r="E177" s="113"/>
      <c r="F177" s="113"/>
      <c r="G177" s="113"/>
      <c r="H177" s="113"/>
      <c r="I177" s="113"/>
      <c r="J177" s="113"/>
      <c r="K177" s="113"/>
      <c r="L177" s="113"/>
      <c r="M177" s="113"/>
      <c r="N177" s="113"/>
      <c r="O177" s="156">
        <f>+'Feb 16'!O179</f>
        <v>636</v>
      </c>
      <c r="P177" s="156">
        <f>+'Feb 16'!P179</f>
        <v>497</v>
      </c>
      <c r="Q177" s="113"/>
      <c r="R177" s="156">
        <f>O177+P177</f>
        <v>1133</v>
      </c>
      <c r="S177" s="116"/>
      <c r="T177" s="2"/>
    </row>
    <row r="178" spans="1:20" ht="15.6" x14ac:dyDescent="0.3">
      <c r="A178" s="112"/>
      <c r="B178" s="113" t="s">
        <v>49</v>
      </c>
      <c r="C178" s="113"/>
      <c r="D178" s="113"/>
      <c r="E178" s="113"/>
      <c r="F178" s="113"/>
      <c r="G178" s="113"/>
      <c r="H178" s="113"/>
      <c r="I178" s="113"/>
      <c r="J178" s="113"/>
      <c r="K178" s="113"/>
      <c r="L178" s="113"/>
      <c r="M178" s="113"/>
      <c r="N178" s="113"/>
      <c r="O178" s="155">
        <v>130</v>
      </c>
      <c r="P178" s="155">
        <v>17</v>
      </c>
      <c r="Q178" s="113"/>
      <c r="R178" s="156">
        <f>O178+P178</f>
        <v>147</v>
      </c>
      <c r="S178" s="116"/>
      <c r="T178" s="2"/>
    </row>
    <row r="179" spans="1:20" ht="15.6" x14ac:dyDescent="0.3">
      <c r="A179" s="112"/>
      <c r="B179" s="113" t="s">
        <v>50</v>
      </c>
      <c r="C179" s="113"/>
      <c r="D179" s="113"/>
      <c r="E179" s="113"/>
      <c r="F179" s="113"/>
      <c r="G179" s="113"/>
      <c r="H179" s="113"/>
      <c r="I179" s="113"/>
      <c r="J179" s="113"/>
      <c r="K179" s="113"/>
      <c r="L179" s="113"/>
      <c r="M179" s="113"/>
      <c r="N179" s="113"/>
      <c r="O179" s="156">
        <f>O177+O178</f>
        <v>766</v>
      </c>
      <c r="P179" s="156">
        <f>P178+P177</f>
        <v>514</v>
      </c>
      <c r="Q179" s="113"/>
      <c r="R179" s="156">
        <f>O179+P179</f>
        <v>1280</v>
      </c>
      <c r="S179" s="116"/>
      <c r="T179" s="2"/>
    </row>
    <row r="180" spans="1:20" ht="15.6" x14ac:dyDescent="0.3">
      <c r="A180" s="112"/>
      <c r="B180" s="113" t="s">
        <v>51</v>
      </c>
      <c r="C180" s="113"/>
      <c r="D180" s="113"/>
      <c r="E180" s="113"/>
      <c r="F180" s="113"/>
      <c r="G180" s="113"/>
      <c r="H180" s="113"/>
      <c r="I180" s="113"/>
      <c r="J180" s="113"/>
      <c r="K180" s="113"/>
      <c r="L180" s="113"/>
      <c r="M180" s="113"/>
      <c r="N180" s="113"/>
      <c r="O180" s="156">
        <f>O176-O179-P179</f>
        <v>11220</v>
      </c>
      <c r="P180" s="145"/>
      <c r="Q180" s="113"/>
      <c r="R180" s="156"/>
      <c r="S180" s="116"/>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2"/>
      <c r="S181" s="218"/>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217"/>
      <c r="T182" s="2"/>
    </row>
    <row r="183" spans="1:20" ht="15.6" x14ac:dyDescent="0.3">
      <c r="A183" s="12"/>
      <c r="B183" s="41" t="s">
        <v>52</v>
      </c>
      <c r="C183" s="14"/>
      <c r="D183" s="14"/>
      <c r="E183" s="14"/>
      <c r="F183" s="14"/>
      <c r="G183" s="14"/>
      <c r="H183" s="14"/>
      <c r="I183" s="14"/>
      <c r="J183" s="14"/>
      <c r="K183" s="14"/>
      <c r="L183" s="14"/>
      <c r="M183" s="14"/>
      <c r="N183" s="14"/>
      <c r="O183" s="14"/>
      <c r="P183" s="14"/>
      <c r="Q183" s="14"/>
      <c r="R183" s="47"/>
      <c r="S183" s="218"/>
      <c r="T183" s="2"/>
    </row>
    <row r="184" spans="1:20" ht="15.6" x14ac:dyDescent="0.3">
      <c r="A184" s="112"/>
      <c r="B184" s="113" t="s">
        <v>53</v>
      </c>
      <c r="C184" s="113"/>
      <c r="D184" s="113"/>
      <c r="E184" s="113"/>
      <c r="F184" s="113"/>
      <c r="G184" s="113"/>
      <c r="H184" s="113"/>
      <c r="I184" s="113"/>
      <c r="J184" s="113"/>
      <c r="K184" s="113"/>
      <c r="L184" s="113"/>
      <c r="M184" s="113"/>
      <c r="N184" s="113"/>
      <c r="O184" s="113"/>
      <c r="P184" s="113"/>
      <c r="Q184" s="113"/>
      <c r="R184" s="161">
        <f>(R92+R94+R95+R96+R97)/-(R98)</f>
        <v>3.6011396011396011</v>
      </c>
      <c r="S184" s="116" t="s">
        <v>95</v>
      </c>
      <c r="T184" s="2"/>
    </row>
    <row r="185" spans="1:20" ht="15.6" x14ac:dyDescent="0.3">
      <c r="A185" s="112"/>
      <c r="B185" s="113" t="s">
        <v>54</v>
      </c>
      <c r="C185" s="113"/>
      <c r="D185" s="113"/>
      <c r="E185" s="113"/>
      <c r="F185" s="113"/>
      <c r="G185" s="113"/>
      <c r="H185" s="113"/>
      <c r="I185" s="113"/>
      <c r="J185" s="113"/>
      <c r="K185" s="113"/>
      <c r="L185" s="113"/>
      <c r="M185" s="113"/>
      <c r="N185" s="113"/>
      <c r="O185" s="113"/>
      <c r="P185" s="113"/>
      <c r="Q185" s="113"/>
      <c r="R185" s="164">
        <v>3.52</v>
      </c>
      <c r="S185" s="116" t="s">
        <v>95</v>
      </c>
      <c r="T185" s="2"/>
    </row>
    <row r="186" spans="1:20" ht="15.6" x14ac:dyDescent="0.3">
      <c r="A186" s="112"/>
      <c r="B186" s="113" t="s">
        <v>192</v>
      </c>
      <c r="C186" s="113"/>
      <c r="D186" s="113"/>
      <c r="E186" s="113"/>
      <c r="F186" s="113"/>
      <c r="G186" s="113"/>
      <c r="H186" s="113"/>
      <c r="I186" s="113"/>
      <c r="J186" s="113"/>
      <c r="K186" s="113"/>
      <c r="L186" s="113"/>
      <c r="M186" s="113"/>
      <c r="N186" s="113"/>
      <c r="O186" s="113"/>
      <c r="P186" s="113"/>
      <c r="Q186" s="113"/>
      <c r="R186" s="161">
        <f>(R92+R94+R95+R96+R97+R98)/-(R99)</f>
        <v>20.516853932584269</v>
      </c>
      <c r="S186" s="116" t="s">
        <v>95</v>
      </c>
      <c r="T186" s="2"/>
    </row>
    <row r="187" spans="1:20" ht="15.6" x14ac:dyDescent="0.3">
      <c r="A187" s="112"/>
      <c r="B187" s="113" t="s">
        <v>193</v>
      </c>
      <c r="C187" s="113"/>
      <c r="D187" s="113"/>
      <c r="E187" s="113"/>
      <c r="F187" s="113"/>
      <c r="G187" s="113"/>
      <c r="H187" s="113"/>
      <c r="I187" s="113"/>
      <c r="J187" s="113"/>
      <c r="K187" s="113"/>
      <c r="L187" s="113"/>
      <c r="M187" s="113"/>
      <c r="N187" s="113"/>
      <c r="O187" s="113"/>
      <c r="P187" s="113"/>
      <c r="Q187" s="113"/>
      <c r="R187" s="164">
        <v>20.8</v>
      </c>
      <c r="S187" s="116" t="s">
        <v>95</v>
      </c>
      <c r="T187" s="2"/>
    </row>
    <row r="188" spans="1:20" ht="15.6" x14ac:dyDescent="0.3">
      <c r="A188" s="112"/>
      <c r="B188" s="113" t="s">
        <v>194</v>
      </c>
      <c r="C188" s="113"/>
      <c r="D188" s="113"/>
      <c r="E188" s="113"/>
      <c r="F188" s="113"/>
      <c r="G188" s="113"/>
      <c r="H188" s="113"/>
      <c r="I188" s="113"/>
      <c r="J188" s="113"/>
      <c r="K188" s="113"/>
      <c r="L188" s="113"/>
      <c r="M188" s="113"/>
      <c r="N188" s="113"/>
      <c r="O188" s="113"/>
      <c r="P188" s="113"/>
      <c r="Q188" s="113"/>
      <c r="R188" s="161">
        <f>(R92+R94+R95+R96+R97+R98+R99)/-(R100)</f>
        <v>36.1875</v>
      </c>
      <c r="S188" s="116" t="s">
        <v>95</v>
      </c>
      <c r="T188" s="2"/>
    </row>
    <row r="189" spans="1:20" ht="15.6" x14ac:dyDescent="0.3">
      <c r="A189" s="112"/>
      <c r="B189" s="113" t="s">
        <v>195</v>
      </c>
      <c r="C189" s="113"/>
      <c r="D189" s="113"/>
      <c r="E189" s="113"/>
      <c r="F189" s="113"/>
      <c r="G189" s="113"/>
      <c r="H189" s="113"/>
      <c r="I189" s="113"/>
      <c r="J189" s="113"/>
      <c r="K189" s="113"/>
      <c r="L189" s="113"/>
      <c r="M189" s="113"/>
      <c r="N189" s="113"/>
      <c r="O189" s="113"/>
      <c r="P189" s="113"/>
      <c r="Q189" s="113"/>
      <c r="R189" s="164">
        <v>36.89</v>
      </c>
      <c r="S189" s="116" t="s">
        <v>95</v>
      </c>
      <c r="T189" s="2"/>
    </row>
    <row r="190" spans="1:20" ht="15.6" x14ac:dyDescent="0.3">
      <c r="A190" s="112"/>
      <c r="B190" s="113" t="s">
        <v>196</v>
      </c>
      <c r="C190" s="113"/>
      <c r="D190" s="113"/>
      <c r="E190" s="113"/>
      <c r="F190" s="113"/>
      <c r="G190" s="113"/>
      <c r="H190" s="113"/>
      <c r="I190" s="113"/>
      <c r="J190" s="113"/>
      <c r="K190" s="113"/>
      <c r="L190" s="113"/>
      <c r="M190" s="113"/>
      <c r="N190" s="113"/>
      <c r="O190" s="113"/>
      <c r="P190" s="113"/>
      <c r="Q190" s="113"/>
      <c r="R190" s="161">
        <f>(R92+R94+R95+R96+R97+R98+R99+R100+R101+R102+R103+R104+R105)/-(R106)</f>
        <v>38.790697674418603</v>
      </c>
      <c r="S190" s="116" t="s">
        <v>95</v>
      </c>
      <c r="T190" s="2"/>
    </row>
    <row r="191" spans="1:20" ht="15.6" x14ac:dyDescent="0.3">
      <c r="A191" s="112"/>
      <c r="B191" s="113" t="s">
        <v>197</v>
      </c>
      <c r="C191" s="113"/>
      <c r="D191" s="113"/>
      <c r="E191" s="113"/>
      <c r="F191" s="113"/>
      <c r="G191" s="113"/>
      <c r="H191" s="113"/>
      <c r="I191" s="113"/>
      <c r="J191" s="113"/>
      <c r="K191" s="113"/>
      <c r="L191" s="113"/>
      <c r="M191" s="113"/>
      <c r="N191" s="113"/>
      <c r="O191" s="113"/>
      <c r="P191" s="113"/>
      <c r="Q191" s="113"/>
      <c r="R191" s="164">
        <v>39.69</v>
      </c>
      <c r="S191" s="116" t="s">
        <v>95</v>
      </c>
      <c r="T191" s="2"/>
    </row>
    <row r="192" spans="1:20" ht="15.6" x14ac:dyDescent="0.3">
      <c r="A192" s="112"/>
      <c r="B192" s="113"/>
      <c r="C192" s="113"/>
      <c r="D192" s="113"/>
      <c r="E192" s="113"/>
      <c r="F192" s="113"/>
      <c r="G192" s="113"/>
      <c r="H192" s="113"/>
      <c r="I192" s="113"/>
      <c r="J192" s="113"/>
      <c r="K192" s="113"/>
      <c r="L192" s="113"/>
      <c r="M192" s="113"/>
      <c r="N192" s="113"/>
      <c r="O192" s="113"/>
      <c r="P192" s="113"/>
      <c r="Q192" s="113"/>
      <c r="R192" s="113"/>
      <c r="S192" s="116"/>
      <c r="T192" s="2"/>
    </row>
    <row r="193" spans="1:20" ht="15.6" x14ac:dyDescent="0.3">
      <c r="A193" s="12"/>
      <c r="B193" s="163"/>
      <c r="C193" s="163"/>
      <c r="D193" s="163"/>
      <c r="E193" s="163"/>
      <c r="F193" s="163"/>
      <c r="G193" s="163"/>
      <c r="H193" s="163"/>
      <c r="I193" s="163"/>
      <c r="J193" s="163"/>
      <c r="K193" s="163"/>
      <c r="L193" s="163"/>
      <c r="M193" s="163"/>
      <c r="N193" s="163"/>
      <c r="O193" s="163"/>
      <c r="P193" s="163"/>
      <c r="Q193" s="163"/>
      <c r="R193" s="163"/>
      <c r="S193" s="219"/>
      <c r="T193" s="2"/>
    </row>
    <row r="194" spans="1:20" ht="15.6" x14ac:dyDescent="0.3">
      <c r="A194" s="12"/>
      <c r="B194" s="84"/>
      <c r="C194" s="84"/>
      <c r="D194" s="84"/>
      <c r="E194" s="84"/>
      <c r="F194" s="84"/>
      <c r="G194" s="84"/>
      <c r="H194" s="84"/>
      <c r="I194" s="84"/>
      <c r="J194" s="84"/>
      <c r="K194" s="84"/>
      <c r="L194" s="84"/>
      <c r="M194" s="84"/>
      <c r="N194" s="84"/>
      <c r="O194" s="84"/>
      <c r="P194" s="84"/>
      <c r="Q194" s="84"/>
      <c r="R194" s="84"/>
      <c r="S194" s="219"/>
      <c r="T194" s="2"/>
    </row>
    <row r="195" spans="1:20" ht="18" thickBot="1" x14ac:dyDescent="0.35">
      <c r="A195" s="28"/>
      <c r="B195" s="97" t="str">
        <f>B123</f>
        <v>PM21 INVESTOR REPORT QUARTER ENDING MAY 2016</v>
      </c>
      <c r="C195" s="98"/>
      <c r="D195" s="98"/>
      <c r="E195" s="98"/>
      <c r="F195" s="98"/>
      <c r="G195" s="98"/>
      <c r="H195" s="98"/>
      <c r="I195" s="98"/>
      <c r="J195" s="98"/>
      <c r="K195" s="98"/>
      <c r="L195" s="98"/>
      <c r="M195" s="98"/>
      <c r="N195" s="98"/>
      <c r="O195" s="98"/>
      <c r="P195" s="98"/>
      <c r="Q195" s="98"/>
      <c r="R195" s="98"/>
      <c r="S195" s="99"/>
      <c r="T195" s="2"/>
    </row>
    <row r="196" spans="1:20" ht="15.6" x14ac:dyDescent="0.3">
      <c r="A196" s="65"/>
      <c r="B196" s="66" t="s">
        <v>55</v>
      </c>
      <c r="C196" s="69"/>
      <c r="D196" s="70"/>
      <c r="E196" s="70"/>
      <c r="F196" s="70"/>
      <c r="G196" s="70"/>
      <c r="H196" s="70"/>
      <c r="I196" s="70"/>
      <c r="J196" s="70"/>
      <c r="K196" s="70"/>
      <c r="L196" s="70"/>
      <c r="M196" s="70"/>
      <c r="N196" s="70"/>
      <c r="O196" s="70"/>
      <c r="P196" s="70">
        <v>42521</v>
      </c>
      <c r="Q196" s="67"/>
      <c r="R196" s="67"/>
      <c r="S196" s="224"/>
      <c r="T196" s="2"/>
    </row>
    <row r="197" spans="1:20" ht="15.6" x14ac:dyDescent="0.3">
      <c r="A197" s="48"/>
      <c r="B197" s="49"/>
      <c r="C197" s="50"/>
      <c r="D197" s="51"/>
      <c r="E197" s="51"/>
      <c r="F197" s="51"/>
      <c r="G197" s="51"/>
      <c r="H197" s="51"/>
      <c r="I197" s="51"/>
      <c r="J197" s="51"/>
      <c r="K197" s="51"/>
      <c r="L197" s="51"/>
      <c r="M197" s="51"/>
      <c r="N197" s="51"/>
      <c r="O197" s="51"/>
      <c r="P197" s="51"/>
      <c r="Q197" s="14"/>
      <c r="R197" s="14"/>
      <c r="S197" s="218"/>
      <c r="T197" s="2"/>
    </row>
    <row r="198" spans="1:20" ht="15.6" x14ac:dyDescent="0.3">
      <c r="A198" s="167"/>
      <c r="B198" s="113" t="s">
        <v>56</v>
      </c>
      <c r="C198" s="168"/>
      <c r="D198" s="148"/>
      <c r="E198" s="148"/>
      <c r="F198" s="148"/>
      <c r="G198" s="148"/>
      <c r="H198" s="148"/>
      <c r="I198" s="148"/>
      <c r="J198" s="148"/>
      <c r="K198" s="148"/>
      <c r="L198" s="148"/>
      <c r="M198" s="148"/>
      <c r="N198" s="148"/>
      <c r="O198" s="148"/>
      <c r="P198" s="142">
        <v>4.1349999999999998E-2</v>
      </c>
      <c r="Q198" s="113"/>
      <c r="R198" s="113"/>
      <c r="S198" s="116"/>
      <c r="T198" s="2"/>
    </row>
    <row r="199" spans="1:20" ht="15.6" x14ac:dyDescent="0.3">
      <c r="A199" s="167"/>
      <c r="B199" s="113" t="s">
        <v>161</v>
      </c>
      <c r="C199" s="168"/>
      <c r="D199" s="148"/>
      <c r="E199" s="148"/>
      <c r="F199" s="148"/>
      <c r="G199" s="148"/>
      <c r="H199" s="148"/>
      <c r="I199" s="148"/>
      <c r="J199" s="148"/>
      <c r="K199" s="148"/>
      <c r="L199" s="148"/>
      <c r="M199" s="148"/>
      <c r="N199" s="148"/>
      <c r="O199" s="148"/>
      <c r="P199" s="142">
        <v>1.50706E-2</v>
      </c>
      <c r="Q199" s="113"/>
      <c r="R199" s="113"/>
      <c r="S199" s="116"/>
      <c r="T199" s="2"/>
    </row>
    <row r="200" spans="1:20" ht="15.6" x14ac:dyDescent="0.3">
      <c r="A200" s="167"/>
      <c r="B200" s="113" t="s">
        <v>57</v>
      </c>
      <c r="C200" s="168"/>
      <c r="D200" s="148"/>
      <c r="E200" s="148"/>
      <c r="F200" s="148"/>
      <c r="G200" s="148"/>
      <c r="H200" s="148"/>
      <c r="I200" s="148"/>
      <c r="J200" s="148"/>
      <c r="K200" s="148"/>
      <c r="L200" s="148"/>
      <c r="M200" s="148"/>
      <c r="N200" s="148"/>
      <c r="O200" s="148"/>
      <c r="P200" s="211">
        <f>P198-P199</f>
        <v>2.6279399999999998E-2</v>
      </c>
      <c r="Q200" s="113"/>
      <c r="R200" s="113"/>
      <c r="S200" s="116"/>
      <c r="T200" s="2"/>
    </row>
    <row r="201" spans="1:20" ht="15.6" x14ac:dyDescent="0.3">
      <c r="A201" s="167"/>
      <c r="B201" s="113" t="s">
        <v>164</v>
      </c>
      <c r="C201" s="168"/>
      <c r="D201" s="148"/>
      <c r="E201" s="148"/>
      <c r="F201" s="148"/>
      <c r="G201" s="148"/>
      <c r="H201" s="148"/>
      <c r="I201" s="148"/>
      <c r="J201" s="148"/>
      <c r="K201" s="148"/>
      <c r="L201" s="148"/>
      <c r="M201" s="148"/>
      <c r="N201" s="148"/>
      <c r="O201" s="148"/>
      <c r="P201" s="211">
        <v>4.5912500000000002E-2</v>
      </c>
      <c r="Q201" s="113"/>
      <c r="R201" s="113"/>
      <c r="S201" s="116"/>
      <c r="T201" s="2"/>
    </row>
    <row r="202" spans="1:20" ht="15.6" x14ac:dyDescent="0.3">
      <c r="A202" s="167"/>
      <c r="B202" s="113" t="s">
        <v>58</v>
      </c>
      <c r="C202" s="168"/>
      <c r="D202" s="148"/>
      <c r="E202" s="148"/>
      <c r="F202" s="148"/>
      <c r="G202" s="148"/>
      <c r="H202" s="148"/>
      <c r="I202" s="148"/>
      <c r="J202" s="148"/>
      <c r="K202" s="148"/>
      <c r="L202" s="148"/>
      <c r="M202" s="148"/>
      <c r="N202" s="148"/>
      <c r="O202" s="148"/>
      <c r="P202" s="209">
        <v>4.1880000000000001E-2</v>
      </c>
      <c r="Q202" s="113"/>
      <c r="R202" s="113"/>
      <c r="S202" s="116"/>
      <c r="T202" s="2"/>
    </row>
    <row r="203" spans="1:20" ht="15.6" x14ac:dyDescent="0.3">
      <c r="A203" s="167"/>
      <c r="B203" s="113" t="s">
        <v>162</v>
      </c>
      <c r="C203" s="168"/>
      <c r="D203" s="148"/>
      <c r="E203" s="148"/>
      <c r="F203" s="148"/>
      <c r="G203" s="148"/>
      <c r="H203" s="148"/>
      <c r="I203" s="148"/>
      <c r="J203" s="148"/>
      <c r="K203" s="148"/>
      <c r="L203" s="148"/>
      <c r="M203" s="148"/>
      <c r="N203" s="148"/>
      <c r="O203" s="148"/>
      <c r="P203" s="142">
        <f>R34</f>
        <v>1.5053543329924866E-2</v>
      </c>
      <c r="Q203" s="113"/>
      <c r="R203" s="113"/>
      <c r="S203" s="116"/>
      <c r="T203" s="2"/>
    </row>
    <row r="204" spans="1:20" ht="15.6" x14ac:dyDescent="0.3">
      <c r="A204" s="167"/>
      <c r="B204" s="113" t="s">
        <v>59</v>
      </c>
      <c r="C204" s="168"/>
      <c r="D204" s="148"/>
      <c r="E204" s="148"/>
      <c r="F204" s="148"/>
      <c r="G204" s="148"/>
      <c r="H204" s="148"/>
      <c r="I204" s="148"/>
      <c r="J204" s="148"/>
      <c r="K204" s="148"/>
      <c r="L204" s="148"/>
      <c r="M204" s="148"/>
      <c r="N204" s="148"/>
      <c r="O204" s="148"/>
      <c r="P204" s="142">
        <f>P202-P203</f>
        <v>2.6826456670075133E-2</v>
      </c>
      <c r="Q204" s="113"/>
      <c r="R204" s="113"/>
      <c r="S204" s="116"/>
      <c r="T204" s="2"/>
    </row>
    <row r="205" spans="1:20" ht="15.6" x14ac:dyDescent="0.3">
      <c r="A205" s="167"/>
      <c r="B205" s="113" t="s">
        <v>139</v>
      </c>
      <c r="C205" s="168"/>
      <c r="D205" s="148"/>
      <c r="E205" s="148"/>
      <c r="F205" s="148"/>
      <c r="G205" s="148"/>
      <c r="H205" s="148"/>
      <c r="I205" s="148"/>
      <c r="J205" s="148"/>
      <c r="K205" s="148"/>
      <c r="L205" s="148"/>
      <c r="M205" s="148"/>
      <c r="N205" s="148"/>
      <c r="O205" s="148"/>
      <c r="P205" s="142">
        <f>(+R92+R94)/H72</f>
        <v>1.2437200532100377E-2</v>
      </c>
      <c r="Q205" s="113"/>
      <c r="R205" s="113"/>
      <c r="S205" s="116"/>
      <c r="T205" s="2"/>
    </row>
    <row r="206" spans="1:20" ht="15.6" x14ac:dyDescent="0.3">
      <c r="A206" s="167"/>
      <c r="B206" s="113" t="s">
        <v>132</v>
      </c>
      <c r="C206" s="168"/>
      <c r="D206" s="148"/>
      <c r="E206" s="148"/>
      <c r="F206" s="148"/>
      <c r="G206" s="148"/>
      <c r="H206" s="148"/>
      <c r="I206" s="148"/>
      <c r="J206" s="148"/>
      <c r="K206" s="148"/>
      <c r="L206" s="148"/>
      <c r="M206" s="148"/>
      <c r="N206" s="148"/>
      <c r="O206" s="148"/>
      <c r="P206" s="169">
        <v>15507</v>
      </c>
      <c r="Q206" s="113"/>
      <c r="R206" s="113"/>
      <c r="S206" s="116"/>
      <c r="T206" s="2"/>
    </row>
    <row r="207" spans="1:20" ht="15.6" x14ac:dyDescent="0.3">
      <c r="A207" s="167"/>
      <c r="B207" s="113" t="s">
        <v>198</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199</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200</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60</v>
      </c>
      <c r="C210" s="168"/>
      <c r="D210" s="148"/>
      <c r="E210" s="148"/>
      <c r="F210" s="148"/>
      <c r="G210" s="148"/>
      <c r="H210" s="148"/>
      <c r="I210" s="148"/>
      <c r="J210" s="148"/>
      <c r="K210" s="148"/>
      <c r="L210" s="148"/>
      <c r="M210" s="148"/>
      <c r="N210" s="148"/>
      <c r="O210" s="148"/>
      <c r="P210" s="146">
        <v>20.170000000000002</v>
      </c>
      <c r="Q210" s="113" t="s">
        <v>90</v>
      </c>
      <c r="R210" s="113"/>
      <c r="S210" s="116"/>
      <c r="T210" s="2"/>
    </row>
    <row r="211" spans="1:20" ht="15.6" x14ac:dyDescent="0.3">
      <c r="A211" s="167"/>
      <c r="B211" s="113" t="s">
        <v>61</v>
      </c>
      <c r="C211" s="168"/>
      <c r="D211" s="148"/>
      <c r="E211" s="148"/>
      <c r="F211" s="148"/>
      <c r="G211" s="148"/>
      <c r="H211" s="148"/>
      <c r="I211" s="148"/>
      <c r="J211" s="148"/>
      <c r="K211" s="148"/>
      <c r="L211" s="148"/>
      <c r="M211" s="148"/>
      <c r="N211" s="148"/>
      <c r="O211" s="148"/>
      <c r="P211" s="210">
        <v>18.7</v>
      </c>
      <c r="Q211" s="113" t="s">
        <v>90</v>
      </c>
      <c r="R211" s="113"/>
      <c r="S211" s="116"/>
      <c r="T211" s="2"/>
    </row>
    <row r="212" spans="1:20" ht="15.6" x14ac:dyDescent="0.3">
      <c r="A212" s="167"/>
      <c r="B212" s="113" t="s">
        <v>62</v>
      </c>
      <c r="C212" s="168"/>
      <c r="D212" s="148"/>
      <c r="E212" s="148"/>
      <c r="F212" s="148"/>
      <c r="G212" s="148"/>
      <c r="H212" s="148"/>
      <c r="I212" s="148"/>
      <c r="J212" s="148"/>
      <c r="K212" s="148"/>
      <c r="L212" s="148"/>
      <c r="M212" s="148"/>
      <c r="N212" s="148"/>
      <c r="O212" s="148"/>
      <c r="P212" s="142">
        <f>(+J56+L56)/H56</f>
        <v>2.3769716292753734E-2</v>
      </c>
      <c r="Q212" s="113"/>
      <c r="R212" s="113"/>
      <c r="S212" s="116"/>
      <c r="T212" s="2"/>
    </row>
    <row r="213" spans="1:20" ht="15.6" x14ac:dyDescent="0.3">
      <c r="A213" s="167"/>
      <c r="B213" s="113" t="s">
        <v>63</v>
      </c>
      <c r="C213" s="168"/>
      <c r="D213" s="148"/>
      <c r="E213" s="148"/>
      <c r="F213" s="148"/>
      <c r="G213" s="148"/>
      <c r="H213" s="148"/>
      <c r="I213" s="148"/>
      <c r="J213" s="148"/>
      <c r="K213" s="148"/>
      <c r="L213" s="148"/>
      <c r="M213" s="148"/>
      <c r="N213" s="148"/>
      <c r="O213" s="148"/>
      <c r="P213" s="211">
        <v>5.9400000000000001E-2</v>
      </c>
      <c r="Q213" s="113"/>
      <c r="R213" s="113"/>
      <c r="S213" s="116"/>
      <c r="T213" s="2"/>
    </row>
    <row r="214" spans="1:20" ht="15.6" x14ac:dyDescent="0.3">
      <c r="A214" s="48"/>
      <c r="B214" s="165"/>
      <c r="C214" s="165"/>
      <c r="D214" s="43"/>
      <c r="E214" s="43"/>
      <c r="F214" s="43"/>
      <c r="G214" s="43"/>
      <c r="H214" s="43"/>
      <c r="I214" s="43"/>
      <c r="J214" s="43"/>
      <c r="K214" s="43"/>
      <c r="L214" s="43"/>
      <c r="M214" s="43"/>
      <c r="N214" s="43"/>
      <c r="O214" s="43"/>
      <c r="P214" s="162"/>
      <c r="Q214" s="43"/>
      <c r="R214" s="166"/>
      <c r="S214" s="218"/>
      <c r="T214" s="2"/>
    </row>
    <row r="215" spans="1:20" ht="15.6" x14ac:dyDescent="0.3">
      <c r="A215" s="71"/>
      <c r="B215" s="61" t="s">
        <v>64</v>
      </c>
      <c r="C215" s="62"/>
      <c r="D215" s="62"/>
      <c r="E215" s="62"/>
      <c r="F215" s="62"/>
      <c r="G215" s="62"/>
      <c r="H215" s="62"/>
      <c r="I215" s="62"/>
      <c r="J215" s="62"/>
      <c r="K215" s="62"/>
      <c r="L215" s="62"/>
      <c r="M215" s="62"/>
      <c r="N215" s="62"/>
      <c r="O215" s="62" t="s">
        <v>83</v>
      </c>
      <c r="P215" s="72" t="s">
        <v>88</v>
      </c>
      <c r="Q215" s="54"/>
      <c r="R215" s="54"/>
      <c r="S215" s="220"/>
      <c r="T215" s="2"/>
    </row>
    <row r="216" spans="1:20" ht="15.6" x14ac:dyDescent="0.3">
      <c r="A216" s="52"/>
      <c r="B216" s="79" t="s">
        <v>65</v>
      </c>
      <c r="C216" s="78"/>
      <c r="D216" s="95"/>
      <c r="E216" s="95"/>
      <c r="F216" s="95"/>
      <c r="G216" s="95"/>
      <c r="H216" s="95"/>
      <c r="I216" s="95"/>
      <c r="J216" s="95"/>
      <c r="K216" s="95"/>
      <c r="L216" s="95"/>
      <c r="M216" s="95"/>
      <c r="N216" s="95"/>
      <c r="O216" s="95">
        <v>0</v>
      </c>
      <c r="P216" s="96">
        <v>0</v>
      </c>
      <c r="Q216" s="79"/>
      <c r="R216" s="94"/>
      <c r="S216" s="226"/>
      <c r="T216" s="2"/>
    </row>
    <row r="217" spans="1:20" ht="15.6" x14ac:dyDescent="0.3">
      <c r="A217" s="173"/>
      <c r="B217" s="113" t="s">
        <v>113</v>
      </c>
      <c r="C217" s="155"/>
      <c r="D217" s="123"/>
      <c r="E217" s="123"/>
      <c r="F217" s="123"/>
      <c r="G217" s="123"/>
      <c r="H217" s="123"/>
      <c r="I217" s="123"/>
      <c r="J217" s="123"/>
      <c r="K217" s="123"/>
      <c r="L217" s="123"/>
      <c r="M217" s="123"/>
      <c r="N217" s="123"/>
      <c r="O217" s="174">
        <f>+N269</f>
        <v>0</v>
      </c>
      <c r="P217" s="175">
        <f>+P269</f>
        <v>0</v>
      </c>
      <c r="Q217" s="113"/>
      <c r="R217" s="176"/>
      <c r="S217" s="177"/>
      <c r="T217" s="2"/>
    </row>
    <row r="218" spans="1:20" ht="15.6" x14ac:dyDescent="0.3">
      <c r="A218" s="173"/>
      <c r="B218" s="113" t="s">
        <v>66</v>
      </c>
      <c r="C218" s="155"/>
      <c r="D218" s="123"/>
      <c r="E218" s="123"/>
      <c r="F218" s="123"/>
      <c r="G218" s="123"/>
      <c r="H218" s="123"/>
      <c r="I218" s="123"/>
      <c r="J218" s="123"/>
      <c r="K218" s="123"/>
      <c r="L218" s="123"/>
      <c r="M218" s="123"/>
      <c r="N218" s="123"/>
      <c r="O218" s="174">
        <f>+N281</f>
        <v>0</v>
      </c>
      <c r="P218" s="175">
        <f>+P281</f>
        <v>0</v>
      </c>
      <c r="Q218" s="113"/>
      <c r="R218" s="176"/>
      <c r="S218" s="177"/>
      <c r="T218" s="2"/>
    </row>
    <row r="219" spans="1:20" ht="15.6" x14ac:dyDescent="0.3">
      <c r="A219" s="173"/>
      <c r="B219" s="134" t="s">
        <v>263</v>
      </c>
      <c r="C219" s="178"/>
      <c r="D219" s="135"/>
      <c r="E219" s="135"/>
      <c r="F219" s="135"/>
      <c r="G219" s="135"/>
      <c r="H219" s="135"/>
      <c r="I219" s="135"/>
      <c r="J219" s="135"/>
      <c r="K219" s="135"/>
      <c r="L219" s="135"/>
      <c r="M219" s="135"/>
      <c r="N219" s="135"/>
      <c r="O219" s="113"/>
      <c r="P219" s="175">
        <v>0</v>
      </c>
      <c r="Q219" s="135"/>
      <c r="R219" s="179"/>
      <c r="S219" s="177"/>
      <c r="T219" s="2"/>
    </row>
    <row r="220" spans="1:20" ht="15.6" x14ac:dyDescent="0.3">
      <c r="A220" s="173"/>
      <c r="B220" s="134" t="s">
        <v>140</v>
      </c>
      <c r="C220" s="178"/>
      <c r="D220" s="135"/>
      <c r="E220" s="135"/>
      <c r="F220" s="135"/>
      <c r="G220" s="135"/>
      <c r="H220" s="135"/>
      <c r="I220" s="135"/>
      <c r="J220" s="135"/>
      <c r="K220" s="135"/>
      <c r="L220" s="135"/>
      <c r="M220" s="135"/>
      <c r="N220" s="135"/>
      <c r="O220" s="113"/>
      <c r="P220" s="175">
        <f>-J69</f>
        <v>0</v>
      </c>
      <c r="Q220" s="135"/>
      <c r="R220" s="179"/>
      <c r="S220" s="177"/>
      <c r="T220" s="2"/>
    </row>
    <row r="221" spans="1:20" ht="15.6" x14ac:dyDescent="0.3">
      <c r="A221" s="180"/>
      <c r="B221" s="134" t="s">
        <v>67</v>
      </c>
      <c r="C221" s="181"/>
      <c r="D221" s="135"/>
      <c r="E221" s="135"/>
      <c r="F221" s="135"/>
      <c r="G221" s="135"/>
      <c r="H221" s="135"/>
      <c r="I221" s="135"/>
      <c r="J221" s="135"/>
      <c r="K221" s="135"/>
      <c r="L221" s="135"/>
      <c r="M221" s="135"/>
      <c r="N221" s="135"/>
      <c r="O221" s="113"/>
      <c r="P221" s="175"/>
      <c r="Q221" s="135"/>
      <c r="R221" s="179"/>
      <c r="S221" s="182"/>
      <c r="T221" s="2"/>
    </row>
    <row r="222" spans="1:20" ht="15.6" x14ac:dyDescent="0.3">
      <c r="A222" s="180"/>
      <c r="B222" s="118" t="s">
        <v>68</v>
      </c>
      <c r="C222" s="181"/>
      <c r="D222" s="135"/>
      <c r="E222" s="135"/>
      <c r="F222" s="135"/>
      <c r="G222" s="135"/>
      <c r="H222" s="135"/>
      <c r="I222" s="135"/>
      <c r="J222" s="135"/>
      <c r="K222" s="135"/>
      <c r="L222" s="135"/>
      <c r="M222" s="135"/>
      <c r="N222" s="135"/>
      <c r="O222" s="123"/>
      <c r="P222" s="175">
        <f>R153</f>
        <v>0</v>
      </c>
      <c r="Q222" s="135"/>
      <c r="R222" s="179"/>
      <c r="S222" s="182"/>
      <c r="T222" s="2"/>
    </row>
    <row r="223" spans="1:20" ht="15.6" x14ac:dyDescent="0.3">
      <c r="A223" s="173"/>
      <c r="B223" s="113" t="s">
        <v>69</v>
      </c>
      <c r="C223" s="178"/>
      <c r="D223" s="135"/>
      <c r="E223" s="135"/>
      <c r="F223" s="135"/>
      <c r="G223" s="135"/>
      <c r="H223" s="135"/>
      <c r="I223" s="135"/>
      <c r="J223" s="135"/>
      <c r="K223" s="135"/>
      <c r="L223" s="135"/>
      <c r="M223" s="135"/>
      <c r="N223" s="135"/>
      <c r="O223" s="123"/>
      <c r="P223" s="175">
        <f>+'Feb 16'!P223+P222</f>
        <v>0</v>
      </c>
      <c r="Q223" s="135"/>
      <c r="R223" s="179"/>
      <c r="S223" s="182"/>
      <c r="T223" s="2"/>
    </row>
    <row r="224" spans="1:20" ht="15.6" x14ac:dyDescent="0.3">
      <c r="A224" s="180"/>
      <c r="B224" s="134" t="s">
        <v>151</v>
      </c>
      <c r="C224" s="181"/>
      <c r="D224" s="135"/>
      <c r="E224" s="135"/>
      <c r="F224" s="135"/>
      <c r="G224" s="135"/>
      <c r="H224" s="135"/>
      <c r="I224" s="135"/>
      <c r="J224" s="135"/>
      <c r="K224" s="135"/>
      <c r="L224" s="135"/>
      <c r="M224" s="135"/>
      <c r="N224" s="135"/>
      <c r="O224" s="123"/>
      <c r="P224" s="175"/>
      <c r="Q224" s="135"/>
      <c r="R224" s="179"/>
      <c r="S224" s="182"/>
      <c r="T224" s="2"/>
    </row>
    <row r="225" spans="1:20" ht="15.6" x14ac:dyDescent="0.3">
      <c r="A225" s="180"/>
      <c r="B225" s="113" t="s">
        <v>163</v>
      </c>
      <c r="C225" s="181"/>
      <c r="D225" s="135"/>
      <c r="E225" s="135"/>
      <c r="F225" s="135"/>
      <c r="G225" s="135"/>
      <c r="H225" s="135"/>
      <c r="I225" s="135"/>
      <c r="J225" s="135"/>
      <c r="K225" s="135"/>
      <c r="L225" s="135"/>
      <c r="M225" s="135"/>
      <c r="N225" s="135"/>
      <c r="O225" s="123">
        <v>0</v>
      </c>
      <c r="P225" s="175">
        <v>0</v>
      </c>
      <c r="Q225" s="135"/>
      <c r="R225" s="179"/>
      <c r="S225" s="182"/>
      <c r="T225" s="2"/>
    </row>
    <row r="226" spans="1:20" ht="15.6" x14ac:dyDescent="0.3">
      <c r="A226" s="173"/>
      <c r="B226" s="113" t="s">
        <v>70</v>
      </c>
      <c r="C226" s="183"/>
      <c r="D226" s="135"/>
      <c r="E226" s="135"/>
      <c r="F226" s="135"/>
      <c r="G226" s="135"/>
      <c r="H226" s="135"/>
      <c r="I226" s="135"/>
      <c r="J226" s="135"/>
      <c r="K226" s="135"/>
      <c r="L226" s="135"/>
      <c r="M226" s="135"/>
      <c r="N226" s="135"/>
      <c r="O226" s="113"/>
      <c r="P226" s="184">
        <v>0</v>
      </c>
      <c r="Q226" s="135"/>
      <c r="R226" s="179"/>
      <c r="S226" s="182"/>
      <c r="T226" s="2"/>
    </row>
    <row r="227" spans="1:20" ht="15.6" x14ac:dyDescent="0.3">
      <c r="A227" s="173"/>
      <c r="B227" s="113" t="s">
        <v>71</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34" t="s">
        <v>136</v>
      </c>
      <c r="C228" s="183"/>
      <c r="D228" s="135"/>
      <c r="E228" s="135"/>
      <c r="F228" s="135"/>
      <c r="G228" s="135"/>
      <c r="H228" s="135"/>
      <c r="I228" s="135"/>
      <c r="J228" s="135"/>
      <c r="K228" s="135"/>
      <c r="L228" s="135"/>
      <c r="M228" s="135"/>
      <c r="N228" s="135"/>
      <c r="O228" s="113"/>
      <c r="P228" s="185"/>
      <c r="Q228" s="135"/>
      <c r="R228" s="179"/>
      <c r="S228" s="182"/>
      <c r="T228" s="2"/>
    </row>
    <row r="229" spans="1:20" ht="15.6" x14ac:dyDescent="0.3">
      <c r="A229" s="173"/>
      <c r="B229" s="113" t="s">
        <v>163</v>
      </c>
      <c r="C229" s="183"/>
      <c r="D229" s="135"/>
      <c r="E229" s="135"/>
      <c r="F229" s="135"/>
      <c r="G229" s="135"/>
      <c r="H229" s="135"/>
      <c r="I229" s="135"/>
      <c r="J229" s="135"/>
      <c r="K229" s="135"/>
      <c r="L229" s="135"/>
      <c r="M229" s="135"/>
      <c r="N229" s="135"/>
      <c r="O229" s="123">
        <v>0</v>
      </c>
      <c r="P229" s="175">
        <v>0</v>
      </c>
      <c r="Q229" s="135"/>
      <c r="R229" s="179"/>
      <c r="S229" s="182"/>
      <c r="T229" s="2"/>
    </row>
    <row r="230" spans="1:20" ht="15.6" x14ac:dyDescent="0.3">
      <c r="A230" s="173"/>
      <c r="B230" s="113" t="s">
        <v>137</v>
      </c>
      <c r="C230" s="183"/>
      <c r="D230" s="135"/>
      <c r="E230" s="135"/>
      <c r="F230" s="135"/>
      <c r="G230" s="135"/>
      <c r="H230" s="135"/>
      <c r="I230" s="135"/>
      <c r="J230" s="135"/>
      <c r="K230" s="135"/>
      <c r="L230" s="135"/>
      <c r="M230" s="135"/>
      <c r="N230" s="135"/>
      <c r="O230" s="113"/>
      <c r="P230" s="184">
        <v>0</v>
      </c>
      <c r="Q230" s="135"/>
      <c r="R230" s="179"/>
      <c r="S230" s="182"/>
      <c r="T230" s="2"/>
    </row>
    <row r="231" spans="1:20" ht="15.6" x14ac:dyDescent="0.3">
      <c r="A231" s="173"/>
      <c r="B231" s="181"/>
      <c r="C231" s="183"/>
      <c r="D231" s="135"/>
      <c r="E231" s="135"/>
      <c r="F231" s="135"/>
      <c r="G231" s="135"/>
      <c r="H231" s="135"/>
      <c r="I231" s="135"/>
      <c r="J231" s="135"/>
      <c r="K231" s="135"/>
      <c r="L231" s="135"/>
      <c r="M231" s="135"/>
      <c r="N231" s="135"/>
      <c r="O231" s="113"/>
      <c r="P231" s="185"/>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35"/>
      <c r="P232" s="186"/>
      <c r="Q232" s="135"/>
      <c r="R232" s="179"/>
      <c r="S232" s="182"/>
      <c r="T232" s="2"/>
    </row>
    <row r="233" spans="1:20" ht="17.399999999999999" x14ac:dyDescent="0.3">
      <c r="A233" s="173"/>
      <c r="B233" s="187" t="s">
        <v>129</v>
      </c>
      <c r="C233" s="183"/>
      <c r="D233" s="135"/>
      <c r="E233" s="135"/>
      <c r="F233" s="135"/>
      <c r="G233" s="135"/>
      <c r="H233" s="135"/>
      <c r="I233" s="135"/>
      <c r="J233" s="135"/>
      <c r="K233" s="135"/>
      <c r="L233" s="188"/>
      <c r="M233" s="135"/>
      <c r="N233" s="188" t="s">
        <v>128</v>
      </c>
      <c r="O233" s="188"/>
      <c r="P233" s="186"/>
      <c r="Q233" s="135"/>
      <c r="R233" s="179"/>
      <c r="S233" s="182"/>
      <c r="T233" s="2"/>
    </row>
    <row r="234" spans="1:20" ht="17.399999999999999" x14ac:dyDescent="0.3">
      <c r="A234" s="170"/>
      <c r="B234" s="200"/>
      <c r="C234" s="171"/>
      <c r="D234" s="43"/>
      <c r="E234" s="43"/>
      <c r="F234" s="43"/>
      <c r="G234" s="43"/>
      <c r="H234" s="43"/>
      <c r="I234" s="43"/>
      <c r="J234" s="43"/>
      <c r="K234" s="43"/>
      <c r="L234" s="201"/>
      <c r="M234" s="43"/>
      <c r="N234" s="43"/>
      <c r="O234" s="43"/>
      <c r="P234" s="172"/>
      <c r="Q234" s="43"/>
      <c r="R234" s="166"/>
      <c r="S234" s="227"/>
      <c r="T234" s="2"/>
    </row>
    <row r="235" spans="1:20" ht="15.6" x14ac:dyDescent="0.3">
      <c r="A235" s="53"/>
      <c r="B235" s="61" t="s">
        <v>153</v>
      </c>
      <c r="C235" s="62"/>
      <c r="D235" s="62"/>
      <c r="E235" s="62"/>
      <c r="F235" s="62"/>
      <c r="G235" s="62"/>
      <c r="H235" s="62"/>
      <c r="I235" s="62"/>
      <c r="J235" s="62"/>
      <c r="K235" s="62"/>
      <c r="L235" s="62"/>
      <c r="M235" s="62"/>
      <c r="N235" s="72" t="s">
        <v>83</v>
      </c>
      <c r="O235" s="62" t="s">
        <v>84</v>
      </c>
      <c r="P235" s="72" t="s">
        <v>89</v>
      </c>
      <c r="Q235" s="62" t="s">
        <v>84</v>
      </c>
      <c r="R235" s="54"/>
      <c r="S235" s="228"/>
      <c r="T235" s="2"/>
    </row>
    <row r="236" spans="1:20" ht="15.6" x14ac:dyDescent="0.3">
      <c r="A236" s="24"/>
      <c r="B236" s="78" t="s">
        <v>72</v>
      </c>
      <c r="C236" s="93"/>
      <c r="D236" s="93"/>
      <c r="E236" s="93"/>
      <c r="F236" s="93"/>
      <c r="G236" s="93"/>
      <c r="H236" s="93"/>
      <c r="I236" s="93"/>
      <c r="J236" s="93"/>
      <c r="K236" s="93"/>
      <c r="L236" s="93"/>
      <c r="M236" s="93"/>
      <c r="N236" s="78">
        <f t="shared" ref="N236:N243" si="1">+N248+N260+N272</f>
        <v>1459</v>
      </c>
      <c r="O236" s="81">
        <f>N236/$N$245</f>
        <v>1</v>
      </c>
      <c r="P236" s="82">
        <f t="shared" ref="P236:P243" si="2">+P248+P260+P272</f>
        <v>226116</v>
      </c>
      <c r="Q236" s="81">
        <f t="shared" ref="Q236:Q243" si="3">P236/$P$245</f>
        <v>1</v>
      </c>
      <c r="R236" s="94"/>
      <c r="S236" s="229"/>
      <c r="T236" s="2"/>
    </row>
    <row r="237" spans="1:20" ht="15.6" x14ac:dyDescent="0.3">
      <c r="A237" s="112"/>
      <c r="B237" s="155" t="s">
        <v>73</v>
      </c>
      <c r="C237" s="192"/>
      <c r="D237" s="192"/>
      <c r="E237" s="192"/>
      <c r="F237" s="192"/>
      <c r="G237" s="192"/>
      <c r="H237" s="192"/>
      <c r="I237" s="192"/>
      <c r="J237" s="192"/>
      <c r="K237" s="192"/>
      <c r="L237" s="192"/>
      <c r="M237" s="192"/>
      <c r="N237" s="155">
        <f t="shared" si="1"/>
        <v>0</v>
      </c>
      <c r="O237" s="193">
        <f t="shared" ref="O237:O243" si="4">N237/$N$245</f>
        <v>0</v>
      </c>
      <c r="P237" s="156">
        <f t="shared" si="2"/>
        <v>0</v>
      </c>
      <c r="Q237" s="193">
        <f t="shared" si="3"/>
        <v>0</v>
      </c>
      <c r="R237" s="176"/>
      <c r="S237" s="194"/>
      <c r="T237" s="2"/>
    </row>
    <row r="238" spans="1:20" ht="15.6" x14ac:dyDescent="0.3">
      <c r="A238" s="112"/>
      <c r="B238" s="155" t="s">
        <v>74</v>
      </c>
      <c r="C238" s="192"/>
      <c r="D238" s="192"/>
      <c r="E238" s="192"/>
      <c r="F238" s="192"/>
      <c r="G238" s="192"/>
      <c r="H238" s="192"/>
      <c r="I238" s="192"/>
      <c r="J238" s="192"/>
      <c r="K238" s="192"/>
      <c r="L238" s="192"/>
      <c r="M238" s="192"/>
      <c r="N238" s="155">
        <f t="shared" si="1"/>
        <v>0</v>
      </c>
      <c r="O238" s="193">
        <f t="shared" si="4"/>
        <v>0</v>
      </c>
      <c r="P238" s="156">
        <f t="shared" si="2"/>
        <v>0</v>
      </c>
      <c r="Q238" s="193">
        <f t="shared" si="3"/>
        <v>0</v>
      </c>
      <c r="R238" s="176"/>
      <c r="S238" s="194"/>
      <c r="T238" s="2"/>
    </row>
    <row r="239" spans="1:20" ht="15.6" x14ac:dyDescent="0.3">
      <c r="A239" s="112"/>
      <c r="B239" s="155" t="s">
        <v>119</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120</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121</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122</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123</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c r="C244" s="192"/>
      <c r="D244" s="192"/>
      <c r="E244" s="192"/>
      <c r="F244" s="192"/>
      <c r="G244" s="192"/>
      <c r="H244" s="192"/>
      <c r="I244" s="192"/>
      <c r="J244" s="192"/>
      <c r="K244" s="192"/>
      <c r="L244" s="192"/>
      <c r="M244" s="192"/>
      <c r="N244" s="155"/>
      <c r="O244" s="193"/>
      <c r="P244" s="156"/>
      <c r="Q244" s="193"/>
      <c r="R244" s="176"/>
      <c r="S244" s="194"/>
      <c r="T244" s="2"/>
    </row>
    <row r="245" spans="1:21" ht="15.6" x14ac:dyDescent="0.3">
      <c r="A245" s="112"/>
      <c r="B245" s="113" t="s">
        <v>94</v>
      </c>
      <c r="C245" s="113"/>
      <c r="D245" s="195"/>
      <c r="E245" s="195"/>
      <c r="F245" s="195"/>
      <c r="G245" s="195"/>
      <c r="H245" s="195"/>
      <c r="I245" s="195"/>
      <c r="J245" s="195"/>
      <c r="K245" s="195"/>
      <c r="L245" s="195"/>
      <c r="M245" s="195"/>
      <c r="N245" s="155">
        <f>SUM(N236:N244)</f>
        <v>1459</v>
      </c>
      <c r="O245" s="193">
        <f>SUM(O236:O244)</f>
        <v>1</v>
      </c>
      <c r="P245" s="156">
        <f>SUM(P236:P244)</f>
        <v>226116</v>
      </c>
      <c r="Q245" s="193">
        <f>SUM(Q236:Q244)</f>
        <v>1</v>
      </c>
      <c r="R245" s="113"/>
      <c r="S245" s="116"/>
      <c r="T245" s="2"/>
    </row>
    <row r="246" spans="1:21" ht="15.6" x14ac:dyDescent="0.3">
      <c r="A246" s="12"/>
      <c r="B246" s="165"/>
      <c r="C246" s="171"/>
      <c r="D246" s="43"/>
      <c r="E246" s="43"/>
      <c r="F246" s="43"/>
      <c r="G246" s="43"/>
      <c r="H246" s="43"/>
      <c r="I246" s="43"/>
      <c r="J246" s="43"/>
      <c r="K246" s="43"/>
      <c r="L246" s="43"/>
      <c r="M246" s="43"/>
      <c r="N246" s="43"/>
      <c r="O246" s="43"/>
      <c r="P246" s="172"/>
      <c r="Q246" s="43"/>
      <c r="R246" s="43"/>
      <c r="S246" s="218"/>
      <c r="T246" s="2"/>
    </row>
    <row r="247" spans="1:21" ht="15.6" x14ac:dyDescent="0.3">
      <c r="A247" s="53"/>
      <c r="B247" s="61" t="s">
        <v>124</v>
      </c>
      <c r="C247" s="62"/>
      <c r="D247" s="62"/>
      <c r="E247" s="62"/>
      <c r="F247" s="62"/>
      <c r="G247" s="62"/>
      <c r="H247" s="62"/>
      <c r="I247" s="62"/>
      <c r="J247" s="62"/>
      <c r="K247" s="62"/>
      <c r="L247" s="62"/>
      <c r="M247" s="62"/>
      <c r="N247" s="72" t="s">
        <v>83</v>
      </c>
      <c r="O247" s="62" t="s">
        <v>84</v>
      </c>
      <c r="P247" s="72" t="s">
        <v>89</v>
      </c>
      <c r="Q247" s="62" t="s">
        <v>84</v>
      </c>
      <c r="R247" s="54"/>
      <c r="S247" s="228"/>
      <c r="T247" s="2"/>
    </row>
    <row r="248" spans="1:21" ht="15.6" x14ac:dyDescent="0.3">
      <c r="A248" s="24"/>
      <c r="B248" s="78" t="s">
        <v>72</v>
      </c>
      <c r="C248" s="93"/>
      <c r="D248" s="93"/>
      <c r="E248" s="93"/>
      <c r="F248" s="93"/>
      <c r="G248" s="93"/>
      <c r="H248" s="93"/>
      <c r="I248" s="93"/>
      <c r="J248" s="93"/>
      <c r="K248" s="93"/>
      <c r="L248" s="93"/>
      <c r="M248" s="93"/>
      <c r="N248" s="78">
        <v>1459</v>
      </c>
      <c r="O248" s="81">
        <f>N248/$N$257</f>
        <v>1</v>
      </c>
      <c r="P248" s="82">
        <v>226116</v>
      </c>
      <c r="Q248" s="81">
        <f t="shared" ref="Q248:Q255" si="5">P248/$P$257</f>
        <v>1</v>
      </c>
      <c r="R248" s="94"/>
      <c r="S248" s="229"/>
      <c r="T248" s="2"/>
    </row>
    <row r="249" spans="1:21" ht="15.6" x14ac:dyDescent="0.3">
      <c r="A249" s="112"/>
      <c r="B249" s="155" t="s">
        <v>73</v>
      </c>
      <c r="C249" s="192"/>
      <c r="D249" s="192"/>
      <c r="E249" s="192"/>
      <c r="F249" s="192"/>
      <c r="G249" s="192"/>
      <c r="H249" s="192"/>
      <c r="I249" s="192"/>
      <c r="J249" s="192"/>
      <c r="K249" s="192"/>
      <c r="L249" s="192"/>
      <c r="M249" s="192"/>
      <c r="N249" s="155">
        <v>0</v>
      </c>
      <c r="O249" s="193">
        <f t="shared" ref="O249:O255" si="6">N249/$N$257</f>
        <v>0</v>
      </c>
      <c r="P249" s="156">
        <v>0</v>
      </c>
      <c r="Q249" s="193">
        <f t="shared" si="5"/>
        <v>0</v>
      </c>
      <c r="R249" s="176"/>
      <c r="S249" s="194"/>
      <c r="T249" s="2"/>
      <c r="U249" s="4"/>
    </row>
    <row r="250" spans="1:21" ht="15.6" x14ac:dyDescent="0.3">
      <c r="A250" s="112"/>
      <c r="B250" s="155" t="s">
        <v>74</v>
      </c>
      <c r="C250" s="192"/>
      <c r="D250" s="192"/>
      <c r="E250" s="192"/>
      <c r="F250" s="192"/>
      <c r="G250" s="192"/>
      <c r="H250" s="192"/>
      <c r="I250" s="192"/>
      <c r="J250" s="192"/>
      <c r="K250" s="192"/>
      <c r="L250" s="192"/>
      <c r="M250" s="192"/>
      <c r="N250" s="155">
        <v>0</v>
      </c>
      <c r="O250" s="193">
        <f t="shared" si="6"/>
        <v>0</v>
      </c>
      <c r="P250" s="156">
        <v>0</v>
      </c>
      <c r="Q250" s="193">
        <f t="shared" si="5"/>
        <v>0</v>
      </c>
      <c r="R250" s="176"/>
      <c r="S250" s="194"/>
      <c r="T250" s="2"/>
    </row>
    <row r="251" spans="1:21" ht="15.6" x14ac:dyDescent="0.3">
      <c r="A251" s="112"/>
      <c r="B251" s="155" t="s">
        <v>119</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c r="U251" s="4"/>
    </row>
    <row r="252" spans="1:21" ht="15.6" x14ac:dyDescent="0.3">
      <c r="A252" s="112"/>
      <c r="B252" s="155" t="s">
        <v>120</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row>
    <row r="253" spans="1:21" ht="15.6" x14ac:dyDescent="0.3">
      <c r="A253" s="112"/>
      <c r="B253" s="155" t="s">
        <v>121</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c r="U253" s="4"/>
    </row>
    <row r="254" spans="1:21" ht="15.6" x14ac:dyDescent="0.3">
      <c r="A254" s="112"/>
      <c r="B254" s="155" t="s">
        <v>122</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row>
    <row r="255" spans="1:21" ht="15.6" x14ac:dyDescent="0.3">
      <c r="A255" s="112"/>
      <c r="B255" s="155" t="s">
        <v>123</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c r="U255" s="4"/>
    </row>
    <row r="256" spans="1:21" ht="15.6" x14ac:dyDescent="0.3">
      <c r="A256" s="112"/>
      <c r="B256" s="155"/>
      <c r="C256" s="192"/>
      <c r="D256" s="192"/>
      <c r="E256" s="192"/>
      <c r="F256" s="192"/>
      <c r="G256" s="192"/>
      <c r="H256" s="192"/>
      <c r="I256" s="192"/>
      <c r="J256" s="192"/>
      <c r="K256" s="192"/>
      <c r="L256" s="192"/>
      <c r="M256" s="192"/>
      <c r="N256" s="155"/>
      <c r="O256" s="193"/>
      <c r="P256" s="156"/>
      <c r="Q256" s="193"/>
      <c r="R256" s="176"/>
      <c r="S256" s="194"/>
      <c r="T256" s="2"/>
    </row>
    <row r="257" spans="1:20" ht="15.6" x14ac:dyDescent="0.3">
      <c r="A257" s="112"/>
      <c r="B257" s="113" t="s">
        <v>94</v>
      </c>
      <c r="C257" s="113"/>
      <c r="D257" s="195"/>
      <c r="E257" s="195"/>
      <c r="F257" s="195"/>
      <c r="G257" s="195"/>
      <c r="H257" s="195"/>
      <c r="I257" s="195"/>
      <c r="J257" s="195"/>
      <c r="K257" s="195"/>
      <c r="L257" s="195"/>
      <c r="M257" s="195"/>
      <c r="N257" s="155">
        <f>SUM(N248:N256)</f>
        <v>1459</v>
      </c>
      <c r="O257" s="193">
        <f>SUM(O248:O256)</f>
        <v>1</v>
      </c>
      <c r="P257" s="156">
        <f>SUM(P248:P256)</f>
        <v>226116</v>
      </c>
      <c r="Q257" s="193">
        <f>SUM(Q248:Q256)</f>
        <v>1</v>
      </c>
      <c r="R257" s="113"/>
      <c r="S257" s="116"/>
      <c r="T257" s="2"/>
    </row>
    <row r="258" spans="1:20" ht="15.6" x14ac:dyDescent="0.3">
      <c r="A258" s="12"/>
      <c r="B258" s="43"/>
      <c r="C258" s="43"/>
      <c r="D258" s="189"/>
      <c r="E258" s="189"/>
      <c r="F258" s="189"/>
      <c r="G258" s="189"/>
      <c r="H258" s="189"/>
      <c r="I258" s="189"/>
      <c r="J258" s="189"/>
      <c r="K258" s="189"/>
      <c r="L258" s="189"/>
      <c r="M258" s="189"/>
      <c r="N258" s="153"/>
      <c r="O258" s="190"/>
      <c r="P258" s="191"/>
      <c r="Q258" s="190"/>
      <c r="R258" s="43"/>
      <c r="S258" s="218"/>
      <c r="T258" s="2"/>
    </row>
    <row r="259" spans="1:20" ht="15.6" x14ac:dyDescent="0.3">
      <c r="A259" s="73"/>
      <c r="B259" s="61" t="s">
        <v>146</v>
      </c>
      <c r="C259" s="62"/>
      <c r="D259" s="62"/>
      <c r="E259" s="62"/>
      <c r="F259" s="62"/>
      <c r="G259" s="62"/>
      <c r="H259" s="62"/>
      <c r="I259" s="62"/>
      <c r="J259" s="62"/>
      <c r="K259" s="62"/>
      <c r="L259" s="62"/>
      <c r="M259" s="62"/>
      <c r="N259" s="72" t="s">
        <v>83</v>
      </c>
      <c r="O259" s="62" t="s">
        <v>84</v>
      </c>
      <c r="P259" s="72" t="s">
        <v>89</v>
      </c>
      <c r="Q259" s="62" t="s">
        <v>84</v>
      </c>
      <c r="R259" s="74"/>
      <c r="S259" s="75"/>
      <c r="T259" s="2"/>
    </row>
    <row r="260" spans="1:20" ht="15.6" x14ac:dyDescent="0.3">
      <c r="A260" s="24"/>
      <c r="B260" s="78" t="s">
        <v>72</v>
      </c>
      <c r="C260" s="93"/>
      <c r="D260" s="93"/>
      <c r="E260" s="93"/>
      <c r="F260" s="93"/>
      <c r="G260" s="93"/>
      <c r="H260" s="93"/>
      <c r="I260" s="93"/>
      <c r="J260" s="93"/>
      <c r="K260" s="93"/>
      <c r="L260" s="93"/>
      <c r="M260" s="93"/>
      <c r="N260" s="78">
        <v>0</v>
      </c>
      <c r="O260" s="81">
        <v>0</v>
      </c>
      <c r="P260" s="82">
        <v>0</v>
      </c>
      <c r="Q260" s="81">
        <v>0</v>
      </c>
      <c r="R260" s="79"/>
      <c r="S260" s="221"/>
      <c r="T260" s="2"/>
    </row>
    <row r="261" spans="1:20" ht="15.6" x14ac:dyDescent="0.3">
      <c r="A261" s="112"/>
      <c r="B261" s="155" t="s">
        <v>73</v>
      </c>
      <c r="C261" s="192"/>
      <c r="D261" s="192"/>
      <c r="E261" s="192"/>
      <c r="F261" s="192"/>
      <c r="G261" s="192"/>
      <c r="H261" s="192"/>
      <c r="I261" s="192"/>
      <c r="J261" s="192"/>
      <c r="K261" s="192"/>
      <c r="L261" s="192"/>
      <c r="M261" s="192"/>
      <c r="N261" s="155">
        <v>0</v>
      </c>
      <c r="O261" s="193">
        <v>0</v>
      </c>
      <c r="P261" s="156">
        <v>0</v>
      </c>
      <c r="Q261" s="193">
        <v>0</v>
      </c>
      <c r="R261" s="113"/>
      <c r="S261" s="116"/>
      <c r="T261" s="2"/>
    </row>
    <row r="262" spans="1:20" ht="15.6" x14ac:dyDescent="0.3">
      <c r="A262" s="112"/>
      <c r="B262" s="155" t="s">
        <v>74</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119</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120</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121</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122</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123</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c r="C268" s="192"/>
      <c r="D268" s="192"/>
      <c r="E268" s="192"/>
      <c r="F268" s="192"/>
      <c r="G268" s="192"/>
      <c r="H268" s="192"/>
      <c r="I268" s="192"/>
      <c r="J268" s="192"/>
      <c r="K268" s="192"/>
      <c r="L268" s="192"/>
      <c r="M268" s="192"/>
      <c r="N268" s="155"/>
      <c r="O268" s="193"/>
      <c r="P268" s="156"/>
      <c r="Q268" s="193"/>
      <c r="R268" s="113"/>
      <c r="S268" s="116"/>
      <c r="T268" s="2"/>
    </row>
    <row r="269" spans="1:20" ht="15.6" x14ac:dyDescent="0.3">
      <c r="A269" s="112"/>
      <c r="B269" s="113" t="s">
        <v>94</v>
      </c>
      <c r="C269" s="113"/>
      <c r="D269" s="195"/>
      <c r="E269" s="195"/>
      <c r="F269" s="195"/>
      <c r="G269" s="195"/>
      <c r="H269" s="195"/>
      <c r="I269" s="195"/>
      <c r="J269" s="195"/>
      <c r="K269" s="195"/>
      <c r="L269" s="195"/>
      <c r="M269" s="195"/>
      <c r="N269" s="155">
        <f>SUM(N260:N268)</f>
        <v>0</v>
      </c>
      <c r="O269" s="193">
        <f>SUM(O260:O268)</f>
        <v>0</v>
      </c>
      <c r="P269" s="156">
        <f>SUM(P260:P268)</f>
        <v>0</v>
      </c>
      <c r="Q269" s="193">
        <f>SUM(Q260:Q268)</f>
        <v>0</v>
      </c>
      <c r="R269" s="113"/>
      <c r="S269" s="116"/>
      <c r="T269" s="2"/>
    </row>
    <row r="270" spans="1:20" ht="15.6" x14ac:dyDescent="0.3">
      <c r="A270" s="12"/>
      <c r="B270" s="43"/>
      <c r="C270" s="43"/>
      <c r="D270" s="189"/>
      <c r="E270" s="189"/>
      <c r="F270" s="189"/>
      <c r="G270" s="189"/>
      <c r="H270" s="189"/>
      <c r="I270" s="189"/>
      <c r="J270" s="189"/>
      <c r="K270" s="189"/>
      <c r="L270" s="189"/>
      <c r="M270" s="189"/>
      <c r="N270" s="153"/>
      <c r="O270" s="190"/>
      <c r="P270" s="191"/>
      <c r="Q270" s="190"/>
      <c r="R270" s="43"/>
      <c r="S270" s="218"/>
      <c r="T270" s="2"/>
    </row>
    <row r="271" spans="1:20" ht="15.6" x14ac:dyDescent="0.3">
      <c r="A271" s="73"/>
      <c r="B271" s="61" t="s">
        <v>125</v>
      </c>
      <c r="C271" s="74"/>
      <c r="D271" s="76"/>
      <c r="E271" s="76"/>
      <c r="F271" s="76"/>
      <c r="G271" s="76"/>
      <c r="H271" s="76"/>
      <c r="I271" s="76"/>
      <c r="J271" s="76"/>
      <c r="K271" s="76"/>
      <c r="L271" s="76"/>
      <c r="M271" s="76"/>
      <c r="N271" s="72" t="s">
        <v>83</v>
      </c>
      <c r="O271" s="62" t="s">
        <v>84</v>
      </c>
      <c r="P271" s="72" t="s">
        <v>89</v>
      </c>
      <c r="Q271" s="62" t="s">
        <v>84</v>
      </c>
      <c r="R271" s="74"/>
      <c r="S271" s="75"/>
      <c r="T271" s="2"/>
    </row>
    <row r="272" spans="1:20" ht="15.6" x14ac:dyDescent="0.3">
      <c r="A272" s="77"/>
      <c r="B272" s="78" t="s">
        <v>72</v>
      </c>
      <c r="C272" s="79"/>
      <c r="D272" s="80"/>
      <c r="E272" s="80"/>
      <c r="F272" s="80"/>
      <c r="G272" s="80"/>
      <c r="H272" s="80"/>
      <c r="I272" s="80"/>
      <c r="J272" s="80"/>
      <c r="K272" s="80"/>
      <c r="L272" s="80"/>
      <c r="M272" s="80"/>
      <c r="N272" s="78">
        <v>0</v>
      </c>
      <c r="O272" s="81">
        <v>0</v>
      </c>
      <c r="P272" s="82">
        <v>0</v>
      </c>
      <c r="Q272" s="81">
        <v>0</v>
      </c>
      <c r="R272" s="79"/>
      <c r="S272" s="221"/>
      <c r="T272" s="2"/>
    </row>
    <row r="273" spans="1:20" ht="15.6" x14ac:dyDescent="0.3">
      <c r="A273" s="122"/>
      <c r="B273" s="155" t="s">
        <v>73</v>
      </c>
      <c r="C273" s="113"/>
      <c r="D273" s="195"/>
      <c r="E273" s="195"/>
      <c r="F273" s="195"/>
      <c r="G273" s="195"/>
      <c r="H273" s="195"/>
      <c r="I273" s="195"/>
      <c r="J273" s="195"/>
      <c r="K273" s="195"/>
      <c r="L273" s="195"/>
      <c r="M273" s="195"/>
      <c r="N273" s="155">
        <v>0</v>
      </c>
      <c r="O273" s="193">
        <v>0</v>
      </c>
      <c r="P273" s="156">
        <v>0</v>
      </c>
      <c r="Q273" s="193">
        <v>0</v>
      </c>
      <c r="R273" s="113"/>
      <c r="S273" s="116"/>
      <c r="T273" s="2"/>
    </row>
    <row r="274" spans="1:20" ht="15.6" x14ac:dyDescent="0.3">
      <c r="A274" s="122"/>
      <c r="B274" s="155" t="s">
        <v>74</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119</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120</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121</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122</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123</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c r="C280" s="113"/>
      <c r="D280" s="195"/>
      <c r="E280" s="195"/>
      <c r="F280" s="195"/>
      <c r="G280" s="195"/>
      <c r="H280" s="195"/>
      <c r="I280" s="195"/>
      <c r="J280" s="195"/>
      <c r="K280" s="195"/>
      <c r="L280" s="195"/>
      <c r="M280" s="195"/>
      <c r="N280" s="155"/>
      <c r="O280" s="193"/>
      <c r="P280" s="156"/>
      <c r="Q280" s="193"/>
      <c r="R280" s="113"/>
      <c r="S280" s="116"/>
      <c r="T280" s="2"/>
    </row>
    <row r="281" spans="1:20" ht="15.6" x14ac:dyDescent="0.3">
      <c r="A281" s="122"/>
      <c r="B281" s="113" t="s">
        <v>94</v>
      </c>
      <c r="C281" s="113"/>
      <c r="D281" s="195"/>
      <c r="E281" s="195"/>
      <c r="F281" s="195"/>
      <c r="G281" s="195"/>
      <c r="H281" s="195"/>
      <c r="I281" s="195"/>
      <c r="J281" s="195"/>
      <c r="K281" s="195"/>
      <c r="L281" s="195"/>
      <c r="M281" s="195"/>
      <c r="N281" s="155">
        <f>SUM(N272:N279)</f>
        <v>0</v>
      </c>
      <c r="O281" s="193">
        <f>SUM(O272:O279)</f>
        <v>0</v>
      </c>
      <c r="P281" s="156">
        <f>SUM(P272:P279)</f>
        <v>0</v>
      </c>
      <c r="Q281" s="193">
        <f>SUM(Q272:Q279)</f>
        <v>0</v>
      </c>
      <c r="R281" s="113"/>
      <c r="S281" s="116"/>
      <c r="T281" s="2"/>
    </row>
    <row r="282" spans="1:20" ht="15.6" x14ac:dyDescent="0.3">
      <c r="A282" s="122"/>
      <c r="B282" s="113"/>
      <c r="C282" s="113"/>
      <c r="D282" s="195"/>
      <c r="E282" s="195"/>
      <c r="F282" s="195"/>
      <c r="G282" s="195"/>
      <c r="H282" s="195"/>
      <c r="I282" s="195"/>
      <c r="J282" s="195"/>
      <c r="K282" s="195"/>
      <c r="L282" s="195"/>
      <c r="M282" s="195"/>
      <c r="N282" s="155"/>
      <c r="O282" s="193"/>
      <c r="P282" s="156"/>
      <c r="Q282" s="193"/>
      <c r="R282" s="113"/>
      <c r="S282" s="116"/>
      <c r="T282" s="2"/>
    </row>
    <row r="283" spans="1:20" ht="15.6" x14ac:dyDescent="0.3">
      <c r="A283" s="122"/>
      <c r="B283" s="124" t="s">
        <v>182</v>
      </c>
      <c r="C283" s="113"/>
      <c r="D283" s="195"/>
      <c r="E283" s="195"/>
      <c r="F283" s="195"/>
      <c r="G283" s="195"/>
      <c r="H283" s="195"/>
      <c r="I283" s="195"/>
      <c r="J283" s="195"/>
      <c r="K283" s="195"/>
      <c r="L283" s="195"/>
      <c r="M283" s="195"/>
      <c r="N283" s="197">
        <f>N281+N269+N257</f>
        <v>1459</v>
      </c>
      <c r="O283" s="193"/>
      <c r="P283" s="198">
        <f>+P281+P269+P257</f>
        <v>226116</v>
      </c>
      <c r="Q283" s="193"/>
      <c r="R283" s="113"/>
      <c r="S283" s="116"/>
      <c r="T283" s="2"/>
    </row>
    <row r="284" spans="1:20" ht="15.6" x14ac:dyDescent="0.3">
      <c r="A284" s="122"/>
      <c r="B284" s="124" t="s">
        <v>247</v>
      </c>
      <c r="C284" s="124"/>
      <c r="D284" s="206"/>
      <c r="E284" s="206"/>
      <c r="F284" s="206"/>
      <c r="G284" s="206"/>
      <c r="H284" s="206"/>
      <c r="I284" s="206"/>
      <c r="J284" s="206"/>
      <c r="K284" s="206"/>
      <c r="L284" s="206"/>
      <c r="M284" s="206"/>
      <c r="N284" s="197"/>
      <c r="O284" s="207"/>
      <c r="P284" s="208">
        <f>+R170</f>
        <v>0</v>
      </c>
      <c r="Q284" s="193"/>
      <c r="R284" s="113"/>
      <c r="S284" s="116"/>
      <c r="T284" s="2"/>
    </row>
    <row r="285" spans="1:20" ht="15.6" x14ac:dyDescent="0.3">
      <c r="A285" s="122"/>
      <c r="B285" s="124" t="s">
        <v>126</v>
      </c>
      <c r="C285" s="124"/>
      <c r="D285" s="206"/>
      <c r="E285" s="206"/>
      <c r="F285" s="206"/>
      <c r="G285" s="206"/>
      <c r="H285" s="206"/>
      <c r="I285" s="206"/>
      <c r="J285" s="206"/>
      <c r="K285" s="206"/>
      <c r="L285" s="206"/>
      <c r="M285" s="206"/>
      <c r="N285" s="197"/>
      <c r="O285" s="207"/>
      <c r="P285" s="208">
        <f>+P283+P284</f>
        <v>226116</v>
      </c>
      <c r="Q285" s="193"/>
      <c r="R285" s="113"/>
      <c r="S285" s="116"/>
      <c r="T285" s="2"/>
    </row>
    <row r="286" spans="1:20" ht="15.6" x14ac:dyDescent="0.3">
      <c r="A286" s="122"/>
      <c r="B286" s="124" t="s">
        <v>181</v>
      </c>
      <c r="C286" s="113"/>
      <c r="D286" s="195"/>
      <c r="E286" s="195"/>
      <c r="F286" s="195"/>
      <c r="G286" s="195"/>
      <c r="H286" s="195"/>
      <c r="I286" s="195"/>
      <c r="J286" s="195"/>
      <c r="K286" s="195"/>
      <c r="L286" s="195"/>
      <c r="M286" s="195"/>
      <c r="N286" s="197"/>
      <c r="O286" s="193"/>
      <c r="P286" s="198">
        <f>+R72</f>
        <v>226116</v>
      </c>
      <c r="Q286" s="193"/>
      <c r="R286" s="113"/>
      <c r="S286" s="116"/>
      <c r="T286" s="2"/>
    </row>
    <row r="287" spans="1:20" ht="15.6" x14ac:dyDescent="0.3">
      <c r="A287" s="122"/>
      <c r="B287" s="124"/>
      <c r="C287" s="113"/>
      <c r="D287" s="195"/>
      <c r="E287" s="195"/>
      <c r="F287" s="195"/>
      <c r="G287" s="195"/>
      <c r="H287" s="195"/>
      <c r="I287" s="195"/>
      <c r="J287" s="195"/>
      <c r="K287" s="195"/>
      <c r="L287" s="195"/>
      <c r="M287" s="195"/>
      <c r="N287" s="197"/>
      <c r="O287" s="193"/>
      <c r="P287" s="198"/>
      <c r="Q287" s="193"/>
      <c r="R287" s="113"/>
      <c r="S287" s="116"/>
      <c r="T287" s="2"/>
    </row>
    <row r="288" spans="1:20" ht="15.6" x14ac:dyDescent="0.3">
      <c r="A288" s="122"/>
      <c r="B288" s="124" t="s">
        <v>221</v>
      </c>
      <c r="C288" s="113"/>
      <c r="D288" s="195"/>
      <c r="E288" s="195"/>
      <c r="F288" s="195"/>
      <c r="G288" s="195"/>
      <c r="H288" s="195"/>
      <c r="I288" s="195"/>
      <c r="J288" s="195"/>
      <c r="K288" s="195"/>
      <c r="L288" s="195"/>
      <c r="M288" s="195"/>
      <c r="N288" s="197"/>
      <c r="O288" s="193"/>
      <c r="P288" s="215">
        <f>(J30+R138)/R30</f>
        <v>5.5502500810851514E-2</v>
      </c>
      <c r="Q288" s="193"/>
      <c r="R288" s="113"/>
      <c r="S288" s="116"/>
      <c r="T288" s="2"/>
    </row>
    <row r="289" spans="1:20" ht="15.6" x14ac:dyDescent="0.3">
      <c r="A289" s="83"/>
      <c r="B289" s="84"/>
      <c r="C289" s="84"/>
      <c r="D289" s="85"/>
      <c r="E289" s="85"/>
      <c r="F289" s="85"/>
      <c r="G289" s="85"/>
      <c r="H289" s="85"/>
      <c r="I289" s="85"/>
      <c r="J289" s="85"/>
      <c r="K289" s="85"/>
      <c r="L289" s="85"/>
      <c r="M289" s="85"/>
      <c r="N289" s="85"/>
      <c r="O289" s="85"/>
      <c r="P289" s="86"/>
      <c r="Q289" s="85"/>
      <c r="R289" s="84"/>
      <c r="S289" s="219"/>
      <c r="T289" s="2"/>
    </row>
    <row r="290" spans="1:20" ht="15.6" x14ac:dyDescent="0.3">
      <c r="A290" s="87"/>
      <c r="B290" s="88" t="s">
        <v>75</v>
      </c>
      <c r="C290" s="84"/>
      <c r="D290" s="89" t="s">
        <v>79</v>
      </c>
      <c r="E290" s="88"/>
      <c r="F290" s="88" t="s">
        <v>80</v>
      </c>
      <c r="G290" s="84"/>
      <c r="H290" s="88"/>
      <c r="I290" s="90"/>
      <c r="J290" s="90"/>
      <c r="K290" s="90"/>
      <c r="L290" s="90"/>
      <c r="M290" s="90"/>
      <c r="N290" s="90"/>
      <c r="O290" s="90"/>
      <c r="P290" s="90"/>
      <c r="Q290" s="90"/>
      <c r="R290" s="90"/>
      <c r="S290" s="230"/>
      <c r="T290" s="2"/>
    </row>
    <row r="291" spans="1:20" ht="15.6" x14ac:dyDescent="0.3">
      <c r="A291" s="87"/>
      <c r="B291" s="90"/>
      <c r="C291" s="84"/>
      <c r="D291" s="84"/>
      <c r="E291" s="84"/>
      <c r="F291" s="84"/>
      <c r="G291" s="84"/>
      <c r="H291" s="84"/>
      <c r="I291" s="90"/>
      <c r="J291" s="90"/>
      <c r="K291" s="90"/>
      <c r="L291" s="90"/>
      <c r="M291" s="90"/>
      <c r="N291" s="90"/>
      <c r="O291" s="90"/>
      <c r="P291" s="90"/>
      <c r="Q291" s="90"/>
      <c r="R291" s="90"/>
      <c r="S291" s="230"/>
      <c r="T291" s="2"/>
    </row>
    <row r="292" spans="1:20" ht="15.6" x14ac:dyDescent="0.3">
      <c r="A292" s="87"/>
      <c r="B292" s="214" t="s">
        <v>211</v>
      </c>
      <c r="C292" s="88"/>
      <c r="D292" s="91" t="s">
        <v>115</v>
      </c>
      <c r="E292" s="88"/>
      <c r="F292" s="88" t="s">
        <v>116</v>
      </c>
      <c r="G292" s="88"/>
      <c r="H292" s="88"/>
      <c r="I292" s="90"/>
      <c r="J292" s="90"/>
      <c r="K292" s="90"/>
      <c r="L292" s="90"/>
      <c r="M292" s="90"/>
      <c r="N292" s="90"/>
      <c r="O292" s="90"/>
      <c r="P292" s="90"/>
      <c r="Q292" s="90"/>
      <c r="R292" s="90"/>
      <c r="S292" s="230"/>
      <c r="T292" s="2"/>
    </row>
    <row r="293" spans="1:20" ht="15.6" x14ac:dyDescent="0.3">
      <c r="A293" s="87"/>
      <c r="B293" s="214" t="s">
        <v>212</v>
      </c>
      <c r="C293" s="88"/>
      <c r="D293" s="91" t="s">
        <v>147</v>
      </c>
      <c r="E293" s="88"/>
      <c r="F293" s="88" t="s">
        <v>148</v>
      </c>
      <c r="G293" s="88"/>
      <c r="H293" s="88"/>
      <c r="I293" s="90"/>
      <c r="J293" s="90"/>
      <c r="K293" s="90"/>
      <c r="L293" s="90"/>
      <c r="M293" s="90"/>
      <c r="N293" s="90"/>
      <c r="O293" s="90"/>
      <c r="P293" s="90"/>
      <c r="Q293" s="90"/>
      <c r="R293" s="90"/>
      <c r="S293" s="230"/>
      <c r="T293" s="2"/>
    </row>
    <row r="294" spans="1:20" ht="15.6" x14ac:dyDescent="0.3">
      <c r="A294" s="87"/>
      <c r="B294" s="214" t="s">
        <v>213</v>
      </c>
      <c r="C294" s="88"/>
      <c r="D294" s="91" t="s">
        <v>114</v>
      </c>
      <c r="E294" s="88"/>
      <c r="F294" s="88" t="s">
        <v>117</v>
      </c>
      <c r="G294" s="88"/>
      <c r="H294" s="88"/>
      <c r="I294" s="90"/>
      <c r="J294" s="90"/>
      <c r="K294" s="90"/>
      <c r="L294" s="90"/>
      <c r="M294" s="90"/>
      <c r="N294" s="90"/>
      <c r="O294" s="90"/>
      <c r="P294" s="90"/>
      <c r="Q294" s="90"/>
      <c r="R294" s="90"/>
      <c r="S294" s="230"/>
      <c r="T294" s="2"/>
    </row>
    <row r="295" spans="1:20" ht="15.6" x14ac:dyDescent="0.3">
      <c r="A295" s="87"/>
      <c r="B295" s="88"/>
      <c r="C295" s="88"/>
      <c r="D295" s="90"/>
      <c r="E295" s="90"/>
      <c r="F295" s="90"/>
      <c r="G295" s="90"/>
      <c r="H295" s="90"/>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8" thickBot="1" x14ac:dyDescent="0.35">
      <c r="A297" s="87"/>
      <c r="B297" s="92" t="str">
        <f>B195</f>
        <v>PM21 INVESTOR REPORT QUARTER ENDING MAY 2016</v>
      </c>
      <c r="C297" s="88"/>
      <c r="D297" s="90"/>
      <c r="E297" s="90"/>
      <c r="F297" s="90"/>
      <c r="G297" s="90"/>
      <c r="H297" s="90"/>
      <c r="I297" s="90"/>
      <c r="J297" s="90"/>
      <c r="K297" s="90"/>
      <c r="L297" s="90"/>
      <c r="M297" s="90"/>
      <c r="N297" s="90"/>
      <c r="O297" s="90"/>
      <c r="P297" s="90"/>
      <c r="Q297" s="90"/>
      <c r="R297" s="90"/>
      <c r="S297" s="99"/>
      <c r="T297" s="2"/>
    </row>
    <row r="298" spans="1:20" x14ac:dyDescent="0.25">
      <c r="A298" s="3"/>
      <c r="B298" s="3"/>
      <c r="C298" s="3"/>
      <c r="D298" s="3"/>
      <c r="E298" s="3"/>
      <c r="F298" s="3"/>
      <c r="G298" s="3"/>
      <c r="H298" s="3"/>
      <c r="I298" s="3"/>
      <c r="J298" s="3"/>
      <c r="K298" s="3"/>
      <c r="L298" s="3"/>
      <c r="M298" s="3"/>
      <c r="N298" s="3"/>
      <c r="O298" s="3"/>
      <c r="P298" s="3"/>
      <c r="Q298" s="3"/>
      <c r="R298" s="3"/>
      <c r="S298"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5" max="18" man="1"/>
  </rowBreaks>
  <colBreaks count="1" manualBreakCount="1">
    <brk id="19" max="29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42633</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188</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194015.93742</v>
      </c>
      <c r="E29" s="130"/>
      <c r="F29" s="202">
        <f>F28*F32</f>
        <v>17700</v>
      </c>
      <c r="G29" s="202"/>
      <c r="H29" s="202">
        <f>H28*H32</f>
        <v>8100</v>
      </c>
      <c r="I29" s="126"/>
      <c r="J29" s="202">
        <f>J28*J32</f>
        <v>6300</v>
      </c>
      <c r="K29" s="126"/>
      <c r="L29" s="130"/>
      <c r="M29" s="126"/>
      <c r="N29" s="130"/>
      <c r="O29" s="126"/>
      <c r="P29" s="126"/>
      <c r="Q29" s="127"/>
      <c r="R29" s="126">
        <f>SUM(D29:J29)</f>
        <v>226115.93742</v>
      </c>
      <c r="S29" s="128"/>
      <c r="T29" s="2"/>
    </row>
    <row r="30" spans="1:23" ht="15.6" x14ac:dyDescent="0.3">
      <c r="A30" s="122"/>
      <c r="B30" s="121" t="s">
        <v>107</v>
      </c>
      <c r="C30" s="125"/>
      <c r="D30" s="203">
        <f>D28*D31</f>
        <v>165571.38037</v>
      </c>
      <c r="E30" s="203"/>
      <c r="F30" s="203">
        <f t="shared" ref="F30:J30" si="0">F28*F31</f>
        <v>17700</v>
      </c>
      <c r="G30" s="203"/>
      <c r="H30" s="203">
        <f>H28*H31</f>
        <v>8100</v>
      </c>
      <c r="I30" s="203"/>
      <c r="J30" s="203">
        <f t="shared" si="0"/>
        <v>6300</v>
      </c>
      <c r="K30" s="131"/>
      <c r="L30" s="133"/>
      <c r="M30" s="131"/>
      <c r="N30" s="133"/>
      <c r="O30" s="126"/>
      <c r="P30" s="126"/>
      <c r="Q30" s="127"/>
      <c r="R30" s="204">
        <f>SUM(D30:J30)</f>
        <v>197671.38037</v>
      </c>
      <c r="S30" s="128"/>
      <c r="T30" s="2"/>
    </row>
    <row r="31" spans="1:23" ht="15.6" x14ac:dyDescent="0.3">
      <c r="A31" s="112"/>
      <c r="B31" s="134" t="s">
        <v>103</v>
      </c>
      <c r="C31" s="135"/>
      <c r="D31" s="136">
        <v>0.75985029999999998</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0.89038980000000001</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1.37188E-2</v>
      </c>
      <c r="E34" s="143"/>
      <c r="F34" s="143">
        <v>1.9718800000000002E-2</v>
      </c>
      <c r="G34" s="143"/>
      <c r="H34" s="143">
        <v>2.3218800000000001E-2</v>
      </c>
      <c r="I34" s="143"/>
      <c r="J34" s="143">
        <v>2.6718800000000001E-2</v>
      </c>
      <c r="K34" s="143"/>
      <c r="L34" s="143"/>
      <c r="M34" s="142"/>
      <c r="N34" s="143"/>
      <c r="O34" s="123"/>
      <c r="P34" s="123"/>
      <c r="Q34" s="115"/>
      <c r="R34" s="142">
        <f>SUMPRODUCT(D34:J34,D29:J29)/R29</f>
        <v>1.4890986282065035E-2</v>
      </c>
      <c r="S34" s="116"/>
      <c r="T34" s="2"/>
    </row>
    <row r="35" spans="1:21" ht="15.6" x14ac:dyDescent="0.3">
      <c r="A35" s="112"/>
      <c r="B35" s="113" t="s">
        <v>10</v>
      </c>
      <c r="C35" s="144"/>
      <c r="D35" s="143">
        <v>1.39125E-2</v>
      </c>
      <c r="E35" s="143"/>
      <c r="F35" s="143">
        <v>1.99125E-2</v>
      </c>
      <c r="G35" s="143"/>
      <c r="H35" s="143">
        <v>2.3412499999999999E-2</v>
      </c>
      <c r="I35" s="143"/>
      <c r="J35" s="143">
        <v>2.6912499999999999E-2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0.19387408577657919</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42628</v>
      </c>
      <c r="S45" s="116"/>
      <c r="T45" s="2"/>
    </row>
    <row r="46" spans="1:21" ht="15.6" x14ac:dyDescent="0.3">
      <c r="A46" s="112"/>
      <c r="B46" s="113" t="s">
        <v>99</v>
      </c>
      <c r="C46" s="113"/>
      <c r="D46" s="150"/>
      <c r="E46" s="150"/>
      <c r="F46" s="150"/>
      <c r="G46" s="150"/>
      <c r="H46" s="150"/>
      <c r="I46" s="150"/>
      <c r="J46" s="150"/>
      <c r="K46" s="150"/>
      <c r="L46" s="150"/>
      <c r="M46" s="150"/>
      <c r="N46" s="113">
        <v>91</v>
      </c>
      <c r="O46" s="113"/>
      <c r="P46" s="151">
        <v>42444</v>
      </c>
      <c r="Q46" s="152"/>
      <c r="R46" s="151">
        <v>42535</v>
      </c>
      <c r="S46" s="116"/>
      <c r="T46" s="2"/>
    </row>
    <row r="47" spans="1:21" ht="15.6" x14ac:dyDescent="0.3">
      <c r="A47" s="112"/>
      <c r="B47" s="113" t="s">
        <v>100</v>
      </c>
      <c r="C47" s="113"/>
      <c r="D47" s="113"/>
      <c r="E47" s="113"/>
      <c r="F47" s="113"/>
      <c r="G47" s="113"/>
      <c r="H47" s="113"/>
      <c r="I47" s="113"/>
      <c r="J47" s="113"/>
      <c r="K47" s="113"/>
      <c r="L47" s="113"/>
      <c r="M47" s="113"/>
      <c r="N47" s="113">
        <f>+R47-P47+1</f>
        <v>92</v>
      </c>
      <c r="O47" s="113"/>
      <c r="P47" s="151">
        <v>42536</v>
      </c>
      <c r="Q47" s="152"/>
      <c r="R47" s="151">
        <v>42627</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42614</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261</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226116</v>
      </c>
      <c r="I56" s="155"/>
      <c r="J56" s="156">
        <v>136</v>
      </c>
      <c r="K56" s="155"/>
      <c r="L56" s="155">
        <f>28445-136+62</f>
        <v>28371</v>
      </c>
      <c r="M56" s="155"/>
      <c r="N56" s="155">
        <f>59+3</f>
        <v>62</v>
      </c>
      <c r="O56" s="155"/>
      <c r="P56" s="155">
        <v>0</v>
      </c>
      <c r="Q56" s="155"/>
      <c r="R56" s="156">
        <f>H56-J56-L56+N56-P56</f>
        <v>197671</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226116</v>
      </c>
      <c r="I59" s="155"/>
      <c r="J59" s="155">
        <f>J56+J57</f>
        <v>136</v>
      </c>
      <c r="K59" s="155"/>
      <c r="L59" s="155">
        <f>SUM(L56:L58)</f>
        <v>28371</v>
      </c>
      <c r="M59" s="155"/>
      <c r="N59" s="155">
        <f>SUM(N56:N58)</f>
        <v>62</v>
      </c>
      <c r="O59" s="155"/>
      <c r="P59" s="155">
        <f>SUM(P56:P58)</f>
        <v>0</v>
      </c>
      <c r="Q59" s="155"/>
      <c r="R59" s="155">
        <f>SUM(R56:R58)</f>
        <v>197671</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0</v>
      </c>
      <c r="I70" s="155"/>
      <c r="J70" s="155"/>
      <c r="K70" s="155"/>
      <c r="L70" s="155"/>
      <c r="M70" s="155"/>
      <c r="N70" s="155">
        <v>0</v>
      </c>
      <c r="O70" s="155"/>
      <c r="P70" s="155"/>
      <c r="Q70" s="155"/>
      <c r="R70" s="155">
        <f>+H70+N70</f>
        <v>0</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226116</v>
      </c>
      <c r="I72" s="155"/>
      <c r="J72" s="155"/>
      <c r="K72" s="155"/>
      <c r="L72" s="155"/>
      <c r="M72" s="155"/>
      <c r="N72" s="155"/>
      <c r="O72" s="155"/>
      <c r="P72" s="155"/>
      <c r="Q72" s="155"/>
      <c r="R72" s="155">
        <f>SUM(R59:R71)</f>
        <v>197671</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+P197</f>
        <v>42613</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0</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v>0</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28507</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3544-1203</f>
        <v>2341</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126</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16</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37</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168</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28507</v>
      </c>
      <c r="Q89" s="113"/>
      <c r="R89" s="155">
        <f>SUM(R76:R88)</f>
        <v>2688</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28507</v>
      </c>
      <c r="Q92" s="113"/>
      <c r="R92" s="155">
        <f>R89+R90+R91</f>
        <v>2688</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236</v>
      </c>
      <c r="C96" s="113"/>
      <c r="D96" s="135"/>
      <c r="E96" s="135"/>
      <c r="F96" s="135"/>
      <c r="G96" s="135"/>
      <c r="H96" s="135"/>
      <c r="I96" s="135"/>
      <c r="J96" s="135"/>
      <c r="K96" s="135"/>
      <c r="L96" s="135"/>
      <c r="M96" s="135"/>
      <c r="N96" s="135"/>
      <c r="O96" s="135"/>
      <c r="P96" s="113"/>
      <c r="Q96" s="113"/>
      <c r="R96" s="156">
        <f>-86-4-3</f>
        <v>-93</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-208</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-671</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-88</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-47</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0</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-42</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-85</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-19-157</f>
        <v>-176</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-1255</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-P179</f>
        <v>-3</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f>-O179</f>
        <v>-59</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-28445</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-28507</v>
      </c>
      <c r="Q119" s="155"/>
      <c r="R119" s="155">
        <f>SUM(R93:R118)</f>
        <v>-2688</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AUGUST 2016</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1465.7154907499998</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4784.2845092500002</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v>0</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0</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0</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0</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+'May 16'!R163</f>
        <v>231</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262</v>
      </c>
      <c r="C162" s="113"/>
      <c r="D162" s="113"/>
      <c r="E162" s="113"/>
      <c r="F162" s="113"/>
      <c r="G162" s="113"/>
      <c r="H162" s="113"/>
      <c r="I162" s="113"/>
      <c r="J162" s="113"/>
      <c r="K162" s="113"/>
      <c r="L162" s="113"/>
      <c r="M162" s="113"/>
      <c r="N162" s="113"/>
      <c r="O162" s="113"/>
      <c r="P162" s="113"/>
      <c r="Q162" s="113"/>
      <c r="R162" s="156">
        <v>212</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144</v>
      </c>
      <c r="C163" s="113"/>
      <c r="D163" s="113"/>
      <c r="E163" s="113"/>
      <c r="F163" s="113"/>
      <c r="G163" s="113"/>
      <c r="H163" s="113"/>
      <c r="I163" s="113"/>
      <c r="J163" s="113"/>
      <c r="K163" s="113"/>
      <c r="L163" s="113"/>
      <c r="M163" s="113"/>
      <c r="N163" s="113"/>
      <c r="O163" s="113"/>
      <c r="P163" s="113"/>
      <c r="Q163" s="113"/>
      <c r="R163" s="156">
        <f>R84</f>
        <v>37</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6" x14ac:dyDescent="0.3">
      <c r="A164" s="112"/>
      <c r="B164" s="113" t="s">
        <v>142</v>
      </c>
      <c r="C164" s="113"/>
      <c r="D164" s="113"/>
      <c r="E164" s="113"/>
      <c r="F164" s="113"/>
      <c r="G164" s="113"/>
      <c r="H164" s="113"/>
      <c r="I164" s="113"/>
      <c r="J164" s="113"/>
      <c r="K164" s="113"/>
      <c r="L164" s="113"/>
      <c r="M164" s="113"/>
      <c r="N164" s="113"/>
      <c r="O164" s="113"/>
      <c r="P164" s="113"/>
      <c r="Q164" s="113"/>
      <c r="R164" s="156">
        <f>+R161+R162-R163</f>
        <v>406</v>
      </c>
      <c r="S164" s="116"/>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2" thickBot="1" x14ac:dyDescent="0.35">
      <c r="A165" s="28"/>
      <c r="B165" s="43"/>
      <c r="C165" s="43"/>
      <c r="D165" s="43"/>
      <c r="E165" s="43"/>
      <c r="F165" s="43"/>
      <c r="G165" s="43"/>
      <c r="H165" s="43"/>
      <c r="I165" s="43"/>
      <c r="J165" s="43"/>
      <c r="K165" s="43"/>
      <c r="L165" s="43"/>
      <c r="M165" s="43"/>
      <c r="N165" s="43"/>
      <c r="O165" s="43"/>
      <c r="P165" s="43"/>
      <c r="Q165" s="43"/>
      <c r="R165" s="162"/>
      <c r="S165" s="218"/>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6" x14ac:dyDescent="0.3">
      <c r="A166" s="10"/>
      <c r="B166" s="11"/>
      <c r="C166" s="11"/>
      <c r="D166" s="11"/>
      <c r="E166" s="11"/>
      <c r="F166" s="11"/>
      <c r="G166" s="11"/>
      <c r="H166" s="11"/>
      <c r="I166" s="11"/>
      <c r="J166" s="11"/>
      <c r="K166" s="11"/>
      <c r="L166" s="11"/>
      <c r="M166" s="11"/>
      <c r="N166" s="11"/>
      <c r="O166" s="11"/>
      <c r="P166" s="11"/>
      <c r="Q166" s="11"/>
      <c r="R166" s="32"/>
      <c r="S166" s="217"/>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6" x14ac:dyDescent="0.3">
      <c r="A167" s="12"/>
      <c r="B167" s="41" t="s">
        <v>44</v>
      </c>
      <c r="C167" s="14"/>
      <c r="D167" s="14"/>
      <c r="E167" s="14"/>
      <c r="F167" s="14"/>
      <c r="G167" s="14"/>
      <c r="H167" s="14"/>
      <c r="I167" s="14"/>
      <c r="J167" s="14"/>
      <c r="K167" s="14"/>
      <c r="L167" s="14"/>
      <c r="M167" s="14"/>
      <c r="N167" s="14"/>
      <c r="O167" s="14"/>
      <c r="P167" s="14"/>
      <c r="Q167" s="14"/>
      <c r="R167" s="33"/>
      <c r="S167" s="218"/>
      <c r="T167" s="2"/>
    </row>
    <row r="168" spans="1:252" ht="15.6" x14ac:dyDescent="0.3">
      <c r="A168" s="12"/>
      <c r="B168" s="22"/>
      <c r="C168" s="14"/>
      <c r="D168" s="14"/>
      <c r="E168" s="14"/>
      <c r="F168" s="14"/>
      <c r="G168" s="14"/>
      <c r="H168" s="14"/>
      <c r="I168" s="14"/>
      <c r="J168" s="14"/>
      <c r="K168" s="14"/>
      <c r="L168" s="14"/>
      <c r="M168" s="14"/>
      <c r="N168" s="14"/>
      <c r="O168" s="14"/>
      <c r="P168" s="14"/>
      <c r="Q168" s="14"/>
      <c r="R168" s="33"/>
      <c r="S168" s="218"/>
      <c r="T168" s="2"/>
    </row>
    <row r="169" spans="1:252" ht="15.6" x14ac:dyDescent="0.3">
      <c r="A169" s="112"/>
      <c r="B169" s="113" t="s">
        <v>177</v>
      </c>
      <c r="C169" s="113"/>
      <c r="D169" s="113"/>
      <c r="E169" s="113"/>
      <c r="F169" s="113"/>
      <c r="G169" s="113"/>
      <c r="H169" s="113"/>
      <c r="I169" s="113"/>
      <c r="J169" s="113"/>
      <c r="K169" s="113"/>
      <c r="L169" s="113"/>
      <c r="M169" s="113"/>
      <c r="N169" s="113"/>
      <c r="O169" s="113"/>
      <c r="P169" s="113"/>
      <c r="Q169" s="113"/>
      <c r="R169" s="156">
        <f>+R59</f>
        <v>197671</v>
      </c>
      <c r="S169" s="116"/>
      <c r="T169" s="2"/>
    </row>
    <row r="170" spans="1:252" ht="15.6" x14ac:dyDescent="0.3">
      <c r="A170" s="112"/>
      <c r="B170" s="113" t="s">
        <v>178</v>
      </c>
      <c r="C170" s="113"/>
      <c r="D170" s="113"/>
      <c r="E170" s="113"/>
      <c r="F170" s="113"/>
      <c r="G170" s="113"/>
      <c r="H170" s="113"/>
      <c r="I170" s="113"/>
      <c r="J170" s="113"/>
      <c r="K170" s="113"/>
      <c r="L170" s="113"/>
      <c r="M170" s="113"/>
      <c r="N170" s="113"/>
      <c r="O170" s="113"/>
      <c r="P170" s="113"/>
      <c r="Q170" s="113"/>
      <c r="R170" s="156">
        <f>+R69</f>
        <v>0</v>
      </c>
      <c r="S170" s="116"/>
      <c r="T170" s="2"/>
    </row>
    <row r="171" spans="1:252" ht="15.6" x14ac:dyDescent="0.3">
      <c r="A171" s="112"/>
      <c r="B171" s="113" t="s">
        <v>246</v>
      </c>
      <c r="C171" s="113"/>
      <c r="D171" s="113"/>
      <c r="E171" s="113"/>
      <c r="F171" s="113"/>
      <c r="G171" s="113"/>
      <c r="H171" s="113"/>
      <c r="I171" s="113"/>
      <c r="J171" s="113"/>
      <c r="K171" s="113"/>
      <c r="L171" s="113"/>
      <c r="M171" s="113"/>
      <c r="N171" s="113"/>
      <c r="O171" s="113"/>
      <c r="P171" s="113"/>
      <c r="Q171" s="113"/>
      <c r="R171" s="156">
        <f>+R70</f>
        <v>0</v>
      </c>
      <c r="S171" s="116"/>
      <c r="T171" s="2"/>
    </row>
    <row r="172" spans="1:252" ht="15.6" x14ac:dyDescent="0.3">
      <c r="A172" s="112"/>
      <c r="B172" s="113" t="s">
        <v>126</v>
      </c>
      <c r="C172" s="113"/>
      <c r="D172" s="113"/>
      <c r="E172" s="113"/>
      <c r="F172" s="113"/>
      <c r="G172" s="113"/>
      <c r="H172" s="113"/>
      <c r="I172" s="113"/>
      <c r="J172" s="113"/>
      <c r="K172" s="113"/>
      <c r="L172" s="113"/>
      <c r="M172" s="113"/>
      <c r="N172" s="113"/>
      <c r="O172" s="113"/>
      <c r="P172" s="113"/>
      <c r="Q172" s="113"/>
      <c r="R172" s="156">
        <f>+R169+R170+R171</f>
        <v>197671</v>
      </c>
      <c r="S172" s="116"/>
      <c r="T172" s="2"/>
    </row>
    <row r="173" spans="1:252" ht="15.6" x14ac:dyDescent="0.3">
      <c r="A173" s="112"/>
      <c r="B173" s="113" t="s">
        <v>45</v>
      </c>
      <c r="C173" s="113"/>
      <c r="D173" s="113"/>
      <c r="E173" s="113"/>
      <c r="F173" s="113"/>
      <c r="G173" s="113"/>
      <c r="H173" s="113"/>
      <c r="I173" s="113"/>
      <c r="J173" s="113"/>
      <c r="K173" s="113"/>
      <c r="L173" s="113"/>
      <c r="M173" s="113"/>
      <c r="N173" s="113"/>
      <c r="O173" s="113"/>
      <c r="P173" s="113"/>
      <c r="Q173" s="113"/>
      <c r="R173" s="156">
        <f>R72</f>
        <v>197671</v>
      </c>
      <c r="S173" s="116"/>
      <c r="T173" s="2"/>
    </row>
    <row r="174" spans="1:252" ht="16.2" thickBot="1" x14ac:dyDescent="0.35">
      <c r="A174" s="12"/>
      <c r="B174" s="43"/>
      <c r="C174" s="43"/>
      <c r="D174" s="43"/>
      <c r="E174" s="43"/>
      <c r="F174" s="43"/>
      <c r="G174" s="43"/>
      <c r="H174" s="43"/>
      <c r="I174" s="43"/>
      <c r="J174" s="43"/>
      <c r="K174" s="43"/>
      <c r="L174" s="43"/>
      <c r="M174" s="43"/>
      <c r="N174" s="43"/>
      <c r="O174" s="43"/>
      <c r="P174" s="43"/>
      <c r="Q174" s="43"/>
      <c r="R174" s="162"/>
      <c r="S174" s="218"/>
      <c r="T174" s="2"/>
    </row>
    <row r="175" spans="1:252" ht="15.6" x14ac:dyDescent="0.3">
      <c r="A175" s="10"/>
      <c r="B175" s="11"/>
      <c r="C175" s="11"/>
      <c r="D175" s="11"/>
      <c r="E175" s="11"/>
      <c r="F175" s="11"/>
      <c r="G175" s="11"/>
      <c r="H175" s="11"/>
      <c r="I175" s="11"/>
      <c r="J175" s="11"/>
      <c r="K175" s="11"/>
      <c r="L175" s="11"/>
      <c r="M175" s="11"/>
      <c r="N175" s="11"/>
      <c r="O175" s="11"/>
      <c r="P175" s="11"/>
      <c r="Q175" s="11"/>
      <c r="R175" s="32"/>
      <c r="S175" s="217"/>
      <c r="T175" s="2"/>
    </row>
    <row r="176" spans="1:252" ht="15.6" x14ac:dyDescent="0.3">
      <c r="A176" s="12"/>
      <c r="B176" s="41" t="s">
        <v>46</v>
      </c>
      <c r="C176" s="37"/>
      <c r="D176" s="45"/>
      <c r="E176" s="45"/>
      <c r="F176" s="45"/>
      <c r="G176" s="45"/>
      <c r="H176" s="45"/>
      <c r="I176" s="45"/>
      <c r="J176" s="45"/>
      <c r="K176" s="45"/>
      <c r="L176" s="45"/>
      <c r="M176" s="45"/>
      <c r="N176" s="45"/>
      <c r="O176" s="45" t="s">
        <v>82</v>
      </c>
      <c r="P176" s="45" t="s">
        <v>173</v>
      </c>
      <c r="Q176" s="16"/>
      <c r="R176" s="46" t="s">
        <v>94</v>
      </c>
      <c r="S176" s="225"/>
      <c r="T176" s="2"/>
    </row>
    <row r="177" spans="1:20" ht="15.6" x14ac:dyDescent="0.3">
      <c r="A177" s="112"/>
      <c r="B177" s="113" t="s">
        <v>47</v>
      </c>
      <c r="C177" s="113"/>
      <c r="D177" s="113"/>
      <c r="E177" s="113"/>
      <c r="F177" s="113"/>
      <c r="G177" s="113"/>
      <c r="H177" s="113"/>
      <c r="I177" s="113"/>
      <c r="J177" s="113"/>
      <c r="K177" s="113"/>
      <c r="L177" s="113"/>
      <c r="M177" s="113"/>
      <c r="N177" s="113"/>
      <c r="O177" s="156">
        <f>+R28*0.05</f>
        <v>12500</v>
      </c>
      <c r="P177" s="145"/>
      <c r="Q177" s="113"/>
      <c r="R177" s="156"/>
      <c r="S177" s="116"/>
      <c r="T177" s="2"/>
    </row>
    <row r="178" spans="1:20" ht="15.6" x14ac:dyDescent="0.3">
      <c r="A178" s="112"/>
      <c r="B178" s="113" t="s">
        <v>48</v>
      </c>
      <c r="C178" s="113"/>
      <c r="D178" s="113"/>
      <c r="E178" s="113"/>
      <c r="F178" s="113"/>
      <c r="G178" s="113"/>
      <c r="H178" s="113"/>
      <c r="I178" s="113"/>
      <c r="J178" s="113"/>
      <c r="K178" s="113"/>
      <c r="L178" s="113"/>
      <c r="M178" s="113"/>
      <c r="N178" s="113"/>
      <c r="O178" s="156">
        <f>+'May 16'!O179</f>
        <v>766</v>
      </c>
      <c r="P178" s="156">
        <f>+'May 16'!P179</f>
        <v>514</v>
      </c>
      <c r="Q178" s="113"/>
      <c r="R178" s="156">
        <f>O178+P178</f>
        <v>1280</v>
      </c>
      <c r="S178" s="116"/>
      <c r="T178" s="2"/>
    </row>
    <row r="179" spans="1:20" ht="15.6" x14ac:dyDescent="0.3">
      <c r="A179" s="112"/>
      <c r="B179" s="113" t="s">
        <v>49</v>
      </c>
      <c r="C179" s="113"/>
      <c r="D179" s="113"/>
      <c r="E179" s="113"/>
      <c r="F179" s="113"/>
      <c r="G179" s="113"/>
      <c r="H179" s="113"/>
      <c r="I179" s="113"/>
      <c r="J179" s="113"/>
      <c r="K179" s="113"/>
      <c r="L179" s="113"/>
      <c r="M179" s="113"/>
      <c r="N179" s="113"/>
      <c r="O179" s="155">
        <v>59</v>
      </c>
      <c r="P179" s="155">
        <v>3</v>
      </c>
      <c r="Q179" s="113"/>
      <c r="R179" s="156">
        <f>O179+P179</f>
        <v>62</v>
      </c>
      <c r="S179" s="116"/>
      <c r="T179" s="2"/>
    </row>
    <row r="180" spans="1:20" ht="15.6" x14ac:dyDescent="0.3">
      <c r="A180" s="112"/>
      <c r="B180" s="113" t="s">
        <v>50</v>
      </c>
      <c r="C180" s="113"/>
      <c r="D180" s="113"/>
      <c r="E180" s="113"/>
      <c r="F180" s="113"/>
      <c r="G180" s="113"/>
      <c r="H180" s="113"/>
      <c r="I180" s="113"/>
      <c r="J180" s="113"/>
      <c r="K180" s="113"/>
      <c r="L180" s="113"/>
      <c r="M180" s="113"/>
      <c r="N180" s="113"/>
      <c r="O180" s="156">
        <f>O178+O179</f>
        <v>825</v>
      </c>
      <c r="P180" s="156">
        <f>P179+P178</f>
        <v>517</v>
      </c>
      <c r="Q180" s="113"/>
      <c r="R180" s="156">
        <f>O180+P180</f>
        <v>1342</v>
      </c>
      <c r="S180" s="116"/>
      <c r="T180" s="2"/>
    </row>
    <row r="181" spans="1:20" ht="15.6" x14ac:dyDescent="0.3">
      <c r="A181" s="112"/>
      <c r="B181" s="113" t="s">
        <v>51</v>
      </c>
      <c r="C181" s="113"/>
      <c r="D181" s="113"/>
      <c r="E181" s="113"/>
      <c r="F181" s="113"/>
      <c r="G181" s="113"/>
      <c r="H181" s="113"/>
      <c r="I181" s="113"/>
      <c r="J181" s="113"/>
      <c r="K181" s="113"/>
      <c r="L181" s="113"/>
      <c r="M181" s="113"/>
      <c r="N181" s="113"/>
      <c r="O181" s="156">
        <f>O177-O180-P180</f>
        <v>11158</v>
      </c>
      <c r="P181" s="145"/>
      <c r="Q181" s="113"/>
      <c r="R181" s="156"/>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8"/>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7"/>
      <c r="T183" s="2"/>
    </row>
    <row r="184" spans="1:20" ht="15.6" x14ac:dyDescent="0.3">
      <c r="A184" s="12"/>
      <c r="B184" s="41" t="s">
        <v>52</v>
      </c>
      <c r="C184" s="14"/>
      <c r="D184" s="14"/>
      <c r="E184" s="14"/>
      <c r="F184" s="14"/>
      <c r="G184" s="14"/>
      <c r="H184" s="14"/>
      <c r="I184" s="14"/>
      <c r="J184" s="14"/>
      <c r="K184" s="14"/>
      <c r="L184" s="14"/>
      <c r="M184" s="14"/>
      <c r="N184" s="14"/>
      <c r="O184" s="14"/>
      <c r="P184" s="14"/>
      <c r="Q184" s="14"/>
      <c r="R184" s="47"/>
      <c r="S184" s="218"/>
      <c r="T184" s="2"/>
    </row>
    <row r="185" spans="1:20" ht="15.6" x14ac:dyDescent="0.3">
      <c r="A185" s="112"/>
      <c r="B185" s="113" t="s">
        <v>53</v>
      </c>
      <c r="C185" s="113"/>
      <c r="D185" s="113"/>
      <c r="E185" s="113"/>
      <c r="F185" s="113"/>
      <c r="G185" s="113"/>
      <c r="H185" s="113"/>
      <c r="I185" s="113"/>
      <c r="J185" s="113"/>
      <c r="K185" s="113"/>
      <c r="L185" s="113"/>
      <c r="M185" s="113"/>
      <c r="N185" s="113"/>
      <c r="O185" s="113"/>
      <c r="P185" s="113"/>
      <c r="Q185" s="113"/>
      <c r="R185" s="161">
        <f>(R92+R94+R95+R96+R97)/-(R98)</f>
        <v>3.5529061102831596</v>
      </c>
      <c r="S185" s="116" t="s">
        <v>95</v>
      </c>
      <c r="T185" s="2"/>
    </row>
    <row r="186" spans="1:20" ht="15.6" x14ac:dyDescent="0.3">
      <c r="A186" s="112"/>
      <c r="B186" s="113" t="s">
        <v>54</v>
      </c>
      <c r="C186" s="113"/>
      <c r="D186" s="113"/>
      <c r="E186" s="113"/>
      <c r="F186" s="113"/>
      <c r="G186" s="113"/>
      <c r="H186" s="113"/>
      <c r="I186" s="113"/>
      <c r="J186" s="113"/>
      <c r="K186" s="113"/>
      <c r="L186" s="113"/>
      <c r="M186" s="113"/>
      <c r="N186" s="113"/>
      <c r="O186" s="113"/>
      <c r="P186" s="113"/>
      <c r="Q186" s="113"/>
      <c r="R186" s="164">
        <v>3.52</v>
      </c>
      <c r="S186" s="116" t="s">
        <v>95</v>
      </c>
      <c r="T186" s="2"/>
    </row>
    <row r="187" spans="1:20" ht="15.6" x14ac:dyDescent="0.3">
      <c r="A187" s="112"/>
      <c r="B187" s="113" t="s">
        <v>192</v>
      </c>
      <c r="C187" s="113"/>
      <c r="D187" s="113"/>
      <c r="E187" s="113"/>
      <c r="F187" s="113"/>
      <c r="G187" s="113"/>
      <c r="H187" s="113"/>
      <c r="I187" s="113"/>
      <c r="J187" s="113"/>
      <c r="K187" s="113"/>
      <c r="L187" s="113"/>
      <c r="M187" s="113"/>
      <c r="N187" s="113"/>
      <c r="O187" s="113"/>
      <c r="P187" s="113"/>
      <c r="Q187" s="113"/>
      <c r="R187" s="161">
        <f>(R92+R94+R95+R96+R97+R98)/-(R99)</f>
        <v>19.46590909090909</v>
      </c>
      <c r="S187" s="116" t="s">
        <v>95</v>
      </c>
      <c r="T187" s="2"/>
    </row>
    <row r="188" spans="1:20" ht="15.6" x14ac:dyDescent="0.3">
      <c r="A188" s="112"/>
      <c r="B188" s="113" t="s">
        <v>193</v>
      </c>
      <c r="C188" s="113"/>
      <c r="D188" s="113"/>
      <c r="E188" s="113"/>
      <c r="F188" s="113"/>
      <c r="G188" s="113"/>
      <c r="H188" s="113"/>
      <c r="I188" s="113"/>
      <c r="J188" s="113"/>
      <c r="K188" s="113"/>
      <c r="L188" s="113"/>
      <c r="M188" s="113"/>
      <c r="N188" s="113"/>
      <c r="O188" s="113"/>
      <c r="P188" s="113"/>
      <c r="Q188" s="113"/>
      <c r="R188" s="164">
        <v>20.62</v>
      </c>
      <c r="S188" s="116" t="s">
        <v>95</v>
      </c>
      <c r="T188" s="2"/>
    </row>
    <row r="189" spans="1:20" ht="15.6" x14ac:dyDescent="0.3">
      <c r="A189" s="112"/>
      <c r="B189" s="113" t="s">
        <v>194</v>
      </c>
      <c r="C189" s="113"/>
      <c r="D189" s="113"/>
      <c r="E189" s="113"/>
      <c r="F189" s="113"/>
      <c r="G189" s="113"/>
      <c r="H189" s="113"/>
      <c r="I189" s="113"/>
      <c r="J189" s="113"/>
      <c r="K189" s="113"/>
      <c r="L189" s="113"/>
      <c r="M189" s="113"/>
      <c r="N189" s="113"/>
      <c r="O189" s="113"/>
      <c r="P189" s="113"/>
      <c r="Q189" s="113"/>
      <c r="R189" s="161">
        <f>(R92+R94+R95+R96+R97+R98+R99)/-(R100)</f>
        <v>34.574468085106382</v>
      </c>
      <c r="S189" s="116" t="s">
        <v>95</v>
      </c>
      <c r="T189" s="2"/>
    </row>
    <row r="190" spans="1:20" ht="15.6" x14ac:dyDescent="0.3">
      <c r="A190" s="112"/>
      <c r="B190" s="113" t="s">
        <v>195</v>
      </c>
      <c r="C190" s="113"/>
      <c r="D190" s="113"/>
      <c r="E190" s="113"/>
      <c r="F190" s="113"/>
      <c r="G190" s="113"/>
      <c r="H190" s="113"/>
      <c r="I190" s="113"/>
      <c r="J190" s="113"/>
      <c r="K190" s="113"/>
      <c r="L190" s="113"/>
      <c r="M190" s="113"/>
      <c r="N190" s="113"/>
      <c r="O190" s="113"/>
      <c r="P190" s="113"/>
      <c r="Q190" s="113"/>
      <c r="R190" s="164">
        <v>36.57</v>
      </c>
      <c r="S190" s="116" t="s">
        <v>95</v>
      </c>
      <c r="T190" s="2"/>
    </row>
    <row r="191" spans="1:20" ht="15.6" x14ac:dyDescent="0.3">
      <c r="A191" s="112"/>
      <c r="B191" s="113" t="s">
        <v>196</v>
      </c>
      <c r="C191" s="113"/>
      <c r="D191" s="113"/>
      <c r="E191" s="113"/>
      <c r="F191" s="113"/>
      <c r="G191" s="113"/>
      <c r="H191" s="113"/>
      <c r="I191" s="113"/>
      <c r="J191" s="113"/>
      <c r="K191" s="113"/>
      <c r="L191" s="113"/>
      <c r="M191" s="113"/>
      <c r="N191" s="113"/>
      <c r="O191" s="113"/>
      <c r="P191" s="113"/>
      <c r="Q191" s="113"/>
      <c r="R191" s="161">
        <f>(R92+R94+R95+R96+R97+R98+R99+R100+R101+R102+R103+R104+R105)/-(R106)</f>
        <v>37.095238095238095</v>
      </c>
      <c r="S191" s="116" t="s">
        <v>95</v>
      </c>
      <c r="T191" s="2"/>
    </row>
    <row r="192" spans="1:20" ht="15.6" x14ac:dyDescent="0.3">
      <c r="A192" s="112"/>
      <c r="B192" s="113" t="s">
        <v>197</v>
      </c>
      <c r="C192" s="113"/>
      <c r="D192" s="113"/>
      <c r="E192" s="113"/>
      <c r="F192" s="113"/>
      <c r="G192" s="113"/>
      <c r="H192" s="113"/>
      <c r="I192" s="113"/>
      <c r="J192" s="113"/>
      <c r="K192" s="113"/>
      <c r="L192" s="113"/>
      <c r="M192" s="113"/>
      <c r="N192" s="113"/>
      <c r="O192" s="113"/>
      <c r="P192" s="113"/>
      <c r="Q192" s="113"/>
      <c r="R192" s="164">
        <v>39.340000000000003</v>
      </c>
      <c r="S192" s="116" t="s">
        <v>95</v>
      </c>
      <c r="T192" s="2"/>
    </row>
    <row r="193" spans="1:20" ht="15.6" x14ac:dyDescent="0.3">
      <c r="A193" s="112"/>
      <c r="B193" s="113"/>
      <c r="C193" s="113"/>
      <c r="D193" s="113"/>
      <c r="E193" s="113"/>
      <c r="F193" s="113"/>
      <c r="G193" s="113"/>
      <c r="H193" s="113"/>
      <c r="I193" s="113"/>
      <c r="J193" s="113"/>
      <c r="K193" s="113"/>
      <c r="L193" s="113"/>
      <c r="M193" s="113"/>
      <c r="N193" s="113"/>
      <c r="O193" s="113"/>
      <c r="P193" s="113"/>
      <c r="Q193" s="113"/>
      <c r="R193" s="113"/>
      <c r="S193" s="116"/>
      <c r="T193" s="2"/>
    </row>
    <row r="194" spans="1:20" ht="15.6" x14ac:dyDescent="0.3">
      <c r="A194" s="12"/>
      <c r="B194" s="163"/>
      <c r="C194" s="163"/>
      <c r="D194" s="163"/>
      <c r="E194" s="163"/>
      <c r="F194" s="163"/>
      <c r="G194" s="163"/>
      <c r="H194" s="163"/>
      <c r="I194" s="163"/>
      <c r="J194" s="163"/>
      <c r="K194" s="163"/>
      <c r="L194" s="163"/>
      <c r="M194" s="163"/>
      <c r="N194" s="163"/>
      <c r="O194" s="163"/>
      <c r="P194" s="163"/>
      <c r="Q194" s="163"/>
      <c r="R194" s="163"/>
      <c r="S194" s="219"/>
      <c r="T194" s="2"/>
    </row>
    <row r="195" spans="1:20" ht="15.6" x14ac:dyDescent="0.3">
      <c r="A195" s="12"/>
      <c r="B195" s="84"/>
      <c r="C195" s="84"/>
      <c r="D195" s="84"/>
      <c r="E195" s="84"/>
      <c r="F195" s="84"/>
      <c r="G195" s="84"/>
      <c r="H195" s="84"/>
      <c r="I195" s="84"/>
      <c r="J195" s="84"/>
      <c r="K195" s="84"/>
      <c r="L195" s="84"/>
      <c r="M195" s="84"/>
      <c r="N195" s="84"/>
      <c r="O195" s="84"/>
      <c r="P195" s="84"/>
      <c r="Q195" s="84"/>
      <c r="R195" s="84"/>
      <c r="S195" s="219"/>
      <c r="T195" s="2"/>
    </row>
    <row r="196" spans="1:20" ht="18" thickBot="1" x14ac:dyDescent="0.35">
      <c r="A196" s="28"/>
      <c r="B196" s="97" t="str">
        <f>B123</f>
        <v>PM21 INVESTOR REPORT QUARTER ENDING AUGUST 2016</v>
      </c>
      <c r="C196" s="98"/>
      <c r="D196" s="98"/>
      <c r="E196" s="98"/>
      <c r="F196" s="98"/>
      <c r="G196" s="98"/>
      <c r="H196" s="98"/>
      <c r="I196" s="98"/>
      <c r="J196" s="98"/>
      <c r="K196" s="98"/>
      <c r="L196" s="98"/>
      <c r="M196" s="98"/>
      <c r="N196" s="98"/>
      <c r="O196" s="98"/>
      <c r="P196" s="98"/>
      <c r="Q196" s="98"/>
      <c r="R196" s="98"/>
      <c r="S196" s="99"/>
      <c r="T196" s="2"/>
    </row>
    <row r="197" spans="1:20" ht="15.6" x14ac:dyDescent="0.3">
      <c r="A197" s="65"/>
      <c r="B197" s="66" t="s">
        <v>55</v>
      </c>
      <c r="C197" s="69"/>
      <c r="D197" s="70"/>
      <c r="E197" s="70"/>
      <c r="F197" s="70"/>
      <c r="G197" s="70"/>
      <c r="H197" s="70"/>
      <c r="I197" s="70"/>
      <c r="J197" s="70"/>
      <c r="K197" s="70"/>
      <c r="L197" s="70"/>
      <c r="M197" s="70"/>
      <c r="N197" s="70"/>
      <c r="O197" s="70"/>
      <c r="P197" s="70">
        <v>42613</v>
      </c>
      <c r="Q197" s="67"/>
      <c r="R197" s="67"/>
      <c r="S197" s="224"/>
      <c r="T197" s="2"/>
    </row>
    <row r="198" spans="1:20" ht="15.6" x14ac:dyDescent="0.3">
      <c r="A198" s="48"/>
      <c r="B198" s="49"/>
      <c r="C198" s="50"/>
      <c r="D198" s="51"/>
      <c r="E198" s="51"/>
      <c r="F198" s="51"/>
      <c r="G198" s="51"/>
      <c r="H198" s="51"/>
      <c r="I198" s="51"/>
      <c r="J198" s="51"/>
      <c r="K198" s="51"/>
      <c r="L198" s="51"/>
      <c r="M198" s="51"/>
      <c r="N198" s="51"/>
      <c r="O198" s="51"/>
      <c r="P198" s="51"/>
      <c r="Q198" s="14"/>
      <c r="R198" s="14"/>
      <c r="S198" s="218"/>
      <c r="T198" s="2"/>
    </row>
    <row r="199" spans="1:20" ht="15.6" x14ac:dyDescent="0.3">
      <c r="A199" s="167"/>
      <c r="B199" s="113" t="s">
        <v>56</v>
      </c>
      <c r="C199" s="168"/>
      <c r="D199" s="148"/>
      <c r="E199" s="148"/>
      <c r="F199" s="148"/>
      <c r="G199" s="148"/>
      <c r="H199" s="148"/>
      <c r="I199" s="148"/>
      <c r="J199" s="148"/>
      <c r="K199" s="148"/>
      <c r="L199" s="148"/>
      <c r="M199" s="148"/>
      <c r="N199" s="148"/>
      <c r="O199" s="148"/>
      <c r="P199" s="142">
        <v>4.1349999999999998E-2</v>
      </c>
      <c r="Q199" s="113"/>
      <c r="R199" s="113"/>
      <c r="S199" s="116"/>
      <c r="T199" s="2"/>
    </row>
    <row r="200" spans="1:20" ht="15.6" x14ac:dyDescent="0.3">
      <c r="A200" s="167"/>
      <c r="B200" s="113" t="s">
        <v>161</v>
      </c>
      <c r="C200" s="168"/>
      <c r="D200" s="148"/>
      <c r="E200" s="148"/>
      <c r="F200" s="148"/>
      <c r="G200" s="148"/>
      <c r="H200" s="148"/>
      <c r="I200" s="148"/>
      <c r="J200" s="148"/>
      <c r="K200" s="148"/>
      <c r="L200" s="148"/>
      <c r="M200" s="148"/>
      <c r="N200" s="148"/>
      <c r="O200" s="148"/>
      <c r="P200" s="142">
        <v>1.50706E-2</v>
      </c>
      <c r="Q200" s="113"/>
      <c r="R200" s="113"/>
      <c r="S200" s="116"/>
      <c r="T200" s="2"/>
    </row>
    <row r="201" spans="1:20" ht="15.6" x14ac:dyDescent="0.3">
      <c r="A201" s="167"/>
      <c r="B201" s="113" t="s">
        <v>57</v>
      </c>
      <c r="C201" s="168"/>
      <c r="D201" s="148"/>
      <c r="E201" s="148"/>
      <c r="F201" s="148"/>
      <c r="G201" s="148"/>
      <c r="H201" s="148"/>
      <c r="I201" s="148"/>
      <c r="J201" s="148"/>
      <c r="K201" s="148"/>
      <c r="L201" s="148"/>
      <c r="M201" s="148"/>
      <c r="N201" s="148"/>
      <c r="O201" s="148"/>
      <c r="P201" s="211">
        <f>P199-P200</f>
        <v>2.6279399999999998E-2</v>
      </c>
      <c r="Q201" s="113"/>
      <c r="R201" s="113"/>
      <c r="S201" s="116"/>
      <c r="T201" s="2"/>
    </row>
    <row r="202" spans="1:20" ht="15.6" x14ac:dyDescent="0.3">
      <c r="A202" s="167"/>
      <c r="B202" s="113" t="s">
        <v>164</v>
      </c>
      <c r="C202" s="168"/>
      <c r="D202" s="148"/>
      <c r="E202" s="148"/>
      <c r="F202" s="148"/>
      <c r="G202" s="148"/>
      <c r="H202" s="148"/>
      <c r="I202" s="148"/>
      <c r="J202" s="148"/>
      <c r="K202" s="148"/>
      <c r="L202" s="148"/>
      <c r="M202" s="148"/>
      <c r="N202" s="148"/>
      <c r="O202" s="148"/>
      <c r="P202" s="211">
        <v>4.5718800000000004E-2</v>
      </c>
      <c r="Q202" s="113"/>
      <c r="R202" s="113"/>
      <c r="S202" s="116"/>
      <c r="T202" s="2"/>
    </row>
    <row r="203" spans="1:20" ht="15.6" x14ac:dyDescent="0.3">
      <c r="A203" s="167"/>
      <c r="B203" s="113" t="s">
        <v>58</v>
      </c>
      <c r="C203" s="168"/>
      <c r="D203" s="148"/>
      <c r="E203" s="148"/>
      <c r="F203" s="148"/>
      <c r="G203" s="148"/>
      <c r="H203" s="148"/>
      <c r="I203" s="148"/>
      <c r="J203" s="148"/>
      <c r="K203" s="148"/>
      <c r="L203" s="148"/>
      <c r="M203" s="148"/>
      <c r="N203" s="148"/>
      <c r="O203" s="148"/>
      <c r="P203" s="209">
        <v>4.5400000000000003E-2</v>
      </c>
      <c r="Q203" s="113"/>
      <c r="R203" s="113"/>
      <c r="S203" s="116"/>
      <c r="T203" s="2"/>
    </row>
    <row r="204" spans="1:20" ht="15.6" x14ac:dyDescent="0.3">
      <c r="A204" s="167"/>
      <c r="B204" s="113" t="s">
        <v>162</v>
      </c>
      <c r="C204" s="168"/>
      <c r="D204" s="148"/>
      <c r="E204" s="148"/>
      <c r="F204" s="148"/>
      <c r="G204" s="148"/>
      <c r="H204" s="148"/>
      <c r="I204" s="148"/>
      <c r="J204" s="148"/>
      <c r="K204" s="148"/>
      <c r="L204" s="148"/>
      <c r="M204" s="148"/>
      <c r="N204" s="148"/>
      <c r="O204" s="148"/>
      <c r="P204" s="142">
        <f>R34</f>
        <v>1.4890986282065035E-2</v>
      </c>
      <c r="Q204" s="113"/>
      <c r="R204" s="113"/>
      <c r="S204" s="116"/>
      <c r="T204" s="2"/>
    </row>
    <row r="205" spans="1:20" ht="15.6" x14ac:dyDescent="0.3">
      <c r="A205" s="167"/>
      <c r="B205" s="113" t="s">
        <v>59</v>
      </c>
      <c r="C205" s="168"/>
      <c r="D205" s="148"/>
      <c r="E205" s="148"/>
      <c r="F205" s="148"/>
      <c r="G205" s="148"/>
      <c r="H205" s="148"/>
      <c r="I205" s="148"/>
      <c r="J205" s="148"/>
      <c r="K205" s="148"/>
      <c r="L205" s="148"/>
      <c r="M205" s="148"/>
      <c r="N205" s="148"/>
      <c r="O205" s="148"/>
      <c r="P205" s="142">
        <f>P203-P204</f>
        <v>3.050901371793497E-2</v>
      </c>
      <c r="Q205" s="113"/>
      <c r="R205" s="113"/>
      <c r="S205" s="116"/>
      <c r="T205" s="2"/>
    </row>
    <row r="206" spans="1:20" ht="15.6" x14ac:dyDescent="0.3">
      <c r="A206" s="167"/>
      <c r="B206" s="113" t="s">
        <v>139</v>
      </c>
      <c r="C206" s="168"/>
      <c r="D206" s="148"/>
      <c r="E206" s="148"/>
      <c r="F206" s="148"/>
      <c r="G206" s="148"/>
      <c r="H206" s="148"/>
      <c r="I206" s="148"/>
      <c r="J206" s="148"/>
      <c r="K206" s="148"/>
      <c r="L206" s="148"/>
      <c r="M206" s="148"/>
      <c r="N206" s="148"/>
      <c r="O206" s="148"/>
      <c r="P206" s="142">
        <f>(+R92+R94)/H72</f>
        <v>1.1887703656530276E-2</v>
      </c>
      <c r="Q206" s="113"/>
      <c r="R206" s="113"/>
      <c r="S206" s="116"/>
      <c r="T206" s="2"/>
    </row>
    <row r="207" spans="1:20" ht="15.6" x14ac:dyDescent="0.3">
      <c r="A207" s="167"/>
      <c r="B207" s="113" t="s">
        <v>132</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198</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199</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200</v>
      </c>
      <c r="C210" s="168"/>
      <c r="D210" s="148"/>
      <c r="E210" s="148"/>
      <c r="F210" s="148"/>
      <c r="G210" s="148"/>
      <c r="H210" s="148"/>
      <c r="I210" s="148"/>
      <c r="J210" s="148"/>
      <c r="K210" s="148"/>
      <c r="L210" s="148"/>
      <c r="M210" s="148"/>
      <c r="N210" s="148"/>
      <c r="O210" s="148"/>
      <c r="P210" s="169">
        <v>15507</v>
      </c>
      <c r="Q210" s="113"/>
      <c r="R210" s="113"/>
      <c r="S210" s="116"/>
      <c r="T210" s="2"/>
    </row>
    <row r="211" spans="1:20" ht="15.6" x14ac:dyDescent="0.3">
      <c r="A211" s="167"/>
      <c r="B211" s="113" t="s">
        <v>60</v>
      </c>
      <c r="C211" s="168"/>
      <c r="D211" s="148"/>
      <c r="E211" s="148"/>
      <c r="F211" s="148"/>
      <c r="G211" s="148"/>
      <c r="H211" s="148"/>
      <c r="I211" s="148"/>
      <c r="J211" s="148"/>
      <c r="K211" s="148"/>
      <c r="L211" s="148"/>
      <c r="M211" s="148"/>
      <c r="N211" s="148"/>
      <c r="O211" s="148"/>
      <c r="P211" s="146">
        <v>20.170000000000002</v>
      </c>
      <c r="Q211" s="113" t="s">
        <v>90</v>
      </c>
      <c r="R211" s="113"/>
      <c r="S211" s="116"/>
      <c r="T211" s="2"/>
    </row>
    <row r="212" spans="1:20" ht="15.6" x14ac:dyDescent="0.3">
      <c r="A212" s="167"/>
      <c r="B212" s="113" t="s">
        <v>61</v>
      </c>
      <c r="C212" s="168"/>
      <c r="D212" s="148"/>
      <c r="E212" s="148"/>
      <c r="F212" s="148"/>
      <c r="G212" s="148"/>
      <c r="H212" s="148"/>
      <c r="I212" s="148"/>
      <c r="J212" s="148"/>
      <c r="K212" s="148"/>
      <c r="L212" s="148"/>
      <c r="M212" s="148"/>
      <c r="N212" s="148"/>
      <c r="O212" s="148"/>
      <c r="P212" s="210">
        <v>18.41</v>
      </c>
      <c r="Q212" s="113" t="s">
        <v>90</v>
      </c>
      <c r="R212" s="113"/>
      <c r="S212" s="116"/>
      <c r="T212" s="2"/>
    </row>
    <row r="213" spans="1:20" ht="15.6" x14ac:dyDescent="0.3">
      <c r="A213" s="167"/>
      <c r="B213" s="113" t="s">
        <v>62</v>
      </c>
      <c r="C213" s="168"/>
      <c r="D213" s="148"/>
      <c r="E213" s="148"/>
      <c r="F213" s="148"/>
      <c r="G213" s="148"/>
      <c r="H213" s="148"/>
      <c r="I213" s="148"/>
      <c r="J213" s="148"/>
      <c r="K213" s="148"/>
      <c r="L213" s="148"/>
      <c r="M213" s="148"/>
      <c r="N213" s="148"/>
      <c r="O213" s="148"/>
      <c r="P213" s="142">
        <f>(+J56+L56)/H56</f>
        <v>0.12607245838419218</v>
      </c>
      <c r="Q213" s="113"/>
      <c r="R213" s="113"/>
      <c r="S213" s="116"/>
      <c r="T213" s="2"/>
    </row>
    <row r="214" spans="1:20" ht="15.6" x14ac:dyDescent="0.3">
      <c r="A214" s="167"/>
      <c r="B214" s="113" t="s">
        <v>63</v>
      </c>
      <c r="C214" s="168"/>
      <c r="D214" s="148"/>
      <c r="E214" s="148"/>
      <c r="F214" s="148"/>
      <c r="G214" s="148"/>
      <c r="H214" s="148"/>
      <c r="I214" s="148"/>
      <c r="J214" s="148"/>
      <c r="K214" s="148"/>
      <c r="L214" s="148"/>
      <c r="M214" s="148"/>
      <c r="N214" s="148"/>
      <c r="O214" s="148"/>
      <c r="P214" s="211">
        <v>0.1186</v>
      </c>
      <c r="Q214" s="113"/>
      <c r="R214" s="113"/>
      <c r="S214" s="116"/>
      <c r="T214" s="2"/>
    </row>
    <row r="215" spans="1:20" ht="15.6" x14ac:dyDescent="0.3">
      <c r="A215" s="48"/>
      <c r="B215" s="165"/>
      <c r="C215" s="165"/>
      <c r="D215" s="43"/>
      <c r="E215" s="43"/>
      <c r="F215" s="43"/>
      <c r="G215" s="43"/>
      <c r="H215" s="43"/>
      <c r="I215" s="43"/>
      <c r="J215" s="43"/>
      <c r="K215" s="43"/>
      <c r="L215" s="43"/>
      <c r="M215" s="43"/>
      <c r="N215" s="43"/>
      <c r="O215" s="43"/>
      <c r="P215" s="162"/>
      <c r="Q215" s="43"/>
      <c r="R215" s="166"/>
      <c r="S215" s="218"/>
      <c r="T215" s="2"/>
    </row>
    <row r="216" spans="1:20" ht="15.6" x14ac:dyDescent="0.3">
      <c r="A216" s="71"/>
      <c r="B216" s="61" t="s">
        <v>64</v>
      </c>
      <c r="C216" s="62"/>
      <c r="D216" s="62"/>
      <c r="E216" s="62"/>
      <c r="F216" s="62"/>
      <c r="G216" s="62"/>
      <c r="H216" s="62"/>
      <c r="I216" s="62"/>
      <c r="J216" s="62"/>
      <c r="K216" s="62"/>
      <c r="L216" s="62"/>
      <c r="M216" s="62"/>
      <c r="N216" s="62"/>
      <c r="O216" s="62" t="s">
        <v>83</v>
      </c>
      <c r="P216" s="72" t="s">
        <v>88</v>
      </c>
      <c r="Q216" s="54"/>
      <c r="R216" s="54"/>
      <c r="S216" s="220"/>
      <c r="T216" s="2"/>
    </row>
    <row r="217" spans="1:20" ht="15.6" x14ac:dyDescent="0.3">
      <c r="A217" s="52"/>
      <c r="B217" s="79" t="s">
        <v>65</v>
      </c>
      <c r="C217" s="78"/>
      <c r="D217" s="95"/>
      <c r="E217" s="95"/>
      <c r="F217" s="95"/>
      <c r="G217" s="95"/>
      <c r="H217" s="95"/>
      <c r="I217" s="95"/>
      <c r="J217" s="95"/>
      <c r="K217" s="95"/>
      <c r="L217" s="95"/>
      <c r="M217" s="95"/>
      <c r="N217" s="95"/>
      <c r="O217" s="95">
        <v>0</v>
      </c>
      <c r="P217" s="96">
        <v>0</v>
      </c>
      <c r="Q217" s="79"/>
      <c r="R217" s="94"/>
      <c r="S217" s="226"/>
      <c r="T217" s="2"/>
    </row>
    <row r="218" spans="1:20" ht="15.6" x14ac:dyDescent="0.3">
      <c r="A218" s="173"/>
      <c r="B218" s="113" t="s">
        <v>113</v>
      </c>
      <c r="C218" s="155"/>
      <c r="D218" s="123"/>
      <c r="E218" s="123"/>
      <c r="F218" s="123"/>
      <c r="G218" s="123"/>
      <c r="H218" s="123"/>
      <c r="I218" s="123"/>
      <c r="J218" s="123"/>
      <c r="K218" s="123"/>
      <c r="L218" s="123"/>
      <c r="M218" s="123"/>
      <c r="N218" s="123"/>
      <c r="O218" s="174">
        <f>+N270</f>
        <v>0</v>
      </c>
      <c r="P218" s="175">
        <f>+P270</f>
        <v>0</v>
      </c>
      <c r="Q218" s="113"/>
      <c r="R218" s="176"/>
      <c r="S218" s="177"/>
      <c r="T218" s="2"/>
    </row>
    <row r="219" spans="1:20" ht="15.6" x14ac:dyDescent="0.3">
      <c r="A219" s="173"/>
      <c r="B219" s="113" t="s">
        <v>66</v>
      </c>
      <c r="C219" s="155"/>
      <c r="D219" s="123"/>
      <c r="E219" s="123"/>
      <c r="F219" s="123"/>
      <c r="G219" s="123"/>
      <c r="H219" s="123"/>
      <c r="I219" s="123"/>
      <c r="J219" s="123"/>
      <c r="K219" s="123"/>
      <c r="L219" s="123"/>
      <c r="M219" s="123"/>
      <c r="N219" s="123"/>
      <c r="O219" s="174">
        <f>+N282</f>
        <v>0</v>
      </c>
      <c r="P219" s="175">
        <f>+P282</f>
        <v>0</v>
      </c>
      <c r="Q219" s="113"/>
      <c r="R219" s="176"/>
      <c r="S219" s="177"/>
      <c r="T219" s="2"/>
    </row>
    <row r="220" spans="1:20" ht="15.6" x14ac:dyDescent="0.3">
      <c r="A220" s="173"/>
      <c r="B220" s="134" t="s">
        <v>263</v>
      </c>
      <c r="C220" s="178"/>
      <c r="D220" s="135"/>
      <c r="E220" s="135"/>
      <c r="F220" s="135"/>
      <c r="G220" s="135"/>
      <c r="H220" s="135"/>
      <c r="I220" s="135"/>
      <c r="J220" s="135"/>
      <c r="K220" s="135"/>
      <c r="L220" s="135"/>
      <c r="M220" s="135"/>
      <c r="N220" s="135"/>
      <c r="O220" s="113"/>
      <c r="P220" s="175">
        <v>0</v>
      </c>
      <c r="Q220" s="135"/>
      <c r="R220" s="179"/>
      <c r="S220" s="177"/>
      <c r="T220" s="2"/>
    </row>
    <row r="221" spans="1:20" ht="15.6" x14ac:dyDescent="0.3">
      <c r="A221" s="173"/>
      <c r="B221" s="134" t="s">
        <v>140</v>
      </c>
      <c r="C221" s="178"/>
      <c r="D221" s="135"/>
      <c r="E221" s="135"/>
      <c r="F221" s="135"/>
      <c r="G221" s="135"/>
      <c r="H221" s="135"/>
      <c r="I221" s="135"/>
      <c r="J221" s="135"/>
      <c r="K221" s="135"/>
      <c r="L221" s="135"/>
      <c r="M221" s="135"/>
      <c r="N221" s="135"/>
      <c r="O221" s="113"/>
      <c r="P221" s="175">
        <f>-J69</f>
        <v>0</v>
      </c>
      <c r="Q221" s="135"/>
      <c r="R221" s="179"/>
      <c r="S221" s="177"/>
      <c r="T221" s="2"/>
    </row>
    <row r="222" spans="1:20" ht="15.6" x14ac:dyDescent="0.3">
      <c r="A222" s="180"/>
      <c r="B222" s="134" t="s">
        <v>67</v>
      </c>
      <c r="C222" s="181"/>
      <c r="D222" s="135"/>
      <c r="E222" s="135"/>
      <c r="F222" s="135"/>
      <c r="G222" s="135"/>
      <c r="H222" s="135"/>
      <c r="I222" s="135"/>
      <c r="J222" s="135"/>
      <c r="K222" s="135"/>
      <c r="L222" s="135"/>
      <c r="M222" s="135"/>
      <c r="N222" s="135"/>
      <c r="O222" s="113"/>
      <c r="P222" s="175"/>
      <c r="Q222" s="135"/>
      <c r="R222" s="179"/>
      <c r="S222" s="182"/>
      <c r="T222" s="2"/>
    </row>
    <row r="223" spans="1:20" ht="15.6" x14ac:dyDescent="0.3">
      <c r="A223" s="180"/>
      <c r="B223" s="118" t="s">
        <v>68</v>
      </c>
      <c r="C223" s="181"/>
      <c r="D223" s="135"/>
      <c r="E223" s="135"/>
      <c r="F223" s="135"/>
      <c r="G223" s="135"/>
      <c r="H223" s="135"/>
      <c r="I223" s="135"/>
      <c r="J223" s="135"/>
      <c r="K223" s="135"/>
      <c r="L223" s="135"/>
      <c r="M223" s="135"/>
      <c r="N223" s="135"/>
      <c r="O223" s="123"/>
      <c r="P223" s="175">
        <f>R153</f>
        <v>0</v>
      </c>
      <c r="Q223" s="135"/>
      <c r="R223" s="179"/>
      <c r="S223" s="182"/>
      <c r="T223" s="2"/>
    </row>
    <row r="224" spans="1:20" ht="15.6" x14ac:dyDescent="0.3">
      <c r="A224" s="173"/>
      <c r="B224" s="113" t="s">
        <v>69</v>
      </c>
      <c r="C224" s="178"/>
      <c r="D224" s="135"/>
      <c r="E224" s="135"/>
      <c r="F224" s="135"/>
      <c r="G224" s="135"/>
      <c r="H224" s="135"/>
      <c r="I224" s="135"/>
      <c r="J224" s="135"/>
      <c r="K224" s="135"/>
      <c r="L224" s="135"/>
      <c r="M224" s="135"/>
      <c r="N224" s="135"/>
      <c r="O224" s="123"/>
      <c r="P224" s="175">
        <f>+'May 16'!P223+P223</f>
        <v>0</v>
      </c>
      <c r="Q224" s="135"/>
      <c r="R224" s="179"/>
      <c r="S224" s="182"/>
      <c r="T224" s="2"/>
    </row>
    <row r="225" spans="1:20" ht="15.6" x14ac:dyDescent="0.3">
      <c r="A225" s="180"/>
      <c r="B225" s="134" t="s">
        <v>151</v>
      </c>
      <c r="C225" s="181"/>
      <c r="D225" s="135"/>
      <c r="E225" s="135"/>
      <c r="F225" s="135"/>
      <c r="G225" s="135"/>
      <c r="H225" s="135"/>
      <c r="I225" s="135"/>
      <c r="J225" s="135"/>
      <c r="K225" s="135"/>
      <c r="L225" s="135"/>
      <c r="M225" s="135"/>
      <c r="N225" s="135"/>
      <c r="O225" s="123"/>
      <c r="P225" s="175"/>
      <c r="Q225" s="135"/>
      <c r="R225" s="179"/>
      <c r="S225" s="182"/>
      <c r="T225" s="2"/>
    </row>
    <row r="226" spans="1:20" ht="15.6" x14ac:dyDescent="0.3">
      <c r="A226" s="180"/>
      <c r="B226" s="113" t="s">
        <v>163</v>
      </c>
      <c r="C226" s="181"/>
      <c r="D226" s="135"/>
      <c r="E226" s="135"/>
      <c r="F226" s="135"/>
      <c r="G226" s="135"/>
      <c r="H226" s="135"/>
      <c r="I226" s="135"/>
      <c r="J226" s="135"/>
      <c r="K226" s="135"/>
      <c r="L226" s="135"/>
      <c r="M226" s="135"/>
      <c r="N226" s="135"/>
      <c r="O226" s="123">
        <v>0</v>
      </c>
      <c r="P226" s="175">
        <v>0</v>
      </c>
      <c r="Q226" s="135"/>
      <c r="R226" s="179"/>
      <c r="S226" s="182"/>
      <c r="T226" s="2"/>
    </row>
    <row r="227" spans="1:20" ht="15.6" x14ac:dyDescent="0.3">
      <c r="A227" s="173"/>
      <c r="B227" s="113" t="s">
        <v>70</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13" t="s">
        <v>71</v>
      </c>
      <c r="C228" s="183"/>
      <c r="D228" s="135"/>
      <c r="E228" s="135"/>
      <c r="F228" s="135"/>
      <c r="G228" s="135"/>
      <c r="H228" s="135"/>
      <c r="I228" s="135"/>
      <c r="J228" s="135"/>
      <c r="K228" s="135"/>
      <c r="L228" s="135"/>
      <c r="M228" s="135"/>
      <c r="N228" s="135"/>
      <c r="O228" s="113"/>
      <c r="P228" s="184">
        <v>0</v>
      </c>
      <c r="Q228" s="135"/>
      <c r="R228" s="179"/>
      <c r="S228" s="182"/>
      <c r="T228" s="2"/>
    </row>
    <row r="229" spans="1:20" ht="15.6" x14ac:dyDescent="0.3">
      <c r="A229" s="173"/>
      <c r="B229" s="134" t="s">
        <v>136</v>
      </c>
      <c r="C229" s="183"/>
      <c r="D229" s="135"/>
      <c r="E229" s="135"/>
      <c r="F229" s="135"/>
      <c r="G229" s="135"/>
      <c r="H229" s="135"/>
      <c r="I229" s="135"/>
      <c r="J229" s="135"/>
      <c r="K229" s="135"/>
      <c r="L229" s="135"/>
      <c r="M229" s="135"/>
      <c r="N229" s="135"/>
      <c r="O229" s="113"/>
      <c r="P229" s="185"/>
      <c r="Q229" s="135"/>
      <c r="R229" s="179"/>
      <c r="S229" s="182"/>
      <c r="T229" s="2"/>
    </row>
    <row r="230" spans="1:20" ht="15.6" x14ac:dyDescent="0.3">
      <c r="A230" s="173"/>
      <c r="B230" s="113" t="s">
        <v>163</v>
      </c>
      <c r="C230" s="183"/>
      <c r="D230" s="135"/>
      <c r="E230" s="135"/>
      <c r="F230" s="135"/>
      <c r="G230" s="135"/>
      <c r="H230" s="135"/>
      <c r="I230" s="135"/>
      <c r="J230" s="135"/>
      <c r="K230" s="135"/>
      <c r="L230" s="135"/>
      <c r="M230" s="135"/>
      <c r="N230" s="135"/>
      <c r="O230" s="123">
        <v>0</v>
      </c>
      <c r="P230" s="175">
        <v>0</v>
      </c>
      <c r="Q230" s="135"/>
      <c r="R230" s="179"/>
      <c r="S230" s="182"/>
      <c r="T230" s="2"/>
    </row>
    <row r="231" spans="1:20" ht="15.6" x14ac:dyDescent="0.3">
      <c r="A231" s="173"/>
      <c r="B231" s="113" t="s">
        <v>137</v>
      </c>
      <c r="C231" s="183"/>
      <c r="D231" s="135"/>
      <c r="E231" s="135"/>
      <c r="F231" s="135"/>
      <c r="G231" s="135"/>
      <c r="H231" s="135"/>
      <c r="I231" s="135"/>
      <c r="J231" s="135"/>
      <c r="K231" s="135"/>
      <c r="L231" s="135"/>
      <c r="M231" s="135"/>
      <c r="N231" s="135"/>
      <c r="O231" s="113"/>
      <c r="P231" s="184">
        <v>0</v>
      </c>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13"/>
      <c r="P232" s="185"/>
      <c r="Q232" s="135"/>
      <c r="R232" s="179"/>
      <c r="S232" s="182"/>
      <c r="T232" s="2"/>
    </row>
    <row r="233" spans="1:20" ht="15.6" x14ac:dyDescent="0.3">
      <c r="A233" s="173"/>
      <c r="B233" s="181"/>
      <c r="C233" s="183"/>
      <c r="D233" s="135"/>
      <c r="E233" s="135"/>
      <c r="F233" s="135"/>
      <c r="G233" s="135"/>
      <c r="H233" s="135"/>
      <c r="I233" s="135"/>
      <c r="J233" s="135"/>
      <c r="K233" s="135"/>
      <c r="L233" s="135"/>
      <c r="M233" s="135"/>
      <c r="N233" s="135"/>
      <c r="O233" s="135"/>
      <c r="P233" s="186"/>
      <c r="Q233" s="135"/>
      <c r="R233" s="179"/>
      <c r="S233" s="182"/>
      <c r="T233" s="2"/>
    </row>
    <row r="234" spans="1:20" ht="17.399999999999999" x14ac:dyDescent="0.3">
      <c r="A234" s="173"/>
      <c r="B234" s="187" t="s">
        <v>129</v>
      </c>
      <c r="C234" s="183"/>
      <c r="D234" s="135"/>
      <c r="E234" s="135"/>
      <c r="F234" s="135"/>
      <c r="G234" s="135"/>
      <c r="H234" s="135"/>
      <c r="I234" s="135"/>
      <c r="J234" s="135"/>
      <c r="K234" s="135"/>
      <c r="L234" s="188"/>
      <c r="M234" s="135"/>
      <c r="N234" s="188" t="s">
        <v>128</v>
      </c>
      <c r="O234" s="188"/>
      <c r="P234" s="186"/>
      <c r="Q234" s="135"/>
      <c r="R234" s="179"/>
      <c r="S234" s="182"/>
      <c r="T234" s="2"/>
    </row>
    <row r="235" spans="1:20" ht="17.399999999999999" x14ac:dyDescent="0.3">
      <c r="A235" s="170"/>
      <c r="B235" s="200"/>
      <c r="C235" s="171"/>
      <c r="D235" s="43"/>
      <c r="E235" s="43"/>
      <c r="F235" s="43"/>
      <c r="G235" s="43"/>
      <c r="H235" s="43"/>
      <c r="I235" s="43"/>
      <c r="J235" s="43"/>
      <c r="K235" s="43"/>
      <c r="L235" s="201"/>
      <c r="M235" s="43"/>
      <c r="N235" s="43"/>
      <c r="O235" s="43"/>
      <c r="P235" s="172"/>
      <c r="Q235" s="43"/>
      <c r="R235" s="166"/>
      <c r="S235" s="227"/>
      <c r="T235" s="2"/>
    </row>
    <row r="236" spans="1:20" ht="15.6" x14ac:dyDescent="0.3">
      <c r="A236" s="53"/>
      <c r="B236" s="61" t="s">
        <v>153</v>
      </c>
      <c r="C236" s="62"/>
      <c r="D236" s="62"/>
      <c r="E236" s="62"/>
      <c r="F236" s="62"/>
      <c r="G236" s="62"/>
      <c r="H236" s="62"/>
      <c r="I236" s="62"/>
      <c r="J236" s="62"/>
      <c r="K236" s="62"/>
      <c r="L236" s="62"/>
      <c r="M236" s="62"/>
      <c r="N236" s="72" t="s">
        <v>83</v>
      </c>
      <c r="O236" s="62" t="s">
        <v>84</v>
      </c>
      <c r="P236" s="72" t="s">
        <v>89</v>
      </c>
      <c r="Q236" s="62" t="s">
        <v>84</v>
      </c>
      <c r="R236" s="54"/>
      <c r="S236" s="228"/>
      <c r="T236" s="2"/>
    </row>
    <row r="237" spans="1:20" ht="15.6" x14ac:dyDescent="0.3">
      <c r="A237" s="24"/>
      <c r="B237" s="78" t="s">
        <v>72</v>
      </c>
      <c r="C237" s="93"/>
      <c r="D237" s="93"/>
      <c r="E237" s="93"/>
      <c r="F237" s="93"/>
      <c r="G237" s="93"/>
      <c r="H237" s="93"/>
      <c r="I237" s="93"/>
      <c r="J237" s="93"/>
      <c r="K237" s="93"/>
      <c r="L237" s="93"/>
      <c r="M237" s="93"/>
      <c r="N237" s="78">
        <f t="shared" ref="N237:N244" si="1">+N249+N261+N273</f>
        <v>1279</v>
      </c>
      <c r="O237" s="81">
        <f>N237/$N$246</f>
        <v>0.99921875000000004</v>
      </c>
      <c r="P237" s="82">
        <f t="shared" ref="P237:P244" si="2">+P249+P261+P273</f>
        <v>197511</v>
      </c>
      <c r="Q237" s="81">
        <f t="shared" ref="Q237:Q244" si="3">P237/$P$246</f>
        <v>0.99919057423698976</v>
      </c>
      <c r="R237" s="94"/>
      <c r="S237" s="229"/>
      <c r="T237" s="2"/>
    </row>
    <row r="238" spans="1:20" ht="15.6" x14ac:dyDescent="0.3">
      <c r="A238" s="112"/>
      <c r="B238" s="155" t="s">
        <v>73</v>
      </c>
      <c r="C238" s="192"/>
      <c r="D238" s="192"/>
      <c r="E238" s="192"/>
      <c r="F238" s="192"/>
      <c r="G238" s="192"/>
      <c r="H238" s="192"/>
      <c r="I238" s="192"/>
      <c r="J238" s="192"/>
      <c r="K238" s="192"/>
      <c r="L238" s="192"/>
      <c r="M238" s="192"/>
      <c r="N238" s="155">
        <f t="shared" si="1"/>
        <v>1</v>
      </c>
      <c r="O238" s="193">
        <f t="shared" ref="O238:O244" si="4">N238/$N$246</f>
        <v>7.8125000000000004E-4</v>
      </c>
      <c r="P238" s="156">
        <f t="shared" si="2"/>
        <v>160</v>
      </c>
      <c r="Q238" s="193">
        <f t="shared" si="3"/>
        <v>8.0942576301025438E-4</v>
      </c>
      <c r="R238" s="176"/>
      <c r="S238" s="194"/>
      <c r="T238" s="2"/>
    </row>
    <row r="239" spans="1:20" ht="15.6" x14ac:dyDescent="0.3">
      <c r="A239" s="112"/>
      <c r="B239" s="155" t="s">
        <v>74</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119</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120</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121</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122</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t="s">
        <v>123</v>
      </c>
      <c r="C244" s="192"/>
      <c r="D244" s="192"/>
      <c r="E244" s="192"/>
      <c r="F244" s="192"/>
      <c r="G244" s="192"/>
      <c r="H244" s="192"/>
      <c r="I244" s="192"/>
      <c r="J244" s="192"/>
      <c r="K244" s="192"/>
      <c r="L244" s="192"/>
      <c r="M244" s="192"/>
      <c r="N244" s="155">
        <f t="shared" si="1"/>
        <v>0</v>
      </c>
      <c r="O244" s="193">
        <f t="shared" si="4"/>
        <v>0</v>
      </c>
      <c r="P244" s="156">
        <f t="shared" si="2"/>
        <v>0</v>
      </c>
      <c r="Q244" s="193">
        <f t="shared" si="3"/>
        <v>0</v>
      </c>
      <c r="R244" s="176"/>
      <c r="S244" s="194"/>
      <c r="T244" s="2"/>
    </row>
    <row r="245" spans="1:21" ht="15.6" x14ac:dyDescent="0.3">
      <c r="A245" s="112"/>
      <c r="B245" s="155"/>
      <c r="C245" s="192"/>
      <c r="D245" s="192"/>
      <c r="E245" s="192"/>
      <c r="F245" s="192"/>
      <c r="G245" s="192"/>
      <c r="H245" s="192"/>
      <c r="I245" s="192"/>
      <c r="J245" s="192"/>
      <c r="K245" s="192"/>
      <c r="L245" s="192"/>
      <c r="M245" s="192"/>
      <c r="N245" s="155"/>
      <c r="O245" s="193"/>
      <c r="P245" s="156"/>
      <c r="Q245" s="193"/>
      <c r="R245" s="176"/>
      <c r="S245" s="194"/>
      <c r="T245" s="2"/>
    </row>
    <row r="246" spans="1:21" ht="15.6" x14ac:dyDescent="0.3">
      <c r="A246" s="112"/>
      <c r="B246" s="113" t="s">
        <v>94</v>
      </c>
      <c r="C246" s="113"/>
      <c r="D246" s="195"/>
      <c r="E246" s="195"/>
      <c r="F246" s="195"/>
      <c r="G246" s="195"/>
      <c r="H246" s="195"/>
      <c r="I246" s="195"/>
      <c r="J246" s="195"/>
      <c r="K246" s="195"/>
      <c r="L246" s="195"/>
      <c r="M246" s="195"/>
      <c r="N246" s="155">
        <f>SUM(N237:N245)</f>
        <v>1280</v>
      </c>
      <c r="O246" s="193">
        <f>SUM(O237:O245)</f>
        <v>1</v>
      </c>
      <c r="P246" s="156">
        <f>SUM(P237:P245)</f>
        <v>197671</v>
      </c>
      <c r="Q246" s="193">
        <f>SUM(Q237:Q245)</f>
        <v>1</v>
      </c>
      <c r="R246" s="113"/>
      <c r="S246" s="116"/>
      <c r="T246" s="2"/>
    </row>
    <row r="247" spans="1:21" ht="15.6" x14ac:dyDescent="0.3">
      <c r="A247" s="12"/>
      <c r="B247" s="165"/>
      <c r="C247" s="171"/>
      <c r="D247" s="43"/>
      <c r="E247" s="43"/>
      <c r="F247" s="43"/>
      <c r="G247" s="43"/>
      <c r="H247" s="43"/>
      <c r="I247" s="43"/>
      <c r="J247" s="43"/>
      <c r="K247" s="43"/>
      <c r="L247" s="43"/>
      <c r="M247" s="43"/>
      <c r="N247" s="43"/>
      <c r="O247" s="43"/>
      <c r="P247" s="172"/>
      <c r="Q247" s="43"/>
      <c r="R247" s="43"/>
      <c r="S247" s="218"/>
      <c r="T247" s="2"/>
    </row>
    <row r="248" spans="1:21" ht="15.6" x14ac:dyDescent="0.3">
      <c r="A248" s="53"/>
      <c r="B248" s="61" t="s">
        <v>124</v>
      </c>
      <c r="C248" s="62"/>
      <c r="D248" s="62"/>
      <c r="E248" s="62"/>
      <c r="F248" s="62"/>
      <c r="G248" s="62"/>
      <c r="H248" s="62"/>
      <c r="I248" s="62"/>
      <c r="J248" s="62"/>
      <c r="K248" s="62"/>
      <c r="L248" s="62"/>
      <c r="M248" s="62"/>
      <c r="N248" s="72" t="s">
        <v>83</v>
      </c>
      <c r="O248" s="62" t="s">
        <v>84</v>
      </c>
      <c r="P248" s="72" t="s">
        <v>89</v>
      </c>
      <c r="Q248" s="62" t="s">
        <v>84</v>
      </c>
      <c r="R248" s="54"/>
      <c r="S248" s="228"/>
      <c r="T248" s="2"/>
    </row>
    <row r="249" spans="1:21" ht="15.6" x14ac:dyDescent="0.3">
      <c r="A249" s="24"/>
      <c r="B249" s="78" t="s">
        <v>72</v>
      </c>
      <c r="C249" s="93"/>
      <c r="D249" s="93"/>
      <c r="E249" s="93"/>
      <c r="F249" s="93"/>
      <c r="G249" s="93"/>
      <c r="H249" s="93"/>
      <c r="I249" s="93"/>
      <c r="J249" s="93"/>
      <c r="K249" s="93"/>
      <c r="L249" s="93"/>
      <c r="M249" s="93"/>
      <c r="N249" s="78">
        <v>1279</v>
      </c>
      <c r="O249" s="81">
        <f>N249/$N$258</f>
        <v>0.99921875000000004</v>
      </c>
      <c r="P249" s="82">
        <v>197511</v>
      </c>
      <c r="Q249" s="81">
        <f t="shared" ref="Q249:Q256" si="5">P249/$P$258</f>
        <v>0.99919057423698976</v>
      </c>
      <c r="R249" s="94"/>
      <c r="S249" s="229"/>
      <c r="T249" s="2"/>
    </row>
    <row r="250" spans="1:21" ht="15.6" x14ac:dyDescent="0.3">
      <c r="A250" s="112"/>
      <c r="B250" s="155" t="s">
        <v>73</v>
      </c>
      <c r="C250" s="192"/>
      <c r="D250" s="192"/>
      <c r="E250" s="192"/>
      <c r="F250" s="192"/>
      <c r="G250" s="192"/>
      <c r="H250" s="192"/>
      <c r="I250" s="192"/>
      <c r="J250" s="192"/>
      <c r="K250" s="192"/>
      <c r="L250" s="192"/>
      <c r="M250" s="192"/>
      <c r="N250" s="155">
        <v>1</v>
      </c>
      <c r="O250" s="193">
        <f t="shared" ref="O250:O256" si="6">N250/$N$258</f>
        <v>7.8125000000000004E-4</v>
      </c>
      <c r="P250" s="156">
        <v>160</v>
      </c>
      <c r="Q250" s="193">
        <f t="shared" si="5"/>
        <v>8.0942576301025438E-4</v>
      </c>
      <c r="R250" s="176"/>
      <c r="S250" s="194"/>
      <c r="T250" s="2"/>
      <c r="U250" s="4"/>
    </row>
    <row r="251" spans="1:21" ht="15.6" x14ac:dyDescent="0.3">
      <c r="A251" s="112"/>
      <c r="B251" s="155" t="s">
        <v>74</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row>
    <row r="252" spans="1:21" ht="15.6" x14ac:dyDescent="0.3">
      <c r="A252" s="112"/>
      <c r="B252" s="155" t="s">
        <v>119</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c r="U252" s="4"/>
    </row>
    <row r="253" spans="1:21" ht="15.6" x14ac:dyDescent="0.3">
      <c r="A253" s="112"/>
      <c r="B253" s="155" t="s">
        <v>120</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row>
    <row r="254" spans="1:21" ht="15.6" x14ac:dyDescent="0.3">
      <c r="A254" s="112"/>
      <c r="B254" s="155" t="s">
        <v>121</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c r="U254" s="4"/>
    </row>
    <row r="255" spans="1:21" ht="15.6" x14ac:dyDescent="0.3">
      <c r="A255" s="112"/>
      <c r="B255" s="155" t="s">
        <v>122</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row>
    <row r="256" spans="1:21" ht="15.6" x14ac:dyDescent="0.3">
      <c r="A256" s="112"/>
      <c r="B256" s="155" t="s">
        <v>123</v>
      </c>
      <c r="C256" s="192"/>
      <c r="D256" s="192"/>
      <c r="E256" s="192"/>
      <c r="F256" s="192"/>
      <c r="G256" s="192"/>
      <c r="H256" s="192"/>
      <c r="I256" s="192"/>
      <c r="J256" s="192"/>
      <c r="K256" s="192"/>
      <c r="L256" s="192"/>
      <c r="M256" s="192"/>
      <c r="N256" s="155">
        <v>0</v>
      </c>
      <c r="O256" s="193">
        <f t="shared" si="6"/>
        <v>0</v>
      </c>
      <c r="P256" s="156">
        <v>0</v>
      </c>
      <c r="Q256" s="193">
        <f t="shared" si="5"/>
        <v>0</v>
      </c>
      <c r="R256" s="176"/>
      <c r="S256" s="194"/>
      <c r="T256" s="2"/>
      <c r="U256" s="4"/>
    </row>
    <row r="257" spans="1:20" ht="15.6" x14ac:dyDescent="0.3">
      <c r="A257" s="112"/>
      <c r="B257" s="155"/>
      <c r="C257" s="192"/>
      <c r="D257" s="192"/>
      <c r="E257" s="192"/>
      <c r="F257" s="192"/>
      <c r="G257" s="192"/>
      <c r="H257" s="192"/>
      <c r="I257" s="192"/>
      <c r="J257" s="192"/>
      <c r="K257" s="192"/>
      <c r="L257" s="192"/>
      <c r="M257" s="192"/>
      <c r="N257" s="155"/>
      <c r="O257" s="193"/>
      <c r="P257" s="156"/>
      <c r="Q257" s="193"/>
      <c r="R257" s="176"/>
      <c r="S257" s="194"/>
      <c r="T257" s="2"/>
    </row>
    <row r="258" spans="1:20" ht="15.6" x14ac:dyDescent="0.3">
      <c r="A258" s="112"/>
      <c r="B258" s="113" t="s">
        <v>94</v>
      </c>
      <c r="C258" s="113"/>
      <c r="D258" s="195"/>
      <c r="E258" s="195"/>
      <c r="F258" s="195"/>
      <c r="G258" s="195"/>
      <c r="H258" s="195"/>
      <c r="I258" s="195"/>
      <c r="J258" s="195"/>
      <c r="K258" s="195"/>
      <c r="L258" s="195"/>
      <c r="M258" s="195"/>
      <c r="N258" s="155">
        <f>SUM(N249:N257)</f>
        <v>1280</v>
      </c>
      <c r="O258" s="193">
        <f>SUM(O249:O257)</f>
        <v>1</v>
      </c>
      <c r="P258" s="156">
        <f>SUM(P249:P257)</f>
        <v>197671</v>
      </c>
      <c r="Q258" s="193">
        <f>SUM(Q249:Q257)</f>
        <v>1</v>
      </c>
      <c r="R258" s="113"/>
      <c r="S258" s="116"/>
      <c r="T258" s="2"/>
    </row>
    <row r="259" spans="1:20" ht="15.6" x14ac:dyDescent="0.3">
      <c r="A259" s="12"/>
      <c r="B259" s="43"/>
      <c r="C259" s="43"/>
      <c r="D259" s="189"/>
      <c r="E259" s="189"/>
      <c r="F259" s="189"/>
      <c r="G259" s="189"/>
      <c r="H259" s="189"/>
      <c r="I259" s="189"/>
      <c r="J259" s="189"/>
      <c r="K259" s="189"/>
      <c r="L259" s="189"/>
      <c r="M259" s="189"/>
      <c r="N259" s="153"/>
      <c r="O259" s="190"/>
      <c r="P259" s="191"/>
      <c r="Q259" s="190"/>
      <c r="R259" s="43"/>
      <c r="S259" s="218"/>
      <c r="T259" s="2"/>
    </row>
    <row r="260" spans="1:20" ht="15.6" x14ac:dyDescent="0.3">
      <c r="A260" s="73"/>
      <c r="B260" s="61" t="s">
        <v>146</v>
      </c>
      <c r="C260" s="62"/>
      <c r="D260" s="62"/>
      <c r="E260" s="62"/>
      <c r="F260" s="62"/>
      <c r="G260" s="62"/>
      <c r="H260" s="62"/>
      <c r="I260" s="62"/>
      <c r="J260" s="62"/>
      <c r="K260" s="62"/>
      <c r="L260" s="62"/>
      <c r="M260" s="62"/>
      <c r="N260" s="72" t="s">
        <v>83</v>
      </c>
      <c r="O260" s="62" t="s">
        <v>84</v>
      </c>
      <c r="P260" s="72" t="s">
        <v>89</v>
      </c>
      <c r="Q260" s="62" t="s">
        <v>84</v>
      </c>
      <c r="R260" s="74"/>
      <c r="S260" s="75"/>
      <c r="T260" s="2"/>
    </row>
    <row r="261" spans="1:20" ht="15.6" x14ac:dyDescent="0.3">
      <c r="A261" s="24"/>
      <c r="B261" s="78" t="s">
        <v>72</v>
      </c>
      <c r="C261" s="93"/>
      <c r="D261" s="93"/>
      <c r="E261" s="93"/>
      <c r="F261" s="93"/>
      <c r="G261" s="93"/>
      <c r="H261" s="93"/>
      <c r="I261" s="93"/>
      <c r="J261" s="93"/>
      <c r="K261" s="93"/>
      <c r="L261" s="93"/>
      <c r="M261" s="93"/>
      <c r="N261" s="78">
        <v>0</v>
      </c>
      <c r="O261" s="81">
        <v>0</v>
      </c>
      <c r="P261" s="82">
        <v>0</v>
      </c>
      <c r="Q261" s="81">
        <v>0</v>
      </c>
      <c r="R261" s="79"/>
      <c r="S261" s="221"/>
      <c r="T261" s="2"/>
    </row>
    <row r="262" spans="1:20" ht="15.6" x14ac:dyDescent="0.3">
      <c r="A262" s="112"/>
      <c r="B262" s="155" t="s">
        <v>73</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74</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119</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120</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121</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122</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t="s">
        <v>123</v>
      </c>
      <c r="C268" s="192"/>
      <c r="D268" s="192"/>
      <c r="E268" s="192"/>
      <c r="F268" s="192"/>
      <c r="G268" s="192"/>
      <c r="H268" s="192"/>
      <c r="I268" s="192"/>
      <c r="J268" s="192"/>
      <c r="K268" s="192"/>
      <c r="L268" s="192"/>
      <c r="M268" s="192"/>
      <c r="N268" s="155">
        <v>0</v>
      </c>
      <c r="O268" s="193">
        <v>0</v>
      </c>
      <c r="P268" s="156">
        <v>0</v>
      </c>
      <c r="Q268" s="193">
        <v>0</v>
      </c>
      <c r="R268" s="113"/>
      <c r="S268" s="116"/>
      <c r="T268" s="2"/>
    </row>
    <row r="269" spans="1:20" ht="15.6" x14ac:dyDescent="0.3">
      <c r="A269" s="112"/>
      <c r="B269" s="155"/>
      <c r="C269" s="192"/>
      <c r="D269" s="192"/>
      <c r="E269" s="192"/>
      <c r="F269" s="192"/>
      <c r="G269" s="192"/>
      <c r="H269" s="192"/>
      <c r="I269" s="192"/>
      <c r="J269" s="192"/>
      <c r="K269" s="192"/>
      <c r="L269" s="192"/>
      <c r="M269" s="192"/>
      <c r="N269" s="155"/>
      <c r="O269" s="193"/>
      <c r="P269" s="156"/>
      <c r="Q269" s="193"/>
      <c r="R269" s="113"/>
      <c r="S269" s="116"/>
      <c r="T269" s="2"/>
    </row>
    <row r="270" spans="1:20" ht="15.6" x14ac:dyDescent="0.3">
      <c r="A270" s="112"/>
      <c r="B270" s="113" t="s">
        <v>94</v>
      </c>
      <c r="C270" s="113"/>
      <c r="D270" s="195"/>
      <c r="E270" s="195"/>
      <c r="F270" s="195"/>
      <c r="G270" s="195"/>
      <c r="H270" s="195"/>
      <c r="I270" s="195"/>
      <c r="J270" s="195"/>
      <c r="K270" s="195"/>
      <c r="L270" s="195"/>
      <c r="M270" s="195"/>
      <c r="N270" s="155">
        <f>SUM(N261:N269)</f>
        <v>0</v>
      </c>
      <c r="O270" s="193">
        <f>SUM(O261:O269)</f>
        <v>0</v>
      </c>
      <c r="P270" s="156">
        <f>SUM(P261:P269)</f>
        <v>0</v>
      </c>
      <c r="Q270" s="193">
        <f>SUM(Q261:Q269)</f>
        <v>0</v>
      </c>
      <c r="R270" s="113"/>
      <c r="S270" s="116"/>
      <c r="T270" s="2"/>
    </row>
    <row r="271" spans="1:20" ht="15.6" x14ac:dyDescent="0.3">
      <c r="A271" s="12"/>
      <c r="B271" s="43"/>
      <c r="C271" s="43"/>
      <c r="D271" s="189"/>
      <c r="E271" s="189"/>
      <c r="F271" s="189"/>
      <c r="G271" s="189"/>
      <c r="H271" s="189"/>
      <c r="I271" s="189"/>
      <c r="J271" s="189"/>
      <c r="K271" s="189"/>
      <c r="L271" s="189"/>
      <c r="M271" s="189"/>
      <c r="N271" s="153"/>
      <c r="O271" s="190"/>
      <c r="P271" s="191"/>
      <c r="Q271" s="190"/>
      <c r="R271" s="43"/>
      <c r="S271" s="218"/>
      <c r="T271" s="2"/>
    </row>
    <row r="272" spans="1:20" ht="15.6" x14ac:dyDescent="0.3">
      <c r="A272" s="73"/>
      <c r="B272" s="61" t="s">
        <v>125</v>
      </c>
      <c r="C272" s="74"/>
      <c r="D272" s="76"/>
      <c r="E272" s="76"/>
      <c r="F272" s="76"/>
      <c r="G272" s="76"/>
      <c r="H272" s="76"/>
      <c r="I272" s="76"/>
      <c r="J272" s="76"/>
      <c r="K272" s="76"/>
      <c r="L272" s="76"/>
      <c r="M272" s="76"/>
      <c r="N272" s="72" t="s">
        <v>83</v>
      </c>
      <c r="O272" s="62" t="s">
        <v>84</v>
      </c>
      <c r="P272" s="72" t="s">
        <v>89</v>
      </c>
      <c r="Q272" s="62" t="s">
        <v>84</v>
      </c>
      <c r="R272" s="74"/>
      <c r="S272" s="75"/>
      <c r="T272" s="2"/>
    </row>
    <row r="273" spans="1:20" ht="15.6" x14ac:dyDescent="0.3">
      <c r="A273" s="77"/>
      <c r="B273" s="78" t="s">
        <v>72</v>
      </c>
      <c r="C273" s="79"/>
      <c r="D273" s="80"/>
      <c r="E273" s="80"/>
      <c r="F273" s="80"/>
      <c r="G273" s="80"/>
      <c r="H273" s="80"/>
      <c r="I273" s="80"/>
      <c r="J273" s="80"/>
      <c r="K273" s="80"/>
      <c r="L273" s="80"/>
      <c r="M273" s="80"/>
      <c r="N273" s="78">
        <v>0</v>
      </c>
      <c r="O273" s="81">
        <v>0</v>
      </c>
      <c r="P273" s="82">
        <v>0</v>
      </c>
      <c r="Q273" s="81">
        <v>0</v>
      </c>
      <c r="R273" s="79"/>
      <c r="S273" s="221"/>
      <c r="T273" s="2"/>
    </row>
    <row r="274" spans="1:20" ht="15.6" x14ac:dyDescent="0.3">
      <c r="A274" s="122"/>
      <c r="B274" s="155" t="s">
        <v>73</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74</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119</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120</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121</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122</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t="s">
        <v>123</v>
      </c>
      <c r="C280" s="113"/>
      <c r="D280" s="195"/>
      <c r="E280" s="195"/>
      <c r="F280" s="195"/>
      <c r="G280" s="195"/>
      <c r="H280" s="195"/>
      <c r="I280" s="195"/>
      <c r="J280" s="195"/>
      <c r="K280" s="195"/>
      <c r="L280" s="195"/>
      <c r="M280" s="195"/>
      <c r="N280" s="155">
        <v>0</v>
      </c>
      <c r="O280" s="193">
        <v>0</v>
      </c>
      <c r="P280" s="156">
        <v>0</v>
      </c>
      <c r="Q280" s="193">
        <v>0</v>
      </c>
      <c r="R280" s="113"/>
      <c r="S280" s="116"/>
      <c r="T280" s="2"/>
    </row>
    <row r="281" spans="1:20" ht="15.6" x14ac:dyDescent="0.3">
      <c r="A281" s="122"/>
      <c r="B281" s="155"/>
      <c r="C281" s="113"/>
      <c r="D281" s="195"/>
      <c r="E281" s="195"/>
      <c r="F281" s="195"/>
      <c r="G281" s="195"/>
      <c r="H281" s="195"/>
      <c r="I281" s="195"/>
      <c r="J281" s="195"/>
      <c r="K281" s="195"/>
      <c r="L281" s="195"/>
      <c r="M281" s="195"/>
      <c r="N281" s="155"/>
      <c r="O281" s="193"/>
      <c r="P281" s="156"/>
      <c r="Q281" s="193"/>
      <c r="R281" s="113"/>
      <c r="S281" s="116"/>
      <c r="T281" s="2"/>
    </row>
    <row r="282" spans="1:20" ht="15.6" x14ac:dyDescent="0.3">
      <c r="A282" s="122"/>
      <c r="B282" s="113" t="s">
        <v>94</v>
      </c>
      <c r="C282" s="113"/>
      <c r="D282" s="195"/>
      <c r="E282" s="195"/>
      <c r="F282" s="195"/>
      <c r="G282" s="195"/>
      <c r="H282" s="195"/>
      <c r="I282" s="195"/>
      <c r="J282" s="195"/>
      <c r="K282" s="195"/>
      <c r="L282" s="195"/>
      <c r="M282" s="195"/>
      <c r="N282" s="155">
        <f>SUM(N273:N280)</f>
        <v>0</v>
      </c>
      <c r="O282" s="193">
        <f>SUM(O273:O280)</f>
        <v>0</v>
      </c>
      <c r="P282" s="156">
        <f>SUM(P273:P280)</f>
        <v>0</v>
      </c>
      <c r="Q282" s="193">
        <f>SUM(Q273:Q280)</f>
        <v>0</v>
      </c>
      <c r="R282" s="113"/>
      <c r="S282" s="116"/>
      <c r="T282" s="2"/>
    </row>
    <row r="283" spans="1:20" ht="15.6" x14ac:dyDescent="0.3">
      <c r="A283" s="122"/>
      <c r="B283" s="113"/>
      <c r="C283" s="113"/>
      <c r="D283" s="195"/>
      <c r="E283" s="195"/>
      <c r="F283" s="195"/>
      <c r="G283" s="195"/>
      <c r="H283" s="195"/>
      <c r="I283" s="195"/>
      <c r="J283" s="195"/>
      <c r="K283" s="195"/>
      <c r="L283" s="195"/>
      <c r="M283" s="195"/>
      <c r="N283" s="155"/>
      <c r="O283" s="193"/>
      <c r="P283" s="156"/>
      <c r="Q283" s="193"/>
      <c r="R283" s="113"/>
      <c r="S283" s="116"/>
      <c r="T283" s="2"/>
    </row>
    <row r="284" spans="1:20" ht="15.6" x14ac:dyDescent="0.3">
      <c r="A284" s="122"/>
      <c r="B284" s="124" t="s">
        <v>182</v>
      </c>
      <c r="C284" s="113"/>
      <c r="D284" s="195"/>
      <c r="E284" s="195"/>
      <c r="F284" s="195"/>
      <c r="G284" s="195"/>
      <c r="H284" s="195"/>
      <c r="I284" s="195"/>
      <c r="J284" s="195"/>
      <c r="K284" s="195"/>
      <c r="L284" s="195"/>
      <c r="M284" s="195"/>
      <c r="N284" s="197">
        <f>N282+N270+N258</f>
        <v>1280</v>
      </c>
      <c r="O284" s="193"/>
      <c r="P284" s="198">
        <f>+P282+P270+P258</f>
        <v>197671</v>
      </c>
      <c r="Q284" s="193"/>
      <c r="R284" s="113"/>
      <c r="S284" s="116"/>
      <c r="T284" s="2"/>
    </row>
    <row r="285" spans="1:20" ht="15.6" x14ac:dyDescent="0.3">
      <c r="A285" s="122"/>
      <c r="B285" s="124" t="s">
        <v>247</v>
      </c>
      <c r="C285" s="124"/>
      <c r="D285" s="206"/>
      <c r="E285" s="206"/>
      <c r="F285" s="206"/>
      <c r="G285" s="206"/>
      <c r="H285" s="206"/>
      <c r="I285" s="206"/>
      <c r="J285" s="206"/>
      <c r="K285" s="206"/>
      <c r="L285" s="206"/>
      <c r="M285" s="206"/>
      <c r="N285" s="197"/>
      <c r="O285" s="207"/>
      <c r="P285" s="208">
        <f>+R171</f>
        <v>0</v>
      </c>
      <c r="Q285" s="193"/>
      <c r="R285" s="113"/>
      <c r="S285" s="116"/>
      <c r="T285" s="2"/>
    </row>
    <row r="286" spans="1:20" ht="15.6" x14ac:dyDescent="0.3">
      <c r="A286" s="122"/>
      <c r="B286" s="124" t="s">
        <v>126</v>
      </c>
      <c r="C286" s="124"/>
      <c r="D286" s="206"/>
      <c r="E286" s="206"/>
      <c r="F286" s="206"/>
      <c r="G286" s="206"/>
      <c r="H286" s="206"/>
      <c r="I286" s="206"/>
      <c r="J286" s="206"/>
      <c r="K286" s="206"/>
      <c r="L286" s="206"/>
      <c r="M286" s="206"/>
      <c r="N286" s="197"/>
      <c r="O286" s="207"/>
      <c r="P286" s="208">
        <f>+P284+P285</f>
        <v>197671</v>
      </c>
      <c r="Q286" s="193"/>
      <c r="R286" s="113"/>
      <c r="S286" s="116"/>
      <c r="T286" s="2"/>
    </row>
    <row r="287" spans="1:20" ht="15.6" x14ac:dyDescent="0.3">
      <c r="A287" s="122"/>
      <c r="B287" s="124" t="s">
        <v>181</v>
      </c>
      <c r="C287" s="113"/>
      <c r="D287" s="195"/>
      <c r="E287" s="195"/>
      <c r="F287" s="195"/>
      <c r="G287" s="195"/>
      <c r="H287" s="195"/>
      <c r="I287" s="195"/>
      <c r="J287" s="195"/>
      <c r="K287" s="195"/>
      <c r="L287" s="195"/>
      <c r="M287" s="195"/>
      <c r="N287" s="197"/>
      <c r="O287" s="193"/>
      <c r="P287" s="198">
        <f>+R72</f>
        <v>197671</v>
      </c>
      <c r="Q287" s="193"/>
      <c r="R287" s="113"/>
      <c r="S287" s="116"/>
      <c r="T287" s="2"/>
    </row>
    <row r="288" spans="1:20" ht="15.6" x14ac:dyDescent="0.3">
      <c r="A288" s="122"/>
      <c r="B288" s="124"/>
      <c r="C288" s="113"/>
      <c r="D288" s="195"/>
      <c r="E288" s="195"/>
      <c r="F288" s="195"/>
      <c r="G288" s="195"/>
      <c r="H288" s="195"/>
      <c r="I288" s="195"/>
      <c r="J288" s="195"/>
      <c r="K288" s="195"/>
      <c r="L288" s="195"/>
      <c r="M288" s="195"/>
      <c r="N288" s="197"/>
      <c r="O288" s="193"/>
      <c r="P288" s="198"/>
      <c r="Q288" s="193"/>
      <c r="R288" s="113"/>
      <c r="S288" s="116"/>
      <c r="T288" s="2"/>
    </row>
    <row r="289" spans="1:20" ht="15.6" x14ac:dyDescent="0.3">
      <c r="A289" s="122"/>
      <c r="B289" s="124" t="s">
        <v>221</v>
      </c>
      <c r="C289" s="113"/>
      <c r="D289" s="195"/>
      <c r="E289" s="195"/>
      <c r="F289" s="195"/>
      <c r="G289" s="195"/>
      <c r="H289" s="195"/>
      <c r="I289" s="195"/>
      <c r="J289" s="195"/>
      <c r="K289" s="195"/>
      <c r="L289" s="195"/>
      <c r="M289" s="195"/>
      <c r="N289" s="197"/>
      <c r="O289" s="193"/>
      <c r="P289" s="215">
        <f>(J30+R138)/R30</f>
        <v>6.3489211116495428E-2</v>
      </c>
      <c r="Q289" s="193"/>
      <c r="R289" s="113"/>
      <c r="S289" s="116"/>
      <c r="T289" s="2"/>
    </row>
    <row r="290" spans="1:20" ht="15.6" x14ac:dyDescent="0.3">
      <c r="A290" s="83"/>
      <c r="B290" s="84"/>
      <c r="C290" s="84"/>
      <c r="D290" s="85"/>
      <c r="E290" s="85"/>
      <c r="F290" s="85"/>
      <c r="G290" s="85"/>
      <c r="H290" s="85"/>
      <c r="I290" s="85"/>
      <c r="J290" s="85"/>
      <c r="K290" s="85"/>
      <c r="L290" s="85"/>
      <c r="M290" s="85"/>
      <c r="N290" s="85"/>
      <c r="O290" s="85"/>
      <c r="P290" s="86"/>
      <c r="Q290" s="85"/>
      <c r="R290" s="84"/>
      <c r="S290" s="219"/>
      <c r="T290" s="2"/>
    </row>
    <row r="291" spans="1:20" ht="15.6" x14ac:dyDescent="0.3">
      <c r="A291" s="87"/>
      <c r="B291" s="88" t="s">
        <v>75</v>
      </c>
      <c r="C291" s="84"/>
      <c r="D291" s="89" t="s">
        <v>79</v>
      </c>
      <c r="E291" s="88"/>
      <c r="F291" s="88" t="s">
        <v>80</v>
      </c>
      <c r="G291" s="84"/>
      <c r="H291" s="88"/>
      <c r="I291" s="90"/>
      <c r="J291" s="90"/>
      <c r="K291" s="90"/>
      <c r="L291" s="90"/>
      <c r="M291" s="90"/>
      <c r="N291" s="90"/>
      <c r="O291" s="90"/>
      <c r="P291" s="90"/>
      <c r="Q291" s="90"/>
      <c r="R291" s="90"/>
      <c r="S291" s="230"/>
      <c r="T291" s="2"/>
    </row>
    <row r="292" spans="1:20" ht="15.6" x14ac:dyDescent="0.3">
      <c r="A292" s="87"/>
      <c r="B292" s="90"/>
      <c r="C292" s="84"/>
      <c r="D292" s="84"/>
      <c r="E292" s="84"/>
      <c r="F292" s="84"/>
      <c r="G292" s="84"/>
      <c r="H292" s="84"/>
      <c r="I292" s="90"/>
      <c r="J292" s="90"/>
      <c r="K292" s="90"/>
      <c r="L292" s="90"/>
      <c r="M292" s="90"/>
      <c r="N292" s="90"/>
      <c r="O292" s="90"/>
      <c r="P292" s="90"/>
      <c r="Q292" s="90"/>
      <c r="R292" s="90"/>
      <c r="S292" s="230"/>
      <c r="T292" s="2"/>
    </row>
    <row r="293" spans="1:20" ht="15.6" x14ac:dyDescent="0.3">
      <c r="A293" s="87"/>
      <c r="B293" s="214" t="s">
        <v>211</v>
      </c>
      <c r="C293" s="88"/>
      <c r="D293" s="91" t="s">
        <v>115</v>
      </c>
      <c r="E293" s="88"/>
      <c r="F293" s="88" t="s">
        <v>116</v>
      </c>
      <c r="G293" s="88"/>
      <c r="H293" s="88"/>
      <c r="I293" s="90"/>
      <c r="J293" s="90"/>
      <c r="K293" s="90"/>
      <c r="L293" s="90"/>
      <c r="M293" s="90"/>
      <c r="N293" s="90"/>
      <c r="O293" s="90"/>
      <c r="P293" s="90"/>
      <c r="Q293" s="90"/>
      <c r="R293" s="90"/>
      <c r="S293" s="230"/>
      <c r="T293" s="2"/>
    </row>
    <row r="294" spans="1:20" ht="15.6" x14ac:dyDescent="0.3">
      <c r="A294" s="87"/>
      <c r="B294" s="214" t="s">
        <v>212</v>
      </c>
      <c r="C294" s="88"/>
      <c r="D294" s="91" t="s">
        <v>147</v>
      </c>
      <c r="E294" s="88"/>
      <c r="F294" s="88" t="s">
        <v>148</v>
      </c>
      <c r="G294" s="88"/>
      <c r="H294" s="88"/>
      <c r="I294" s="90"/>
      <c r="J294" s="90"/>
      <c r="K294" s="90"/>
      <c r="L294" s="90"/>
      <c r="M294" s="90"/>
      <c r="N294" s="90"/>
      <c r="O294" s="90"/>
      <c r="P294" s="90"/>
      <c r="Q294" s="90"/>
      <c r="R294" s="90"/>
      <c r="S294" s="230"/>
      <c r="T294" s="2"/>
    </row>
    <row r="295" spans="1:20" ht="15.6" x14ac:dyDescent="0.3">
      <c r="A295" s="87"/>
      <c r="B295" s="214" t="s">
        <v>213</v>
      </c>
      <c r="C295" s="88"/>
      <c r="D295" s="91" t="s">
        <v>114</v>
      </c>
      <c r="E295" s="88"/>
      <c r="F295" s="88" t="s">
        <v>117</v>
      </c>
      <c r="G295" s="88"/>
      <c r="H295" s="88"/>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5.6" x14ac:dyDescent="0.3">
      <c r="A297" s="87"/>
      <c r="B297" s="88"/>
      <c r="C297" s="88"/>
      <c r="D297" s="90"/>
      <c r="E297" s="90"/>
      <c r="F297" s="90"/>
      <c r="G297" s="90"/>
      <c r="H297" s="90"/>
      <c r="I297" s="90"/>
      <c r="J297" s="90"/>
      <c r="K297" s="90"/>
      <c r="L297" s="90"/>
      <c r="M297" s="90"/>
      <c r="N297" s="90"/>
      <c r="O297" s="90"/>
      <c r="P297" s="90"/>
      <c r="Q297" s="90"/>
      <c r="R297" s="90"/>
      <c r="S297" s="230"/>
      <c r="T297" s="2"/>
    </row>
    <row r="298" spans="1:20" ht="18" thickBot="1" x14ac:dyDescent="0.35">
      <c r="A298" s="87"/>
      <c r="B298" s="92" t="str">
        <f>B196</f>
        <v>PM21 INVESTOR REPORT QUARTER ENDING AUGUST 2016</v>
      </c>
      <c r="C298" s="88"/>
      <c r="D298" s="90"/>
      <c r="E298" s="90"/>
      <c r="F298" s="90"/>
      <c r="G298" s="90"/>
      <c r="H298" s="90"/>
      <c r="I298" s="90"/>
      <c r="J298" s="90"/>
      <c r="K298" s="90"/>
      <c r="L298" s="90"/>
      <c r="M298" s="90"/>
      <c r="N298" s="90"/>
      <c r="O298" s="90"/>
      <c r="P298" s="90"/>
      <c r="Q298" s="90"/>
      <c r="R298" s="90"/>
      <c r="S298" s="99"/>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42724</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265</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165571.38037</v>
      </c>
      <c r="E29" s="130"/>
      <c r="F29" s="202">
        <f>F28*F32</f>
        <v>17700</v>
      </c>
      <c r="G29" s="202"/>
      <c r="H29" s="202">
        <f>H28*H32</f>
        <v>8100</v>
      </c>
      <c r="I29" s="126"/>
      <c r="J29" s="202">
        <f>J28*J32</f>
        <v>6300</v>
      </c>
      <c r="K29" s="126"/>
      <c r="L29" s="130"/>
      <c r="M29" s="126"/>
      <c r="N29" s="130"/>
      <c r="O29" s="126"/>
      <c r="P29" s="126"/>
      <c r="Q29" s="127"/>
      <c r="R29" s="126">
        <f>SUM(D29:J29)</f>
        <v>197671.38037</v>
      </c>
      <c r="S29" s="128"/>
      <c r="T29" s="2"/>
    </row>
    <row r="30" spans="1:23" ht="15.6" x14ac:dyDescent="0.3">
      <c r="A30" s="122"/>
      <c r="B30" s="121" t="s">
        <v>107</v>
      </c>
      <c r="C30" s="125"/>
      <c r="D30" s="203">
        <f>D28*D31</f>
        <v>120744.2733</v>
      </c>
      <c r="E30" s="203"/>
      <c r="F30" s="203">
        <f t="shared" ref="F30:J30" si="0">F28*F31</f>
        <v>17700</v>
      </c>
      <c r="G30" s="203"/>
      <c r="H30" s="203">
        <f>H28*H31</f>
        <v>8100</v>
      </c>
      <c r="I30" s="203"/>
      <c r="J30" s="203">
        <f t="shared" si="0"/>
        <v>6300</v>
      </c>
      <c r="K30" s="131"/>
      <c r="L30" s="133"/>
      <c r="M30" s="131"/>
      <c r="N30" s="133"/>
      <c r="O30" s="126"/>
      <c r="P30" s="126"/>
      <c r="Q30" s="127"/>
      <c r="R30" s="204">
        <f>SUM(D30:J30)</f>
        <v>152844.2733</v>
      </c>
      <c r="S30" s="128"/>
      <c r="T30" s="2"/>
    </row>
    <row r="31" spans="1:23" ht="15.6" x14ac:dyDescent="0.3">
      <c r="A31" s="112"/>
      <c r="B31" s="134" t="s">
        <v>103</v>
      </c>
      <c r="C31" s="135"/>
      <c r="D31" s="136">
        <v>0.55412700000000004</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0.75985029999999998</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1.1818800000000001E-2</v>
      </c>
      <c r="E34" s="143"/>
      <c r="F34" s="143">
        <v>1.7818799999999999E-2</v>
      </c>
      <c r="G34" s="143"/>
      <c r="H34" s="143">
        <v>2.1318799999999999E-2</v>
      </c>
      <c r="I34" s="143"/>
      <c r="J34" s="143">
        <v>2.4818799999999999E-2</v>
      </c>
      <c r="K34" s="143"/>
      <c r="L34" s="143"/>
      <c r="M34" s="142"/>
      <c r="N34" s="143"/>
      <c r="O34" s="123"/>
      <c r="P34" s="123"/>
      <c r="Q34" s="115"/>
      <c r="R34" s="142">
        <f>SUMPRODUCT(D34:J34,D29:J29)/R29</f>
        <v>1.3159661785372678E-2</v>
      </c>
      <c r="S34" s="116"/>
      <c r="T34" s="2"/>
    </row>
    <row r="35" spans="1:21" ht="15.6" x14ac:dyDescent="0.3">
      <c r="A35" s="112"/>
      <c r="B35" s="113" t="s">
        <v>10</v>
      </c>
      <c r="C35" s="144"/>
      <c r="D35" s="143">
        <v>1.37188E-2</v>
      </c>
      <c r="E35" s="143"/>
      <c r="F35" s="143">
        <v>1.9718800000000002E-2</v>
      </c>
      <c r="G35" s="143"/>
      <c r="H35" s="143">
        <v>2.3218800000000001E-2</v>
      </c>
      <c r="I35" s="143"/>
      <c r="J35" s="143">
        <v>2.6718800000000001E-2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0.26585111759499075</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42719</v>
      </c>
      <c r="S45" s="116"/>
      <c r="T45" s="2"/>
    </row>
    <row r="46" spans="1:21" ht="15.6" x14ac:dyDescent="0.3">
      <c r="A46" s="112"/>
      <c r="B46" s="113" t="s">
        <v>99</v>
      </c>
      <c r="C46" s="113"/>
      <c r="D46" s="150"/>
      <c r="E46" s="150"/>
      <c r="F46" s="150"/>
      <c r="G46" s="150"/>
      <c r="H46" s="150"/>
      <c r="I46" s="150"/>
      <c r="J46" s="150"/>
      <c r="K46" s="150"/>
      <c r="L46" s="150"/>
      <c r="M46" s="150"/>
      <c r="N46" s="113">
        <v>91</v>
      </c>
      <c r="O46" s="113"/>
      <c r="P46" s="151">
        <v>42536</v>
      </c>
      <c r="Q46" s="152"/>
      <c r="R46" s="151">
        <v>42627</v>
      </c>
      <c r="S46" s="116"/>
      <c r="T46" s="2"/>
    </row>
    <row r="47" spans="1:21" ht="15.6" x14ac:dyDescent="0.3">
      <c r="A47" s="112"/>
      <c r="B47" s="113" t="s">
        <v>100</v>
      </c>
      <c r="C47" s="113"/>
      <c r="D47" s="113"/>
      <c r="E47" s="113"/>
      <c r="F47" s="113"/>
      <c r="G47" s="113"/>
      <c r="H47" s="113"/>
      <c r="I47" s="113"/>
      <c r="J47" s="113"/>
      <c r="K47" s="113"/>
      <c r="L47" s="113"/>
      <c r="M47" s="113"/>
      <c r="N47" s="113">
        <f>+R47-P47+1</f>
        <v>91</v>
      </c>
      <c r="O47" s="113"/>
      <c r="P47" s="151">
        <v>42628</v>
      </c>
      <c r="Q47" s="152"/>
      <c r="R47" s="151">
        <v>42718</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42705</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264</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197671</v>
      </c>
      <c r="I56" s="155"/>
      <c r="J56" s="156">
        <v>95</v>
      </c>
      <c r="K56" s="155"/>
      <c r="L56" s="155">
        <f>44827-95+6</f>
        <v>44738</v>
      </c>
      <c r="M56" s="155"/>
      <c r="N56" s="155">
        <v>6</v>
      </c>
      <c r="O56" s="155"/>
      <c r="P56" s="155">
        <v>0</v>
      </c>
      <c r="Q56" s="155"/>
      <c r="R56" s="156">
        <f>H56-J56-L56+N56-P56</f>
        <v>152844</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197671</v>
      </c>
      <c r="I59" s="155"/>
      <c r="J59" s="155">
        <f>J56+J57</f>
        <v>95</v>
      </c>
      <c r="K59" s="155"/>
      <c r="L59" s="155">
        <f>SUM(L56:L58)</f>
        <v>44738</v>
      </c>
      <c r="M59" s="155"/>
      <c r="N59" s="155">
        <f>SUM(N56:N58)</f>
        <v>6</v>
      </c>
      <c r="O59" s="155"/>
      <c r="P59" s="155">
        <f>SUM(P56:P58)</f>
        <v>0</v>
      </c>
      <c r="Q59" s="155"/>
      <c r="R59" s="155">
        <f>SUM(R56:R58)</f>
        <v>152844</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0</v>
      </c>
      <c r="I70" s="155"/>
      <c r="J70" s="155"/>
      <c r="K70" s="155"/>
      <c r="L70" s="155"/>
      <c r="M70" s="155"/>
      <c r="N70" s="155">
        <v>0</v>
      </c>
      <c r="O70" s="155"/>
      <c r="P70" s="155"/>
      <c r="Q70" s="155"/>
      <c r="R70" s="155">
        <f>+H70+N70</f>
        <v>0</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197671</v>
      </c>
      <c r="I72" s="155"/>
      <c r="J72" s="155"/>
      <c r="K72" s="155"/>
      <c r="L72" s="155"/>
      <c r="M72" s="155"/>
      <c r="N72" s="155"/>
      <c r="O72" s="155"/>
      <c r="P72" s="155"/>
      <c r="Q72" s="155"/>
      <c r="R72" s="155">
        <f>SUM(R59:R71)</f>
        <v>152844</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+P197</f>
        <v>42704</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0</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v>0</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44833</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4428-2360</f>
        <v>2068</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142</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17</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25</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44833</v>
      </c>
      <c r="Q89" s="113"/>
      <c r="R89" s="155">
        <f>SUM(R76:R88)</f>
        <v>2252</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44833</v>
      </c>
      <c r="Q92" s="113"/>
      <c r="R92" s="155">
        <f>R89+R90+R91</f>
        <v>2252</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236</v>
      </c>
      <c r="C96" s="113"/>
      <c r="D96" s="135"/>
      <c r="E96" s="135"/>
      <c r="F96" s="135"/>
      <c r="G96" s="135"/>
      <c r="H96" s="135"/>
      <c r="I96" s="135"/>
      <c r="J96" s="135"/>
      <c r="K96" s="135"/>
      <c r="L96" s="135"/>
      <c r="M96" s="135"/>
      <c r="N96" s="135"/>
      <c r="O96" s="135"/>
      <c r="P96" s="113"/>
      <c r="Q96" s="113"/>
      <c r="R96" s="156">
        <f>-74-27-3</f>
        <v>-104</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-133</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-488</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-79</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-43</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0</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-39</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-74</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-16-157</f>
        <v>-173</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-1096</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-P179</f>
        <v>0</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f>-O179</f>
        <v>-6</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-44827</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-44833</v>
      </c>
      <c r="Q119" s="155"/>
      <c r="R119" s="155">
        <f>SUM(R93:R118)</f>
        <v>-2252</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NOVEMBER 2016</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2586.3931674999999</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3663.6068325000001</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v>0</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0</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0</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0</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+'Aug 16'!R164</f>
        <v>406</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262</v>
      </c>
      <c r="C162" s="113"/>
      <c r="D162" s="113"/>
      <c r="E162" s="113"/>
      <c r="F162" s="113"/>
      <c r="G162" s="113"/>
      <c r="H162" s="113"/>
      <c r="I162" s="113"/>
      <c r="J162" s="113"/>
      <c r="K162" s="113"/>
      <c r="L162" s="113"/>
      <c r="M162" s="113"/>
      <c r="N162" s="113"/>
      <c r="O162" s="113"/>
      <c r="P162" s="113"/>
      <c r="Q162" s="113"/>
      <c r="R162" s="156">
        <v>294</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144</v>
      </c>
      <c r="C163" s="113"/>
      <c r="D163" s="113"/>
      <c r="E163" s="113"/>
      <c r="F163" s="113"/>
      <c r="G163" s="113"/>
      <c r="H163" s="113"/>
      <c r="I163" s="113"/>
      <c r="J163" s="113"/>
      <c r="K163" s="113"/>
      <c r="L163" s="113"/>
      <c r="M163" s="113"/>
      <c r="N163" s="113"/>
      <c r="O163" s="113"/>
      <c r="P163" s="113"/>
      <c r="Q163" s="113"/>
      <c r="R163" s="156">
        <f>R84</f>
        <v>25</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6" x14ac:dyDescent="0.3">
      <c r="A164" s="112"/>
      <c r="B164" s="113" t="s">
        <v>142</v>
      </c>
      <c r="C164" s="113"/>
      <c r="D164" s="113"/>
      <c r="E164" s="113"/>
      <c r="F164" s="113"/>
      <c r="G164" s="113"/>
      <c r="H164" s="113"/>
      <c r="I164" s="113"/>
      <c r="J164" s="113"/>
      <c r="K164" s="113"/>
      <c r="L164" s="113"/>
      <c r="M164" s="113"/>
      <c r="N164" s="113"/>
      <c r="O164" s="113"/>
      <c r="P164" s="113"/>
      <c r="Q164" s="113"/>
      <c r="R164" s="156">
        <f>+R161+R162-R163</f>
        <v>675</v>
      </c>
      <c r="S164" s="116"/>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2" thickBot="1" x14ac:dyDescent="0.35">
      <c r="A165" s="28"/>
      <c r="B165" s="43"/>
      <c r="C165" s="43"/>
      <c r="D165" s="43"/>
      <c r="E165" s="43"/>
      <c r="F165" s="43"/>
      <c r="G165" s="43"/>
      <c r="H165" s="43"/>
      <c r="I165" s="43"/>
      <c r="J165" s="43"/>
      <c r="K165" s="43"/>
      <c r="L165" s="43"/>
      <c r="M165" s="43"/>
      <c r="N165" s="43"/>
      <c r="O165" s="43"/>
      <c r="P165" s="43"/>
      <c r="Q165" s="43"/>
      <c r="R165" s="162"/>
      <c r="S165" s="218"/>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6" x14ac:dyDescent="0.3">
      <c r="A166" s="10"/>
      <c r="B166" s="11"/>
      <c r="C166" s="11"/>
      <c r="D166" s="11"/>
      <c r="E166" s="11"/>
      <c r="F166" s="11"/>
      <c r="G166" s="11"/>
      <c r="H166" s="11"/>
      <c r="I166" s="11"/>
      <c r="J166" s="11"/>
      <c r="K166" s="11"/>
      <c r="L166" s="11"/>
      <c r="M166" s="11"/>
      <c r="N166" s="11"/>
      <c r="O166" s="11"/>
      <c r="P166" s="11"/>
      <c r="Q166" s="11"/>
      <c r="R166" s="32"/>
      <c r="S166" s="217"/>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6" x14ac:dyDescent="0.3">
      <c r="A167" s="12"/>
      <c r="B167" s="41" t="s">
        <v>44</v>
      </c>
      <c r="C167" s="14"/>
      <c r="D167" s="14"/>
      <c r="E167" s="14"/>
      <c r="F167" s="14"/>
      <c r="G167" s="14"/>
      <c r="H167" s="14"/>
      <c r="I167" s="14"/>
      <c r="J167" s="14"/>
      <c r="K167" s="14"/>
      <c r="L167" s="14"/>
      <c r="M167" s="14"/>
      <c r="N167" s="14"/>
      <c r="O167" s="14"/>
      <c r="P167" s="14"/>
      <c r="Q167" s="14"/>
      <c r="R167" s="33"/>
      <c r="S167" s="218"/>
      <c r="T167" s="2"/>
    </row>
    <row r="168" spans="1:252" ht="15.6" x14ac:dyDescent="0.3">
      <c r="A168" s="12"/>
      <c r="B168" s="22"/>
      <c r="C168" s="14"/>
      <c r="D168" s="14"/>
      <c r="E168" s="14"/>
      <c r="F168" s="14"/>
      <c r="G168" s="14"/>
      <c r="H168" s="14"/>
      <c r="I168" s="14"/>
      <c r="J168" s="14"/>
      <c r="K168" s="14"/>
      <c r="L168" s="14"/>
      <c r="M168" s="14"/>
      <c r="N168" s="14"/>
      <c r="O168" s="14"/>
      <c r="P168" s="14"/>
      <c r="Q168" s="14"/>
      <c r="R168" s="33"/>
      <c r="S168" s="218"/>
      <c r="T168" s="2"/>
    </row>
    <row r="169" spans="1:252" ht="15.6" x14ac:dyDescent="0.3">
      <c r="A169" s="112"/>
      <c r="B169" s="113" t="s">
        <v>177</v>
      </c>
      <c r="C169" s="113"/>
      <c r="D169" s="113"/>
      <c r="E169" s="113"/>
      <c r="F169" s="113"/>
      <c r="G169" s="113"/>
      <c r="H169" s="113"/>
      <c r="I169" s="113"/>
      <c r="J169" s="113"/>
      <c r="K169" s="113"/>
      <c r="L169" s="113"/>
      <c r="M169" s="113"/>
      <c r="N169" s="113"/>
      <c r="O169" s="113"/>
      <c r="P169" s="113"/>
      <c r="Q169" s="113"/>
      <c r="R169" s="156">
        <f>+R59</f>
        <v>152844</v>
      </c>
      <c r="S169" s="116"/>
      <c r="T169" s="2"/>
    </row>
    <row r="170" spans="1:252" ht="15.6" x14ac:dyDescent="0.3">
      <c r="A170" s="112"/>
      <c r="B170" s="113" t="s">
        <v>178</v>
      </c>
      <c r="C170" s="113"/>
      <c r="D170" s="113"/>
      <c r="E170" s="113"/>
      <c r="F170" s="113"/>
      <c r="G170" s="113"/>
      <c r="H170" s="113"/>
      <c r="I170" s="113"/>
      <c r="J170" s="113"/>
      <c r="K170" s="113"/>
      <c r="L170" s="113"/>
      <c r="M170" s="113"/>
      <c r="N170" s="113"/>
      <c r="O170" s="113"/>
      <c r="P170" s="113"/>
      <c r="Q170" s="113"/>
      <c r="R170" s="156">
        <f>+R69</f>
        <v>0</v>
      </c>
      <c r="S170" s="116"/>
      <c r="T170" s="2"/>
    </row>
    <row r="171" spans="1:252" ht="15.6" x14ac:dyDescent="0.3">
      <c r="A171" s="112"/>
      <c r="B171" s="113" t="s">
        <v>246</v>
      </c>
      <c r="C171" s="113"/>
      <c r="D171" s="113"/>
      <c r="E171" s="113"/>
      <c r="F171" s="113"/>
      <c r="G171" s="113"/>
      <c r="H171" s="113"/>
      <c r="I171" s="113"/>
      <c r="J171" s="113"/>
      <c r="K171" s="113"/>
      <c r="L171" s="113"/>
      <c r="M171" s="113"/>
      <c r="N171" s="113"/>
      <c r="O171" s="113"/>
      <c r="P171" s="113"/>
      <c r="Q171" s="113"/>
      <c r="R171" s="156">
        <f>+R70</f>
        <v>0</v>
      </c>
      <c r="S171" s="116"/>
      <c r="T171" s="2"/>
    </row>
    <row r="172" spans="1:252" ht="15.6" x14ac:dyDescent="0.3">
      <c r="A172" s="112"/>
      <c r="B172" s="113" t="s">
        <v>126</v>
      </c>
      <c r="C172" s="113"/>
      <c r="D172" s="113"/>
      <c r="E172" s="113"/>
      <c r="F172" s="113"/>
      <c r="G172" s="113"/>
      <c r="H172" s="113"/>
      <c r="I172" s="113"/>
      <c r="J172" s="113"/>
      <c r="K172" s="113"/>
      <c r="L172" s="113"/>
      <c r="M172" s="113"/>
      <c r="N172" s="113"/>
      <c r="O172" s="113"/>
      <c r="P172" s="113"/>
      <c r="Q172" s="113"/>
      <c r="R172" s="156">
        <f>+R169+R170+R171</f>
        <v>152844</v>
      </c>
      <c r="S172" s="116"/>
      <c r="T172" s="2"/>
    </row>
    <row r="173" spans="1:252" ht="15.6" x14ac:dyDescent="0.3">
      <c r="A173" s="112"/>
      <c r="B173" s="113" t="s">
        <v>45</v>
      </c>
      <c r="C173" s="113"/>
      <c r="D173" s="113"/>
      <c r="E173" s="113"/>
      <c r="F173" s="113"/>
      <c r="G173" s="113"/>
      <c r="H173" s="113"/>
      <c r="I173" s="113"/>
      <c r="J173" s="113"/>
      <c r="K173" s="113"/>
      <c r="L173" s="113"/>
      <c r="M173" s="113"/>
      <c r="N173" s="113"/>
      <c r="O173" s="113"/>
      <c r="P173" s="113"/>
      <c r="Q173" s="113"/>
      <c r="R173" s="156">
        <f>R72</f>
        <v>152844</v>
      </c>
      <c r="S173" s="116"/>
      <c r="T173" s="2"/>
    </row>
    <row r="174" spans="1:252" ht="16.2" thickBot="1" x14ac:dyDescent="0.35">
      <c r="A174" s="12"/>
      <c r="B174" s="43"/>
      <c r="C174" s="43"/>
      <c r="D174" s="43"/>
      <c r="E174" s="43"/>
      <c r="F174" s="43"/>
      <c r="G174" s="43"/>
      <c r="H174" s="43"/>
      <c r="I174" s="43"/>
      <c r="J174" s="43"/>
      <c r="K174" s="43"/>
      <c r="L174" s="43"/>
      <c r="M174" s="43"/>
      <c r="N174" s="43"/>
      <c r="O174" s="43"/>
      <c r="P174" s="43"/>
      <c r="Q174" s="43"/>
      <c r="R174" s="162"/>
      <c r="S174" s="218"/>
      <c r="T174" s="2"/>
    </row>
    <row r="175" spans="1:252" ht="15.6" x14ac:dyDescent="0.3">
      <c r="A175" s="10"/>
      <c r="B175" s="11"/>
      <c r="C175" s="11"/>
      <c r="D175" s="11"/>
      <c r="E175" s="11"/>
      <c r="F175" s="11"/>
      <c r="G175" s="11"/>
      <c r="H175" s="11"/>
      <c r="I175" s="11"/>
      <c r="J175" s="11"/>
      <c r="K175" s="11"/>
      <c r="L175" s="11"/>
      <c r="M175" s="11"/>
      <c r="N175" s="11"/>
      <c r="O175" s="11"/>
      <c r="P175" s="11"/>
      <c r="Q175" s="11"/>
      <c r="R175" s="32"/>
      <c r="S175" s="217"/>
      <c r="T175" s="2"/>
    </row>
    <row r="176" spans="1:252" ht="15.6" x14ac:dyDescent="0.3">
      <c r="A176" s="12"/>
      <c r="B176" s="41" t="s">
        <v>46</v>
      </c>
      <c r="C176" s="37"/>
      <c r="D176" s="45"/>
      <c r="E176" s="45"/>
      <c r="F176" s="45"/>
      <c r="G176" s="45"/>
      <c r="H176" s="45"/>
      <c r="I176" s="45"/>
      <c r="J176" s="45"/>
      <c r="K176" s="45"/>
      <c r="L176" s="45"/>
      <c r="M176" s="45"/>
      <c r="N176" s="45"/>
      <c r="O176" s="45" t="s">
        <v>82</v>
      </c>
      <c r="P176" s="45" t="s">
        <v>173</v>
      </c>
      <c r="Q176" s="16"/>
      <c r="R176" s="46" t="s">
        <v>94</v>
      </c>
      <c r="S176" s="225"/>
      <c r="T176" s="2"/>
    </row>
    <row r="177" spans="1:20" ht="15.6" x14ac:dyDescent="0.3">
      <c r="A177" s="112"/>
      <c r="B177" s="113" t="s">
        <v>47</v>
      </c>
      <c r="C177" s="113"/>
      <c r="D177" s="113"/>
      <c r="E177" s="113"/>
      <c r="F177" s="113"/>
      <c r="G177" s="113"/>
      <c r="H177" s="113"/>
      <c r="I177" s="113"/>
      <c r="J177" s="113"/>
      <c r="K177" s="113"/>
      <c r="L177" s="113"/>
      <c r="M177" s="113"/>
      <c r="N177" s="113"/>
      <c r="O177" s="156">
        <f>+R28*0.05</f>
        <v>12500</v>
      </c>
      <c r="P177" s="145"/>
      <c r="Q177" s="113"/>
      <c r="R177" s="156"/>
      <c r="S177" s="116"/>
      <c r="T177" s="2"/>
    </row>
    <row r="178" spans="1:20" ht="15.6" x14ac:dyDescent="0.3">
      <c r="A178" s="112"/>
      <c r="B178" s="113" t="s">
        <v>48</v>
      </c>
      <c r="C178" s="113"/>
      <c r="D178" s="113"/>
      <c r="E178" s="113"/>
      <c r="F178" s="113"/>
      <c r="G178" s="113"/>
      <c r="H178" s="113"/>
      <c r="I178" s="113"/>
      <c r="J178" s="113"/>
      <c r="K178" s="113"/>
      <c r="L178" s="113"/>
      <c r="M178" s="113"/>
      <c r="N178" s="113"/>
      <c r="O178" s="156">
        <f>+'Aug 16'!O180</f>
        <v>825</v>
      </c>
      <c r="P178" s="156">
        <f>+'Aug 16'!P180</f>
        <v>517</v>
      </c>
      <c r="Q178" s="113"/>
      <c r="R178" s="156">
        <f>O178+P178</f>
        <v>1342</v>
      </c>
      <c r="S178" s="116"/>
      <c r="T178" s="2"/>
    </row>
    <row r="179" spans="1:20" ht="15.6" x14ac:dyDescent="0.3">
      <c r="A179" s="112"/>
      <c r="B179" s="113" t="s">
        <v>49</v>
      </c>
      <c r="C179" s="113"/>
      <c r="D179" s="113"/>
      <c r="E179" s="113"/>
      <c r="F179" s="113"/>
      <c r="G179" s="113"/>
      <c r="H179" s="113"/>
      <c r="I179" s="113"/>
      <c r="J179" s="113"/>
      <c r="K179" s="113"/>
      <c r="L179" s="113"/>
      <c r="M179" s="113"/>
      <c r="N179" s="113"/>
      <c r="O179" s="155">
        <v>6</v>
      </c>
      <c r="P179" s="155">
        <v>0</v>
      </c>
      <c r="Q179" s="113"/>
      <c r="R179" s="156">
        <f>O179+P179</f>
        <v>6</v>
      </c>
      <c r="S179" s="116"/>
      <c r="T179" s="2"/>
    </row>
    <row r="180" spans="1:20" ht="15.6" x14ac:dyDescent="0.3">
      <c r="A180" s="112"/>
      <c r="B180" s="113" t="s">
        <v>50</v>
      </c>
      <c r="C180" s="113"/>
      <c r="D180" s="113"/>
      <c r="E180" s="113"/>
      <c r="F180" s="113"/>
      <c r="G180" s="113"/>
      <c r="H180" s="113"/>
      <c r="I180" s="113"/>
      <c r="J180" s="113"/>
      <c r="K180" s="113"/>
      <c r="L180" s="113"/>
      <c r="M180" s="113"/>
      <c r="N180" s="113"/>
      <c r="O180" s="156">
        <f>O178+O179</f>
        <v>831</v>
      </c>
      <c r="P180" s="156">
        <f>P179+P178</f>
        <v>517</v>
      </c>
      <c r="Q180" s="113"/>
      <c r="R180" s="156">
        <f>O180+P180</f>
        <v>1348</v>
      </c>
      <c r="S180" s="116"/>
      <c r="T180" s="2"/>
    </row>
    <row r="181" spans="1:20" ht="15.6" x14ac:dyDescent="0.3">
      <c r="A181" s="112"/>
      <c r="B181" s="113" t="s">
        <v>51</v>
      </c>
      <c r="C181" s="113"/>
      <c r="D181" s="113"/>
      <c r="E181" s="113"/>
      <c r="F181" s="113"/>
      <c r="G181" s="113"/>
      <c r="H181" s="113"/>
      <c r="I181" s="113"/>
      <c r="J181" s="113"/>
      <c r="K181" s="113"/>
      <c r="L181" s="113"/>
      <c r="M181" s="113"/>
      <c r="N181" s="113"/>
      <c r="O181" s="156">
        <f>O177-O180-P180</f>
        <v>11152</v>
      </c>
      <c r="P181" s="145"/>
      <c r="Q181" s="113"/>
      <c r="R181" s="156"/>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8"/>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7"/>
      <c r="T183" s="2"/>
    </row>
    <row r="184" spans="1:20" ht="15.6" x14ac:dyDescent="0.3">
      <c r="A184" s="12"/>
      <c r="B184" s="41" t="s">
        <v>52</v>
      </c>
      <c r="C184" s="14"/>
      <c r="D184" s="14"/>
      <c r="E184" s="14"/>
      <c r="F184" s="14"/>
      <c r="G184" s="14"/>
      <c r="H184" s="14"/>
      <c r="I184" s="14"/>
      <c r="J184" s="14"/>
      <c r="K184" s="14"/>
      <c r="L184" s="14"/>
      <c r="M184" s="14"/>
      <c r="N184" s="14"/>
      <c r="O184" s="14"/>
      <c r="P184" s="14"/>
      <c r="Q184" s="14"/>
      <c r="R184" s="47"/>
      <c r="S184" s="218"/>
      <c r="T184" s="2"/>
    </row>
    <row r="185" spans="1:20" ht="15.6" x14ac:dyDescent="0.3">
      <c r="A185" s="112"/>
      <c r="B185" s="113" t="s">
        <v>53</v>
      </c>
      <c r="C185" s="113"/>
      <c r="D185" s="113"/>
      <c r="E185" s="113"/>
      <c r="F185" s="113"/>
      <c r="G185" s="113"/>
      <c r="H185" s="113"/>
      <c r="I185" s="113"/>
      <c r="J185" s="113"/>
      <c r="K185" s="113"/>
      <c r="L185" s="113"/>
      <c r="M185" s="113"/>
      <c r="N185" s="113"/>
      <c r="O185" s="113"/>
      <c r="P185" s="113"/>
      <c r="Q185" s="113"/>
      <c r="R185" s="161">
        <f>(R92+R94+R95+R96+R97)/-(R98)</f>
        <v>4.1229508196721314</v>
      </c>
      <c r="S185" s="116" t="s">
        <v>95</v>
      </c>
      <c r="T185" s="2"/>
    </row>
    <row r="186" spans="1:20" ht="15.6" x14ac:dyDescent="0.3">
      <c r="A186" s="112"/>
      <c r="B186" s="113" t="s">
        <v>54</v>
      </c>
      <c r="C186" s="113"/>
      <c r="D186" s="113"/>
      <c r="E186" s="113"/>
      <c r="F186" s="113"/>
      <c r="G186" s="113"/>
      <c r="H186" s="113"/>
      <c r="I186" s="113"/>
      <c r="J186" s="113"/>
      <c r="K186" s="113"/>
      <c r="L186" s="113"/>
      <c r="M186" s="113"/>
      <c r="N186" s="113"/>
      <c r="O186" s="113"/>
      <c r="P186" s="113"/>
      <c r="Q186" s="113"/>
      <c r="R186" s="164">
        <v>3.57</v>
      </c>
      <c r="S186" s="116" t="s">
        <v>95</v>
      </c>
      <c r="T186" s="2"/>
    </row>
    <row r="187" spans="1:20" ht="15.6" x14ac:dyDescent="0.3">
      <c r="A187" s="112"/>
      <c r="B187" s="113" t="s">
        <v>192</v>
      </c>
      <c r="C187" s="113"/>
      <c r="D187" s="113"/>
      <c r="E187" s="113"/>
      <c r="F187" s="113"/>
      <c r="G187" s="113"/>
      <c r="H187" s="113"/>
      <c r="I187" s="113"/>
      <c r="J187" s="113"/>
      <c r="K187" s="113"/>
      <c r="L187" s="113"/>
      <c r="M187" s="113"/>
      <c r="N187" s="113"/>
      <c r="O187" s="113"/>
      <c r="P187" s="113"/>
      <c r="Q187" s="113"/>
      <c r="R187" s="161">
        <f>(R92+R94+R95+R96+R97+R98)/-(R99)</f>
        <v>19.291139240506329</v>
      </c>
      <c r="S187" s="116" t="s">
        <v>95</v>
      </c>
      <c r="T187" s="2"/>
    </row>
    <row r="188" spans="1:20" ht="15.6" x14ac:dyDescent="0.3">
      <c r="A188" s="112"/>
      <c r="B188" s="113" t="s">
        <v>193</v>
      </c>
      <c r="C188" s="113"/>
      <c r="D188" s="113"/>
      <c r="E188" s="113"/>
      <c r="F188" s="113"/>
      <c r="G188" s="113"/>
      <c r="H188" s="113"/>
      <c r="I188" s="113"/>
      <c r="J188" s="113"/>
      <c r="K188" s="113"/>
      <c r="L188" s="113"/>
      <c r="M188" s="113"/>
      <c r="N188" s="113"/>
      <c r="O188" s="113"/>
      <c r="P188" s="113"/>
      <c r="Q188" s="113"/>
      <c r="R188" s="164">
        <v>20.47</v>
      </c>
      <c r="S188" s="116" t="s">
        <v>95</v>
      </c>
      <c r="T188" s="2"/>
    </row>
    <row r="189" spans="1:20" ht="15.6" x14ac:dyDescent="0.3">
      <c r="A189" s="112"/>
      <c r="B189" s="113" t="s">
        <v>194</v>
      </c>
      <c r="C189" s="113"/>
      <c r="D189" s="113"/>
      <c r="E189" s="113"/>
      <c r="F189" s="113"/>
      <c r="G189" s="113"/>
      <c r="H189" s="113"/>
      <c r="I189" s="113"/>
      <c r="J189" s="113"/>
      <c r="K189" s="113"/>
      <c r="L189" s="113"/>
      <c r="M189" s="113"/>
      <c r="N189" s="113"/>
      <c r="O189" s="113"/>
      <c r="P189" s="113"/>
      <c r="Q189" s="113"/>
      <c r="R189" s="161">
        <f>(R92+R94+R95+R96+R97+R98+R99)/-(R100)</f>
        <v>33.604651162790695</v>
      </c>
      <c r="S189" s="116" t="s">
        <v>95</v>
      </c>
      <c r="T189" s="2"/>
    </row>
    <row r="190" spans="1:20" ht="15.6" x14ac:dyDescent="0.3">
      <c r="A190" s="112"/>
      <c r="B190" s="113" t="s">
        <v>195</v>
      </c>
      <c r="C190" s="113"/>
      <c r="D190" s="113"/>
      <c r="E190" s="113"/>
      <c r="F190" s="113"/>
      <c r="G190" s="113"/>
      <c r="H190" s="113"/>
      <c r="I190" s="113"/>
      <c r="J190" s="113"/>
      <c r="K190" s="113"/>
      <c r="L190" s="113"/>
      <c r="M190" s="113"/>
      <c r="N190" s="113"/>
      <c r="O190" s="113"/>
      <c r="P190" s="113"/>
      <c r="Q190" s="113"/>
      <c r="R190" s="164">
        <v>36.25</v>
      </c>
      <c r="S190" s="116" t="s">
        <v>95</v>
      </c>
      <c r="T190" s="2"/>
    </row>
    <row r="191" spans="1:20" ht="15.6" x14ac:dyDescent="0.3">
      <c r="A191" s="112"/>
      <c r="B191" s="113" t="s">
        <v>196</v>
      </c>
      <c r="C191" s="113"/>
      <c r="D191" s="113"/>
      <c r="E191" s="113"/>
      <c r="F191" s="113"/>
      <c r="G191" s="113"/>
      <c r="H191" s="113"/>
      <c r="I191" s="113"/>
      <c r="J191" s="113"/>
      <c r="K191" s="113"/>
      <c r="L191" s="113"/>
      <c r="M191" s="113"/>
      <c r="N191" s="113"/>
      <c r="O191" s="113"/>
      <c r="P191" s="113"/>
      <c r="Q191" s="113"/>
      <c r="R191" s="161">
        <f>(R92+R94+R95+R96+R97+R98+R99+R100+R101+R102+R103+R104+R105)/-(R106)</f>
        <v>35.435897435897438</v>
      </c>
      <c r="S191" s="116" t="s">
        <v>95</v>
      </c>
      <c r="T191" s="2"/>
    </row>
    <row r="192" spans="1:20" ht="15.6" x14ac:dyDescent="0.3">
      <c r="A192" s="112"/>
      <c r="B192" s="113" t="s">
        <v>197</v>
      </c>
      <c r="C192" s="113"/>
      <c r="D192" s="113"/>
      <c r="E192" s="113"/>
      <c r="F192" s="113"/>
      <c r="G192" s="113"/>
      <c r="H192" s="113"/>
      <c r="I192" s="113"/>
      <c r="J192" s="113"/>
      <c r="K192" s="113"/>
      <c r="L192" s="113"/>
      <c r="M192" s="113"/>
      <c r="N192" s="113"/>
      <c r="O192" s="113"/>
      <c r="P192" s="113"/>
      <c r="Q192" s="113"/>
      <c r="R192" s="164"/>
      <c r="S192" s="116" t="s">
        <v>95</v>
      </c>
      <c r="T192" s="2"/>
    </row>
    <row r="193" spans="1:20" ht="15.6" x14ac:dyDescent="0.3">
      <c r="A193" s="112"/>
      <c r="B193" s="113"/>
      <c r="C193" s="113"/>
      <c r="D193" s="113"/>
      <c r="E193" s="113"/>
      <c r="F193" s="113"/>
      <c r="G193" s="113"/>
      <c r="H193" s="113"/>
      <c r="I193" s="113"/>
      <c r="J193" s="113"/>
      <c r="K193" s="113"/>
      <c r="L193" s="113"/>
      <c r="M193" s="113"/>
      <c r="N193" s="113"/>
      <c r="O193" s="113"/>
      <c r="P193" s="113"/>
      <c r="Q193" s="113"/>
      <c r="R193" s="113"/>
      <c r="S193" s="116"/>
      <c r="T193" s="2"/>
    </row>
    <row r="194" spans="1:20" ht="15.6" x14ac:dyDescent="0.3">
      <c r="A194" s="12"/>
      <c r="B194" s="163"/>
      <c r="C194" s="163"/>
      <c r="D194" s="163"/>
      <c r="E194" s="163"/>
      <c r="F194" s="163"/>
      <c r="G194" s="163"/>
      <c r="H194" s="163"/>
      <c r="I194" s="163"/>
      <c r="J194" s="163"/>
      <c r="K194" s="163"/>
      <c r="L194" s="163"/>
      <c r="M194" s="163"/>
      <c r="N194" s="163"/>
      <c r="O194" s="163"/>
      <c r="P194" s="163"/>
      <c r="Q194" s="163"/>
      <c r="R194" s="163"/>
      <c r="S194" s="219"/>
      <c r="T194" s="2"/>
    </row>
    <row r="195" spans="1:20" ht="15.6" x14ac:dyDescent="0.3">
      <c r="A195" s="12"/>
      <c r="B195" s="84"/>
      <c r="C195" s="84"/>
      <c r="D195" s="84"/>
      <c r="E195" s="84"/>
      <c r="F195" s="84"/>
      <c r="G195" s="84"/>
      <c r="H195" s="84"/>
      <c r="I195" s="84"/>
      <c r="J195" s="84"/>
      <c r="K195" s="84"/>
      <c r="L195" s="84"/>
      <c r="M195" s="84"/>
      <c r="N195" s="84"/>
      <c r="O195" s="84"/>
      <c r="P195" s="84"/>
      <c r="Q195" s="84"/>
      <c r="R195" s="84"/>
      <c r="S195" s="219"/>
      <c r="T195" s="2"/>
    </row>
    <row r="196" spans="1:20" ht="18" thickBot="1" x14ac:dyDescent="0.35">
      <c r="A196" s="28"/>
      <c r="B196" s="97" t="str">
        <f>B123</f>
        <v>PM21 INVESTOR REPORT QUARTER ENDING NOVEMBER 2016</v>
      </c>
      <c r="C196" s="98"/>
      <c r="D196" s="98"/>
      <c r="E196" s="98"/>
      <c r="F196" s="98"/>
      <c r="G196" s="98"/>
      <c r="H196" s="98"/>
      <c r="I196" s="98"/>
      <c r="J196" s="98"/>
      <c r="K196" s="98"/>
      <c r="L196" s="98"/>
      <c r="M196" s="98"/>
      <c r="N196" s="98"/>
      <c r="O196" s="98"/>
      <c r="P196" s="98"/>
      <c r="Q196" s="98"/>
      <c r="R196" s="98"/>
      <c r="S196" s="99"/>
      <c r="T196" s="2"/>
    </row>
    <row r="197" spans="1:20" ht="15.6" x14ac:dyDescent="0.3">
      <c r="A197" s="65"/>
      <c r="B197" s="66" t="s">
        <v>55</v>
      </c>
      <c r="C197" s="69"/>
      <c r="D197" s="70"/>
      <c r="E197" s="70"/>
      <c r="F197" s="70"/>
      <c r="G197" s="70"/>
      <c r="H197" s="70"/>
      <c r="I197" s="70"/>
      <c r="J197" s="70"/>
      <c r="K197" s="70"/>
      <c r="L197" s="70"/>
      <c r="M197" s="70"/>
      <c r="N197" s="70"/>
      <c r="O197" s="70"/>
      <c r="P197" s="70">
        <v>42704</v>
      </c>
      <c r="Q197" s="67"/>
      <c r="R197" s="67"/>
      <c r="S197" s="224"/>
      <c r="T197" s="2"/>
    </row>
    <row r="198" spans="1:20" ht="15.6" x14ac:dyDescent="0.3">
      <c r="A198" s="48"/>
      <c r="B198" s="49"/>
      <c r="C198" s="50"/>
      <c r="D198" s="51"/>
      <c r="E198" s="51"/>
      <c r="F198" s="51"/>
      <c r="G198" s="51"/>
      <c r="H198" s="51"/>
      <c r="I198" s="51"/>
      <c r="J198" s="51"/>
      <c r="K198" s="51"/>
      <c r="L198" s="51"/>
      <c r="M198" s="51"/>
      <c r="N198" s="51"/>
      <c r="O198" s="51"/>
      <c r="P198" s="51"/>
      <c r="Q198" s="14"/>
      <c r="R198" s="14"/>
      <c r="S198" s="218"/>
      <c r="T198" s="2"/>
    </row>
    <row r="199" spans="1:20" ht="15.6" x14ac:dyDescent="0.3">
      <c r="A199" s="167"/>
      <c r="B199" s="113" t="s">
        <v>56</v>
      </c>
      <c r="C199" s="168"/>
      <c r="D199" s="148"/>
      <c r="E199" s="148"/>
      <c r="F199" s="148"/>
      <c r="G199" s="148"/>
      <c r="H199" s="148"/>
      <c r="I199" s="148"/>
      <c r="J199" s="148"/>
      <c r="K199" s="148"/>
      <c r="L199" s="148"/>
      <c r="M199" s="148"/>
      <c r="N199" s="148"/>
      <c r="O199" s="148"/>
      <c r="P199" s="142">
        <v>4.1349999999999998E-2</v>
      </c>
      <c r="Q199" s="113"/>
      <c r="R199" s="113"/>
      <c r="S199" s="116"/>
      <c r="T199" s="2"/>
    </row>
    <row r="200" spans="1:20" ht="15.6" x14ac:dyDescent="0.3">
      <c r="A200" s="167"/>
      <c r="B200" s="113" t="s">
        <v>161</v>
      </c>
      <c r="C200" s="168"/>
      <c r="D200" s="148"/>
      <c r="E200" s="148"/>
      <c r="F200" s="148"/>
      <c r="G200" s="148"/>
      <c r="H200" s="148"/>
      <c r="I200" s="148"/>
      <c r="J200" s="148"/>
      <c r="K200" s="148"/>
      <c r="L200" s="148"/>
      <c r="M200" s="148"/>
      <c r="N200" s="148"/>
      <c r="O200" s="148"/>
      <c r="P200" s="142">
        <v>1.50706E-2</v>
      </c>
      <c r="Q200" s="113"/>
      <c r="R200" s="113"/>
      <c r="S200" s="116"/>
      <c r="T200" s="2"/>
    </row>
    <row r="201" spans="1:20" ht="15.6" x14ac:dyDescent="0.3">
      <c r="A201" s="167"/>
      <c r="B201" s="113" t="s">
        <v>57</v>
      </c>
      <c r="C201" s="168"/>
      <c r="D201" s="148"/>
      <c r="E201" s="148"/>
      <c r="F201" s="148"/>
      <c r="G201" s="148"/>
      <c r="H201" s="148"/>
      <c r="I201" s="148"/>
      <c r="J201" s="148"/>
      <c r="K201" s="148"/>
      <c r="L201" s="148"/>
      <c r="M201" s="148"/>
      <c r="N201" s="148"/>
      <c r="O201" s="148"/>
      <c r="P201" s="211">
        <f>P199-P200</f>
        <v>2.6279399999999998E-2</v>
      </c>
      <c r="Q201" s="113"/>
      <c r="R201" s="113"/>
      <c r="S201" s="116"/>
      <c r="T201" s="2"/>
    </row>
    <row r="202" spans="1:20" ht="15.6" x14ac:dyDescent="0.3">
      <c r="A202" s="167"/>
      <c r="B202" s="113" t="s">
        <v>164</v>
      </c>
      <c r="C202" s="168"/>
      <c r="D202" s="148"/>
      <c r="E202" s="148"/>
      <c r="F202" s="148"/>
      <c r="G202" s="148"/>
      <c r="H202" s="148"/>
      <c r="I202" s="148"/>
      <c r="J202" s="148"/>
      <c r="K202" s="148"/>
      <c r="L202" s="148"/>
      <c r="M202" s="148"/>
      <c r="N202" s="148"/>
      <c r="O202" s="148"/>
      <c r="P202" s="211">
        <v>4.3793800000000001E-2</v>
      </c>
      <c r="Q202" s="113"/>
      <c r="R202" s="113"/>
      <c r="S202" s="116"/>
      <c r="T202" s="2"/>
    </row>
    <row r="203" spans="1:20" ht="15.6" x14ac:dyDescent="0.3">
      <c r="A203" s="167"/>
      <c r="B203" s="113" t="s">
        <v>58</v>
      </c>
      <c r="C203" s="168"/>
      <c r="D203" s="148"/>
      <c r="E203" s="148"/>
      <c r="F203" s="148"/>
      <c r="G203" s="148"/>
      <c r="H203" s="148"/>
      <c r="I203" s="148"/>
      <c r="J203" s="148"/>
      <c r="K203" s="148"/>
      <c r="L203" s="148"/>
      <c r="M203" s="148"/>
      <c r="N203" s="148"/>
      <c r="O203" s="148"/>
      <c r="P203" s="209">
        <v>4.8739999999999999E-2</v>
      </c>
      <c r="Q203" s="113"/>
      <c r="R203" s="113"/>
      <c r="S203" s="116"/>
      <c r="T203" s="2"/>
    </row>
    <row r="204" spans="1:20" ht="15.6" x14ac:dyDescent="0.3">
      <c r="A204" s="167"/>
      <c r="B204" s="113" t="s">
        <v>162</v>
      </c>
      <c r="C204" s="168"/>
      <c r="D204" s="148"/>
      <c r="E204" s="148"/>
      <c r="F204" s="148"/>
      <c r="G204" s="148"/>
      <c r="H204" s="148"/>
      <c r="I204" s="148"/>
      <c r="J204" s="148"/>
      <c r="K204" s="148"/>
      <c r="L204" s="148"/>
      <c r="M204" s="148"/>
      <c r="N204" s="148"/>
      <c r="O204" s="148"/>
      <c r="P204" s="142">
        <f>R34</f>
        <v>1.3159661785372678E-2</v>
      </c>
      <c r="Q204" s="113"/>
      <c r="R204" s="113"/>
      <c r="S204" s="116"/>
      <c r="T204" s="2"/>
    </row>
    <row r="205" spans="1:20" ht="15.6" x14ac:dyDescent="0.3">
      <c r="A205" s="167"/>
      <c r="B205" s="113" t="s">
        <v>59</v>
      </c>
      <c r="C205" s="168"/>
      <c r="D205" s="148"/>
      <c r="E205" s="148"/>
      <c r="F205" s="148"/>
      <c r="G205" s="148"/>
      <c r="H205" s="148"/>
      <c r="I205" s="148"/>
      <c r="J205" s="148"/>
      <c r="K205" s="148"/>
      <c r="L205" s="148"/>
      <c r="M205" s="148"/>
      <c r="N205" s="148"/>
      <c r="O205" s="148"/>
      <c r="P205" s="142">
        <f>P203-P204</f>
        <v>3.5580338214627319E-2</v>
      </c>
      <c r="Q205" s="113"/>
      <c r="R205" s="113"/>
      <c r="S205" s="116"/>
      <c r="T205" s="2"/>
    </row>
    <row r="206" spans="1:20" ht="15.6" x14ac:dyDescent="0.3">
      <c r="A206" s="167"/>
      <c r="B206" s="113" t="s">
        <v>139</v>
      </c>
      <c r="C206" s="168"/>
      <c r="D206" s="148"/>
      <c r="E206" s="148"/>
      <c r="F206" s="148"/>
      <c r="G206" s="148"/>
      <c r="H206" s="148"/>
      <c r="I206" s="148"/>
      <c r="J206" s="148"/>
      <c r="K206" s="148"/>
      <c r="L206" s="148"/>
      <c r="M206" s="148"/>
      <c r="N206" s="148"/>
      <c r="O206" s="148"/>
      <c r="P206" s="142">
        <f>(+R92+R94)/H72</f>
        <v>1.139266761436933E-2</v>
      </c>
      <c r="Q206" s="113"/>
      <c r="R206" s="113"/>
      <c r="S206" s="116"/>
      <c r="T206" s="2"/>
    </row>
    <row r="207" spans="1:20" ht="15.6" x14ac:dyDescent="0.3">
      <c r="A207" s="167"/>
      <c r="B207" s="113" t="s">
        <v>132</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198</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199</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200</v>
      </c>
      <c r="C210" s="168"/>
      <c r="D210" s="148"/>
      <c r="E210" s="148"/>
      <c r="F210" s="148"/>
      <c r="G210" s="148"/>
      <c r="H210" s="148"/>
      <c r="I210" s="148"/>
      <c r="J210" s="148"/>
      <c r="K210" s="148"/>
      <c r="L210" s="148"/>
      <c r="M210" s="148"/>
      <c r="N210" s="148"/>
      <c r="O210" s="148"/>
      <c r="P210" s="169">
        <v>15507</v>
      </c>
      <c r="Q210" s="113"/>
      <c r="R210" s="113"/>
      <c r="S210" s="116"/>
      <c r="T210" s="2"/>
    </row>
    <row r="211" spans="1:20" ht="15.6" x14ac:dyDescent="0.3">
      <c r="A211" s="167"/>
      <c r="B211" s="113" t="s">
        <v>60</v>
      </c>
      <c r="C211" s="168"/>
      <c r="D211" s="148"/>
      <c r="E211" s="148"/>
      <c r="F211" s="148"/>
      <c r="G211" s="148"/>
      <c r="H211" s="148"/>
      <c r="I211" s="148"/>
      <c r="J211" s="148"/>
      <c r="K211" s="148"/>
      <c r="L211" s="148"/>
      <c r="M211" s="148"/>
      <c r="N211" s="148"/>
      <c r="O211" s="148"/>
      <c r="P211" s="146">
        <v>20.170000000000002</v>
      </c>
      <c r="Q211" s="113" t="s">
        <v>90</v>
      </c>
      <c r="R211" s="113"/>
      <c r="S211" s="116"/>
      <c r="T211" s="2"/>
    </row>
    <row r="212" spans="1:20" ht="15.6" x14ac:dyDescent="0.3">
      <c r="A212" s="167"/>
      <c r="B212" s="113" t="s">
        <v>61</v>
      </c>
      <c r="C212" s="168"/>
      <c r="D212" s="148"/>
      <c r="E212" s="148"/>
      <c r="F212" s="148"/>
      <c r="G212" s="148"/>
      <c r="H212" s="148"/>
      <c r="I212" s="148"/>
      <c r="J212" s="148"/>
      <c r="K212" s="148"/>
      <c r="L212" s="148"/>
      <c r="M212" s="148"/>
      <c r="N212" s="148"/>
      <c r="O212" s="148"/>
      <c r="P212" s="210">
        <v>18.14</v>
      </c>
      <c r="Q212" s="113" t="s">
        <v>90</v>
      </c>
      <c r="R212" s="113"/>
      <c r="S212" s="116"/>
      <c r="T212" s="2"/>
    </row>
    <row r="213" spans="1:20" ht="15.6" x14ac:dyDescent="0.3">
      <c r="A213" s="167"/>
      <c r="B213" s="113" t="s">
        <v>62</v>
      </c>
      <c r="C213" s="168"/>
      <c r="D213" s="148"/>
      <c r="E213" s="148"/>
      <c r="F213" s="148"/>
      <c r="G213" s="148"/>
      <c r="H213" s="148"/>
      <c r="I213" s="148"/>
      <c r="J213" s="148"/>
      <c r="K213" s="148"/>
      <c r="L213" s="148"/>
      <c r="M213" s="148"/>
      <c r="N213" s="148"/>
      <c r="O213" s="148"/>
      <c r="P213" s="142">
        <f>(+J56+L56)/H56</f>
        <v>0.2268061577064921</v>
      </c>
      <c r="Q213" s="113"/>
      <c r="R213" s="113"/>
      <c r="S213" s="116"/>
      <c r="T213" s="2"/>
    </row>
    <row r="214" spans="1:20" ht="15.6" x14ac:dyDescent="0.3">
      <c r="A214" s="167"/>
      <c r="B214" s="113" t="s">
        <v>63</v>
      </c>
      <c r="C214" s="168"/>
      <c r="D214" s="148"/>
      <c r="E214" s="148"/>
      <c r="F214" s="148"/>
      <c r="G214" s="148"/>
      <c r="H214" s="148"/>
      <c r="I214" s="148"/>
      <c r="J214" s="148"/>
      <c r="K214" s="148"/>
      <c r="L214" s="148"/>
      <c r="M214" s="148"/>
      <c r="N214" s="148"/>
      <c r="O214" s="148"/>
      <c r="P214" s="211">
        <v>0.2089</v>
      </c>
      <c r="Q214" s="113"/>
      <c r="R214" s="113"/>
      <c r="S214" s="116"/>
      <c r="T214" s="2"/>
    </row>
    <row r="215" spans="1:20" ht="15.6" x14ac:dyDescent="0.3">
      <c r="A215" s="48"/>
      <c r="B215" s="165"/>
      <c r="C215" s="165"/>
      <c r="D215" s="43"/>
      <c r="E215" s="43"/>
      <c r="F215" s="43"/>
      <c r="G215" s="43"/>
      <c r="H215" s="43"/>
      <c r="I215" s="43"/>
      <c r="J215" s="43"/>
      <c r="K215" s="43"/>
      <c r="L215" s="43"/>
      <c r="M215" s="43"/>
      <c r="N215" s="43"/>
      <c r="O215" s="43"/>
      <c r="P215" s="162"/>
      <c r="Q215" s="43"/>
      <c r="R215" s="166"/>
      <c r="S215" s="218"/>
      <c r="T215" s="2"/>
    </row>
    <row r="216" spans="1:20" ht="15.6" x14ac:dyDescent="0.3">
      <c r="A216" s="71"/>
      <c r="B216" s="61" t="s">
        <v>64</v>
      </c>
      <c r="C216" s="62"/>
      <c r="D216" s="62"/>
      <c r="E216" s="62"/>
      <c r="F216" s="62"/>
      <c r="G216" s="62"/>
      <c r="H216" s="62"/>
      <c r="I216" s="62"/>
      <c r="J216" s="62"/>
      <c r="K216" s="62"/>
      <c r="L216" s="62"/>
      <c r="M216" s="62"/>
      <c r="N216" s="62"/>
      <c r="O216" s="62" t="s">
        <v>83</v>
      </c>
      <c r="P216" s="72" t="s">
        <v>88</v>
      </c>
      <c r="Q216" s="54"/>
      <c r="R216" s="54"/>
      <c r="S216" s="220"/>
      <c r="T216" s="2"/>
    </row>
    <row r="217" spans="1:20" ht="15.6" x14ac:dyDescent="0.3">
      <c r="A217" s="52"/>
      <c r="B217" s="79" t="s">
        <v>65</v>
      </c>
      <c r="C217" s="78"/>
      <c r="D217" s="95"/>
      <c r="E217" s="95"/>
      <c r="F217" s="95"/>
      <c r="G217" s="95"/>
      <c r="H217" s="95"/>
      <c r="I217" s="95"/>
      <c r="J217" s="95"/>
      <c r="K217" s="95"/>
      <c r="L217" s="95"/>
      <c r="M217" s="95"/>
      <c r="N217" s="95"/>
      <c r="O217" s="95">
        <v>0</v>
      </c>
      <c r="P217" s="96">
        <v>0</v>
      </c>
      <c r="Q217" s="79"/>
      <c r="R217" s="94"/>
      <c r="S217" s="226"/>
      <c r="T217" s="2"/>
    </row>
    <row r="218" spans="1:20" ht="15.6" x14ac:dyDescent="0.3">
      <c r="A218" s="173"/>
      <c r="B218" s="113" t="s">
        <v>113</v>
      </c>
      <c r="C218" s="155"/>
      <c r="D218" s="123"/>
      <c r="E218" s="123"/>
      <c r="F218" s="123"/>
      <c r="G218" s="123"/>
      <c r="H218" s="123"/>
      <c r="I218" s="123"/>
      <c r="J218" s="123"/>
      <c r="K218" s="123"/>
      <c r="L218" s="123"/>
      <c r="M218" s="123"/>
      <c r="N218" s="123"/>
      <c r="O218" s="174">
        <f>+N270</f>
        <v>0</v>
      </c>
      <c r="P218" s="175">
        <f>+P270</f>
        <v>0</v>
      </c>
      <c r="Q218" s="113"/>
      <c r="R218" s="176"/>
      <c r="S218" s="177"/>
      <c r="T218" s="2"/>
    </row>
    <row r="219" spans="1:20" ht="15.6" x14ac:dyDescent="0.3">
      <c r="A219" s="173"/>
      <c r="B219" s="113" t="s">
        <v>66</v>
      </c>
      <c r="C219" s="155"/>
      <c r="D219" s="123"/>
      <c r="E219" s="123"/>
      <c r="F219" s="123"/>
      <c r="G219" s="123"/>
      <c r="H219" s="123"/>
      <c r="I219" s="123"/>
      <c r="J219" s="123"/>
      <c r="K219" s="123"/>
      <c r="L219" s="123"/>
      <c r="M219" s="123"/>
      <c r="N219" s="123"/>
      <c r="O219" s="174">
        <f>+N282</f>
        <v>0</v>
      </c>
      <c r="P219" s="175">
        <f>+P282</f>
        <v>0</v>
      </c>
      <c r="Q219" s="113"/>
      <c r="R219" s="176"/>
      <c r="S219" s="177"/>
      <c r="T219" s="2"/>
    </row>
    <row r="220" spans="1:20" ht="15.6" x14ac:dyDescent="0.3">
      <c r="A220" s="173"/>
      <c r="B220" s="134" t="s">
        <v>263</v>
      </c>
      <c r="C220" s="178"/>
      <c r="D220" s="135"/>
      <c r="E220" s="135"/>
      <c r="F220" s="135"/>
      <c r="G220" s="135"/>
      <c r="H220" s="135"/>
      <c r="I220" s="135"/>
      <c r="J220" s="135"/>
      <c r="K220" s="135"/>
      <c r="L220" s="135"/>
      <c r="M220" s="135"/>
      <c r="N220" s="135"/>
      <c r="O220" s="113"/>
      <c r="P220" s="175">
        <v>0</v>
      </c>
      <c r="Q220" s="135"/>
      <c r="R220" s="179"/>
      <c r="S220" s="177"/>
      <c r="T220" s="2"/>
    </row>
    <row r="221" spans="1:20" ht="15.6" x14ac:dyDescent="0.3">
      <c r="A221" s="173"/>
      <c r="B221" s="134" t="s">
        <v>140</v>
      </c>
      <c r="C221" s="178"/>
      <c r="D221" s="135"/>
      <c r="E221" s="135"/>
      <c r="F221" s="135"/>
      <c r="G221" s="135"/>
      <c r="H221" s="135"/>
      <c r="I221" s="135"/>
      <c r="J221" s="135"/>
      <c r="K221" s="135"/>
      <c r="L221" s="135"/>
      <c r="M221" s="135"/>
      <c r="N221" s="135"/>
      <c r="O221" s="113"/>
      <c r="P221" s="175">
        <f>-J69</f>
        <v>0</v>
      </c>
      <c r="Q221" s="135"/>
      <c r="R221" s="179"/>
      <c r="S221" s="177"/>
      <c r="T221" s="2"/>
    </row>
    <row r="222" spans="1:20" ht="15.6" x14ac:dyDescent="0.3">
      <c r="A222" s="180"/>
      <c r="B222" s="134" t="s">
        <v>67</v>
      </c>
      <c r="C222" s="181"/>
      <c r="D222" s="135"/>
      <c r="E222" s="135"/>
      <c r="F222" s="135"/>
      <c r="G222" s="135"/>
      <c r="H222" s="135"/>
      <c r="I222" s="135"/>
      <c r="J222" s="135"/>
      <c r="K222" s="135"/>
      <c r="L222" s="135"/>
      <c r="M222" s="135"/>
      <c r="N222" s="135"/>
      <c r="O222" s="113"/>
      <c r="P222" s="175"/>
      <c r="Q222" s="135"/>
      <c r="R222" s="179"/>
      <c r="S222" s="182"/>
      <c r="T222" s="2"/>
    </row>
    <row r="223" spans="1:20" ht="15.6" x14ac:dyDescent="0.3">
      <c r="A223" s="180"/>
      <c r="B223" s="118" t="s">
        <v>68</v>
      </c>
      <c r="C223" s="181"/>
      <c r="D223" s="135"/>
      <c r="E223" s="135"/>
      <c r="F223" s="135"/>
      <c r="G223" s="135"/>
      <c r="H223" s="135"/>
      <c r="I223" s="135"/>
      <c r="J223" s="135"/>
      <c r="K223" s="135"/>
      <c r="L223" s="135"/>
      <c r="M223" s="135"/>
      <c r="N223" s="135"/>
      <c r="O223" s="123"/>
      <c r="P223" s="175">
        <f>R153</f>
        <v>0</v>
      </c>
      <c r="Q223" s="135"/>
      <c r="R223" s="179"/>
      <c r="S223" s="182"/>
      <c r="T223" s="2"/>
    </row>
    <row r="224" spans="1:20" ht="15.6" x14ac:dyDescent="0.3">
      <c r="A224" s="173"/>
      <c r="B224" s="113" t="s">
        <v>69</v>
      </c>
      <c r="C224" s="178"/>
      <c r="D224" s="135"/>
      <c r="E224" s="135"/>
      <c r="F224" s="135"/>
      <c r="G224" s="135"/>
      <c r="H224" s="135"/>
      <c r="I224" s="135"/>
      <c r="J224" s="135"/>
      <c r="K224" s="135"/>
      <c r="L224" s="135"/>
      <c r="M224" s="135"/>
      <c r="N224" s="135"/>
      <c r="O224" s="123"/>
      <c r="P224" s="175">
        <f>'Aug 16'!P223+P223</f>
        <v>0</v>
      </c>
      <c r="Q224" s="135"/>
      <c r="R224" s="179"/>
      <c r="S224" s="182"/>
      <c r="T224" s="2"/>
    </row>
    <row r="225" spans="1:20" ht="15.6" x14ac:dyDescent="0.3">
      <c r="A225" s="180"/>
      <c r="B225" s="134" t="s">
        <v>151</v>
      </c>
      <c r="C225" s="181"/>
      <c r="D225" s="135"/>
      <c r="E225" s="135"/>
      <c r="F225" s="135"/>
      <c r="G225" s="135"/>
      <c r="H225" s="135"/>
      <c r="I225" s="135"/>
      <c r="J225" s="135"/>
      <c r="K225" s="135"/>
      <c r="L225" s="135"/>
      <c r="M225" s="135"/>
      <c r="N225" s="135"/>
      <c r="O225" s="123"/>
      <c r="P225" s="175"/>
      <c r="Q225" s="135"/>
      <c r="R225" s="179"/>
      <c r="S225" s="182"/>
      <c r="T225" s="2"/>
    </row>
    <row r="226" spans="1:20" ht="15.6" x14ac:dyDescent="0.3">
      <c r="A226" s="180"/>
      <c r="B226" s="113" t="s">
        <v>163</v>
      </c>
      <c r="C226" s="181"/>
      <c r="D226" s="135"/>
      <c r="E226" s="135"/>
      <c r="F226" s="135"/>
      <c r="G226" s="135"/>
      <c r="H226" s="135"/>
      <c r="I226" s="135"/>
      <c r="J226" s="135"/>
      <c r="K226" s="135"/>
      <c r="L226" s="135"/>
      <c r="M226" s="135"/>
      <c r="N226" s="135"/>
      <c r="O226" s="123">
        <v>0</v>
      </c>
      <c r="P226" s="175">
        <v>0</v>
      </c>
      <c r="Q226" s="135"/>
      <c r="R226" s="179"/>
      <c r="S226" s="182"/>
      <c r="T226" s="2"/>
    </row>
    <row r="227" spans="1:20" ht="15.6" x14ac:dyDescent="0.3">
      <c r="A227" s="173"/>
      <c r="B227" s="113" t="s">
        <v>70</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13" t="s">
        <v>71</v>
      </c>
      <c r="C228" s="183"/>
      <c r="D228" s="135"/>
      <c r="E228" s="135"/>
      <c r="F228" s="135"/>
      <c r="G228" s="135"/>
      <c r="H228" s="135"/>
      <c r="I228" s="135"/>
      <c r="J228" s="135"/>
      <c r="K228" s="135"/>
      <c r="L228" s="135"/>
      <c r="M228" s="135"/>
      <c r="N228" s="135"/>
      <c r="O228" s="113"/>
      <c r="P228" s="184">
        <v>0</v>
      </c>
      <c r="Q228" s="135"/>
      <c r="R228" s="179"/>
      <c r="S228" s="182"/>
      <c r="T228" s="2"/>
    </row>
    <row r="229" spans="1:20" ht="15.6" x14ac:dyDescent="0.3">
      <c r="A229" s="173"/>
      <c r="B229" s="134" t="s">
        <v>136</v>
      </c>
      <c r="C229" s="183"/>
      <c r="D229" s="135"/>
      <c r="E229" s="135"/>
      <c r="F229" s="135"/>
      <c r="G229" s="135"/>
      <c r="H229" s="135"/>
      <c r="I229" s="135"/>
      <c r="J229" s="135"/>
      <c r="K229" s="135"/>
      <c r="L229" s="135"/>
      <c r="M229" s="135"/>
      <c r="N229" s="135"/>
      <c r="O229" s="113"/>
      <c r="P229" s="185"/>
      <c r="Q229" s="135"/>
      <c r="R229" s="179"/>
      <c r="S229" s="182"/>
      <c r="T229" s="2"/>
    </row>
    <row r="230" spans="1:20" ht="15.6" x14ac:dyDescent="0.3">
      <c r="A230" s="173"/>
      <c r="B230" s="113" t="s">
        <v>163</v>
      </c>
      <c r="C230" s="183"/>
      <c r="D230" s="135"/>
      <c r="E230" s="135"/>
      <c r="F230" s="135"/>
      <c r="G230" s="135"/>
      <c r="H230" s="135"/>
      <c r="I230" s="135"/>
      <c r="J230" s="135"/>
      <c r="K230" s="135"/>
      <c r="L230" s="135"/>
      <c r="M230" s="135"/>
      <c r="N230" s="135"/>
      <c r="O230" s="123">
        <v>0</v>
      </c>
      <c r="P230" s="175">
        <v>0</v>
      </c>
      <c r="Q230" s="135"/>
      <c r="R230" s="179"/>
      <c r="S230" s="182"/>
      <c r="T230" s="2"/>
    </row>
    <row r="231" spans="1:20" ht="15.6" x14ac:dyDescent="0.3">
      <c r="A231" s="173"/>
      <c r="B231" s="113" t="s">
        <v>137</v>
      </c>
      <c r="C231" s="183"/>
      <c r="D231" s="135"/>
      <c r="E231" s="135"/>
      <c r="F231" s="135"/>
      <c r="G231" s="135"/>
      <c r="H231" s="135"/>
      <c r="I231" s="135"/>
      <c r="J231" s="135"/>
      <c r="K231" s="135"/>
      <c r="L231" s="135"/>
      <c r="M231" s="135"/>
      <c r="N231" s="135"/>
      <c r="O231" s="113"/>
      <c r="P231" s="184">
        <v>0</v>
      </c>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13"/>
      <c r="P232" s="185"/>
      <c r="Q232" s="135"/>
      <c r="R232" s="179"/>
      <c r="S232" s="182"/>
      <c r="T232" s="2"/>
    </row>
    <row r="233" spans="1:20" ht="15.6" x14ac:dyDescent="0.3">
      <c r="A233" s="173"/>
      <c r="B233" s="181"/>
      <c r="C233" s="183"/>
      <c r="D233" s="135"/>
      <c r="E233" s="135"/>
      <c r="F233" s="135"/>
      <c r="G233" s="135"/>
      <c r="H233" s="135"/>
      <c r="I233" s="135"/>
      <c r="J233" s="135"/>
      <c r="K233" s="135"/>
      <c r="L233" s="135"/>
      <c r="M233" s="135"/>
      <c r="N233" s="135"/>
      <c r="O233" s="135"/>
      <c r="P233" s="186"/>
      <c r="Q233" s="135"/>
      <c r="R233" s="179"/>
      <c r="S233" s="182"/>
      <c r="T233" s="2"/>
    </row>
    <row r="234" spans="1:20" ht="17.399999999999999" x14ac:dyDescent="0.3">
      <c r="A234" s="173"/>
      <c r="B234" s="187" t="s">
        <v>129</v>
      </c>
      <c r="C234" s="183"/>
      <c r="D234" s="135"/>
      <c r="E234" s="135"/>
      <c r="F234" s="135"/>
      <c r="G234" s="135"/>
      <c r="H234" s="135"/>
      <c r="I234" s="135"/>
      <c r="J234" s="135"/>
      <c r="K234" s="135"/>
      <c r="L234" s="188"/>
      <c r="M234" s="135"/>
      <c r="N234" s="188" t="s">
        <v>128</v>
      </c>
      <c r="O234" s="188"/>
      <c r="P234" s="186"/>
      <c r="Q234" s="135"/>
      <c r="R234" s="179"/>
      <c r="S234" s="182"/>
      <c r="T234" s="2"/>
    </row>
    <row r="235" spans="1:20" ht="17.399999999999999" x14ac:dyDescent="0.3">
      <c r="A235" s="170"/>
      <c r="B235" s="200"/>
      <c r="C235" s="171"/>
      <c r="D235" s="43"/>
      <c r="E235" s="43"/>
      <c r="F235" s="43"/>
      <c r="G235" s="43"/>
      <c r="H235" s="43"/>
      <c r="I235" s="43"/>
      <c r="J235" s="43"/>
      <c r="K235" s="43"/>
      <c r="L235" s="201"/>
      <c r="M235" s="43"/>
      <c r="N235" s="43"/>
      <c r="O235" s="43"/>
      <c r="P235" s="172"/>
      <c r="Q235" s="43"/>
      <c r="R235" s="166"/>
      <c r="S235" s="227"/>
      <c r="T235" s="2"/>
    </row>
    <row r="236" spans="1:20" ht="15.6" x14ac:dyDescent="0.3">
      <c r="A236" s="53"/>
      <c r="B236" s="61" t="s">
        <v>153</v>
      </c>
      <c r="C236" s="62"/>
      <c r="D236" s="62"/>
      <c r="E236" s="62"/>
      <c r="F236" s="62"/>
      <c r="G236" s="62"/>
      <c r="H236" s="62"/>
      <c r="I236" s="62"/>
      <c r="J236" s="62"/>
      <c r="K236" s="62"/>
      <c r="L236" s="62"/>
      <c r="M236" s="62"/>
      <c r="N236" s="72" t="s">
        <v>83</v>
      </c>
      <c r="O236" s="62" t="s">
        <v>84</v>
      </c>
      <c r="P236" s="72" t="s">
        <v>89</v>
      </c>
      <c r="Q236" s="62" t="s">
        <v>84</v>
      </c>
      <c r="R236" s="54"/>
      <c r="S236" s="228"/>
      <c r="T236" s="2"/>
    </row>
    <row r="237" spans="1:20" ht="15.6" x14ac:dyDescent="0.3">
      <c r="A237" s="24"/>
      <c r="B237" s="78" t="s">
        <v>72</v>
      </c>
      <c r="C237" s="93"/>
      <c r="D237" s="93"/>
      <c r="E237" s="93"/>
      <c r="F237" s="93"/>
      <c r="G237" s="93"/>
      <c r="H237" s="93"/>
      <c r="I237" s="93"/>
      <c r="J237" s="93"/>
      <c r="K237" s="93"/>
      <c r="L237" s="93"/>
      <c r="M237" s="93"/>
      <c r="N237" s="78">
        <f t="shared" ref="N237:N244" si="1">+N249+N261+N273</f>
        <v>1010</v>
      </c>
      <c r="O237" s="81">
        <f>N237/$N$246</f>
        <v>0.9990108803165183</v>
      </c>
      <c r="P237" s="82">
        <f t="shared" ref="P237:P244" si="2">+P249+P261+P273</f>
        <v>152710</v>
      </c>
      <c r="Q237" s="81">
        <f t="shared" ref="Q237:Q244" si="3">P237/$P$246</f>
        <v>0.99912328910523152</v>
      </c>
      <c r="R237" s="94"/>
      <c r="S237" s="229"/>
      <c r="T237" s="2"/>
    </row>
    <row r="238" spans="1:20" ht="15.6" x14ac:dyDescent="0.3">
      <c r="A238" s="112"/>
      <c r="B238" s="155" t="s">
        <v>73</v>
      </c>
      <c r="C238" s="192"/>
      <c r="D238" s="192"/>
      <c r="E238" s="192"/>
      <c r="F238" s="192"/>
      <c r="G238" s="192"/>
      <c r="H238" s="192"/>
      <c r="I238" s="192"/>
      <c r="J238" s="192"/>
      <c r="K238" s="192"/>
      <c r="L238" s="192"/>
      <c r="M238" s="192"/>
      <c r="N238" s="155">
        <f t="shared" si="1"/>
        <v>0</v>
      </c>
      <c r="O238" s="193">
        <f t="shared" ref="O238:O244" si="4">N238/$N$246</f>
        <v>0</v>
      </c>
      <c r="P238" s="156">
        <f t="shared" si="2"/>
        <v>0</v>
      </c>
      <c r="Q238" s="193">
        <f t="shared" si="3"/>
        <v>0</v>
      </c>
      <c r="R238" s="176"/>
      <c r="S238" s="194"/>
      <c r="T238" s="2"/>
    </row>
    <row r="239" spans="1:20" ht="15.6" x14ac:dyDescent="0.3">
      <c r="A239" s="112"/>
      <c r="B239" s="155" t="s">
        <v>74</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119</v>
      </c>
      <c r="C240" s="192"/>
      <c r="D240" s="192"/>
      <c r="E240" s="192"/>
      <c r="F240" s="192"/>
      <c r="G240" s="192"/>
      <c r="H240" s="192"/>
      <c r="I240" s="192"/>
      <c r="J240" s="192"/>
      <c r="K240" s="192"/>
      <c r="L240" s="192"/>
      <c r="M240" s="192"/>
      <c r="N240" s="155">
        <f t="shared" si="1"/>
        <v>1</v>
      </c>
      <c r="O240" s="193">
        <f t="shared" si="4"/>
        <v>9.8911968348170125E-4</v>
      </c>
      <c r="P240" s="156">
        <f t="shared" si="2"/>
        <v>134</v>
      </c>
      <c r="Q240" s="193">
        <f t="shared" si="3"/>
        <v>8.7671089476852213E-4</v>
      </c>
      <c r="R240" s="176"/>
      <c r="S240" s="194"/>
      <c r="T240" s="2"/>
    </row>
    <row r="241" spans="1:21" ht="15.6" x14ac:dyDescent="0.3">
      <c r="A241" s="112"/>
      <c r="B241" s="155" t="s">
        <v>120</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121</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122</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t="s">
        <v>123</v>
      </c>
      <c r="C244" s="192"/>
      <c r="D244" s="192"/>
      <c r="E244" s="192"/>
      <c r="F244" s="192"/>
      <c r="G244" s="192"/>
      <c r="H244" s="192"/>
      <c r="I244" s="192"/>
      <c r="J244" s="192"/>
      <c r="K244" s="192"/>
      <c r="L244" s="192"/>
      <c r="M244" s="192"/>
      <c r="N244" s="155">
        <f t="shared" si="1"/>
        <v>0</v>
      </c>
      <c r="O244" s="193">
        <f t="shared" si="4"/>
        <v>0</v>
      </c>
      <c r="P244" s="156">
        <f t="shared" si="2"/>
        <v>0</v>
      </c>
      <c r="Q244" s="193">
        <f t="shared" si="3"/>
        <v>0</v>
      </c>
      <c r="R244" s="176"/>
      <c r="S244" s="194"/>
      <c r="T244" s="2"/>
    </row>
    <row r="245" spans="1:21" ht="15.6" x14ac:dyDescent="0.3">
      <c r="A245" s="112"/>
      <c r="B245" s="155"/>
      <c r="C245" s="192"/>
      <c r="D245" s="192"/>
      <c r="E245" s="192"/>
      <c r="F245" s="192"/>
      <c r="G245" s="192"/>
      <c r="H245" s="192"/>
      <c r="I245" s="192"/>
      <c r="J245" s="192"/>
      <c r="K245" s="192"/>
      <c r="L245" s="192"/>
      <c r="M245" s="192"/>
      <c r="N245" s="155"/>
      <c r="O245" s="193"/>
      <c r="P245" s="156"/>
      <c r="Q245" s="193"/>
      <c r="R245" s="176"/>
      <c r="S245" s="194"/>
      <c r="T245" s="2"/>
    </row>
    <row r="246" spans="1:21" ht="15.6" x14ac:dyDescent="0.3">
      <c r="A246" s="112"/>
      <c r="B246" s="113" t="s">
        <v>94</v>
      </c>
      <c r="C246" s="113"/>
      <c r="D246" s="195"/>
      <c r="E246" s="195"/>
      <c r="F246" s="195"/>
      <c r="G246" s="195"/>
      <c r="H246" s="195"/>
      <c r="I246" s="195"/>
      <c r="J246" s="195"/>
      <c r="K246" s="195"/>
      <c r="L246" s="195"/>
      <c r="M246" s="195"/>
      <c r="N246" s="155">
        <f>SUM(N237:N245)</f>
        <v>1011</v>
      </c>
      <c r="O246" s="193">
        <f>SUM(O237:O245)</f>
        <v>1</v>
      </c>
      <c r="P246" s="156">
        <f>SUM(P237:P245)</f>
        <v>152844</v>
      </c>
      <c r="Q246" s="193">
        <f>SUM(Q237:Q245)</f>
        <v>1</v>
      </c>
      <c r="R246" s="113"/>
      <c r="S246" s="116"/>
      <c r="T246" s="2"/>
    </row>
    <row r="247" spans="1:21" ht="15.6" x14ac:dyDescent="0.3">
      <c r="A247" s="12"/>
      <c r="B247" s="165"/>
      <c r="C247" s="171"/>
      <c r="D247" s="43"/>
      <c r="E247" s="43"/>
      <c r="F247" s="43"/>
      <c r="G247" s="43"/>
      <c r="H247" s="43"/>
      <c r="I247" s="43"/>
      <c r="J247" s="43"/>
      <c r="K247" s="43"/>
      <c r="L247" s="43"/>
      <c r="M247" s="43"/>
      <c r="N247" s="43"/>
      <c r="O247" s="43"/>
      <c r="P247" s="172"/>
      <c r="Q247" s="43"/>
      <c r="R247" s="43"/>
      <c r="S247" s="218"/>
      <c r="T247" s="2"/>
    </row>
    <row r="248" spans="1:21" ht="15.6" x14ac:dyDescent="0.3">
      <c r="A248" s="53"/>
      <c r="B248" s="61" t="s">
        <v>124</v>
      </c>
      <c r="C248" s="62"/>
      <c r="D248" s="62"/>
      <c r="E248" s="62"/>
      <c r="F248" s="62"/>
      <c r="G248" s="62"/>
      <c r="H248" s="62"/>
      <c r="I248" s="62"/>
      <c r="J248" s="62"/>
      <c r="K248" s="62"/>
      <c r="L248" s="62"/>
      <c r="M248" s="62"/>
      <c r="N248" s="72" t="s">
        <v>83</v>
      </c>
      <c r="O248" s="62" t="s">
        <v>84</v>
      </c>
      <c r="P248" s="72" t="s">
        <v>89</v>
      </c>
      <c r="Q248" s="62" t="s">
        <v>84</v>
      </c>
      <c r="R248" s="54"/>
      <c r="S248" s="228"/>
      <c r="T248" s="2"/>
    </row>
    <row r="249" spans="1:21" ht="15.6" x14ac:dyDescent="0.3">
      <c r="A249" s="24"/>
      <c r="B249" s="78" t="s">
        <v>72</v>
      </c>
      <c r="C249" s="93"/>
      <c r="D249" s="93"/>
      <c r="E249" s="93"/>
      <c r="F249" s="93"/>
      <c r="G249" s="93"/>
      <c r="H249" s="93"/>
      <c r="I249" s="93"/>
      <c r="J249" s="93"/>
      <c r="K249" s="93"/>
      <c r="L249" s="93"/>
      <c r="M249" s="93"/>
      <c r="N249" s="78">
        <v>1010</v>
      </c>
      <c r="O249" s="81">
        <f>N249/$N$258</f>
        <v>0.9990108803165183</v>
      </c>
      <c r="P249" s="82">
        <v>152710</v>
      </c>
      <c r="Q249" s="81">
        <f t="shared" ref="Q249:Q256" si="5">P249/$P$258</f>
        <v>0.99912328910523152</v>
      </c>
      <c r="R249" s="94"/>
      <c r="S249" s="229"/>
      <c r="T249" s="2"/>
    </row>
    <row r="250" spans="1:21" ht="15.6" x14ac:dyDescent="0.3">
      <c r="A250" s="112"/>
      <c r="B250" s="155" t="s">
        <v>73</v>
      </c>
      <c r="C250" s="192"/>
      <c r="D250" s="192"/>
      <c r="E250" s="192"/>
      <c r="F250" s="192"/>
      <c r="G250" s="192"/>
      <c r="H250" s="192"/>
      <c r="I250" s="192"/>
      <c r="J250" s="192"/>
      <c r="K250" s="192"/>
      <c r="L250" s="192"/>
      <c r="M250" s="192"/>
      <c r="N250" s="155">
        <v>0</v>
      </c>
      <c r="O250" s="193">
        <f t="shared" ref="O250:O256" si="6">N250/$N$258</f>
        <v>0</v>
      </c>
      <c r="P250" s="156">
        <v>0</v>
      </c>
      <c r="Q250" s="193">
        <f t="shared" si="5"/>
        <v>0</v>
      </c>
      <c r="R250" s="176"/>
      <c r="S250" s="194"/>
      <c r="T250" s="2"/>
      <c r="U250" s="4"/>
    </row>
    <row r="251" spans="1:21" ht="15.6" x14ac:dyDescent="0.3">
      <c r="A251" s="112"/>
      <c r="B251" s="155" t="s">
        <v>74</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row>
    <row r="252" spans="1:21" ht="15.6" x14ac:dyDescent="0.3">
      <c r="A252" s="112"/>
      <c r="B252" s="155" t="s">
        <v>119</v>
      </c>
      <c r="C252" s="192"/>
      <c r="D252" s="192"/>
      <c r="E252" s="192"/>
      <c r="F252" s="192"/>
      <c r="G252" s="192"/>
      <c r="H252" s="192"/>
      <c r="I252" s="192"/>
      <c r="J252" s="192"/>
      <c r="K252" s="192"/>
      <c r="L252" s="192"/>
      <c r="M252" s="192"/>
      <c r="N252" s="155">
        <v>1</v>
      </c>
      <c r="O252" s="193">
        <f t="shared" si="6"/>
        <v>9.8911968348170125E-4</v>
      </c>
      <c r="P252" s="156">
        <v>134</v>
      </c>
      <c r="Q252" s="193">
        <f t="shared" si="5"/>
        <v>8.7671089476852213E-4</v>
      </c>
      <c r="R252" s="176"/>
      <c r="S252" s="194"/>
      <c r="T252" s="2"/>
      <c r="U252" s="4"/>
    </row>
    <row r="253" spans="1:21" ht="15.6" x14ac:dyDescent="0.3">
      <c r="A253" s="112"/>
      <c r="B253" s="155" t="s">
        <v>120</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row>
    <row r="254" spans="1:21" ht="15.6" x14ac:dyDescent="0.3">
      <c r="A254" s="112"/>
      <c r="B254" s="155" t="s">
        <v>121</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c r="U254" s="4"/>
    </row>
    <row r="255" spans="1:21" ht="15.6" x14ac:dyDescent="0.3">
      <c r="A255" s="112"/>
      <c r="B255" s="155" t="s">
        <v>122</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row>
    <row r="256" spans="1:21" ht="15.6" x14ac:dyDescent="0.3">
      <c r="A256" s="112"/>
      <c r="B256" s="155" t="s">
        <v>123</v>
      </c>
      <c r="C256" s="192"/>
      <c r="D256" s="192"/>
      <c r="E256" s="192"/>
      <c r="F256" s="192"/>
      <c r="G256" s="192"/>
      <c r="H256" s="192"/>
      <c r="I256" s="192"/>
      <c r="J256" s="192"/>
      <c r="K256" s="192"/>
      <c r="L256" s="192"/>
      <c r="M256" s="192"/>
      <c r="N256" s="155">
        <v>0</v>
      </c>
      <c r="O256" s="193">
        <f t="shared" si="6"/>
        <v>0</v>
      </c>
      <c r="P256" s="156">
        <v>0</v>
      </c>
      <c r="Q256" s="193">
        <f t="shared" si="5"/>
        <v>0</v>
      </c>
      <c r="R256" s="176"/>
      <c r="S256" s="194"/>
      <c r="T256" s="2"/>
      <c r="U256" s="4"/>
    </row>
    <row r="257" spans="1:20" ht="15.6" x14ac:dyDescent="0.3">
      <c r="A257" s="112"/>
      <c r="B257" s="155"/>
      <c r="C257" s="192"/>
      <c r="D257" s="192"/>
      <c r="E257" s="192"/>
      <c r="F257" s="192"/>
      <c r="G257" s="192"/>
      <c r="H257" s="192"/>
      <c r="I257" s="192"/>
      <c r="J257" s="192"/>
      <c r="K257" s="192"/>
      <c r="L257" s="192"/>
      <c r="M257" s="192"/>
      <c r="N257" s="155"/>
      <c r="O257" s="193"/>
      <c r="P257" s="156"/>
      <c r="Q257" s="193"/>
      <c r="R257" s="176"/>
      <c r="S257" s="194"/>
      <c r="T257" s="2"/>
    </row>
    <row r="258" spans="1:20" ht="15.6" x14ac:dyDescent="0.3">
      <c r="A258" s="112"/>
      <c r="B258" s="113" t="s">
        <v>94</v>
      </c>
      <c r="C258" s="113"/>
      <c r="D258" s="195"/>
      <c r="E258" s="195"/>
      <c r="F258" s="195"/>
      <c r="G258" s="195"/>
      <c r="H258" s="195"/>
      <c r="I258" s="195"/>
      <c r="J258" s="195"/>
      <c r="K258" s="195"/>
      <c r="L258" s="195"/>
      <c r="M258" s="195"/>
      <c r="N258" s="155">
        <f>SUM(N249:N257)</f>
        <v>1011</v>
      </c>
      <c r="O258" s="193">
        <f>SUM(O249:O257)</f>
        <v>1</v>
      </c>
      <c r="P258" s="156">
        <f>SUM(P249:P257)</f>
        <v>152844</v>
      </c>
      <c r="Q258" s="193">
        <f>SUM(Q249:Q257)</f>
        <v>1</v>
      </c>
      <c r="R258" s="113"/>
      <c r="S258" s="116"/>
      <c r="T258" s="2"/>
    </row>
    <row r="259" spans="1:20" ht="15.6" x14ac:dyDescent="0.3">
      <c r="A259" s="12"/>
      <c r="B259" s="43"/>
      <c r="C259" s="43"/>
      <c r="D259" s="189"/>
      <c r="E259" s="189"/>
      <c r="F259" s="189"/>
      <c r="G259" s="189"/>
      <c r="H259" s="189"/>
      <c r="I259" s="189"/>
      <c r="J259" s="189"/>
      <c r="K259" s="189"/>
      <c r="L259" s="189"/>
      <c r="M259" s="189"/>
      <c r="N259" s="153"/>
      <c r="O259" s="190"/>
      <c r="P259" s="191"/>
      <c r="Q259" s="190"/>
      <c r="R259" s="43"/>
      <c r="S259" s="218"/>
      <c r="T259" s="2"/>
    </row>
    <row r="260" spans="1:20" ht="15.6" x14ac:dyDescent="0.3">
      <c r="A260" s="73"/>
      <c r="B260" s="61" t="s">
        <v>146</v>
      </c>
      <c r="C260" s="62"/>
      <c r="D260" s="62"/>
      <c r="E260" s="62"/>
      <c r="F260" s="62"/>
      <c r="G260" s="62"/>
      <c r="H260" s="62"/>
      <c r="I260" s="62"/>
      <c r="J260" s="62"/>
      <c r="K260" s="62"/>
      <c r="L260" s="62"/>
      <c r="M260" s="62"/>
      <c r="N260" s="72" t="s">
        <v>83</v>
      </c>
      <c r="O260" s="62" t="s">
        <v>84</v>
      </c>
      <c r="P260" s="72" t="s">
        <v>89</v>
      </c>
      <c r="Q260" s="62" t="s">
        <v>84</v>
      </c>
      <c r="R260" s="74"/>
      <c r="S260" s="75"/>
      <c r="T260" s="2"/>
    </row>
    <row r="261" spans="1:20" ht="15.6" x14ac:dyDescent="0.3">
      <c r="A261" s="24"/>
      <c r="B261" s="78" t="s">
        <v>72</v>
      </c>
      <c r="C261" s="93"/>
      <c r="D261" s="93"/>
      <c r="E261" s="93"/>
      <c r="F261" s="93"/>
      <c r="G261" s="93"/>
      <c r="H261" s="93"/>
      <c r="I261" s="93"/>
      <c r="J261" s="93"/>
      <c r="K261" s="93"/>
      <c r="L261" s="93"/>
      <c r="M261" s="93"/>
      <c r="N261" s="78">
        <v>0</v>
      </c>
      <c r="O261" s="81">
        <v>0</v>
      </c>
      <c r="P261" s="82">
        <v>0</v>
      </c>
      <c r="Q261" s="81">
        <v>0</v>
      </c>
      <c r="R261" s="79"/>
      <c r="S261" s="221"/>
      <c r="T261" s="2"/>
    </row>
    <row r="262" spans="1:20" ht="15.6" x14ac:dyDescent="0.3">
      <c r="A262" s="112"/>
      <c r="B262" s="155" t="s">
        <v>73</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74</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119</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120</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121</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122</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t="s">
        <v>123</v>
      </c>
      <c r="C268" s="192"/>
      <c r="D268" s="192"/>
      <c r="E268" s="192"/>
      <c r="F268" s="192"/>
      <c r="G268" s="192"/>
      <c r="H268" s="192"/>
      <c r="I268" s="192"/>
      <c r="J268" s="192"/>
      <c r="K268" s="192"/>
      <c r="L268" s="192"/>
      <c r="M268" s="192"/>
      <c r="N268" s="155">
        <v>0</v>
      </c>
      <c r="O268" s="193">
        <v>0</v>
      </c>
      <c r="P268" s="156">
        <v>0</v>
      </c>
      <c r="Q268" s="193">
        <v>0</v>
      </c>
      <c r="R268" s="113"/>
      <c r="S268" s="116"/>
      <c r="T268" s="2"/>
    </row>
    <row r="269" spans="1:20" ht="15.6" x14ac:dyDescent="0.3">
      <c r="A269" s="112"/>
      <c r="B269" s="155"/>
      <c r="C269" s="192"/>
      <c r="D269" s="192"/>
      <c r="E269" s="192"/>
      <c r="F269" s="192"/>
      <c r="G269" s="192"/>
      <c r="H269" s="192"/>
      <c r="I269" s="192"/>
      <c r="J269" s="192"/>
      <c r="K269" s="192"/>
      <c r="L269" s="192"/>
      <c r="M269" s="192"/>
      <c r="N269" s="155"/>
      <c r="O269" s="193"/>
      <c r="P269" s="156"/>
      <c r="Q269" s="193"/>
      <c r="R269" s="113"/>
      <c r="S269" s="116"/>
      <c r="T269" s="2"/>
    </row>
    <row r="270" spans="1:20" ht="15.6" x14ac:dyDescent="0.3">
      <c r="A270" s="112"/>
      <c r="B270" s="113" t="s">
        <v>94</v>
      </c>
      <c r="C270" s="113"/>
      <c r="D270" s="195"/>
      <c r="E270" s="195"/>
      <c r="F270" s="195"/>
      <c r="G270" s="195"/>
      <c r="H270" s="195"/>
      <c r="I270" s="195"/>
      <c r="J270" s="195"/>
      <c r="K270" s="195"/>
      <c r="L270" s="195"/>
      <c r="M270" s="195"/>
      <c r="N270" s="155">
        <f>SUM(N261:N269)</f>
        <v>0</v>
      </c>
      <c r="O270" s="193">
        <f>SUM(O261:O269)</f>
        <v>0</v>
      </c>
      <c r="P270" s="156">
        <f>SUM(P261:P269)</f>
        <v>0</v>
      </c>
      <c r="Q270" s="193">
        <f>SUM(Q261:Q269)</f>
        <v>0</v>
      </c>
      <c r="R270" s="113"/>
      <c r="S270" s="116"/>
      <c r="T270" s="2"/>
    </row>
    <row r="271" spans="1:20" ht="15.6" x14ac:dyDescent="0.3">
      <c r="A271" s="12"/>
      <c r="B271" s="43"/>
      <c r="C271" s="43"/>
      <c r="D271" s="189"/>
      <c r="E271" s="189"/>
      <c r="F271" s="189"/>
      <c r="G271" s="189"/>
      <c r="H271" s="189"/>
      <c r="I271" s="189"/>
      <c r="J271" s="189"/>
      <c r="K271" s="189"/>
      <c r="L271" s="189"/>
      <c r="M271" s="189"/>
      <c r="N271" s="153"/>
      <c r="O271" s="190"/>
      <c r="P271" s="191"/>
      <c r="Q271" s="190"/>
      <c r="R271" s="43"/>
      <c r="S271" s="218"/>
      <c r="T271" s="2"/>
    </row>
    <row r="272" spans="1:20" ht="15.6" x14ac:dyDescent="0.3">
      <c r="A272" s="73"/>
      <c r="B272" s="61" t="s">
        <v>125</v>
      </c>
      <c r="C272" s="74"/>
      <c r="D272" s="76"/>
      <c r="E272" s="76"/>
      <c r="F272" s="76"/>
      <c r="G272" s="76"/>
      <c r="H272" s="76"/>
      <c r="I272" s="76"/>
      <c r="J272" s="76"/>
      <c r="K272" s="76"/>
      <c r="L272" s="76"/>
      <c r="M272" s="76"/>
      <c r="N272" s="72" t="s">
        <v>83</v>
      </c>
      <c r="O272" s="62" t="s">
        <v>84</v>
      </c>
      <c r="P272" s="72" t="s">
        <v>89</v>
      </c>
      <c r="Q272" s="62" t="s">
        <v>84</v>
      </c>
      <c r="R272" s="74"/>
      <c r="S272" s="75"/>
      <c r="T272" s="2"/>
    </row>
    <row r="273" spans="1:20" ht="15.6" x14ac:dyDescent="0.3">
      <c r="A273" s="77"/>
      <c r="B273" s="78" t="s">
        <v>72</v>
      </c>
      <c r="C273" s="79"/>
      <c r="D273" s="80"/>
      <c r="E273" s="80"/>
      <c r="F273" s="80"/>
      <c r="G273" s="80"/>
      <c r="H273" s="80"/>
      <c r="I273" s="80"/>
      <c r="J273" s="80"/>
      <c r="K273" s="80"/>
      <c r="L273" s="80"/>
      <c r="M273" s="80"/>
      <c r="N273" s="78">
        <v>0</v>
      </c>
      <c r="O273" s="81">
        <v>0</v>
      </c>
      <c r="P273" s="82">
        <v>0</v>
      </c>
      <c r="Q273" s="81">
        <v>0</v>
      </c>
      <c r="R273" s="79"/>
      <c r="S273" s="221"/>
      <c r="T273" s="2"/>
    </row>
    <row r="274" spans="1:20" ht="15.6" x14ac:dyDescent="0.3">
      <c r="A274" s="122"/>
      <c r="B274" s="155" t="s">
        <v>73</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74</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119</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120</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121</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122</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t="s">
        <v>123</v>
      </c>
      <c r="C280" s="113"/>
      <c r="D280" s="195"/>
      <c r="E280" s="195"/>
      <c r="F280" s="195"/>
      <c r="G280" s="195"/>
      <c r="H280" s="195"/>
      <c r="I280" s="195"/>
      <c r="J280" s="195"/>
      <c r="K280" s="195"/>
      <c r="L280" s="195"/>
      <c r="M280" s="195"/>
      <c r="N280" s="155">
        <v>0</v>
      </c>
      <c r="O280" s="193">
        <v>0</v>
      </c>
      <c r="P280" s="156">
        <v>0</v>
      </c>
      <c r="Q280" s="193">
        <v>0</v>
      </c>
      <c r="R280" s="113"/>
      <c r="S280" s="116"/>
      <c r="T280" s="2"/>
    </row>
    <row r="281" spans="1:20" ht="15.6" x14ac:dyDescent="0.3">
      <c r="A281" s="122"/>
      <c r="B281" s="155"/>
      <c r="C281" s="113"/>
      <c r="D281" s="195"/>
      <c r="E281" s="195"/>
      <c r="F281" s="195"/>
      <c r="G281" s="195"/>
      <c r="H281" s="195"/>
      <c r="I281" s="195"/>
      <c r="J281" s="195"/>
      <c r="K281" s="195"/>
      <c r="L281" s="195"/>
      <c r="M281" s="195"/>
      <c r="N281" s="155"/>
      <c r="O281" s="193"/>
      <c r="P281" s="156"/>
      <c r="Q281" s="193"/>
      <c r="R281" s="113"/>
      <c r="S281" s="116"/>
      <c r="T281" s="2"/>
    </row>
    <row r="282" spans="1:20" ht="15.6" x14ac:dyDescent="0.3">
      <c r="A282" s="122"/>
      <c r="B282" s="113" t="s">
        <v>94</v>
      </c>
      <c r="C282" s="113"/>
      <c r="D282" s="195"/>
      <c r="E282" s="195"/>
      <c r="F282" s="195"/>
      <c r="G282" s="195"/>
      <c r="H282" s="195"/>
      <c r="I282" s="195"/>
      <c r="J282" s="195"/>
      <c r="K282" s="195"/>
      <c r="L282" s="195"/>
      <c r="M282" s="195"/>
      <c r="N282" s="155">
        <f>SUM(N273:N280)</f>
        <v>0</v>
      </c>
      <c r="O282" s="193">
        <f>SUM(O273:O280)</f>
        <v>0</v>
      </c>
      <c r="P282" s="156">
        <f>SUM(P273:P280)</f>
        <v>0</v>
      </c>
      <c r="Q282" s="193">
        <f>SUM(Q273:Q280)</f>
        <v>0</v>
      </c>
      <c r="R282" s="113"/>
      <c r="S282" s="116"/>
      <c r="T282" s="2"/>
    </row>
    <row r="283" spans="1:20" ht="15.6" x14ac:dyDescent="0.3">
      <c r="A283" s="122"/>
      <c r="B283" s="113"/>
      <c r="C283" s="113"/>
      <c r="D283" s="195"/>
      <c r="E283" s="195"/>
      <c r="F283" s="195"/>
      <c r="G283" s="195"/>
      <c r="H283" s="195"/>
      <c r="I283" s="195"/>
      <c r="J283" s="195"/>
      <c r="K283" s="195"/>
      <c r="L283" s="195"/>
      <c r="M283" s="195"/>
      <c r="N283" s="155"/>
      <c r="O283" s="193"/>
      <c r="P283" s="156"/>
      <c r="Q283" s="193"/>
      <c r="R283" s="113"/>
      <c r="S283" s="116"/>
      <c r="T283" s="2"/>
    </row>
    <row r="284" spans="1:20" ht="15.6" x14ac:dyDescent="0.3">
      <c r="A284" s="122"/>
      <c r="B284" s="124" t="s">
        <v>182</v>
      </c>
      <c r="C284" s="113"/>
      <c r="D284" s="195"/>
      <c r="E284" s="195"/>
      <c r="F284" s="195"/>
      <c r="G284" s="195"/>
      <c r="H284" s="195"/>
      <c r="I284" s="195"/>
      <c r="J284" s="195"/>
      <c r="K284" s="195"/>
      <c r="L284" s="195"/>
      <c r="M284" s="195"/>
      <c r="N284" s="197">
        <f>N282+N270+N258</f>
        <v>1011</v>
      </c>
      <c r="O284" s="193"/>
      <c r="P284" s="198">
        <f>+P282+P270+P258</f>
        <v>152844</v>
      </c>
      <c r="Q284" s="193"/>
      <c r="R284" s="113"/>
      <c r="S284" s="116"/>
      <c r="T284" s="2"/>
    </row>
    <row r="285" spans="1:20" ht="15.6" x14ac:dyDescent="0.3">
      <c r="A285" s="122"/>
      <c r="B285" s="124" t="s">
        <v>247</v>
      </c>
      <c r="C285" s="124"/>
      <c r="D285" s="206"/>
      <c r="E285" s="206"/>
      <c r="F285" s="206"/>
      <c r="G285" s="206"/>
      <c r="H285" s="206"/>
      <c r="I285" s="206"/>
      <c r="J285" s="206"/>
      <c r="K285" s="206"/>
      <c r="L285" s="206"/>
      <c r="M285" s="206"/>
      <c r="N285" s="197"/>
      <c r="O285" s="207"/>
      <c r="P285" s="208">
        <f>+R171</f>
        <v>0</v>
      </c>
      <c r="Q285" s="193"/>
      <c r="R285" s="113"/>
      <c r="S285" s="116"/>
      <c r="T285" s="2"/>
    </row>
    <row r="286" spans="1:20" ht="15.6" x14ac:dyDescent="0.3">
      <c r="A286" s="122"/>
      <c r="B286" s="124" t="s">
        <v>126</v>
      </c>
      <c r="C286" s="124"/>
      <c r="D286" s="206"/>
      <c r="E286" s="206"/>
      <c r="F286" s="206"/>
      <c r="G286" s="206"/>
      <c r="H286" s="206"/>
      <c r="I286" s="206"/>
      <c r="J286" s="206"/>
      <c r="K286" s="206"/>
      <c r="L286" s="206"/>
      <c r="M286" s="206"/>
      <c r="N286" s="197"/>
      <c r="O286" s="207"/>
      <c r="P286" s="208">
        <f>+P284+P285</f>
        <v>152844</v>
      </c>
      <c r="Q286" s="193"/>
      <c r="R286" s="113"/>
      <c r="S286" s="116"/>
      <c r="T286" s="2"/>
    </row>
    <row r="287" spans="1:20" ht="15.6" x14ac:dyDescent="0.3">
      <c r="A287" s="122"/>
      <c r="B287" s="124" t="s">
        <v>181</v>
      </c>
      <c r="C287" s="113"/>
      <c r="D287" s="195"/>
      <c r="E287" s="195"/>
      <c r="F287" s="195"/>
      <c r="G287" s="195"/>
      <c r="H287" s="195"/>
      <c r="I287" s="195"/>
      <c r="J287" s="195"/>
      <c r="K287" s="195"/>
      <c r="L287" s="195"/>
      <c r="M287" s="195"/>
      <c r="N287" s="197"/>
      <c r="O287" s="193"/>
      <c r="P287" s="198">
        <f>+R72</f>
        <v>152844</v>
      </c>
      <c r="Q287" s="193"/>
      <c r="R287" s="113"/>
      <c r="S287" s="116"/>
      <c r="T287" s="2"/>
    </row>
    <row r="288" spans="1:20" ht="15.6" x14ac:dyDescent="0.3">
      <c r="A288" s="122"/>
      <c r="B288" s="124"/>
      <c r="C288" s="113"/>
      <c r="D288" s="195"/>
      <c r="E288" s="195"/>
      <c r="F288" s="195"/>
      <c r="G288" s="195"/>
      <c r="H288" s="195"/>
      <c r="I288" s="195"/>
      <c r="J288" s="195"/>
      <c r="K288" s="195"/>
      <c r="L288" s="195"/>
      <c r="M288" s="195"/>
      <c r="N288" s="197"/>
      <c r="O288" s="193"/>
      <c r="P288" s="198"/>
      <c r="Q288" s="193"/>
      <c r="R288" s="113"/>
      <c r="S288" s="116"/>
      <c r="T288" s="2"/>
    </row>
    <row r="289" spans="1:20" ht="15.6" x14ac:dyDescent="0.3">
      <c r="A289" s="122"/>
      <c r="B289" s="124" t="s">
        <v>221</v>
      </c>
      <c r="C289" s="113"/>
      <c r="D289" s="195"/>
      <c r="E289" s="195"/>
      <c r="F289" s="195"/>
      <c r="G289" s="195"/>
      <c r="H289" s="195"/>
      <c r="I289" s="195"/>
      <c r="J289" s="195"/>
      <c r="K289" s="195"/>
      <c r="L289" s="195"/>
      <c r="M289" s="195"/>
      <c r="N289" s="197"/>
      <c r="O289" s="193"/>
      <c r="P289" s="215">
        <f>(J30+R138)/R30</f>
        <v>8.2109716831634802E-2</v>
      </c>
      <c r="Q289" s="193"/>
      <c r="R289" s="113"/>
      <c r="S289" s="116"/>
      <c r="T289" s="2"/>
    </row>
    <row r="290" spans="1:20" ht="15.6" x14ac:dyDescent="0.3">
      <c r="A290" s="83"/>
      <c r="B290" s="84"/>
      <c r="C290" s="84"/>
      <c r="D290" s="85"/>
      <c r="E290" s="85"/>
      <c r="F290" s="85"/>
      <c r="G290" s="85"/>
      <c r="H290" s="85"/>
      <c r="I290" s="85"/>
      <c r="J290" s="85"/>
      <c r="K290" s="85"/>
      <c r="L290" s="85"/>
      <c r="M290" s="85"/>
      <c r="N290" s="85"/>
      <c r="O290" s="85"/>
      <c r="P290" s="86"/>
      <c r="Q290" s="85"/>
      <c r="R290" s="84"/>
      <c r="S290" s="219"/>
      <c r="T290" s="2"/>
    </row>
    <row r="291" spans="1:20" ht="15.6" x14ac:dyDescent="0.3">
      <c r="A291" s="87"/>
      <c r="B291" s="88" t="s">
        <v>75</v>
      </c>
      <c r="C291" s="84"/>
      <c r="D291" s="89" t="s">
        <v>79</v>
      </c>
      <c r="E291" s="88"/>
      <c r="F291" s="88" t="s">
        <v>80</v>
      </c>
      <c r="G291" s="84"/>
      <c r="H291" s="88"/>
      <c r="I291" s="90"/>
      <c r="J291" s="90"/>
      <c r="K291" s="90"/>
      <c r="L291" s="90"/>
      <c r="M291" s="90"/>
      <c r="N291" s="90"/>
      <c r="O291" s="90"/>
      <c r="P291" s="90"/>
      <c r="Q291" s="90"/>
      <c r="R291" s="90"/>
      <c r="S291" s="230"/>
      <c r="T291" s="2"/>
    </row>
    <row r="292" spans="1:20" ht="15.6" x14ac:dyDescent="0.3">
      <c r="A292" s="87"/>
      <c r="B292" s="90"/>
      <c r="C292" s="84"/>
      <c r="D292" s="84"/>
      <c r="E292" s="84"/>
      <c r="F292" s="84"/>
      <c r="G292" s="84"/>
      <c r="H292" s="84"/>
      <c r="I292" s="90"/>
      <c r="J292" s="90"/>
      <c r="K292" s="90"/>
      <c r="L292" s="90"/>
      <c r="M292" s="90"/>
      <c r="N292" s="90"/>
      <c r="O292" s="90"/>
      <c r="P292" s="90"/>
      <c r="Q292" s="90"/>
      <c r="R292" s="90"/>
      <c r="S292" s="230"/>
      <c r="T292" s="2"/>
    </row>
    <row r="293" spans="1:20" ht="15.6" x14ac:dyDescent="0.3">
      <c r="A293" s="87"/>
      <c r="B293" s="214" t="s">
        <v>211</v>
      </c>
      <c r="C293" s="88"/>
      <c r="D293" s="91" t="s">
        <v>115</v>
      </c>
      <c r="E293" s="88"/>
      <c r="F293" s="88" t="s">
        <v>116</v>
      </c>
      <c r="G293" s="88"/>
      <c r="H293" s="88"/>
      <c r="I293" s="90"/>
      <c r="J293" s="90"/>
      <c r="K293" s="90"/>
      <c r="L293" s="90"/>
      <c r="M293" s="90"/>
      <c r="N293" s="90"/>
      <c r="O293" s="90"/>
      <c r="P293" s="90"/>
      <c r="Q293" s="90"/>
      <c r="R293" s="90"/>
      <c r="S293" s="230"/>
      <c r="T293" s="2"/>
    </row>
    <row r="294" spans="1:20" ht="15.6" x14ac:dyDescent="0.3">
      <c r="A294" s="87"/>
      <c r="B294" s="214" t="s">
        <v>212</v>
      </c>
      <c r="C294" s="88"/>
      <c r="D294" s="91" t="s">
        <v>147</v>
      </c>
      <c r="E294" s="88"/>
      <c r="F294" s="88" t="s">
        <v>148</v>
      </c>
      <c r="G294" s="88"/>
      <c r="H294" s="88"/>
      <c r="I294" s="90"/>
      <c r="J294" s="90"/>
      <c r="K294" s="90"/>
      <c r="L294" s="90"/>
      <c r="M294" s="90"/>
      <c r="N294" s="90"/>
      <c r="O294" s="90"/>
      <c r="P294" s="90"/>
      <c r="Q294" s="90"/>
      <c r="R294" s="90"/>
      <c r="S294" s="230"/>
      <c r="T294" s="2"/>
    </row>
    <row r="295" spans="1:20" ht="15.6" x14ac:dyDescent="0.3">
      <c r="A295" s="87"/>
      <c r="B295" s="214" t="s">
        <v>213</v>
      </c>
      <c r="C295" s="88"/>
      <c r="D295" s="91" t="s">
        <v>114</v>
      </c>
      <c r="E295" s="88"/>
      <c r="F295" s="88" t="s">
        <v>117</v>
      </c>
      <c r="G295" s="88"/>
      <c r="H295" s="88"/>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5.6" x14ac:dyDescent="0.3">
      <c r="A297" s="87"/>
      <c r="B297" s="88"/>
      <c r="C297" s="88"/>
      <c r="D297" s="90"/>
      <c r="E297" s="90"/>
      <c r="F297" s="90"/>
      <c r="G297" s="90"/>
      <c r="H297" s="90"/>
      <c r="I297" s="90"/>
      <c r="J297" s="90"/>
      <c r="K297" s="90"/>
      <c r="L297" s="90"/>
      <c r="M297" s="90"/>
      <c r="N297" s="90"/>
      <c r="O297" s="90"/>
      <c r="P297" s="90"/>
      <c r="Q297" s="90"/>
      <c r="R297" s="90"/>
      <c r="S297" s="230"/>
      <c r="T297" s="2"/>
    </row>
    <row r="298" spans="1:20" ht="18" thickBot="1" x14ac:dyDescent="0.35">
      <c r="A298" s="87"/>
      <c r="B298" s="92" t="str">
        <f>B196</f>
        <v>PM21 INVESTOR REPORT QUARTER ENDING NOVEMBER 2016</v>
      </c>
      <c r="C298" s="88"/>
      <c r="D298" s="90"/>
      <c r="E298" s="90"/>
      <c r="F298" s="90"/>
      <c r="G298" s="90"/>
      <c r="H298" s="90"/>
      <c r="I298" s="90"/>
      <c r="J298" s="90"/>
      <c r="K298" s="90"/>
      <c r="L298" s="90"/>
      <c r="M298" s="90"/>
      <c r="N298" s="90"/>
      <c r="O298" s="90"/>
      <c r="P298" s="90"/>
      <c r="Q298" s="90"/>
      <c r="R298" s="90"/>
      <c r="S298" s="99"/>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29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8.36328125" style="1" bestFit="1" customWidth="1"/>
    <col min="18" max="18" width="14.6328125" style="1" customWidth="1"/>
    <col min="19" max="19" width="11.81640625" style="1" customWidth="1"/>
    <col min="20" max="16384" width="9.6328125" style="1"/>
  </cols>
  <sheetData>
    <row r="1" spans="1:20" ht="20.399999999999999" x14ac:dyDescent="0.35">
      <c r="A1" s="10"/>
      <c r="B1" s="101" t="s">
        <v>225</v>
      </c>
      <c r="C1" s="11"/>
      <c r="D1" s="11"/>
      <c r="E1" s="11"/>
      <c r="F1" s="11"/>
      <c r="G1" s="11"/>
      <c r="H1" s="11"/>
      <c r="I1" s="11"/>
      <c r="J1" s="11"/>
      <c r="K1" s="11"/>
      <c r="L1" s="11"/>
      <c r="M1" s="11"/>
      <c r="N1" s="11"/>
      <c r="O1" s="11"/>
      <c r="P1" s="11"/>
      <c r="Q1" s="11"/>
      <c r="R1" s="11"/>
      <c r="S1" s="217"/>
      <c r="T1" s="2"/>
    </row>
    <row r="2" spans="1:20" ht="15.6" x14ac:dyDescent="0.3">
      <c r="A2" s="12"/>
      <c r="B2" s="13"/>
      <c r="C2" s="14"/>
      <c r="D2" s="14"/>
      <c r="E2" s="14"/>
      <c r="F2" s="14"/>
      <c r="G2" s="14"/>
      <c r="H2" s="14"/>
      <c r="I2" s="14"/>
      <c r="J2" s="14"/>
      <c r="K2" s="14"/>
      <c r="L2" s="14"/>
      <c r="M2" s="14"/>
      <c r="N2" s="14"/>
      <c r="O2" s="14"/>
      <c r="P2" s="14"/>
      <c r="Q2" s="14"/>
      <c r="R2" s="14"/>
      <c r="S2" s="218"/>
      <c r="T2" s="2"/>
    </row>
    <row r="3" spans="1:20" ht="15.6" x14ac:dyDescent="0.3">
      <c r="A3" s="15"/>
      <c r="B3" s="16" t="s">
        <v>230</v>
      </c>
      <c r="C3" s="14"/>
      <c r="D3" s="14"/>
      <c r="E3" s="14"/>
      <c r="F3" s="14"/>
      <c r="G3" s="14"/>
      <c r="H3" s="14"/>
      <c r="I3" s="14"/>
      <c r="J3" s="14"/>
      <c r="K3" s="14"/>
      <c r="L3" s="14"/>
      <c r="M3" s="14"/>
      <c r="N3" s="14"/>
      <c r="O3" s="14"/>
      <c r="P3" s="14"/>
      <c r="Q3" s="14"/>
      <c r="R3" s="14"/>
      <c r="S3" s="218"/>
      <c r="T3" s="2"/>
    </row>
    <row r="4" spans="1:20" ht="15.6" x14ac:dyDescent="0.3">
      <c r="A4" s="12"/>
      <c r="B4" s="13"/>
      <c r="C4" s="14"/>
      <c r="D4" s="14"/>
      <c r="E4" s="14"/>
      <c r="F4" s="14"/>
      <c r="G4" s="14"/>
      <c r="H4" s="14"/>
      <c r="I4" s="14"/>
      <c r="J4" s="14"/>
      <c r="K4" s="14"/>
      <c r="L4" s="14"/>
      <c r="M4" s="14"/>
      <c r="N4" s="14"/>
      <c r="O4" s="14"/>
      <c r="P4" s="14"/>
      <c r="Q4" s="14"/>
      <c r="R4" s="14"/>
      <c r="S4" s="218"/>
      <c r="T4" s="2"/>
    </row>
    <row r="5" spans="1:20" ht="15.6" x14ac:dyDescent="0.3">
      <c r="A5" s="12"/>
      <c r="B5" s="102" t="s">
        <v>109</v>
      </c>
      <c r="C5" s="14"/>
      <c r="D5" s="14"/>
      <c r="E5" s="14"/>
      <c r="F5" s="14"/>
      <c r="G5" s="14"/>
      <c r="H5" s="14"/>
      <c r="I5" s="14"/>
      <c r="J5" s="14"/>
      <c r="K5" s="14"/>
      <c r="L5" s="14"/>
      <c r="M5" s="14"/>
      <c r="N5" s="14"/>
      <c r="O5" s="14"/>
      <c r="P5" s="14"/>
      <c r="Q5" s="14"/>
      <c r="R5" s="14"/>
      <c r="S5" s="218"/>
      <c r="T5" s="2"/>
    </row>
    <row r="6" spans="1:20" ht="15.6" x14ac:dyDescent="0.3">
      <c r="A6" s="12"/>
      <c r="B6" s="102" t="s">
        <v>111</v>
      </c>
      <c r="C6" s="14"/>
      <c r="D6" s="14"/>
      <c r="E6" s="14"/>
      <c r="F6" s="14"/>
      <c r="G6" s="14"/>
      <c r="H6" s="14"/>
      <c r="I6" s="14"/>
      <c r="J6" s="14"/>
      <c r="K6" s="14"/>
      <c r="L6" s="14"/>
      <c r="M6" s="14"/>
      <c r="N6" s="14"/>
      <c r="O6" s="14"/>
      <c r="P6" s="14"/>
      <c r="Q6" s="14"/>
      <c r="R6" s="14"/>
      <c r="S6" s="218"/>
      <c r="T6" s="2"/>
    </row>
    <row r="7" spans="1:20" ht="15.6" x14ac:dyDescent="0.3">
      <c r="A7" s="12"/>
      <c r="B7" s="102" t="s">
        <v>110</v>
      </c>
      <c r="C7" s="14"/>
      <c r="D7" s="14"/>
      <c r="E7" s="14"/>
      <c r="F7" s="14"/>
      <c r="G7" s="14"/>
      <c r="H7" s="14"/>
      <c r="I7" s="14"/>
      <c r="J7" s="14"/>
      <c r="K7" s="14"/>
      <c r="L7" s="14"/>
      <c r="M7" s="14"/>
      <c r="N7" s="14"/>
      <c r="O7" s="14"/>
      <c r="P7" s="14"/>
      <c r="Q7" s="14"/>
      <c r="R7" s="14"/>
      <c r="S7" s="218"/>
      <c r="T7" s="2"/>
    </row>
    <row r="8" spans="1:20" ht="15.6" x14ac:dyDescent="0.3">
      <c r="A8" s="12"/>
      <c r="B8" s="17"/>
      <c r="C8" s="14"/>
      <c r="D8" s="14"/>
      <c r="E8" s="14"/>
      <c r="F8" s="14"/>
      <c r="G8" s="14"/>
      <c r="H8" s="14"/>
      <c r="I8" s="14"/>
      <c r="J8" s="14"/>
      <c r="K8" s="14"/>
      <c r="L8" s="14"/>
      <c r="M8" s="14"/>
      <c r="N8" s="14"/>
      <c r="O8" s="14"/>
      <c r="P8" s="14"/>
      <c r="Q8" s="14"/>
      <c r="R8" s="14"/>
      <c r="S8" s="218"/>
      <c r="T8" s="2"/>
    </row>
    <row r="9" spans="1:20" ht="17.399999999999999" x14ac:dyDescent="0.3">
      <c r="A9" s="12"/>
      <c r="B9" s="18" t="s">
        <v>127</v>
      </c>
      <c r="C9" s="14"/>
      <c r="D9" s="14"/>
      <c r="E9" s="19"/>
      <c r="F9" s="14"/>
      <c r="G9" s="14"/>
      <c r="H9" s="19"/>
      <c r="I9" s="14"/>
      <c r="J9" s="19"/>
      <c r="K9" s="19" t="s">
        <v>128</v>
      </c>
      <c r="L9" s="19"/>
      <c r="M9" s="14"/>
      <c r="N9" s="14"/>
      <c r="O9" s="14"/>
      <c r="P9" s="14"/>
      <c r="Q9" s="14"/>
      <c r="R9" s="14"/>
      <c r="S9" s="218"/>
      <c r="T9" s="2"/>
    </row>
    <row r="10" spans="1:20" ht="15.6" x14ac:dyDescent="0.3">
      <c r="A10" s="12"/>
      <c r="B10" s="17"/>
      <c r="C10" s="20"/>
      <c r="D10" s="14"/>
      <c r="E10" s="14"/>
      <c r="F10" s="14"/>
      <c r="G10" s="14"/>
      <c r="H10" s="14"/>
      <c r="I10" s="14"/>
      <c r="J10" s="14"/>
      <c r="K10" s="14"/>
      <c r="L10" s="14"/>
      <c r="M10" s="14"/>
      <c r="N10" s="14"/>
      <c r="O10" s="14"/>
      <c r="P10" s="14"/>
      <c r="Q10" s="14"/>
      <c r="R10" s="14"/>
      <c r="S10" s="218"/>
      <c r="T10" s="2"/>
    </row>
    <row r="11" spans="1:20" ht="15.6" x14ac:dyDescent="0.3">
      <c r="A11" s="12"/>
      <c r="B11" s="88" t="s">
        <v>0</v>
      </c>
      <c r="C11" s="14"/>
      <c r="D11" s="14"/>
      <c r="E11" s="14"/>
      <c r="F11" s="14"/>
      <c r="G11" s="14"/>
      <c r="H11" s="14"/>
      <c r="I11" s="14"/>
      <c r="J11" s="14"/>
      <c r="K11" s="14"/>
      <c r="L11" s="14"/>
      <c r="M11" s="14"/>
      <c r="N11" s="14"/>
      <c r="O11" s="14"/>
      <c r="P11" s="14"/>
      <c r="Q11" s="14"/>
      <c r="R11" s="14"/>
      <c r="S11" s="218"/>
      <c r="T11" s="2"/>
    </row>
    <row r="12" spans="1:20" ht="16.2" thickBot="1" x14ac:dyDescent="0.35">
      <c r="A12" s="12"/>
      <c r="B12" s="20"/>
      <c r="C12" s="14"/>
      <c r="D12" s="14"/>
      <c r="E12" s="14"/>
      <c r="F12" s="14"/>
      <c r="G12" s="14"/>
      <c r="H12" s="14"/>
      <c r="I12" s="14"/>
      <c r="J12" s="14"/>
      <c r="K12" s="14"/>
      <c r="L12" s="14"/>
      <c r="M12" s="14"/>
      <c r="N12" s="14"/>
      <c r="O12" s="14"/>
      <c r="P12" s="14"/>
      <c r="Q12" s="14"/>
      <c r="R12" s="14"/>
      <c r="S12" s="218"/>
      <c r="T12" s="2"/>
    </row>
    <row r="13" spans="1:20" ht="15.6" x14ac:dyDescent="0.3">
      <c r="A13" s="10"/>
      <c r="B13" s="11"/>
      <c r="C13" s="11"/>
      <c r="D13" s="11"/>
      <c r="E13" s="11"/>
      <c r="F13" s="11"/>
      <c r="G13" s="11"/>
      <c r="H13" s="11"/>
      <c r="I13" s="11"/>
      <c r="J13" s="11"/>
      <c r="K13" s="11"/>
      <c r="L13" s="11"/>
      <c r="M13" s="11"/>
      <c r="N13" s="11"/>
      <c r="O13" s="11"/>
      <c r="P13" s="11"/>
      <c r="Q13" s="11"/>
      <c r="R13" s="11"/>
      <c r="S13" s="217"/>
      <c r="T13" s="2"/>
    </row>
    <row r="14" spans="1:20" ht="15.6" x14ac:dyDescent="0.3">
      <c r="A14" s="12"/>
      <c r="B14" s="88" t="s">
        <v>1</v>
      </c>
      <c r="C14" s="84"/>
      <c r="D14" s="84"/>
      <c r="E14" s="84"/>
      <c r="F14" s="84"/>
      <c r="G14" s="84"/>
      <c r="H14" s="84"/>
      <c r="I14" s="84"/>
      <c r="J14" s="84"/>
      <c r="K14" s="84"/>
      <c r="L14" s="84"/>
      <c r="M14" s="84"/>
      <c r="N14" s="84"/>
      <c r="O14" s="84"/>
      <c r="P14" s="84"/>
      <c r="Q14" s="84"/>
      <c r="R14" s="103" t="s">
        <v>226</v>
      </c>
      <c r="S14" s="219"/>
      <c r="T14" s="2"/>
    </row>
    <row r="15" spans="1:20" ht="15.6" x14ac:dyDescent="0.3">
      <c r="A15" s="12"/>
      <c r="B15" s="88" t="s">
        <v>2</v>
      </c>
      <c r="C15" s="84"/>
      <c r="D15" s="104"/>
      <c r="E15" s="104"/>
      <c r="F15" s="104"/>
      <c r="G15" s="104"/>
      <c r="H15" s="104"/>
      <c r="I15" s="104"/>
      <c r="J15" s="104"/>
      <c r="K15" s="104"/>
      <c r="L15" s="104"/>
      <c r="M15" s="104"/>
      <c r="N15" s="105"/>
      <c r="O15" s="105"/>
      <c r="P15" s="105" t="s">
        <v>156</v>
      </c>
      <c r="Q15" s="105">
        <v>1</v>
      </c>
      <c r="R15" s="103"/>
      <c r="S15" s="219"/>
      <c r="T15" s="2"/>
    </row>
    <row r="16" spans="1:20" ht="15.6" x14ac:dyDescent="0.3">
      <c r="A16" s="12"/>
      <c r="B16" s="88" t="s">
        <v>3</v>
      </c>
      <c r="C16" s="84"/>
      <c r="D16" s="104"/>
      <c r="E16" s="104"/>
      <c r="F16" s="104"/>
      <c r="G16" s="104"/>
      <c r="H16" s="104"/>
      <c r="I16" s="104"/>
      <c r="J16" s="104"/>
      <c r="K16" s="104"/>
      <c r="L16" s="104"/>
      <c r="M16" s="104"/>
      <c r="N16" s="105"/>
      <c r="O16" s="231"/>
      <c r="P16" s="105" t="s">
        <v>156</v>
      </c>
      <c r="Q16" s="231">
        <v>1</v>
      </c>
      <c r="R16" s="103"/>
      <c r="S16" s="219"/>
      <c r="T16" s="2"/>
    </row>
    <row r="17" spans="1:23" ht="15.6" x14ac:dyDescent="0.3">
      <c r="A17" s="12"/>
      <c r="B17" s="88" t="s">
        <v>4</v>
      </c>
      <c r="C17" s="84"/>
      <c r="D17" s="84"/>
      <c r="E17" s="84"/>
      <c r="F17" s="84"/>
      <c r="G17" s="84"/>
      <c r="H17" s="84"/>
      <c r="I17" s="84"/>
      <c r="J17" s="84"/>
      <c r="K17" s="84"/>
      <c r="L17" s="84"/>
      <c r="M17" s="84"/>
      <c r="N17" s="84"/>
      <c r="O17" s="84"/>
      <c r="P17" s="84"/>
      <c r="Q17" s="84"/>
      <c r="R17" s="106">
        <v>41956</v>
      </c>
      <c r="S17" s="219"/>
      <c r="T17" s="2"/>
    </row>
    <row r="18" spans="1:23" ht="15.6" x14ac:dyDescent="0.3">
      <c r="A18" s="12"/>
      <c r="B18" s="88" t="s">
        <v>5</v>
      </c>
      <c r="C18" s="84"/>
      <c r="D18" s="84"/>
      <c r="E18" s="84"/>
      <c r="F18" s="84"/>
      <c r="G18" s="84"/>
      <c r="H18" s="84"/>
      <c r="I18" s="84"/>
      <c r="J18" s="84"/>
      <c r="K18" s="84"/>
      <c r="L18" s="84"/>
      <c r="M18" s="84"/>
      <c r="N18" s="84"/>
      <c r="O18" s="84"/>
      <c r="P18" s="84"/>
      <c r="Q18" s="84"/>
      <c r="R18" s="216">
        <v>42814</v>
      </c>
      <c r="S18" s="219"/>
      <c r="T18" s="2"/>
    </row>
    <row r="19" spans="1:23" ht="15.6" x14ac:dyDescent="0.3">
      <c r="A19" s="12"/>
      <c r="B19" s="14"/>
      <c r="C19" s="14"/>
      <c r="D19" s="14"/>
      <c r="E19" s="14"/>
      <c r="F19" s="14"/>
      <c r="G19" s="14"/>
      <c r="H19" s="14"/>
      <c r="I19" s="14"/>
      <c r="J19" s="14"/>
      <c r="K19" s="14"/>
      <c r="L19" s="14"/>
      <c r="M19" s="14"/>
      <c r="N19" s="14"/>
      <c r="O19" s="14"/>
      <c r="P19" s="14"/>
      <c r="Q19" s="14"/>
      <c r="R19" s="21"/>
      <c r="S19" s="218"/>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8"/>
      <c r="T20" s="2"/>
    </row>
    <row r="21" spans="1:23" ht="15.6" x14ac:dyDescent="0.3">
      <c r="A21" s="12"/>
      <c r="B21" s="14"/>
      <c r="C21" s="14"/>
      <c r="D21" s="14"/>
      <c r="E21" s="14"/>
      <c r="F21" s="14"/>
      <c r="G21" s="14"/>
      <c r="H21" s="14"/>
      <c r="I21" s="14"/>
      <c r="J21" s="14"/>
      <c r="K21" s="14"/>
      <c r="L21" s="14"/>
      <c r="M21" s="14"/>
      <c r="N21" s="14"/>
      <c r="O21" s="14"/>
      <c r="P21" s="14"/>
      <c r="Q21" s="14"/>
      <c r="R21" s="23"/>
      <c r="S21" s="218"/>
      <c r="T21" s="2"/>
    </row>
    <row r="22" spans="1:23" ht="15.6" x14ac:dyDescent="0.3">
      <c r="A22" s="53"/>
      <c r="B22" s="54"/>
      <c r="C22" s="55"/>
      <c r="D22" s="55" t="s">
        <v>152</v>
      </c>
      <c r="E22" s="55"/>
      <c r="F22" s="55" t="s">
        <v>185</v>
      </c>
      <c r="G22" s="55"/>
      <c r="H22" s="55" t="s">
        <v>186</v>
      </c>
      <c r="I22" s="55"/>
      <c r="J22" s="55" t="s">
        <v>187</v>
      </c>
      <c r="K22" s="55"/>
      <c r="L22" s="55"/>
      <c r="M22" s="55"/>
      <c r="N22" s="55"/>
      <c r="O22" s="56"/>
      <c r="P22" s="57"/>
      <c r="Q22" s="58"/>
      <c r="R22" s="58"/>
      <c r="S22" s="220"/>
      <c r="T22" s="2"/>
    </row>
    <row r="23" spans="1:23" ht="15.6" x14ac:dyDescent="0.3">
      <c r="A23" s="24"/>
      <c r="B23" s="79" t="s">
        <v>183</v>
      </c>
      <c r="C23" s="109"/>
      <c r="D23" s="109" t="s">
        <v>112</v>
      </c>
      <c r="E23" s="109"/>
      <c r="F23" s="109" t="s">
        <v>184</v>
      </c>
      <c r="G23" s="109"/>
      <c r="H23" s="109" t="s">
        <v>188</v>
      </c>
      <c r="I23" s="109"/>
      <c r="J23" s="109" t="s">
        <v>154</v>
      </c>
      <c r="K23" s="109"/>
      <c r="L23" s="109"/>
      <c r="M23" s="109"/>
      <c r="N23" s="109"/>
      <c r="O23" s="109"/>
      <c r="P23" s="109"/>
      <c r="Q23" s="100"/>
      <c r="R23" s="100"/>
      <c r="S23" s="221"/>
      <c r="T23" s="2"/>
    </row>
    <row r="24" spans="1:23" ht="15.6" x14ac:dyDescent="0.3">
      <c r="A24" s="117"/>
      <c r="B24" s="113" t="s">
        <v>216</v>
      </c>
      <c r="C24" s="119"/>
      <c r="D24" s="114" t="s">
        <v>218</v>
      </c>
      <c r="E24" s="114"/>
      <c r="F24" s="114" t="s">
        <v>219</v>
      </c>
      <c r="G24" s="114"/>
      <c r="H24" s="114" t="s">
        <v>220</v>
      </c>
      <c r="I24" s="114"/>
      <c r="J24" s="114" t="s">
        <v>154</v>
      </c>
      <c r="K24" s="114"/>
      <c r="L24" s="114"/>
      <c r="M24" s="114"/>
      <c r="N24" s="114"/>
      <c r="O24" s="119"/>
      <c r="P24" s="114"/>
      <c r="Q24" s="115"/>
      <c r="R24" s="115"/>
      <c r="S24" s="116"/>
      <c r="T24" s="2"/>
    </row>
    <row r="25" spans="1:23" ht="15.6" x14ac:dyDescent="0.3">
      <c r="A25" s="120"/>
      <c r="B25" s="124" t="s">
        <v>201</v>
      </c>
      <c r="C25" s="119"/>
      <c r="D25" s="119" t="s">
        <v>112</v>
      </c>
      <c r="E25" s="119"/>
      <c r="F25" s="119" t="s">
        <v>184</v>
      </c>
      <c r="G25" s="119"/>
      <c r="H25" s="119" t="s">
        <v>265</v>
      </c>
      <c r="I25" s="119"/>
      <c r="J25" s="119" t="s">
        <v>154</v>
      </c>
      <c r="K25" s="119"/>
      <c r="L25" s="119"/>
      <c r="M25" s="119"/>
      <c r="N25" s="119"/>
      <c r="O25" s="119"/>
      <c r="P25" s="114"/>
      <c r="Q25" s="115"/>
      <c r="R25" s="115"/>
      <c r="S25" s="116"/>
      <c r="T25" s="2"/>
      <c r="U25" s="212"/>
      <c r="W25" s="213"/>
    </row>
    <row r="26" spans="1:23" ht="15.6" x14ac:dyDescent="0.3">
      <c r="A26" s="122"/>
      <c r="B26" s="124" t="s">
        <v>217</v>
      </c>
      <c r="C26" s="114"/>
      <c r="D26" s="119" t="s">
        <v>218</v>
      </c>
      <c r="E26" s="119"/>
      <c r="F26" s="119" t="s">
        <v>219</v>
      </c>
      <c r="G26" s="119"/>
      <c r="H26" s="119" t="s">
        <v>220</v>
      </c>
      <c r="I26" s="119"/>
      <c r="J26" s="119" t="s">
        <v>154</v>
      </c>
      <c r="K26" s="119"/>
      <c r="L26" s="119"/>
      <c r="M26" s="119"/>
      <c r="N26" s="119"/>
      <c r="O26" s="114"/>
      <c r="P26" s="123"/>
      <c r="Q26" s="115"/>
      <c r="R26" s="115"/>
      <c r="S26" s="116"/>
      <c r="T26" s="2"/>
      <c r="U26" s="212"/>
      <c r="W26" s="213"/>
    </row>
    <row r="27" spans="1:23" ht="15.6" x14ac:dyDescent="0.3">
      <c r="A27" s="122"/>
      <c r="B27" s="113" t="s">
        <v>7</v>
      </c>
      <c r="C27" s="125"/>
      <c r="D27" s="114" t="s">
        <v>231</v>
      </c>
      <c r="E27" s="114"/>
      <c r="F27" s="114" t="s">
        <v>232</v>
      </c>
      <c r="G27" s="114"/>
      <c r="H27" s="114" t="s">
        <v>233</v>
      </c>
      <c r="I27" s="114"/>
      <c r="J27" s="114" t="s">
        <v>234</v>
      </c>
      <c r="K27" s="114"/>
      <c r="L27" s="114"/>
      <c r="M27" s="114"/>
      <c r="N27" s="114"/>
      <c r="O27" s="126"/>
      <c r="P27" s="126"/>
      <c r="Q27" s="127"/>
      <c r="R27" s="126"/>
      <c r="S27" s="128"/>
      <c r="T27" s="2"/>
      <c r="U27" s="212"/>
      <c r="W27" s="213"/>
    </row>
    <row r="28" spans="1:23" ht="15.6" x14ac:dyDescent="0.3">
      <c r="A28" s="120"/>
      <c r="B28" s="113" t="s">
        <v>106</v>
      </c>
      <c r="C28" s="129"/>
      <c r="D28" s="202">
        <v>217900</v>
      </c>
      <c r="E28" s="130"/>
      <c r="F28" s="202">
        <v>17700</v>
      </c>
      <c r="G28" s="199"/>
      <c r="H28" s="202">
        <v>8100</v>
      </c>
      <c r="I28" s="126"/>
      <c r="J28" s="202">
        <v>6300</v>
      </c>
      <c r="K28" s="126"/>
      <c r="L28" s="130"/>
      <c r="M28" s="126"/>
      <c r="N28" s="130"/>
      <c r="O28" s="131"/>
      <c r="P28" s="131"/>
      <c r="Q28" s="132"/>
      <c r="R28" s="126">
        <f>SUM(D28:J28)</f>
        <v>250000</v>
      </c>
      <c r="S28" s="128"/>
      <c r="T28" s="2"/>
    </row>
    <row r="29" spans="1:23" ht="15.6" x14ac:dyDescent="0.3">
      <c r="A29" s="122"/>
      <c r="B29" s="113" t="s">
        <v>105</v>
      </c>
      <c r="C29" s="125"/>
      <c r="D29" s="202">
        <f>D28*D32</f>
        <v>120744.2733</v>
      </c>
      <c r="E29" s="130"/>
      <c r="F29" s="202">
        <f>F28*F32</f>
        <v>17700</v>
      </c>
      <c r="G29" s="202"/>
      <c r="H29" s="202">
        <f>H28*H32</f>
        <v>8100</v>
      </c>
      <c r="I29" s="126"/>
      <c r="J29" s="202">
        <f>J28*J32</f>
        <v>6300</v>
      </c>
      <c r="K29" s="126"/>
      <c r="L29" s="130"/>
      <c r="M29" s="126"/>
      <c r="N29" s="130"/>
      <c r="O29" s="126"/>
      <c r="P29" s="126"/>
      <c r="Q29" s="127"/>
      <c r="R29" s="126">
        <f>SUM(D29:J29)</f>
        <v>152844.2733</v>
      </c>
      <c r="S29" s="128"/>
      <c r="T29" s="2"/>
    </row>
    <row r="30" spans="1:23" ht="15.6" x14ac:dyDescent="0.3">
      <c r="A30" s="122"/>
      <c r="B30" s="121" t="s">
        <v>107</v>
      </c>
      <c r="C30" s="125"/>
      <c r="D30" s="203">
        <f>D28*D31</f>
        <v>92451.636129999999</v>
      </c>
      <c r="E30" s="203"/>
      <c r="F30" s="203">
        <f t="shared" ref="F30:J30" si="0">F28*F31</f>
        <v>17700</v>
      </c>
      <c r="G30" s="203"/>
      <c r="H30" s="203">
        <f>H28*H31</f>
        <v>8100</v>
      </c>
      <c r="I30" s="203"/>
      <c r="J30" s="203">
        <f t="shared" si="0"/>
        <v>6300</v>
      </c>
      <c r="K30" s="131"/>
      <c r="L30" s="133"/>
      <c r="M30" s="131"/>
      <c r="N30" s="133"/>
      <c r="O30" s="126"/>
      <c r="P30" s="126"/>
      <c r="Q30" s="127"/>
      <c r="R30" s="204">
        <f>SUM(D30:J30)</f>
        <v>124551.63613</v>
      </c>
      <c r="S30" s="128"/>
      <c r="T30" s="2"/>
    </row>
    <row r="31" spans="1:23" ht="15.6" x14ac:dyDescent="0.3">
      <c r="A31" s="112"/>
      <c r="B31" s="134" t="s">
        <v>103</v>
      </c>
      <c r="C31" s="135"/>
      <c r="D31" s="136">
        <v>0.42428470000000001</v>
      </c>
      <c r="E31" s="136"/>
      <c r="F31" s="136">
        <v>1</v>
      </c>
      <c r="G31" s="136"/>
      <c r="H31" s="136">
        <v>1</v>
      </c>
      <c r="I31" s="136"/>
      <c r="J31" s="136">
        <v>1</v>
      </c>
      <c r="K31" s="136"/>
      <c r="L31" s="136"/>
      <c r="M31" s="136"/>
      <c r="N31" s="136"/>
      <c r="O31" s="137"/>
      <c r="P31" s="137"/>
      <c r="Q31" s="138"/>
      <c r="R31" s="205"/>
      <c r="S31" s="139"/>
      <c r="T31" s="2"/>
    </row>
    <row r="32" spans="1:23" ht="15.6" x14ac:dyDescent="0.3">
      <c r="A32" s="112"/>
      <c r="B32" s="134" t="s">
        <v>104</v>
      </c>
      <c r="C32" s="135"/>
      <c r="D32" s="136">
        <v>0.55412700000000004</v>
      </c>
      <c r="E32" s="136"/>
      <c r="F32" s="136">
        <v>1</v>
      </c>
      <c r="G32" s="136"/>
      <c r="H32" s="136">
        <v>1</v>
      </c>
      <c r="I32" s="136"/>
      <c r="J32" s="136">
        <v>1</v>
      </c>
      <c r="K32" s="136"/>
      <c r="L32" s="136"/>
      <c r="M32" s="136"/>
      <c r="N32" s="136"/>
      <c r="O32" s="140"/>
      <c r="P32" s="141"/>
      <c r="Q32" s="138"/>
      <c r="R32" s="140"/>
      <c r="S32" s="139"/>
      <c r="T32" s="2"/>
    </row>
    <row r="33" spans="1:21" ht="15.6" x14ac:dyDescent="0.3">
      <c r="A33" s="112"/>
      <c r="B33" s="113" t="s">
        <v>8</v>
      </c>
      <c r="C33" s="113"/>
      <c r="D33" s="123" t="s">
        <v>250</v>
      </c>
      <c r="E33" s="123"/>
      <c r="F33" s="123" t="s">
        <v>251</v>
      </c>
      <c r="G33" s="123"/>
      <c r="H33" s="123" t="s">
        <v>252</v>
      </c>
      <c r="I33" s="123"/>
      <c r="J33" s="123" t="s">
        <v>253</v>
      </c>
      <c r="K33" s="123"/>
      <c r="L33" s="123"/>
      <c r="M33" s="123"/>
      <c r="N33" s="123"/>
      <c r="O33" s="142"/>
      <c r="P33" s="143"/>
      <c r="Q33" s="115"/>
      <c r="R33" s="115"/>
      <c r="S33" s="116"/>
      <c r="T33" s="2"/>
    </row>
    <row r="34" spans="1:21" ht="15.6" x14ac:dyDescent="0.3">
      <c r="A34" s="112"/>
      <c r="B34" s="113" t="s">
        <v>9</v>
      </c>
      <c r="C34" s="144"/>
      <c r="D34" s="143">
        <v>1.17313E-2</v>
      </c>
      <c r="E34" s="143"/>
      <c r="F34" s="143">
        <v>1.7731299999999998E-2</v>
      </c>
      <c r="G34" s="143"/>
      <c r="H34" s="143">
        <v>2.1231300000000002E-2</v>
      </c>
      <c r="I34" s="143"/>
      <c r="J34" s="143">
        <v>2.4731300000000001E-2</v>
      </c>
      <c r="K34" s="143"/>
      <c r="L34" s="143"/>
      <c r="M34" s="142"/>
      <c r="N34" s="143"/>
      <c r="O34" s="123"/>
      <c r="P34" s="123"/>
      <c r="Q34" s="115"/>
      <c r="R34" s="142">
        <f>SUMPRODUCT(D34:J34,D29:J29)/R29</f>
        <v>1.3465417963842614E-2</v>
      </c>
      <c r="S34" s="116"/>
      <c r="T34" s="2"/>
    </row>
    <row r="35" spans="1:21" ht="15.6" x14ac:dyDescent="0.3">
      <c r="A35" s="112"/>
      <c r="B35" s="113" t="s">
        <v>10</v>
      </c>
      <c r="C35" s="144"/>
      <c r="D35" s="143">
        <v>1.1818800000000001E-2</v>
      </c>
      <c r="E35" s="143"/>
      <c r="F35" s="143">
        <v>1.7818799999999999E-2</v>
      </c>
      <c r="G35" s="143"/>
      <c r="H35" s="143">
        <v>2.1318799999999999E-2</v>
      </c>
      <c r="I35" s="143"/>
      <c r="J35" s="143">
        <v>2.4818799999999999E-2</v>
      </c>
      <c r="K35" s="143"/>
      <c r="L35" s="143"/>
      <c r="M35" s="142"/>
      <c r="N35" s="143"/>
      <c r="O35" s="123"/>
      <c r="P35" s="123"/>
      <c r="Q35" s="115"/>
      <c r="R35" s="115"/>
      <c r="S35" s="116"/>
      <c r="T35" s="2"/>
    </row>
    <row r="36" spans="1:21" ht="15.6" x14ac:dyDescent="0.3">
      <c r="A36" s="112"/>
      <c r="B36" s="113" t="s">
        <v>155</v>
      </c>
      <c r="C36" s="113"/>
      <c r="D36" s="144">
        <v>43449</v>
      </c>
      <c r="E36" s="144"/>
      <c r="F36" s="144">
        <v>43449</v>
      </c>
      <c r="G36" s="144"/>
      <c r="H36" s="144">
        <v>43449</v>
      </c>
      <c r="I36" s="144"/>
      <c r="J36" s="144">
        <v>43449</v>
      </c>
      <c r="K36" s="144"/>
      <c r="L36" s="144"/>
      <c r="M36" s="144"/>
      <c r="N36" s="144"/>
      <c r="O36" s="123"/>
      <c r="P36" s="123"/>
      <c r="Q36" s="115"/>
      <c r="R36" s="115"/>
      <c r="S36" s="116"/>
      <c r="T36" s="2"/>
    </row>
    <row r="37" spans="1:21" ht="15.6" x14ac:dyDescent="0.3">
      <c r="A37" s="112"/>
      <c r="B37" s="113" t="s">
        <v>11</v>
      </c>
      <c r="C37" s="113"/>
      <c r="D37" s="144" t="s">
        <v>97</v>
      </c>
      <c r="E37" s="144"/>
      <c r="F37" s="144" t="s">
        <v>97</v>
      </c>
      <c r="G37" s="123"/>
      <c r="H37" s="144" t="s">
        <v>97</v>
      </c>
      <c r="I37" s="123"/>
      <c r="J37" s="144" t="s">
        <v>97</v>
      </c>
      <c r="K37" s="123"/>
      <c r="L37" s="144"/>
      <c r="M37" s="123"/>
      <c r="N37" s="144"/>
      <c r="O37" s="123"/>
      <c r="P37" s="123"/>
      <c r="Q37" s="115"/>
      <c r="R37" s="115"/>
      <c r="S37" s="116"/>
      <c r="T37" s="2"/>
    </row>
    <row r="38" spans="1:21" ht="15.6" x14ac:dyDescent="0.3">
      <c r="A38" s="112"/>
      <c r="B38" s="113" t="s">
        <v>98</v>
      </c>
      <c r="C38" s="113"/>
      <c r="D38" s="123" t="s">
        <v>97</v>
      </c>
      <c r="E38" s="123"/>
      <c r="F38" s="123" t="s">
        <v>97</v>
      </c>
      <c r="G38" s="123"/>
      <c r="H38" s="123" t="s">
        <v>97</v>
      </c>
      <c r="I38" s="123"/>
      <c r="J38" s="123" t="s">
        <v>97</v>
      </c>
      <c r="K38" s="123"/>
      <c r="L38" s="123"/>
      <c r="M38" s="123"/>
      <c r="N38" s="123"/>
      <c r="O38" s="145"/>
      <c r="P38" s="145"/>
      <c r="Q38" s="145"/>
      <c r="R38" s="145"/>
      <c r="S38" s="116"/>
      <c r="T38" s="2"/>
    </row>
    <row r="39" spans="1:21" ht="15.6" x14ac:dyDescent="0.3">
      <c r="A39" s="112"/>
      <c r="B39" s="113"/>
      <c r="C39" s="113"/>
      <c r="D39" s="123"/>
      <c r="E39" s="123"/>
      <c r="F39" s="123"/>
      <c r="G39" s="123"/>
      <c r="H39" s="123"/>
      <c r="I39" s="123"/>
      <c r="J39" s="123"/>
      <c r="K39" s="123"/>
      <c r="L39" s="123"/>
      <c r="M39" s="123"/>
      <c r="N39" s="123"/>
      <c r="O39" s="113"/>
      <c r="P39" s="113"/>
      <c r="Q39" s="113"/>
      <c r="R39" s="142" t="s">
        <v>130</v>
      </c>
      <c r="S39" s="116"/>
      <c r="T39" s="2"/>
    </row>
    <row r="40" spans="1:21" ht="15.6" x14ac:dyDescent="0.3">
      <c r="A40" s="112"/>
      <c r="B40" s="113" t="s">
        <v>202</v>
      </c>
      <c r="C40" s="113"/>
      <c r="D40" s="123"/>
      <c r="E40" s="123"/>
      <c r="F40" s="123"/>
      <c r="G40" s="123"/>
      <c r="H40" s="123"/>
      <c r="I40" s="123"/>
      <c r="J40" s="123"/>
      <c r="K40" s="123"/>
      <c r="L40" s="123"/>
      <c r="M40" s="123"/>
      <c r="N40" s="123"/>
      <c r="O40" s="113"/>
      <c r="P40" s="113"/>
      <c r="Q40" s="113"/>
      <c r="R40" s="142">
        <f>SUM(F28:J28)/D28</f>
        <v>0.14731528223955942</v>
      </c>
      <c r="S40" s="116"/>
      <c r="T40" s="2"/>
    </row>
    <row r="41" spans="1:21" ht="15.6" x14ac:dyDescent="0.3">
      <c r="A41" s="112"/>
      <c r="B41" s="113" t="s">
        <v>203</v>
      </c>
      <c r="C41" s="113"/>
      <c r="D41" s="113"/>
      <c r="E41" s="113"/>
      <c r="F41" s="113"/>
      <c r="G41" s="113"/>
      <c r="H41" s="113"/>
      <c r="I41" s="113"/>
      <c r="J41" s="113"/>
      <c r="K41" s="113"/>
      <c r="L41" s="113"/>
      <c r="M41" s="113"/>
      <c r="N41" s="113"/>
      <c r="O41" s="113"/>
      <c r="P41" s="113"/>
      <c r="Q41" s="113"/>
      <c r="R41" s="142">
        <f>SUM(F30:J30)/D30</f>
        <v>0.34720856594536509</v>
      </c>
      <c r="S41" s="116"/>
      <c r="T41" s="2"/>
    </row>
    <row r="42" spans="1:21" ht="15.6" x14ac:dyDescent="0.3">
      <c r="A42" s="112"/>
      <c r="B42" s="113" t="s">
        <v>204</v>
      </c>
      <c r="C42" s="113"/>
      <c r="D42" s="113"/>
      <c r="E42" s="113"/>
      <c r="F42" s="113"/>
      <c r="G42" s="113"/>
      <c r="H42" s="113"/>
      <c r="I42" s="113"/>
      <c r="J42" s="113"/>
      <c r="K42" s="113"/>
      <c r="L42" s="113"/>
      <c r="M42" s="113"/>
      <c r="N42" s="113"/>
      <c r="O42" s="113"/>
      <c r="P42" s="123"/>
      <c r="Q42" s="123"/>
      <c r="R42" s="126" t="s">
        <v>149</v>
      </c>
      <c r="S42" s="116"/>
      <c r="T42" s="2"/>
    </row>
    <row r="43" spans="1:21" ht="15.6" x14ac:dyDescent="0.3">
      <c r="A43" s="112"/>
      <c r="B43" s="113"/>
      <c r="C43" s="113"/>
      <c r="D43" s="113"/>
      <c r="E43" s="113"/>
      <c r="F43" s="113"/>
      <c r="G43" s="113"/>
      <c r="H43" s="113"/>
      <c r="I43" s="113"/>
      <c r="J43" s="113"/>
      <c r="K43" s="113"/>
      <c r="L43" s="113"/>
      <c r="M43" s="113"/>
      <c r="N43" s="113"/>
      <c r="O43" s="113"/>
      <c r="P43" s="113"/>
      <c r="Q43" s="113"/>
      <c r="R43" s="146"/>
      <c r="S43" s="116"/>
      <c r="T43" s="2"/>
    </row>
    <row r="44" spans="1:21" ht="15.6" x14ac:dyDescent="0.3">
      <c r="A44" s="112"/>
      <c r="B44" s="113" t="s">
        <v>205</v>
      </c>
      <c r="C44" s="113"/>
      <c r="D44" s="113"/>
      <c r="E44" s="113"/>
      <c r="F44" s="113"/>
      <c r="G44" s="113"/>
      <c r="H44" s="113"/>
      <c r="I44" s="113"/>
      <c r="J44" s="113"/>
      <c r="K44" s="113"/>
      <c r="L44" s="113"/>
      <c r="M44" s="113"/>
      <c r="N44" s="113"/>
      <c r="O44" s="113"/>
      <c r="P44" s="113"/>
      <c r="Q44" s="113"/>
      <c r="R44" s="147" t="s">
        <v>91</v>
      </c>
      <c r="S44" s="116"/>
      <c r="T44" s="2"/>
    </row>
    <row r="45" spans="1:21" ht="15.6" x14ac:dyDescent="0.3">
      <c r="A45" s="112"/>
      <c r="B45" s="121" t="s">
        <v>131</v>
      </c>
      <c r="C45" s="121"/>
      <c r="D45" s="121"/>
      <c r="E45" s="121"/>
      <c r="F45" s="121"/>
      <c r="G45" s="121"/>
      <c r="H45" s="121"/>
      <c r="I45" s="121"/>
      <c r="J45" s="121"/>
      <c r="K45" s="121"/>
      <c r="L45" s="121"/>
      <c r="M45" s="121"/>
      <c r="N45" s="121"/>
      <c r="O45" s="121"/>
      <c r="P45" s="148"/>
      <c r="Q45" s="148"/>
      <c r="R45" s="149">
        <v>42809</v>
      </c>
      <c r="S45" s="116"/>
      <c r="T45" s="2"/>
    </row>
    <row r="46" spans="1:21" ht="15.6" x14ac:dyDescent="0.3">
      <c r="A46" s="112"/>
      <c r="B46" s="113" t="s">
        <v>99</v>
      </c>
      <c r="C46" s="113"/>
      <c r="D46" s="150"/>
      <c r="E46" s="150"/>
      <c r="F46" s="150"/>
      <c r="G46" s="150"/>
      <c r="H46" s="150"/>
      <c r="I46" s="150"/>
      <c r="J46" s="150"/>
      <c r="K46" s="150"/>
      <c r="L46" s="150"/>
      <c r="M46" s="150"/>
      <c r="N46" s="113">
        <v>91</v>
      </c>
      <c r="O46" s="113"/>
      <c r="P46" s="151">
        <v>42628</v>
      </c>
      <c r="Q46" s="152"/>
      <c r="R46" s="151">
        <v>42718</v>
      </c>
      <c r="S46" s="116"/>
      <c r="T46" s="2"/>
    </row>
    <row r="47" spans="1:21" ht="15.6" x14ac:dyDescent="0.3">
      <c r="A47" s="112"/>
      <c r="B47" s="113" t="s">
        <v>100</v>
      </c>
      <c r="C47" s="113"/>
      <c r="D47" s="113"/>
      <c r="E47" s="113"/>
      <c r="F47" s="113"/>
      <c r="G47" s="113"/>
      <c r="H47" s="113"/>
      <c r="I47" s="113"/>
      <c r="J47" s="113"/>
      <c r="K47" s="113"/>
      <c r="L47" s="113"/>
      <c r="M47" s="113"/>
      <c r="N47" s="113">
        <f>+R47-P47+1</f>
        <v>90</v>
      </c>
      <c r="O47" s="113"/>
      <c r="P47" s="151">
        <v>42719</v>
      </c>
      <c r="Q47" s="152"/>
      <c r="R47" s="151">
        <v>42808</v>
      </c>
      <c r="S47" s="116"/>
      <c r="T47" s="2"/>
    </row>
    <row r="48" spans="1:21" ht="15.6" x14ac:dyDescent="0.3">
      <c r="A48" s="112"/>
      <c r="B48" s="113" t="s">
        <v>206</v>
      </c>
      <c r="C48" s="113"/>
      <c r="D48" s="113"/>
      <c r="E48" s="113"/>
      <c r="F48" s="113"/>
      <c r="G48" s="113"/>
      <c r="H48" s="113"/>
      <c r="I48" s="113"/>
      <c r="J48" s="113"/>
      <c r="K48" s="113"/>
      <c r="L48" s="113"/>
      <c r="M48" s="113"/>
      <c r="N48" s="113"/>
      <c r="O48" s="113"/>
      <c r="P48" s="151"/>
      <c r="Q48" s="152"/>
      <c r="R48" s="151" t="s">
        <v>118</v>
      </c>
      <c r="S48" s="116"/>
      <c r="T48" s="2"/>
      <c r="U48" s="5"/>
    </row>
    <row r="49" spans="1:20" ht="15.6" x14ac:dyDescent="0.3">
      <c r="A49" s="112"/>
      <c r="B49" s="113" t="s">
        <v>12</v>
      </c>
      <c r="C49" s="113"/>
      <c r="D49" s="113"/>
      <c r="E49" s="113"/>
      <c r="F49" s="113"/>
      <c r="G49" s="113"/>
      <c r="H49" s="113"/>
      <c r="I49" s="113"/>
      <c r="J49" s="113"/>
      <c r="K49" s="113"/>
      <c r="L49" s="113"/>
      <c r="M49" s="113"/>
      <c r="N49" s="113"/>
      <c r="O49" s="113"/>
      <c r="P49" s="151"/>
      <c r="Q49" s="152"/>
      <c r="R49" s="151">
        <v>42795</v>
      </c>
      <c r="S49" s="116"/>
      <c r="T49" s="2"/>
    </row>
    <row r="50" spans="1:20" ht="15.6" x14ac:dyDescent="0.3">
      <c r="A50" s="12"/>
      <c r="B50" s="43"/>
      <c r="C50" s="43"/>
      <c r="D50" s="43"/>
      <c r="E50" s="43"/>
      <c r="F50" s="43"/>
      <c r="G50" s="43"/>
      <c r="H50" s="43"/>
      <c r="I50" s="43"/>
      <c r="J50" s="43"/>
      <c r="K50" s="43"/>
      <c r="L50" s="43"/>
      <c r="M50" s="43"/>
      <c r="N50" s="43"/>
      <c r="O50" s="43"/>
      <c r="P50" s="110"/>
      <c r="Q50" s="111"/>
      <c r="R50" s="110"/>
      <c r="S50" s="218"/>
      <c r="T50" s="2"/>
    </row>
    <row r="51" spans="1:20" ht="15.6" x14ac:dyDescent="0.3">
      <c r="A51" s="12"/>
      <c r="B51" s="14"/>
      <c r="C51" s="14"/>
      <c r="D51" s="14"/>
      <c r="E51" s="14"/>
      <c r="F51" s="14"/>
      <c r="G51" s="14"/>
      <c r="H51" s="14"/>
      <c r="I51" s="14"/>
      <c r="J51" s="14"/>
      <c r="K51" s="14"/>
      <c r="L51" s="14"/>
      <c r="M51" s="14"/>
      <c r="N51" s="14"/>
      <c r="O51" s="14"/>
      <c r="P51" s="26"/>
      <c r="Q51" s="27"/>
      <c r="R51" s="26"/>
      <c r="S51" s="218"/>
      <c r="T51" s="2"/>
    </row>
    <row r="52" spans="1:20" ht="18" thickBot="1" x14ac:dyDescent="0.35">
      <c r="A52" s="28"/>
      <c r="B52" s="97" t="s">
        <v>266</v>
      </c>
      <c r="C52" s="29"/>
      <c r="D52" s="29"/>
      <c r="E52" s="29"/>
      <c r="F52" s="29"/>
      <c r="G52" s="29"/>
      <c r="H52" s="29"/>
      <c r="I52" s="29"/>
      <c r="J52" s="29"/>
      <c r="K52" s="29"/>
      <c r="L52" s="29"/>
      <c r="M52" s="29"/>
      <c r="N52" s="29"/>
      <c r="O52" s="29"/>
      <c r="P52" s="29"/>
      <c r="Q52" s="29"/>
      <c r="R52" s="30"/>
      <c r="S52" s="31"/>
      <c r="T52" s="2"/>
    </row>
    <row r="53" spans="1:20" ht="15.6" x14ac:dyDescent="0.3">
      <c r="A53" s="53"/>
      <c r="B53" s="59" t="s">
        <v>13</v>
      </c>
      <c r="C53" s="54"/>
      <c r="D53" s="54"/>
      <c r="E53" s="54"/>
      <c r="F53" s="54"/>
      <c r="G53" s="54"/>
      <c r="H53" s="54"/>
      <c r="I53" s="54"/>
      <c r="J53" s="54"/>
      <c r="K53" s="54"/>
      <c r="L53" s="54"/>
      <c r="M53" s="54"/>
      <c r="N53" s="54"/>
      <c r="O53" s="54"/>
      <c r="P53" s="54"/>
      <c r="Q53" s="54"/>
      <c r="R53" s="60"/>
      <c r="S53" s="54"/>
      <c r="T53" s="2"/>
    </row>
    <row r="54" spans="1:20" ht="15.6" x14ac:dyDescent="0.3">
      <c r="A54" s="12"/>
      <c r="B54" s="20"/>
      <c r="C54" s="14"/>
      <c r="D54" s="14"/>
      <c r="E54" s="14"/>
      <c r="F54" s="14"/>
      <c r="G54" s="14"/>
      <c r="H54" s="14"/>
      <c r="I54" s="14"/>
      <c r="J54" s="14"/>
      <c r="K54" s="14"/>
      <c r="L54" s="14"/>
      <c r="M54" s="14"/>
      <c r="N54" s="14"/>
      <c r="O54" s="14"/>
      <c r="P54" s="14"/>
      <c r="Q54" s="14"/>
      <c r="R54" s="33"/>
      <c r="S54" s="218"/>
      <c r="T54" s="2"/>
    </row>
    <row r="55" spans="1:20" ht="46.8" x14ac:dyDescent="0.3">
      <c r="A55" s="12"/>
      <c r="B55" s="34" t="s">
        <v>14</v>
      </c>
      <c r="C55" s="35"/>
      <c r="D55" s="35"/>
      <c r="E55" s="35"/>
      <c r="F55" s="35" t="s">
        <v>76</v>
      </c>
      <c r="G55" s="35"/>
      <c r="H55" s="35" t="s">
        <v>78</v>
      </c>
      <c r="I55" s="35"/>
      <c r="J55" s="35" t="s">
        <v>165</v>
      </c>
      <c r="K55" s="35"/>
      <c r="L55" s="35" t="s">
        <v>166</v>
      </c>
      <c r="M55" s="35"/>
      <c r="N55" s="35" t="s">
        <v>81</v>
      </c>
      <c r="O55" s="35"/>
      <c r="P55" s="35" t="s">
        <v>86</v>
      </c>
      <c r="Q55" s="35"/>
      <c r="R55" s="36" t="s">
        <v>92</v>
      </c>
      <c r="S55" s="222"/>
      <c r="T55" s="2"/>
    </row>
    <row r="56" spans="1:20" ht="15.6" x14ac:dyDescent="0.3">
      <c r="A56" s="112"/>
      <c r="B56" s="113" t="s">
        <v>15</v>
      </c>
      <c r="C56" s="155"/>
      <c r="D56" s="155"/>
      <c r="E56" s="155"/>
      <c r="F56" s="155">
        <v>224374</v>
      </c>
      <c r="G56" s="155"/>
      <c r="H56" s="156">
        <v>152844</v>
      </c>
      <c r="I56" s="155"/>
      <c r="J56" s="156">
        <v>79</v>
      </c>
      <c r="K56" s="155"/>
      <c r="L56" s="155">
        <f>28292-79</f>
        <v>28213</v>
      </c>
      <c r="M56" s="155"/>
      <c r="N56" s="155">
        <v>0</v>
      </c>
      <c r="O56" s="155"/>
      <c r="P56" s="155">
        <v>0</v>
      </c>
      <c r="Q56" s="155"/>
      <c r="R56" s="156">
        <f>H56-J56-L56+N56-P56</f>
        <v>124552</v>
      </c>
      <c r="S56" s="116"/>
      <c r="T56" s="2"/>
    </row>
    <row r="57" spans="1:20" ht="15.6" x14ac:dyDescent="0.3">
      <c r="A57" s="112"/>
      <c r="B57" s="113" t="s">
        <v>16</v>
      </c>
      <c r="C57" s="155"/>
      <c r="D57" s="155"/>
      <c r="E57" s="155"/>
      <c r="F57" s="155">
        <v>0</v>
      </c>
      <c r="G57" s="155"/>
      <c r="H57" s="156">
        <v>0</v>
      </c>
      <c r="I57" s="155"/>
      <c r="J57" s="156">
        <v>0</v>
      </c>
      <c r="K57" s="155"/>
      <c r="L57" s="155">
        <v>0</v>
      </c>
      <c r="M57" s="155"/>
      <c r="N57" s="155">
        <v>0</v>
      </c>
      <c r="O57" s="155"/>
      <c r="P57" s="155">
        <v>0</v>
      </c>
      <c r="Q57" s="155"/>
      <c r="R57" s="156">
        <f>F57-J57-L57</f>
        <v>0</v>
      </c>
      <c r="S57" s="116"/>
      <c r="T57" s="2"/>
    </row>
    <row r="58" spans="1:20" ht="15.6" x14ac:dyDescent="0.3">
      <c r="A58" s="112"/>
      <c r="B58" s="113"/>
      <c r="C58" s="155"/>
      <c r="D58" s="155"/>
      <c r="E58" s="155"/>
      <c r="F58" s="155"/>
      <c r="G58" s="155"/>
      <c r="H58" s="156"/>
      <c r="I58" s="155"/>
      <c r="J58" s="156"/>
      <c r="K58" s="155"/>
      <c r="L58" s="155"/>
      <c r="M58" s="155"/>
      <c r="N58" s="155"/>
      <c r="O58" s="155"/>
      <c r="P58" s="155"/>
      <c r="Q58" s="155"/>
      <c r="R58" s="156"/>
      <c r="S58" s="116"/>
      <c r="T58" s="2"/>
    </row>
    <row r="59" spans="1:20" ht="15.6" x14ac:dyDescent="0.3">
      <c r="A59" s="112"/>
      <c r="B59" s="113" t="s">
        <v>17</v>
      </c>
      <c r="C59" s="155"/>
      <c r="D59" s="155"/>
      <c r="E59" s="155"/>
      <c r="F59" s="155">
        <f>SUM(F56:F58)</f>
        <v>224374</v>
      </c>
      <c r="G59" s="155"/>
      <c r="H59" s="155">
        <f>H56+H57</f>
        <v>152844</v>
      </c>
      <c r="I59" s="155"/>
      <c r="J59" s="155">
        <f>J56+J57</f>
        <v>79</v>
      </c>
      <c r="K59" s="155"/>
      <c r="L59" s="155">
        <f>SUM(L56:L58)</f>
        <v>28213</v>
      </c>
      <c r="M59" s="155"/>
      <c r="N59" s="155">
        <f>SUM(N56:N58)</f>
        <v>0</v>
      </c>
      <c r="O59" s="155"/>
      <c r="P59" s="155">
        <f>SUM(P56:P58)</f>
        <v>0</v>
      </c>
      <c r="Q59" s="155"/>
      <c r="R59" s="155">
        <f>SUM(R56:R58)</f>
        <v>124552</v>
      </c>
      <c r="S59" s="116"/>
      <c r="T59" s="2"/>
    </row>
    <row r="60" spans="1:20" ht="15.6" x14ac:dyDescent="0.3">
      <c r="A60" s="12"/>
      <c r="B60" s="43"/>
      <c r="C60" s="153"/>
      <c r="D60" s="153"/>
      <c r="E60" s="153"/>
      <c r="F60" s="153"/>
      <c r="G60" s="153"/>
      <c r="H60" s="153"/>
      <c r="I60" s="153"/>
      <c r="J60" s="153"/>
      <c r="K60" s="153"/>
      <c r="L60" s="153"/>
      <c r="M60" s="153"/>
      <c r="N60" s="153"/>
      <c r="O60" s="153"/>
      <c r="P60" s="153"/>
      <c r="Q60" s="153"/>
      <c r="R60" s="154"/>
      <c r="S60" s="218"/>
      <c r="T60" s="2"/>
    </row>
    <row r="61" spans="1:20" ht="15.6" x14ac:dyDescent="0.3">
      <c r="A61" s="12"/>
      <c r="B61" s="16" t="s">
        <v>18</v>
      </c>
      <c r="C61" s="38"/>
      <c r="D61" s="38"/>
      <c r="E61" s="38"/>
      <c r="F61" s="38"/>
      <c r="G61" s="38"/>
      <c r="H61" s="38"/>
      <c r="I61" s="38"/>
      <c r="J61" s="38"/>
      <c r="K61" s="38"/>
      <c r="L61" s="38"/>
      <c r="M61" s="38"/>
      <c r="N61" s="38"/>
      <c r="O61" s="38"/>
      <c r="P61" s="38"/>
      <c r="Q61" s="38"/>
      <c r="R61" s="39"/>
      <c r="S61" s="218"/>
      <c r="T61" s="2"/>
    </row>
    <row r="62" spans="1:20" ht="15.6" x14ac:dyDescent="0.3">
      <c r="A62" s="12"/>
      <c r="B62" s="14"/>
      <c r="C62" s="38"/>
      <c r="D62" s="38"/>
      <c r="E62" s="38"/>
      <c r="F62" s="38"/>
      <c r="G62" s="38"/>
      <c r="H62" s="38"/>
      <c r="I62" s="38"/>
      <c r="J62" s="38"/>
      <c r="K62" s="38"/>
      <c r="L62" s="38"/>
      <c r="M62" s="38"/>
      <c r="N62" s="38"/>
      <c r="O62" s="38"/>
      <c r="P62" s="38"/>
      <c r="Q62" s="38"/>
      <c r="R62" s="39"/>
      <c r="S62" s="218"/>
      <c r="T62" s="2"/>
    </row>
    <row r="63" spans="1:20" ht="15.6" x14ac:dyDescent="0.3">
      <c r="A63" s="112"/>
      <c r="B63" s="113" t="s">
        <v>15</v>
      </c>
      <c r="C63" s="155"/>
      <c r="D63" s="155"/>
      <c r="E63" s="155"/>
      <c r="F63" s="155"/>
      <c r="G63" s="155"/>
      <c r="H63" s="155"/>
      <c r="I63" s="155"/>
      <c r="J63" s="155"/>
      <c r="K63" s="155"/>
      <c r="L63" s="155"/>
      <c r="M63" s="155"/>
      <c r="N63" s="155"/>
      <c r="O63" s="155"/>
      <c r="P63" s="155"/>
      <c r="Q63" s="155"/>
      <c r="R63" s="155"/>
      <c r="S63" s="116"/>
      <c r="T63" s="2"/>
    </row>
    <row r="64" spans="1:20" ht="15.6" x14ac:dyDescent="0.3">
      <c r="A64" s="112"/>
      <c r="B64" s="113" t="s">
        <v>16</v>
      </c>
      <c r="C64" s="155"/>
      <c r="D64" s="155"/>
      <c r="E64" s="155"/>
      <c r="F64" s="155"/>
      <c r="G64" s="155"/>
      <c r="H64" s="155"/>
      <c r="I64" s="155"/>
      <c r="J64" s="155"/>
      <c r="K64" s="155"/>
      <c r="L64" s="155"/>
      <c r="M64" s="155"/>
      <c r="N64" s="155"/>
      <c r="O64" s="155"/>
      <c r="P64" s="155"/>
      <c r="Q64" s="155"/>
      <c r="R64" s="155"/>
      <c r="S64" s="116"/>
      <c r="T64" s="2"/>
    </row>
    <row r="65" spans="1:20" ht="15.6" x14ac:dyDescent="0.3">
      <c r="A65" s="112"/>
      <c r="B65" s="113"/>
      <c r="C65" s="155"/>
      <c r="D65" s="155"/>
      <c r="E65" s="155"/>
      <c r="F65" s="155"/>
      <c r="G65" s="155"/>
      <c r="H65" s="155"/>
      <c r="I65" s="155"/>
      <c r="J65" s="155"/>
      <c r="K65" s="155"/>
      <c r="L65" s="155"/>
      <c r="M65" s="155"/>
      <c r="N65" s="155"/>
      <c r="O65" s="155"/>
      <c r="P65" s="155"/>
      <c r="Q65" s="155"/>
      <c r="R65" s="155"/>
      <c r="S65" s="116"/>
      <c r="T65" s="2"/>
    </row>
    <row r="66" spans="1:20" ht="15.6" x14ac:dyDescent="0.3">
      <c r="A66" s="112"/>
      <c r="B66" s="113" t="s">
        <v>17</v>
      </c>
      <c r="C66" s="155"/>
      <c r="D66" s="155"/>
      <c r="E66" s="155"/>
      <c r="F66" s="155"/>
      <c r="G66" s="155"/>
      <c r="H66" s="155"/>
      <c r="I66" s="155"/>
      <c r="J66" s="155"/>
      <c r="K66" s="155"/>
      <c r="L66" s="155"/>
      <c r="M66" s="155"/>
      <c r="N66" s="155"/>
      <c r="O66" s="155"/>
      <c r="P66" s="155"/>
      <c r="Q66" s="155"/>
      <c r="R66" s="155"/>
      <c r="S66" s="116"/>
      <c r="T66" s="2"/>
    </row>
    <row r="67" spans="1:20" ht="15.6" x14ac:dyDescent="0.3">
      <c r="A67" s="112"/>
      <c r="B67" s="113"/>
      <c r="C67" s="155"/>
      <c r="D67" s="155"/>
      <c r="E67" s="155"/>
      <c r="F67" s="155"/>
      <c r="G67" s="155"/>
      <c r="H67" s="155"/>
      <c r="I67" s="155"/>
      <c r="J67" s="155"/>
      <c r="K67" s="155"/>
      <c r="L67" s="155"/>
      <c r="M67" s="155"/>
      <c r="N67" s="155"/>
      <c r="O67" s="155"/>
      <c r="P67" s="155"/>
      <c r="Q67" s="155"/>
      <c r="R67" s="155"/>
      <c r="S67" s="116"/>
      <c r="T67" s="2"/>
    </row>
    <row r="68" spans="1:20" ht="15.6" x14ac:dyDescent="0.3">
      <c r="A68" s="112"/>
      <c r="B68" s="113" t="s">
        <v>19</v>
      </c>
      <c r="C68" s="155"/>
      <c r="D68" s="155"/>
      <c r="E68" s="155"/>
      <c r="F68" s="155">
        <v>0</v>
      </c>
      <c r="G68" s="155"/>
      <c r="H68" s="155">
        <v>0</v>
      </c>
      <c r="I68" s="155"/>
      <c r="J68" s="155"/>
      <c r="K68" s="155"/>
      <c r="L68" s="155"/>
      <c r="M68" s="155"/>
      <c r="N68" s="155"/>
      <c r="O68" s="155"/>
      <c r="P68" s="155"/>
      <c r="Q68" s="155"/>
      <c r="R68" s="156">
        <v>0</v>
      </c>
      <c r="S68" s="116"/>
      <c r="T68" s="2"/>
    </row>
    <row r="69" spans="1:20" ht="15.6" x14ac:dyDescent="0.3">
      <c r="A69" s="112"/>
      <c r="B69" s="113" t="s">
        <v>215</v>
      </c>
      <c r="C69" s="155"/>
      <c r="D69" s="155"/>
      <c r="E69" s="155"/>
      <c r="F69" s="155">
        <v>23451</v>
      </c>
      <c r="G69" s="155"/>
      <c r="H69" s="155">
        <v>0</v>
      </c>
      <c r="I69" s="155"/>
      <c r="J69" s="155">
        <v>0</v>
      </c>
      <c r="K69" s="155"/>
      <c r="L69" s="155">
        <v>0</v>
      </c>
      <c r="M69" s="155"/>
      <c r="N69" s="155"/>
      <c r="O69" s="155"/>
      <c r="P69" s="155"/>
      <c r="Q69" s="155"/>
      <c r="R69" s="155">
        <v>0</v>
      </c>
      <c r="S69" s="116"/>
      <c r="T69" s="2"/>
    </row>
    <row r="70" spans="1:20" ht="15.6" x14ac:dyDescent="0.3">
      <c r="A70" s="112"/>
      <c r="B70" s="113" t="s">
        <v>235</v>
      </c>
      <c r="C70" s="155"/>
      <c r="D70" s="155"/>
      <c r="E70" s="155"/>
      <c r="F70" s="155">
        <v>2175</v>
      </c>
      <c r="G70" s="155"/>
      <c r="H70" s="155">
        <v>0</v>
      </c>
      <c r="I70" s="155"/>
      <c r="J70" s="155"/>
      <c r="K70" s="155"/>
      <c r="L70" s="155"/>
      <c r="M70" s="155"/>
      <c r="N70" s="155">
        <v>0</v>
      </c>
      <c r="O70" s="155"/>
      <c r="P70" s="155"/>
      <c r="Q70" s="155"/>
      <c r="R70" s="155">
        <f>+H70+N70</f>
        <v>0</v>
      </c>
      <c r="S70" s="116"/>
      <c r="T70" s="2"/>
    </row>
    <row r="71" spans="1:20" ht="15.6" x14ac:dyDescent="0.3">
      <c r="A71" s="112"/>
      <c r="B71" s="113" t="s">
        <v>20</v>
      </c>
      <c r="C71" s="155"/>
      <c r="D71" s="155"/>
      <c r="E71" s="155"/>
      <c r="F71" s="155">
        <v>0</v>
      </c>
      <c r="G71" s="155"/>
      <c r="H71" s="155">
        <v>0</v>
      </c>
      <c r="I71" s="155"/>
      <c r="J71" s="155"/>
      <c r="K71" s="155"/>
      <c r="L71" s="155"/>
      <c r="M71" s="155"/>
      <c r="N71" s="155"/>
      <c r="O71" s="155"/>
      <c r="P71" s="155"/>
      <c r="Q71" s="155"/>
      <c r="R71" s="155">
        <v>0</v>
      </c>
      <c r="S71" s="116"/>
      <c r="T71" s="2"/>
    </row>
    <row r="72" spans="1:20" ht="15.6" x14ac:dyDescent="0.3">
      <c r="A72" s="112"/>
      <c r="B72" s="113" t="s">
        <v>21</v>
      </c>
      <c r="C72" s="155"/>
      <c r="D72" s="155"/>
      <c r="E72" s="155"/>
      <c r="F72" s="155">
        <f>SUM(F59:F71)</f>
        <v>250000</v>
      </c>
      <c r="G72" s="155"/>
      <c r="H72" s="155">
        <f>SUM(H59:H71)</f>
        <v>152844</v>
      </c>
      <c r="I72" s="155"/>
      <c r="J72" s="155"/>
      <c r="K72" s="155"/>
      <c r="L72" s="155"/>
      <c r="M72" s="155"/>
      <c r="N72" s="155"/>
      <c r="O72" s="155"/>
      <c r="P72" s="155"/>
      <c r="Q72" s="155"/>
      <c r="R72" s="155">
        <f>SUM(R59:R71)</f>
        <v>124552</v>
      </c>
      <c r="S72" s="116"/>
      <c r="T72" s="2"/>
    </row>
    <row r="73" spans="1:20" ht="15.6" x14ac:dyDescent="0.3">
      <c r="A73" s="12"/>
      <c r="B73" s="43"/>
      <c r="C73" s="153"/>
      <c r="D73" s="153"/>
      <c r="E73" s="153"/>
      <c r="F73" s="153"/>
      <c r="G73" s="153"/>
      <c r="H73" s="153"/>
      <c r="I73" s="153"/>
      <c r="J73" s="153"/>
      <c r="K73" s="153"/>
      <c r="L73" s="153"/>
      <c r="M73" s="153"/>
      <c r="N73" s="153"/>
      <c r="O73" s="153"/>
      <c r="P73" s="153"/>
      <c r="Q73" s="153"/>
      <c r="R73" s="154"/>
      <c r="S73" s="218"/>
      <c r="T73" s="2"/>
    </row>
    <row r="74" spans="1:20" ht="15.6" x14ac:dyDescent="0.3">
      <c r="A74" s="12"/>
      <c r="B74" s="14"/>
      <c r="C74" s="14"/>
      <c r="D74" s="14"/>
      <c r="E74" s="14"/>
      <c r="F74" s="14"/>
      <c r="G74" s="14"/>
      <c r="H74" s="14"/>
      <c r="I74" s="14"/>
      <c r="J74" s="14"/>
      <c r="K74" s="14"/>
      <c r="L74" s="14"/>
      <c r="M74" s="14"/>
      <c r="N74" s="14"/>
      <c r="O74" s="14"/>
      <c r="P74" s="14"/>
      <c r="Q74" s="14"/>
      <c r="R74" s="14"/>
      <c r="S74" s="218"/>
      <c r="T74" s="2"/>
    </row>
    <row r="75" spans="1:20" ht="15.6" x14ac:dyDescent="0.3">
      <c r="A75" s="53"/>
      <c r="B75" s="61" t="s">
        <v>22</v>
      </c>
      <c r="C75" s="61"/>
      <c r="D75" s="62"/>
      <c r="E75" s="62"/>
      <c r="F75" s="62"/>
      <c r="G75" s="62"/>
      <c r="H75" s="63" t="s">
        <v>77</v>
      </c>
      <c r="I75" s="62"/>
      <c r="J75" s="64">
        <f>+P197</f>
        <v>42794</v>
      </c>
      <c r="K75" s="62"/>
      <c r="L75" s="62"/>
      <c r="M75" s="62"/>
      <c r="N75" s="62"/>
      <c r="O75" s="62"/>
      <c r="P75" s="62" t="s">
        <v>87</v>
      </c>
      <c r="Q75" s="62"/>
      <c r="R75" s="62" t="s">
        <v>93</v>
      </c>
      <c r="S75" s="220"/>
      <c r="T75" s="2"/>
    </row>
    <row r="76" spans="1:20" ht="15.6" x14ac:dyDescent="0.3">
      <c r="A76" s="77"/>
      <c r="B76" s="79" t="s">
        <v>23</v>
      </c>
      <c r="C76" s="25"/>
      <c r="D76" s="25"/>
      <c r="E76" s="25"/>
      <c r="F76" s="25"/>
      <c r="G76" s="25"/>
      <c r="H76" s="25"/>
      <c r="I76" s="25"/>
      <c r="J76" s="25"/>
      <c r="K76" s="25"/>
      <c r="L76" s="25"/>
      <c r="M76" s="25"/>
      <c r="N76" s="25"/>
      <c r="O76" s="25"/>
      <c r="P76" s="78">
        <v>0</v>
      </c>
      <c r="Q76" s="79"/>
      <c r="R76" s="82">
        <v>0</v>
      </c>
      <c r="S76" s="223"/>
      <c r="T76" s="2"/>
    </row>
    <row r="77" spans="1:20" ht="15.6" x14ac:dyDescent="0.3">
      <c r="A77" s="122"/>
      <c r="B77" s="113" t="s">
        <v>248</v>
      </c>
      <c r="C77" s="135"/>
      <c r="D77" s="157"/>
      <c r="E77" s="157"/>
      <c r="F77" s="157"/>
      <c r="G77" s="158"/>
      <c r="H77" s="157"/>
      <c r="I77" s="135"/>
      <c r="J77" s="159"/>
      <c r="K77" s="135"/>
      <c r="L77" s="135"/>
      <c r="M77" s="135"/>
      <c r="N77" s="135"/>
      <c r="O77" s="135"/>
      <c r="P77" s="155">
        <f>-N70</f>
        <v>0</v>
      </c>
      <c r="Q77" s="113"/>
      <c r="R77" s="156"/>
      <c r="S77" s="139"/>
      <c r="T77" s="2"/>
    </row>
    <row r="78" spans="1:20" ht="15.6" x14ac:dyDescent="0.3">
      <c r="A78" s="122"/>
      <c r="B78" s="113" t="s">
        <v>249</v>
      </c>
      <c r="C78" s="135"/>
      <c r="D78" s="157"/>
      <c r="E78" s="157"/>
      <c r="F78" s="157"/>
      <c r="G78" s="158"/>
      <c r="H78" s="157"/>
      <c r="I78" s="135"/>
      <c r="J78" s="159"/>
      <c r="K78" s="135"/>
      <c r="L78" s="135"/>
      <c r="M78" s="135"/>
      <c r="N78" s="135"/>
      <c r="O78" s="135"/>
      <c r="P78" s="155">
        <v>0</v>
      </c>
      <c r="Q78" s="113"/>
      <c r="R78" s="156"/>
      <c r="S78" s="139"/>
      <c r="T78" s="2"/>
    </row>
    <row r="79" spans="1:20" ht="15.6" x14ac:dyDescent="0.3">
      <c r="A79" s="122"/>
      <c r="B79" s="113" t="s">
        <v>24</v>
      </c>
      <c r="C79" s="135"/>
      <c r="D79" s="157"/>
      <c r="E79" s="157"/>
      <c r="F79" s="157"/>
      <c r="G79" s="158"/>
      <c r="H79" s="157"/>
      <c r="I79" s="135"/>
      <c r="J79" s="159"/>
      <c r="K79" s="135"/>
      <c r="L79" s="135"/>
      <c r="M79" s="135"/>
      <c r="N79" s="135"/>
      <c r="O79" s="135"/>
      <c r="P79" s="155">
        <f>+J56+L56</f>
        <v>28292</v>
      </c>
      <c r="Q79" s="113"/>
      <c r="R79" s="156"/>
      <c r="S79" s="139"/>
      <c r="T79" s="2"/>
    </row>
    <row r="80" spans="1:20" ht="15.6" x14ac:dyDescent="0.3">
      <c r="A80" s="122"/>
      <c r="B80" s="113" t="s">
        <v>135</v>
      </c>
      <c r="C80" s="135"/>
      <c r="D80" s="157"/>
      <c r="E80" s="157"/>
      <c r="F80" s="157"/>
      <c r="G80" s="158"/>
      <c r="H80" s="157"/>
      <c r="I80" s="135"/>
      <c r="J80" s="159"/>
      <c r="K80" s="135"/>
      <c r="L80" s="135"/>
      <c r="M80" s="135"/>
      <c r="N80" s="135"/>
      <c r="O80" s="135"/>
      <c r="P80" s="155"/>
      <c r="Q80" s="113"/>
      <c r="R80" s="156">
        <f>2097-450</f>
        <v>1647</v>
      </c>
      <c r="S80" s="139"/>
      <c r="T80" s="2"/>
    </row>
    <row r="81" spans="1:20" ht="15.6" x14ac:dyDescent="0.3">
      <c r="A81" s="122"/>
      <c r="B81" s="113" t="s">
        <v>133</v>
      </c>
      <c r="C81" s="135"/>
      <c r="D81" s="157"/>
      <c r="E81" s="157"/>
      <c r="F81" s="157"/>
      <c r="G81" s="158"/>
      <c r="H81" s="157"/>
      <c r="I81" s="135"/>
      <c r="J81" s="159"/>
      <c r="K81" s="135"/>
      <c r="L81" s="135"/>
      <c r="M81" s="135"/>
      <c r="N81" s="135"/>
      <c r="O81" s="135"/>
      <c r="P81" s="155"/>
      <c r="Q81" s="113"/>
      <c r="R81" s="156">
        <v>112</v>
      </c>
      <c r="S81" s="139"/>
      <c r="T81" s="2"/>
    </row>
    <row r="82" spans="1:20" ht="15.6" x14ac:dyDescent="0.3">
      <c r="A82" s="122"/>
      <c r="B82" s="113" t="s">
        <v>134</v>
      </c>
      <c r="C82" s="135"/>
      <c r="D82" s="157"/>
      <c r="E82" s="157"/>
      <c r="F82" s="157"/>
      <c r="G82" s="158"/>
      <c r="H82" s="157"/>
      <c r="I82" s="135"/>
      <c r="J82" s="159"/>
      <c r="K82" s="135"/>
      <c r="L82" s="135"/>
      <c r="M82" s="135"/>
      <c r="N82" s="135"/>
      <c r="O82" s="135"/>
      <c r="P82" s="155"/>
      <c r="Q82" s="113"/>
      <c r="R82" s="156">
        <v>17</v>
      </c>
      <c r="S82" s="139"/>
      <c r="T82" s="2"/>
    </row>
    <row r="83" spans="1:20" ht="15.6" x14ac:dyDescent="0.3">
      <c r="A83" s="122"/>
      <c r="B83" s="113" t="s">
        <v>143</v>
      </c>
      <c r="C83" s="135"/>
      <c r="D83" s="157"/>
      <c r="E83" s="157"/>
      <c r="F83" s="157"/>
      <c r="G83" s="158"/>
      <c r="H83" s="157"/>
      <c r="I83" s="135"/>
      <c r="J83" s="159"/>
      <c r="K83" s="135"/>
      <c r="L83" s="135"/>
      <c r="M83" s="135"/>
      <c r="N83" s="135"/>
      <c r="O83" s="135"/>
      <c r="P83" s="155"/>
      <c r="Q83" s="113"/>
      <c r="R83" s="156">
        <v>0</v>
      </c>
      <c r="S83" s="139"/>
      <c r="T83" s="2"/>
    </row>
    <row r="84" spans="1:20" ht="15.6" x14ac:dyDescent="0.3">
      <c r="A84" s="122"/>
      <c r="B84" s="113" t="s">
        <v>145</v>
      </c>
      <c r="C84" s="135"/>
      <c r="D84" s="157"/>
      <c r="E84" s="157"/>
      <c r="F84" s="157"/>
      <c r="G84" s="158"/>
      <c r="H84" s="157"/>
      <c r="I84" s="135"/>
      <c r="J84" s="159"/>
      <c r="K84" s="135"/>
      <c r="L84" s="135"/>
      <c r="M84" s="135"/>
      <c r="N84" s="135"/>
      <c r="O84" s="135"/>
      <c r="P84" s="155"/>
      <c r="Q84" s="113"/>
      <c r="R84" s="156">
        <v>84</v>
      </c>
      <c r="S84" s="139"/>
      <c r="T84" s="2"/>
    </row>
    <row r="85" spans="1:20" ht="15.6" x14ac:dyDescent="0.3">
      <c r="A85" s="122"/>
      <c r="B85" s="113" t="s">
        <v>167</v>
      </c>
      <c r="C85" s="135"/>
      <c r="D85" s="157"/>
      <c r="E85" s="157"/>
      <c r="F85" s="157"/>
      <c r="G85" s="158"/>
      <c r="H85" s="157"/>
      <c r="I85" s="135"/>
      <c r="J85" s="159"/>
      <c r="K85" s="135"/>
      <c r="L85" s="135"/>
      <c r="M85" s="135"/>
      <c r="N85" s="135"/>
      <c r="O85" s="135"/>
      <c r="P85" s="155"/>
      <c r="Q85" s="113"/>
      <c r="R85" s="156">
        <v>0</v>
      </c>
      <c r="S85" s="139"/>
      <c r="T85" s="2"/>
    </row>
    <row r="86" spans="1:20" ht="15.6" x14ac:dyDescent="0.3">
      <c r="A86" s="122"/>
      <c r="B86" s="113" t="s">
        <v>168</v>
      </c>
      <c r="C86" s="135"/>
      <c r="D86" s="157"/>
      <c r="E86" s="157"/>
      <c r="F86" s="157"/>
      <c r="G86" s="158"/>
      <c r="H86" s="157"/>
      <c r="I86" s="135"/>
      <c r="J86" s="159"/>
      <c r="K86" s="135"/>
      <c r="L86" s="135"/>
      <c r="M86" s="135"/>
      <c r="N86" s="135"/>
      <c r="O86" s="135"/>
      <c r="P86" s="155"/>
      <c r="Q86" s="113"/>
      <c r="R86" s="156">
        <v>0</v>
      </c>
      <c r="S86" s="139"/>
      <c r="T86" s="2"/>
    </row>
    <row r="87" spans="1:20" ht="15.6" x14ac:dyDescent="0.3">
      <c r="A87" s="122"/>
      <c r="B87" s="113" t="s">
        <v>169</v>
      </c>
      <c r="C87" s="135"/>
      <c r="D87" s="135"/>
      <c r="E87" s="135"/>
      <c r="F87" s="135"/>
      <c r="G87" s="135"/>
      <c r="H87" s="135"/>
      <c r="I87" s="135"/>
      <c r="J87" s="135"/>
      <c r="K87" s="135"/>
      <c r="L87" s="135"/>
      <c r="M87" s="135"/>
      <c r="N87" s="135"/>
      <c r="O87" s="135"/>
      <c r="P87" s="155"/>
      <c r="Q87" s="113"/>
      <c r="R87" s="156">
        <v>0</v>
      </c>
      <c r="S87" s="139"/>
      <c r="T87" s="2"/>
    </row>
    <row r="88" spans="1:20" ht="15.6" x14ac:dyDescent="0.3">
      <c r="A88" s="122"/>
      <c r="B88" s="113" t="s">
        <v>227</v>
      </c>
      <c r="C88" s="135"/>
      <c r="D88" s="135"/>
      <c r="E88" s="135"/>
      <c r="F88" s="135"/>
      <c r="G88" s="135"/>
      <c r="H88" s="135"/>
      <c r="I88" s="135"/>
      <c r="J88" s="135"/>
      <c r="K88" s="135"/>
      <c r="L88" s="135"/>
      <c r="M88" s="135"/>
      <c r="N88" s="135"/>
      <c r="O88" s="135"/>
      <c r="P88" s="155"/>
      <c r="Q88" s="113"/>
      <c r="R88" s="156">
        <v>0</v>
      </c>
      <c r="S88" s="139"/>
      <c r="T88" s="2"/>
    </row>
    <row r="89" spans="1:20" ht="15.6" x14ac:dyDescent="0.3">
      <c r="A89" s="122"/>
      <c r="B89" s="113" t="s">
        <v>25</v>
      </c>
      <c r="C89" s="135"/>
      <c r="D89" s="135"/>
      <c r="E89" s="135"/>
      <c r="F89" s="135"/>
      <c r="G89" s="135"/>
      <c r="H89" s="135"/>
      <c r="I89" s="135"/>
      <c r="J89" s="135"/>
      <c r="K89" s="135"/>
      <c r="L89" s="135"/>
      <c r="M89" s="135"/>
      <c r="N89" s="135"/>
      <c r="O89" s="135"/>
      <c r="P89" s="155">
        <f>SUM(P76:P88)</f>
        <v>28292</v>
      </c>
      <c r="Q89" s="113"/>
      <c r="R89" s="155">
        <f>SUM(R76:R88)</f>
        <v>1860</v>
      </c>
      <c r="S89" s="139"/>
      <c r="T89" s="2"/>
    </row>
    <row r="90" spans="1:20" ht="15.6" x14ac:dyDescent="0.3">
      <c r="A90" s="122"/>
      <c r="B90" s="113" t="s">
        <v>26</v>
      </c>
      <c r="C90" s="135"/>
      <c r="D90" s="135"/>
      <c r="E90" s="135"/>
      <c r="F90" s="135"/>
      <c r="G90" s="135"/>
      <c r="H90" s="135"/>
      <c r="I90" s="135"/>
      <c r="J90" s="135"/>
      <c r="K90" s="135"/>
      <c r="L90" s="135"/>
      <c r="M90" s="135"/>
      <c r="N90" s="135"/>
      <c r="O90" s="135"/>
      <c r="P90" s="155">
        <f>-R90</f>
        <v>0</v>
      </c>
      <c r="Q90" s="113"/>
      <c r="R90" s="156">
        <v>0</v>
      </c>
      <c r="S90" s="139"/>
      <c r="T90" s="2"/>
    </row>
    <row r="91" spans="1:20" ht="15.6" x14ac:dyDescent="0.3">
      <c r="A91" s="122"/>
      <c r="B91" s="113" t="s">
        <v>150</v>
      </c>
      <c r="C91" s="135"/>
      <c r="D91" s="135"/>
      <c r="E91" s="135"/>
      <c r="F91" s="135"/>
      <c r="G91" s="135"/>
      <c r="H91" s="135"/>
      <c r="I91" s="135"/>
      <c r="J91" s="135"/>
      <c r="K91" s="135"/>
      <c r="L91" s="135"/>
      <c r="M91" s="135"/>
      <c r="N91" s="135"/>
      <c r="O91" s="135"/>
      <c r="P91" s="155"/>
      <c r="Q91" s="113"/>
      <c r="R91" s="156">
        <v>0</v>
      </c>
      <c r="S91" s="139"/>
      <c r="T91" s="2"/>
    </row>
    <row r="92" spans="1:20" ht="15.6" x14ac:dyDescent="0.3">
      <c r="A92" s="122"/>
      <c r="B92" s="113" t="s">
        <v>27</v>
      </c>
      <c r="C92" s="135"/>
      <c r="D92" s="135"/>
      <c r="E92" s="135"/>
      <c r="F92" s="135"/>
      <c r="G92" s="135"/>
      <c r="H92" s="135"/>
      <c r="I92" s="135"/>
      <c r="J92" s="135"/>
      <c r="K92" s="135"/>
      <c r="L92" s="135"/>
      <c r="M92" s="135"/>
      <c r="N92" s="135"/>
      <c r="O92" s="135"/>
      <c r="P92" s="155">
        <f>P89+P90</f>
        <v>28292</v>
      </c>
      <c r="Q92" s="113"/>
      <c r="R92" s="155">
        <f>R89+R90+R91</f>
        <v>1860</v>
      </c>
      <c r="S92" s="139"/>
      <c r="T92" s="2"/>
    </row>
    <row r="93" spans="1:20" ht="15.6" x14ac:dyDescent="0.3">
      <c r="A93" s="112"/>
      <c r="B93" s="160" t="s">
        <v>28</v>
      </c>
      <c r="C93" s="135"/>
      <c r="D93" s="135"/>
      <c r="E93" s="135"/>
      <c r="F93" s="135"/>
      <c r="G93" s="135"/>
      <c r="H93" s="135"/>
      <c r="I93" s="135"/>
      <c r="J93" s="135"/>
      <c r="K93" s="135"/>
      <c r="L93" s="135"/>
      <c r="M93" s="135"/>
      <c r="N93" s="135"/>
      <c r="O93" s="135"/>
      <c r="P93" s="155"/>
      <c r="Q93" s="113"/>
      <c r="R93" s="156"/>
      <c r="S93" s="139"/>
      <c r="T93" s="2"/>
    </row>
    <row r="94" spans="1:20" ht="15.6" x14ac:dyDescent="0.3">
      <c r="A94" s="122">
        <v>1</v>
      </c>
      <c r="B94" s="113" t="s">
        <v>180</v>
      </c>
      <c r="C94" s="135"/>
      <c r="D94" s="135"/>
      <c r="E94" s="135"/>
      <c r="F94" s="135"/>
      <c r="G94" s="135"/>
      <c r="H94" s="135"/>
      <c r="I94" s="135"/>
      <c r="J94" s="135"/>
      <c r="K94" s="135"/>
      <c r="L94" s="135"/>
      <c r="M94" s="135"/>
      <c r="N94" s="135"/>
      <c r="O94" s="135"/>
      <c r="P94" s="155"/>
      <c r="Q94" s="113"/>
      <c r="R94" s="156">
        <v>0</v>
      </c>
      <c r="S94" s="139"/>
      <c r="T94" s="2"/>
    </row>
    <row r="95" spans="1:20" ht="15.6" x14ac:dyDescent="0.3">
      <c r="A95" s="122">
        <v>2</v>
      </c>
      <c r="B95" s="113" t="s">
        <v>214</v>
      </c>
      <c r="C95" s="113"/>
      <c r="D95" s="135"/>
      <c r="E95" s="135"/>
      <c r="F95" s="135"/>
      <c r="G95" s="135"/>
      <c r="H95" s="135"/>
      <c r="I95" s="135"/>
      <c r="J95" s="135"/>
      <c r="K95" s="135"/>
      <c r="L95" s="135"/>
      <c r="M95" s="135"/>
      <c r="N95" s="135"/>
      <c r="O95" s="135"/>
      <c r="P95" s="113"/>
      <c r="Q95" s="113"/>
      <c r="R95" s="156">
        <v>-3</v>
      </c>
      <c r="S95" s="139"/>
      <c r="T95" s="2"/>
    </row>
    <row r="96" spans="1:20" ht="15.6" x14ac:dyDescent="0.3">
      <c r="A96" s="122">
        <v>3</v>
      </c>
      <c r="B96" s="113" t="s">
        <v>267</v>
      </c>
      <c r="C96" s="113"/>
      <c r="D96" s="135"/>
      <c r="E96" s="135"/>
      <c r="F96" s="135"/>
      <c r="G96" s="135"/>
      <c r="H96" s="135"/>
      <c r="I96" s="135"/>
      <c r="J96" s="135"/>
      <c r="K96" s="135"/>
      <c r="L96" s="135"/>
      <c r="M96" s="135"/>
      <c r="N96" s="135"/>
      <c r="O96" s="135"/>
      <c r="P96" s="113"/>
      <c r="Q96" s="113"/>
      <c r="R96" s="156">
        <f>-57-27-3</f>
        <v>-87</v>
      </c>
      <c r="S96" s="139"/>
      <c r="T96" s="2"/>
    </row>
    <row r="97" spans="1:21" ht="15.6" x14ac:dyDescent="0.3">
      <c r="A97" s="122">
        <v>4</v>
      </c>
      <c r="B97" s="113" t="s">
        <v>96</v>
      </c>
      <c r="C97" s="113"/>
      <c r="D97" s="135"/>
      <c r="E97" s="135"/>
      <c r="F97" s="135"/>
      <c r="G97" s="135"/>
      <c r="H97" s="135"/>
      <c r="I97" s="135"/>
      <c r="J97" s="135"/>
      <c r="K97" s="135"/>
      <c r="L97" s="135"/>
      <c r="M97" s="135"/>
      <c r="N97" s="135"/>
      <c r="O97" s="135"/>
      <c r="P97" s="113"/>
      <c r="Q97" s="113"/>
      <c r="R97" s="156">
        <v>-56</v>
      </c>
      <c r="S97" s="139"/>
      <c r="T97" s="2"/>
    </row>
    <row r="98" spans="1:21" ht="15.6" x14ac:dyDescent="0.3">
      <c r="A98" s="122">
        <v>5</v>
      </c>
      <c r="B98" s="113" t="s">
        <v>157</v>
      </c>
      <c r="C98" s="113"/>
      <c r="D98" s="135"/>
      <c r="E98" s="135"/>
      <c r="F98" s="135"/>
      <c r="G98" s="135"/>
      <c r="H98" s="135"/>
      <c r="I98" s="135"/>
      <c r="J98" s="135"/>
      <c r="K98" s="135"/>
      <c r="L98" s="135"/>
      <c r="M98" s="135"/>
      <c r="N98" s="135"/>
      <c r="O98" s="135"/>
      <c r="P98" s="113"/>
      <c r="Q98" s="113"/>
      <c r="R98" s="156">
        <v>-349</v>
      </c>
      <c r="S98" s="139"/>
      <c r="T98" s="2"/>
      <c r="U98" s="4"/>
    </row>
    <row r="99" spans="1:21" ht="15.6" x14ac:dyDescent="0.3">
      <c r="A99" s="122">
        <v>6</v>
      </c>
      <c r="B99" s="113" t="s">
        <v>207</v>
      </c>
      <c r="C99" s="113"/>
      <c r="D99" s="135"/>
      <c r="E99" s="135"/>
      <c r="F99" s="135"/>
      <c r="G99" s="135"/>
      <c r="H99" s="135"/>
      <c r="I99" s="135"/>
      <c r="J99" s="135"/>
      <c r="K99" s="135"/>
      <c r="L99" s="135"/>
      <c r="M99" s="135"/>
      <c r="N99" s="135"/>
      <c r="O99" s="135"/>
      <c r="P99" s="113"/>
      <c r="Q99" s="113"/>
      <c r="R99" s="156">
        <v>-77</v>
      </c>
      <c r="S99" s="139"/>
      <c r="T99" s="2"/>
      <c r="U99" s="4"/>
    </row>
    <row r="100" spans="1:21" ht="15.6" x14ac:dyDescent="0.3">
      <c r="A100" s="122">
        <v>7</v>
      </c>
      <c r="B100" s="113" t="s">
        <v>208</v>
      </c>
      <c r="C100" s="113"/>
      <c r="D100" s="135"/>
      <c r="E100" s="135"/>
      <c r="F100" s="135"/>
      <c r="G100" s="135"/>
      <c r="H100" s="135"/>
      <c r="I100" s="135"/>
      <c r="J100" s="135"/>
      <c r="K100" s="135"/>
      <c r="L100" s="135"/>
      <c r="M100" s="135"/>
      <c r="N100" s="135"/>
      <c r="O100" s="135"/>
      <c r="P100" s="113"/>
      <c r="Q100" s="113"/>
      <c r="R100" s="156">
        <v>-42</v>
      </c>
      <c r="S100" s="139"/>
      <c r="T100" s="2"/>
      <c r="U100" s="4"/>
    </row>
    <row r="101" spans="1:21" ht="15.6" x14ac:dyDescent="0.3">
      <c r="A101" s="122">
        <v>8</v>
      </c>
      <c r="B101" s="113" t="s">
        <v>158</v>
      </c>
      <c r="C101" s="113"/>
      <c r="D101" s="135"/>
      <c r="E101" s="135"/>
      <c r="F101" s="135"/>
      <c r="G101" s="135"/>
      <c r="H101" s="135"/>
      <c r="I101" s="135"/>
      <c r="J101" s="135"/>
      <c r="K101" s="135"/>
      <c r="L101" s="135"/>
      <c r="M101" s="135"/>
      <c r="N101" s="135"/>
      <c r="O101" s="135"/>
      <c r="P101" s="113"/>
      <c r="Q101" s="113"/>
      <c r="R101" s="156">
        <v>0</v>
      </c>
      <c r="S101" s="139"/>
      <c r="T101" s="2"/>
      <c r="U101" s="4"/>
    </row>
    <row r="102" spans="1:21" ht="15.6" x14ac:dyDescent="0.3">
      <c r="A102" s="122">
        <v>9</v>
      </c>
      <c r="B102" s="113" t="s">
        <v>37</v>
      </c>
      <c r="C102" s="113"/>
      <c r="D102" s="135"/>
      <c r="E102" s="135"/>
      <c r="F102" s="135"/>
      <c r="G102" s="135"/>
      <c r="H102" s="135"/>
      <c r="I102" s="135"/>
      <c r="J102" s="135"/>
      <c r="K102" s="135"/>
      <c r="L102" s="135"/>
      <c r="M102" s="135"/>
      <c r="N102" s="135"/>
      <c r="O102" s="135"/>
      <c r="P102" s="155">
        <f>-R102</f>
        <v>0</v>
      </c>
      <c r="Q102" s="113"/>
      <c r="R102" s="156">
        <v>0</v>
      </c>
      <c r="S102" s="139"/>
      <c r="T102" s="2"/>
    </row>
    <row r="103" spans="1:21" ht="15.6" x14ac:dyDescent="0.3">
      <c r="A103" s="122">
        <v>10</v>
      </c>
      <c r="B103" s="113" t="s">
        <v>101</v>
      </c>
      <c r="C103" s="113"/>
      <c r="D103" s="135"/>
      <c r="E103" s="135"/>
      <c r="F103" s="135"/>
      <c r="G103" s="135"/>
      <c r="H103" s="135"/>
      <c r="I103" s="135"/>
      <c r="J103" s="135"/>
      <c r="K103" s="135"/>
      <c r="L103" s="135"/>
      <c r="M103" s="135"/>
      <c r="N103" s="135"/>
      <c r="O103" s="135"/>
      <c r="P103" s="113"/>
      <c r="Q103" s="113"/>
      <c r="R103" s="156">
        <v>0</v>
      </c>
      <c r="S103" s="139"/>
      <c r="T103" s="2"/>
    </row>
    <row r="104" spans="1:21" ht="15.6" x14ac:dyDescent="0.3">
      <c r="A104" s="122">
        <v>11</v>
      </c>
      <c r="B104" s="113" t="s">
        <v>29</v>
      </c>
      <c r="C104" s="113"/>
      <c r="D104" s="135"/>
      <c r="E104" s="135"/>
      <c r="F104" s="135"/>
      <c r="G104" s="135"/>
      <c r="H104" s="135"/>
      <c r="I104" s="135"/>
      <c r="J104" s="135"/>
      <c r="K104" s="135"/>
      <c r="L104" s="135"/>
      <c r="M104" s="135"/>
      <c r="N104" s="135"/>
      <c r="O104" s="135"/>
      <c r="P104" s="113"/>
      <c r="Q104" s="113"/>
      <c r="R104" s="156">
        <v>-20</v>
      </c>
      <c r="S104" s="139"/>
      <c r="T104" s="2"/>
    </row>
    <row r="105" spans="1:21" ht="15.6" x14ac:dyDescent="0.3">
      <c r="A105" s="122">
        <v>12</v>
      </c>
      <c r="B105" s="113" t="s">
        <v>138</v>
      </c>
      <c r="C105" s="113"/>
      <c r="D105" s="135"/>
      <c r="E105" s="135"/>
      <c r="F105" s="135"/>
      <c r="G105" s="135"/>
      <c r="H105" s="135"/>
      <c r="I105" s="135"/>
      <c r="J105" s="135"/>
      <c r="K105" s="135"/>
      <c r="L105" s="135"/>
      <c r="M105" s="135"/>
      <c r="N105" s="135"/>
      <c r="O105" s="135"/>
      <c r="P105" s="113"/>
      <c r="Q105" s="113"/>
      <c r="R105" s="156">
        <v>0</v>
      </c>
      <c r="S105" s="139"/>
      <c r="T105" s="2"/>
    </row>
    <row r="106" spans="1:21" ht="15.6" x14ac:dyDescent="0.3">
      <c r="A106" s="122">
        <v>13</v>
      </c>
      <c r="B106" s="113" t="s">
        <v>209</v>
      </c>
      <c r="C106" s="113"/>
      <c r="D106" s="135"/>
      <c r="E106" s="135"/>
      <c r="F106" s="135"/>
      <c r="G106" s="135"/>
      <c r="H106" s="135"/>
      <c r="I106" s="135"/>
      <c r="J106" s="135"/>
      <c r="K106" s="135"/>
      <c r="L106" s="135"/>
      <c r="M106" s="135"/>
      <c r="N106" s="135"/>
      <c r="O106" s="135"/>
      <c r="P106" s="113"/>
      <c r="Q106" s="113"/>
      <c r="R106" s="156">
        <v>-38</v>
      </c>
      <c r="S106" s="139"/>
      <c r="T106" s="2"/>
    </row>
    <row r="107" spans="1:21" ht="15.6" x14ac:dyDescent="0.3">
      <c r="A107" s="122">
        <v>14</v>
      </c>
      <c r="B107" s="113" t="s">
        <v>159</v>
      </c>
      <c r="C107" s="113"/>
      <c r="D107" s="135"/>
      <c r="E107" s="135"/>
      <c r="F107" s="135"/>
      <c r="G107" s="135"/>
      <c r="H107" s="135"/>
      <c r="I107" s="135"/>
      <c r="J107" s="135"/>
      <c r="K107" s="135"/>
      <c r="L107" s="135"/>
      <c r="M107" s="135"/>
      <c r="N107" s="135"/>
      <c r="O107" s="135"/>
      <c r="P107" s="113"/>
      <c r="Q107" s="113"/>
      <c r="R107" s="156">
        <v>0</v>
      </c>
      <c r="S107" s="139"/>
      <c r="T107" s="2"/>
    </row>
    <row r="108" spans="1:21" ht="15.6" x14ac:dyDescent="0.3">
      <c r="A108" s="122">
        <v>15</v>
      </c>
      <c r="B108" s="113" t="s">
        <v>237</v>
      </c>
      <c r="C108" s="113"/>
      <c r="D108" s="135"/>
      <c r="E108" s="135"/>
      <c r="F108" s="135"/>
      <c r="G108" s="135"/>
      <c r="H108" s="135"/>
      <c r="I108" s="135"/>
      <c r="J108" s="135"/>
      <c r="K108" s="135"/>
      <c r="L108" s="135"/>
      <c r="M108" s="135"/>
      <c r="N108" s="135"/>
      <c r="O108" s="135"/>
      <c r="P108" s="113"/>
      <c r="Q108" s="113"/>
      <c r="R108" s="156">
        <v>-56</v>
      </c>
      <c r="S108" s="139"/>
      <c r="T108" s="2"/>
    </row>
    <row r="109" spans="1:21" ht="15.6" x14ac:dyDescent="0.3">
      <c r="A109" s="122">
        <v>16</v>
      </c>
      <c r="B109" s="113" t="s">
        <v>170</v>
      </c>
      <c r="C109" s="113"/>
      <c r="D109" s="135"/>
      <c r="E109" s="135"/>
      <c r="F109" s="135"/>
      <c r="G109" s="135"/>
      <c r="H109" s="135"/>
      <c r="I109" s="135"/>
      <c r="J109" s="135"/>
      <c r="K109" s="135"/>
      <c r="L109" s="135"/>
      <c r="M109" s="135"/>
      <c r="N109" s="135"/>
      <c r="O109" s="135"/>
      <c r="P109" s="113"/>
      <c r="Q109" s="113"/>
      <c r="R109" s="156">
        <f>-14-157</f>
        <v>-171</v>
      </c>
      <c r="S109" s="139"/>
      <c r="T109" s="2"/>
    </row>
    <row r="110" spans="1:21" ht="15.6" x14ac:dyDescent="0.3">
      <c r="A110" s="122">
        <v>17</v>
      </c>
      <c r="B110" s="113" t="s">
        <v>175</v>
      </c>
      <c r="C110" s="113"/>
      <c r="D110" s="135"/>
      <c r="E110" s="135"/>
      <c r="F110" s="135"/>
      <c r="G110" s="135"/>
      <c r="H110" s="135"/>
      <c r="I110" s="135"/>
      <c r="J110" s="135"/>
      <c r="K110" s="135"/>
      <c r="L110" s="135"/>
      <c r="M110" s="135"/>
      <c r="N110" s="135"/>
      <c r="O110" s="135"/>
      <c r="P110" s="113"/>
      <c r="Q110" s="113"/>
      <c r="R110" s="156">
        <f>-R92-SUM(R94:R109)</f>
        <v>-961</v>
      </c>
      <c r="S110" s="139"/>
      <c r="T110" s="2"/>
    </row>
    <row r="111" spans="1:21" ht="15.6" x14ac:dyDescent="0.3">
      <c r="A111" s="122">
        <v>18</v>
      </c>
      <c r="B111" s="113" t="s">
        <v>176</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12"/>
      <c r="B112" s="160" t="s">
        <v>30</v>
      </c>
      <c r="C112" s="135"/>
      <c r="D112" s="135"/>
      <c r="E112" s="135"/>
      <c r="F112" s="135"/>
      <c r="G112" s="135"/>
      <c r="H112" s="135"/>
      <c r="I112" s="135"/>
      <c r="J112" s="135"/>
      <c r="K112" s="135"/>
      <c r="L112" s="135"/>
      <c r="M112" s="135"/>
      <c r="N112" s="135"/>
      <c r="O112" s="135"/>
      <c r="P112" s="113"/>
      <c r="Q112" s="113"/>
      <c r="R112" s="161"/>
      <c r="S112" s="139"/>
      <c r="T112" s="2"/>
    </row>
    <row r="113" spans="1:20" ht="15.6" x14ac:dyDescent="0.3">
      <c r="A113" s="112"/>
      <c r="B113" s="113" t="s">
        <v>238</v>
      </c>
      <c r="C113" s="135"/>
      <c r="D113" s="135"/>
      <c r="E113" s="135"/>
      <c r="F113" s="135"/>
      <c r="G113" s="135"/>
      <c r="H113" s="135"/>
      <c r="I113" s="135"/>
      <c r="J113" s="135"/>
      <c r="K113" s="135"/>
      <c r="L113" s="135"/>
      <c r="M113" s="135"/>
      <c r="N113" s="135"/>
      <c r="O113" s="135"/>
      <c r="P113" s="155">
        <f>-P179</f>
        <v>0</v>
      </c>
      <c r="Q113" s="155"/>
      <c r="R113" s="156"/>
      <c r="S113" s="139"/>
      <c r="T113" s="2"/>
    </row>
    <row r="114" spans="1:20" ht="15.6" x14ac:dyDescent="0.3">
      <c r="A114" s="112"/>
      <c r="B114" s="113" t="s">
        <v>239</v>
      </c>
      <c r="C114" s="135"/>
      <c r="D114" s="135"/>
      <c r="E114" s="135"/>
      <c r="F114" s="135"/>
      <c r="G114" s="135"/>
      <c r="H114" s="135"/>
      <c r="I114" s="135"/>
      <c r="J114" s="135"/>
      <c r="K114" s="135"/>
      <c r="L114" s="135"/>
      <c r="M114" s="135"/>
      <c r="N114" s="135"/>
      <c r="O114" s="135"/>
      <c r="P114" s="155">
        <f>-O179</f>
        <v>0</v>
      </c>
      <c r="Q114" s="155"/>
      <c r="R114" s="156"/>
      <c r="S114" s="139"/>
      <c r="T114" s="2"/>
    </row>
    <row r="115" spans="1:20" ht="15.6" x14ac:dyDescent="0.3">
      <c r="A115" s="112"/>
      <c r="B115" s="113" t="s">
        <v>160</v>
      </c>
      <c r="C115" s="135"/>
      <c r="D115" s="135"/>
      <c r="E115" s="135"/>
      <c r="F115" s="135"/>
      <c r="G115" s="135"/>
      <c r="H115" s="135"/>
      <c r="I115" s="135"/>
      <c r="J115" s="135"/>
      <c r="K115" s="135"/>
      <c r="L115" s="135"/>
      <c r="M115" s="135"/>
      <c r="N115" s="135"/>
      <c r="O115" s="135"/>
      <c r="P115" s="155">
        <v>-28292</v>
      </c>
      <c r="Q115" s="155"/>
      <c r="R115" s="156"/>
      <c r="S115" s="139"/>
      <c r="T115" s="2"/>
    </row>
    <row r="116" spans="1:20" ht="15.6" x14ac:dyDescent="0.3">
      <c r="A116" s="112"/>
      <c r="B116" s="113" t="s">
        <v>189</v>
      </c>
      <c r="C116" s="135"/>
      <c r="D116" s="135"/>
      <c r="E116" s="135"/>
      <c r="F116" s="135"/>
      <c r="G116" s="135"/>
      <c r="H116" s="135"/>
      <c r="I116" s="135"/>
      <c r="J116" s="135"/>
      <c r="K116" s="135"/>
      <c r="L116" s="135"/>
      <c r="M116" s="135"/>
      <c r="N116" s="135"/>
      <c r="O116" s="135"/>
      <c r="P116" s="155">
        <v>0</v>
      </c>
      <c r="Q116" s="155"/>
      <c r="R116" s="156"/>
      <c r="S116" s="139"/>
      <c r="T116" s="2"/>
    </row>
    <row r="117" spans="1:20" ht="15.6" x14ac:dyDescent="0.3">
      <c r="A117" s="112"/>
      <c r="B117" s="113" t="s">
        <v>190</v>
      </c>
      <c r="C117" s="135"/>
      <c r="D117" s="135"/>
      <c r="E117" s="135"/>
      <c r="F117" s="135"/>
      <c r="G117" s="135"/>
      <c r="H117" s="135"/>
      <c r="I117" s="135"/>
      <c r="J117" s="135"/>
      <c r="K117" s="135"/>
      <c r="L117" s="135"/>
      <c r="M117" s="135"/>
      <c r="N117" s="135"/>
      <c r="O117" s="135"/>
      <c r="P117" s="155">
        <v>0</v>
      </c>
      <c r="Q117" s="155"/>
      <c r="R117" s="156"/>
      <c r="S117" s="139"/>
      <c r="T117" s="2"/>
    </row>
    <row r="118" spans="1:20" ht="15.6" x14ac:dyDescent="0.3">
      <c r="A118" s="112"/>
      <c r="B118" s="113" t="s">
        <v>191</v>
      </c>
      <c r="C118" s="135"/>
      <c r="D118" s="135"/>
      <c r="E118" s="135"/>
      <c r="F118" s="135"/>
      <c r="G118" s="135"/>
      <c r="H118" s="135"/>
      <c r="I118" s="135"/>
      <c r="J118" s="135"/>
      <c r="K118" s="135"/>
      <c r="L118" s="135"/>
      <c r="M118" s="135"/>
      <c r="N118" s="135"/>
      <c r="O118" s="135"/>
      <c r="P118" s="155">
        <v>0</v>
      </c>
      <c r="Q118" s="155"/>
      <c r="R118" s="156"/>
      <c r="S118" s="139"/>
      <c r="T118" s="2"/>
    </row>
    <row r="119" spans="1:20" ht="15.6" x14ac:dyDescent="0.3">
      <c r="A119" s="112"/>
      <c r="B119" s="113" t="s">
        <v>31</v>
      </c>
      <c r="C119" s="135"/>
      <c r="D119" s="135"/>
      <c r="E119" s="135"/>
      <c r="F119" s="135"/>
      <c r="G119" s="135"/>
      <c r="H119" s="135"/>
      <c r="I119" s="135"/>
      <c r="J119" s="135"/>
      <c r="K119" s="135"/>
      <c r="L119" s="135"/>
      <c r="M119" s="135"/>
      <c r="N119" s="135"/>
      <c r="O119" s="135"/>
      <c r="P119" s="155">
        <f>SUM(P113:P118)</f>
        <v>-28292</v>
      </c>
      <c r="Q119" s="155"/>
      <c r="R119" s="155">
        <f>SUM(R93:R118)</f>
        <v>-1860</v>
      </c>
      <c r="S119" s="139"/>
      <c r="T119" s="2"/>
    </row>
    <row r="120" spans="1:20" ht="15.6" x14ac:dyDescent="0.3">
      <c r="A120" s="112"/>
      <c r="B120" s="113" t="s">
        <v>32</v>
      </c>
      <c r="C120" s="135"/>
      <c r="D120" s="135"/>
      <c r="E120" s="135"/>
      <c r="F120" s="135"/>
      <c r="G120" s="135"/>
      <c r="H120" s="135"/>
      <c r="I120" s="135"/>
      <c r="J120" s="135"/>
      <c r="K120" s="135"/>
      <c r="L120" s="135"/>
      <c r="M120" s="135"/>
      <c r="N120" s="135"/>
      <c r="O120" s="135"/>
      <c r="P120" s="155">
        <f>P92+P119+P102+P111</f>
        <v>0</v>
      </c>
      <c r="Q120" s="155"/>
      <c r="R120" s="155">
        <f>R92+R119</f>
        <v>0</v>
      </c>
      <c r="S120" s="139"/>
      <c r="T120" s="2"/>
    </row>
    <row r="121" spans="1:20" ht="15.6" x14ac:dyDescent="0.3">
      <c r="A121" s="12"/>
      <c r="B121" s="43"/>
      <c r="C121" s="43"/>
      <c r="D121" s="43"/>
      <c r="E121" s="43"/>
      <c r="F121" s="43"/>
      <c r="G121" s="43"/>
      <c r="H121" s="43"/>
      <c r="I121" s="43"/>
      <c r="J121" s="43"/>
      <c r="K121" s="43"/>
      <c r="L121" s="43"/>
      <c r="M121" s="43"/>
      <c r="N121" s="43"/>
      <c r="O121" s="43"/>
      <c r="P121" s="153"/>
      <c r="Q121" s="153"/>
      <c r="R121" s="153"/>
      <c r="S121" s="218"/>
      <c r="T121" s="2"/>
    </row>
    <row r="122" spans="1:20" ht="15.6" x14ac:dyDescent="0.3">
      <c r="A122" s="12"/>
      <c r="B122" s="14"/>
      <c r="C122" s="14"/>
      <c r="D122" s="14"/>
      <c r="E122" s="14"/>
      <c r="F122" s="14"/>
      <c r="G122" s="14"/>
      <c r="H122" s="14"/>
      <c r="I122" s="14"/>
      <c r="J122" s="14"/>
      <c r="K122" s="14"/>
      <c r="L122" s="14"/>
      <c r="M122" s="14"/>
      <c r="N122" s="14"/>
      <c r="O122" s="14"/>
      <c r="P122" s="14"/>
      <c r="Q122" s="14"/>
      <c r="R122" s="33"/>
      <c r="S122" s="218"/>
      <c r="T122" s="2"/>
    </row>
    <row r="123" spans="1:20" ht="18" thickBot="1" x14ac:dyDescent="0.35">
      <c r="A123" s="28"/>
      <c r="B123" s="97" t="str">
        <f>B52</f>
        <v>PM21 INVESTOR REPORT QUARTER ENDING FEBRUARY 2017</v>
      </c>
      <c r="C123" s="29"/>
      <c r="D123" s="29"/>
      <c r="E123" s="29"/>
      <c r="F123" s="29"/>
      <c r="G123" s="29"/>
      <c r="H123" s="29"/>
      <c r="I123" s="29"/>
      <c r="J123" s="29"/>
      <c r="K123" s="29"/>
      <c r="L123" s="29"/>
      <c r="M123" s="29"/>
      <c r="N123" s="29"/>
      <c r="O123" s="29"/>
      <c r="P123" s="29"/>
      <c r="Q123" s="29"/>
      <c r="R123" s="40"/>
      <c r="S123" s="31"/>
      <c r="T123" s="2"/>
    </row>
    <row r="124" spans="1:20" ht="15.6" x14ac:dyDescent="0.3">
      <c r="A124" s="65"/>
      <c r="B124" s="66" t="s">
        <v>33</v>
      </c>
      <c r="C124" s="67"/>
      <c r="D124" s="67"/>
      <c r="E124" s="67"/>
      <c r="F124" s="67"/>
      <c r="G124" s="67"/>
      <c r="H124" s="67"/>
      <c r="I124" s="67"/>
      <c r="J124" s="67"/>
      <c r="K124" s="67"/>
      <c r="L124" s="67"/>
      <c r="M124" s="67"/>
      <c r="N124" s="67"/>
      <c r="O124" s="67"/>
      <c r="P124" s="67"/>
      <c r="Q124" s="67"/>
      <c r="R124" s="68"/>
      <c r="S124" s="224"/>
      <c r="T124" s="2"/>
    </row>
    <row r="125" spans="1:20" ht="15.6" x14ac:dyDescent="0.3">
      <c r="A125" s="12"/>
      <c r="B125" s="22"/>
      <c r="C125" s="14"/>
      <c r="D125" s="14"/>
      <c r="E125" s="14"/>
      <c r="F125" s="14"/>
      <c r="G125" s="14"/>
      <c r="H125" s="14"/>
      <c r="I125" s="14"/>
      <c r="J125" s="14"/>
      <c r="K125" s="14"/>
      <c r="L125" s="14"/>
      <c r="M125" s="14"/>
      <c r="N125" s="14"/>
      <c r="O125" s="14"/>
      <c r="P125" s="14"/>
      <c r="Q125" s="14"/>
      <c r="R125" s="33"/>
      <c r="S125" s="218"/>
      <c r="T125" s="2"/>
    </row>
    <row r="126" spans="1:20" ht="15.6" x14ac:dyDescent="0.3">
      <c r="A126" s="12"/>
      <c r="B126" s="41" t="s">
        <v>34</v>
      </c>
      <c r="C126" s="14"/>
      <c r="D126" s="14"/>
      <c r="E126" s="14"/>
      <c r="F126" s="14"/>
      <c r="G126" s="14"/>
      <c r="H126" s="14"/>
      <c r="I126" s="14"/>
      <c r="J126" s="14"/>
      <c r="K126" s="14"/>
      <c r="L126" s="14"/>
      <c r="M126" s="14"/>
      <c r="N126" s="14"/>
      <c r="O126" s="14"/>
      <c r="P126" s="14"/>
      <c r="Q126" s="14"/>
      <c r="R126" s="33"/>
      <c r="S126" s="218"/>
      <c r="T126" s="2"/>
    </row>
    <row r="127" spans="1:20" ht="15.6" x14ac:dyDescent="0.3">
      <c r="A127" s="112"/>
      <c r="B127" s="113" t="s">
        <v>35</v>
      </c>
      <c r="C127" s="113"/>
      <c r="D127" s="113"/>
      <c r="E127" s="113"/>
      <c r="F127" s="113"/>
      <c r="G127" s="113"/>
      <c r="H127" s="113"/>
      <c r="I127" s="113"/>
      <c r="J127" s="113"/>
      <c r="K127" s="113"/>
      <c r="L127" s="113"/>
      <c r="M127" s="113"/>
      <c r="N127" s="113"/>
      <c r="O127" s="113"/>
      <c r="P127" s="113"/>
      <c r="Q127" s="113"/>
      <c r="R127" s="156">
        <f>+R28*0.025</f>
        <v>6250</v>
      </c>
      <c r="S127" s="116"/>
      <c r="T127" s="2"/>
    </row>
    <row r="128" spans="1:20" ht="15.6" x14ac:dyDescent="0.3">
      <c r="A128" s="112"/>
      <c r="B128" s="113" t="s">
        <v>36</v>
      </c>
      <c r="C128" s="113"/>
      <c r="D128" s="113"/>
      <c r="E128" s="113"/>
      <c r="F128" s="113"/>
      <c r="G128" s="113"/>
      <c r="H128" s="113"/>
      <c r="I128" s="113"/>
      <c r="J128" s="113"/>
      <c r="K128" s="113"/>
      <c r="L128" s="113"/>
      <c r="M128" s="113"/>
      <c r="N128" s="113"/>
      <c r="O128" s="113"/>
      <c r="P128" s="113"/>
      <c r="Q128" s="113"/>
      <c r="R128" s="156">
        <v>0</v>
      </c>
      <c r="S128" s="116"/>
      <c r="T128" s="2"/>
    </row>
    <row r="129" spans="1:21" ht="15.6" x14ac:dyDescent="0.3">
      <c r="A129" s="112"/>
      <c r="B129" s="113" t="s">
        <v>172</v>
      </c>
      <c r="C129" s="113"/>
      <c r="D129" s="113"/>
      <c r="E129" s="113"/>
      <c r="F129" s="113"/>
      <c r="G129" s="113"/>
      <c r="H129" s="113"/>
      <c r="I129" s="113"/>
      <c r="J129" s="113"/>
      <c r="K129" s="113"/>
      <c r="L129" s="113"/>
      <c r="M129" s="113"/>
      <c r="N129" s="113"/>
      <c r="O129" s="113"/>
      <c r="P129" s="113"/>
      <c r="Q129" s="113"/>
      <c r="R129" s="156">
        <f>R127-R130</f>
        <v>3293.7090967499998</v>
      </c>
      <c r="S129" s="116"/>
      <c r="T129" s="2"/>
    </row>
    <row r="130" spans="1:21" ht="15.6" x14ac:dyDescent="0.3">
      <c r="A130" s="112"/>
      <c r="B130" s="113" t="s">
        <v>240</v>
      </c>
      <c r="C130" s="113"/>
      <c r="D130" s="113"/>
      <c r="E130" s="113"/>
      <c r="F130" s="113"/>
      <c r="G130" s="113"/>
      <c r="H130" s="113"/>
      <c r="I130" s="113"/>
      <c r="J130" s="113"/>
      <c r="K130" s="113"/>
      <c r="L130" s="113"/>
      <c r="M130" s="113"/>
      <c r="N130" s="113"/>
      <c r="O130" s="113"/>
      <c r="P130" s="113"/>
      <c r="Q130" s="113"/>
      <c r="R130" s="156">
        <f>SUM(D30:H30)*0.025</f>
        <v>2956.2909032500002</v>
      </c>
      <c r="S130" s="116"/>
      <c r="T130" s="2"/>
    </row>
    <row r="131" spans="1:21" ht="15.6" x14ac:dyDescent="0.3">
      <c r="A131" s="112"/>
      <c r="B131" s="113" t="s">
        <v>108</v>
      </c>
      <c r="C131" s="113"/>
      <c r="D131" s="113"/>
      <c r="E131" s="113"/>
      <c r="F131" s="113"/>
      <c r="G131" s="113"/>
      <c r="H131" s="113"/>
      <c r="I131" s="113"/>
      <c r="J131" s="113"/>
      <c r="K131" s="113"/>
      <c r="L131" s="113"/>
      <c r="M131" s="113"/>
      <c r="N131" s="113"/>
      <c r="O131" s="113"/>
      <c r="P131" s="113"/>
      <c r="Q131" s="113"/>
      <c r="R131" s="156"/>
      <c r="S131" s="116"/>
      <c r="T131" s="2"/>
    </row>
    <row r="132" spans="1:21" ht="15.6" x14ac:dyDescent="0.3">
      <c r="A132" s="112"/>
      <c r="B132" s="113" t="s">
        <v>157</v>
      </c>
      <c r="C132" s="113"/>
      <c r="D132" s="113"/>
      <c r="E132" s="113"/>
      <c r="F132" s="113"/>
      <c r="G132" s="113"/>
      <c r="H132" s="113"/>
      <c r="I132" s="113"/>
      <c r="J132" s="113"/>
      <c r="K132" s="113"/>
      <c r="L132" s="113"/>
      <c r="M132" s="113"/>
      <c r="N132" s="113"/>
      <c r="O132" s="113"/>
      <c r="P132" s="113"/>
      <c r="Q132" s="113"/>
      <c r="R132" s="156">
        <v>0</v>
      </c>
      <c r="S132" s="116"/>
      <c r="T132" s="2"/>
    </row>
    <row r="133" spans="1:21" ht="15.6" x14ac:dyDescent="0.3">
      <c r="A133" s="112"/>
      <c r="B133" s="113" t="s">
        <v>207</v>
      </c>
      <c r="C133" s="113"/>
      <c r="D133" s="113"/>
      <c r="E133" s="113"/>
      <c r="F133" s="113"/>
      <c r="G133" s="113"/>
      <c r="H133" s="113"/>
      <c r="I133" s="113"/>
      <c r="J133" s="113"/>
      <c r="K133" s="113"/>
      <c r="L133" s="113"/>
      <c r="M133" s="113"/>
      <c r="N133" s="113"/>
      <c r="O133" s="113"/>
      <c r="P133" s="113"/>
      <c r="Q133" s="113"/>
      <c r="R133" s="156">
        <v>0</v>
      </c>
      <c r="S133" s="116"/>
      <c r="T133" s="2"/>
    </row>
    <row r="134" spans="1:21" ht="15.6" x14ac:dyDescent="0.3">
      <c r="A134" s="112"/>
      <c r="B134" s="113" t="s">
        <v>208</v>
      </c>
      <c r="C134" s="113"/>
      <c r="D134" s="113"/>
      <c r="E134" s="113"/>
      <c r="F134" s="113"/>
      <c r="G134" s="113"/>
      <c r="H134" s="113"/>
      <c r="I134" s="113"/>
      <c r="J134" s="113"/>
      <c r="K134" s="113"/>
      <c r="L134" s="113"/>
      <c r="M134" s="113"/>
      <c r="N134" s="113"/>
      <c r="O134" s="113"/>
      <c r="P134" s="113"/>
      <c r="Q134" s="113"/>
      <c r="R134" s="156">
        <v>0</v>
      </c>
      <c r="S134" s="116"/>
      <c r="T134" s="2"/>
    </row>
    <row r="135" spans="1:21" ht="15.6" x14ac:dyDescent="0.3">
      <c r="A135" s="112"/>
      <c r="B135" s="113" t="s">
        <v>37</v>
      </c>
      <c r="C135" s="113"/>
      <c r="D135" s="113"/>
      <c r="E135" s="113"/>
      <c r="F135" s="113"/>
      <c r="G135" s="113"/>
      <c r="H135" s="113"/>
      <c r="I135" s="113"/>
      <c r="J135" s="113"/>
      <c r="K135" s="113"/>
      <c r="L135" s="113"/>
      <c r="M135" s="113"/>
      <c r="N135" s="113"/>
      <c r="O135" s="113"/>
      <c r="P135" s="113"/>
      <c r="Q135" s="113"/>
      <c r="R135" s="156">
        <v>0</v>
      </c>
      <c r="S135" s="116"/>
      <c r="T135" s="2"/>
    </row>
    <row r="136" spans="1:21" ht="15.6" x14ac:dyDescent="0.3">
      <c r="A136" s="112"/>
      <c r="B136" s="113" t="s">
        <v>102</v>
      </c>
      <c r="C136" s="113"/>
      <c r="D136" s="113"/>
      <c r="E136" s="113"/>
      <c r="F136" s="113"/>
      <c r="G136" s="113"/>
      <c r="H136" s="113"/>
      <c r="I136" s="113"/>
      <c r="J136" s="113"/>
      <c r="K136" s="113"/>
      <c r="L136" s="113"/>
      <c r="M136" s="113"/>
      <c r="N136" s="113"/>
      <c r="O136" s="113"/>
      <c r="P136" s="113"/>
      <c r="Q136" s="113"/>
      <c r="R136" s="156">
        <v>0</v>
      </c>
      <c r="S136" s="116"/>
      <c r="T136" s="2"/>
    </row>
    <row r="137" spans="1:21" ht="15.6" x14ac:dyDescent="0.3">
      <c r="A137" s="112"/>
      <c r="B137" s="113" t="s">
        <v>228</v>
      </c>
      <c r="C137" s="113"/>
      <c r="D137" s="113"/>
      <c r="E137" s="113"/>
      <c r="F137" s="113"/>
      <c r="G137" s="113"/>
      <c r="H137" s="113"/>
      <c r="I137" s="113"/>
      <c r="J137" s="113"/>
      <c r="K137" s="113"/>
      <c r="L137" s="113"/>
      <c r="M137" s="113"/>
      <c r="N137" s="113"/>
      <c r="O137" s="113"/>
      <c r="P137" s="113"/>
      <c r="Q137" s="113"/>
      <c r="R137" s="156">
        <v>0</v>
      </c>
      <c r="S137" s="116"/>
      <c r="T137" s="2"/>
      <c r="U137" s="4"/>
    </row>
    <row r="138" spans="1:21" ht="15.6" x14ac:dyDescent="0.3">
      <c r="A138" s="112"/>
      <c r="B138" s="113" t="s">
        <v>38</v>
      </c>
      <c r="C138" s="113"/>
      <c r="D138" s="113"/>
      <c r="E138" s="113"/>
      <c r="F138" s="113"/>
      <c r="G138" s="113"/>
      <c r="H138" s="113"/>
      <c r="I138" s="113"/>
      <c r="J138" s="113"/>
      <c r="K138" s="113"/>
      <c r="L138" s="113"/>
      <c r="M138" s="113"/>
      <c r="N138" s="113"/>
      <c r="O138" s="113"/>
      <c r="P138" s="113"/>
      <c r="Q138" s="113"/>
      <c r="R138" s="156">
        <f>SUM(R128:R137)</f>
        <v>6250</v>
      </c>
      <c r="S138" s="116"/>
      <c r="T138" s="2"/>
    </row>
    <row r="139" spans="1:21" ht="15.6" x14ac:dyDescent="0.3">
      <c r="A139" s="12"/>
      <c r="B139" s="43"/>
      <c r="C139" s="43"/>
      <c r="D139" s="43"/>
      <c r="E139" s="43"/>
      <c r="F139" s="43"/>
      <c r="G139" s="43"/>
      <c r="H139" s="43"/>
      <c r="I139" s="43"/>
      <c r="J139" s="43"/>
      <c r="K139" s="43"/>
      <c r="L139" s="43"/>
      <c r="M139" s="43"/>
      <c r="N139" s="43"/>
      <c r="O139" s="43"/>
      <c r="P139" s="43"/>
      <c r="Q139" s="43"/>
      <c r="R139" s="162"/>
      <c r="S139" s="218"/>
      <c r="T139" s="2"/>
    </row>
    <row r="140" spans="1:21" ht="15.6" x14ac:dyDescent="0.3">
      <c r="A140" s="12"/>
      <c r="B140" s="41" t="s">
        <v>222</v>
      </c>
      <c r="C140" s="14"/>
      <c r="D140" s="14"/>
      <c r="E140" s="14"/>
      <c r="F140" s="14"/>
      <c r="G140" s="14"/>
      <c r="H140" s="14"/>
      <c r="I140" s="14"/>
      <c r="J140" s="14"/>
      <c r="K140" s="14"/>
      <c r="L140" s="14"/>
      <c r="M140" s="14"/>
      <c r="N140" s="14"/>
      <c r="O140" s="14"/>
      <c r="P140" s="14"/>
      <c r="Q140" s="14"/>
      <c r="R140" s="33"/>
      <c r="S140" s="218"/>
      <c r="T140" s="2"/>
    </row>
    <row r="141" spans="1:21" ht="15.6" x14ac:dyDescent="0.3">
      <c r="A141" s="112"/>
      <c r="B141" s="113" t="s">
        <v>256</v>
      </c>
      <c r="C141" s="113"/>
      <c r="D141" s="113"/>
      <c r="E141" s="113"/>
      <c r="F141" s="113"/>
      <c r="G141" s="113"/>
      <c r="H141" s="113"/>
      <c r="I141" s="113"/>
      <c r="J141" s="113"/>
      <c r="K141" s="113"/>
      <c r="L141" s="113"/>
      <c r="M141" s="113"/>
      <c r="N141" s="113"/>
      <c r="O141" s="113"/>
      <c r="P141" s="113"/>
      <c r="Q141" s="113"/>
      <c r="R141" s="156">
        <v>0</v>
      </c>
      <c r="S141" s="139"/>
      <c r="T141" s="2"/>
    </row>
    <row r="142" spans="1:21" ht="15.6" x14ac:dyDescent="0.3">
      <c r="A142" s="112"/>
      <c r="B142" s="113" t="s">
        <v>210</v>
      </c>
      <c r="C142" s="115"/>
      <c r="D142" s="115"/>
      <c r="E142" s="115"/>
      <c r="F142" s="115"/>
      <c r="G142" s="115"/>
      <c r="H142" s="115"/>
      <c r="I142" s="115"/>
      <c r="J142" s="115"/>
      <c r="K142" s="115"/>
      <c r="L142" s="115"/>
      <c r="M142" s="115"/>
      <c r="N142" s="115"/>
      <c r="O142" s="115"/>
      <c r="P142" s="115"/>
      <c r="Q142" s="115"/>
      <c r="R142" s="156">
        <f>+J69</f>
        <v>0</v>
      </c>
      <c r="S142" s="139"/>
      <c r="T142" s="2"/>
    </row>
    <row r="143" spans="1:21" ht="15.6" x14ac:dyDescent="0.3">
      <c r="A143" s="112"/>
      <c r="B143" s="113" t="s">
        <v>224</v>
      </c>
      <c r="C143" s="113"/>
      <c r="D143" s="113"/>
      <c r="E143" s="113"/>
      <c r="F143" s="113"/>
      <c r="G143" s="113"/>
      <c r="H143" s="113"/>
      <c r="I143" s="113"/>
      <c r="J143" s="113"/>
      <c r="K143" s="113"/>
      <c r="L143" s="113"/>
      <c r="M143" s="113"/>
      <c r="N143" s="113"/>
      <c r="O143" s="113"/>
      <c r="P143" s="113"/>
      <c r="Q143" s="113"/>
      <c r="R143" s="156">
        <f>R141+R142</f>
        <v>0</v>
      </c>
      <c r="S143" s="139"/>
      <c r="T143" s="2"/>
    </row>
    <row r="144" spans="1:21" ht="15.6" x14ac:dyDescent="0.3">
      <c r="A144" s="12"/>
      <c r="B144" s="163"/>
      <c r="C144" s="163"/>
      <c r="D144" s="163"/>
      <c r="E144" s="163"/>
      <c r="F144" s="163"/>
      <c r="G144" s="163"/>
      <c r="H144" s="163"/>
      <c r="I144" s="163"/>
      <c r="J144" s="163"/>
      <c r="K144" s="163"/>
      <c r="L144" s="163"/>
      <c r="M144" s="163"/>
      <c r="N144" s="163"/>
      <c r="O144" s="163"/>
      <c r="P144" s="163"/>
      <c r="Q144" s="163"/>
      <c r="R144" s="196"/>
      <c r="S144" s="218"/>
      <c r="T144" s="2"/>
    </row>
    <row r="145" spans="1:252" ht="15.6" x14ac:dyDescent="0.3">
      <c r="A145" s="12"/>
      <c r="B145" s="41" t="s">
        <v>241</v>
      </c>
      <c r="C145" s="163"/>
      <c r="D145" s="163"/>
      <c r="E145" s="163"/>
      <c r="F145" s="163"/>
      <c r="G145" s="163"/>
      <c r="H145" s="163"/>
      <c r="I145" s="163"/>
      <c r="J145" s="163"/>
      <c r="K145" s="163"/>
      <c r="L145" s="163"/>
      <c r="M145" s="163"/>
      <c r="N145" s="163"/>
      <c r="O145" s="163"/>
      <c r="P145" s="163"/>
      <c r="Q145" s="163"/>
      <c r="R145" s="196"/>
      <c r="S145" s="218"/>
      <c r="T145" s="2"/>
    </row>
    <row r="146" spans="1:252" ht="15.6" x14ac:dyDescent="0.3">
      <c r="A146" s="232"/>
      <c r="B146" s="233" t="s">
        <v>255</v>
      </c>
      <c r="C146" s="233"/>
      <c r="D146" s="233"/>
      <c r="E146" s="233"/>
      <c r="F146" s="233"/>
      <c r="G146" s="233"/>
      <c r="H146" s="233"/>
      <c r="I146" s="233"/>
      <c r="J146" s="233"/>
      <c r="K146" s="233"/>
      <c r="L146" s="233"/>
      <c r="M146" s="233"/>
      <c r="N146" s="233"/>
      <c r="O146" s="233"/>
      <c r="P146" s="233"/>
      <c r="Q146" s="233"/>
      <c r="R146" s="234">
        <v>0</v>
      </c>
      <c r="S146" s="235"/>
      <c r="T146" s="2"/>
    </row>
    <row r="147" spans="1:252" ht="15.6" x14ac:dyDescent="0.3">
      <c r="A147" s="232"/>
      <c r="B147" s="233" t="s">
        <v>243</v>
      </c>
      <c r="C147" s="233"/>
      <c r="D147" s="233"/>
      <c r="E147" s="233"/>
      <c r="F147" s="233"/>
      <c r="G147" s="233"/>
      <c r="H147" s="233"/>
      <c r="I147" s="233"/>
      <c r="J147" s="233"/>
      <c r="K147" s="233"/>
      <c r="L147" s="233"/>
      <c r="M147" s="233"/>
      <c r="N147" s="233"/>
      <c r="O147" s="233"/>
      <c r="P147" s="233"/>
      <c r="Q147" s="233"/>
      <c r="R147" s="234">
        <f>P78</f>
        <v>0</v>
      </c>
      <c r="S147" s="235"/>
      <c r="T147" s="2"/>
    </row>
    <row r="148" spans="1:252" ht="15.6" x14ac:dyDescent="0.3">
      <c r="A148" s="232"/>
      <c r="B148" s="233" t="s">
        <v>244</v>
      </c>
      <c r="C148" s="233"/>
      <c r="D148" s="233"/>
      <c r="E148" s="233"/>
      <c r="F148" s="233"/>
      <c r="G148" s="233"/>
      <c r="H148" s="233"/>
      <c r="I148" s="233"/>
      <c r="J148" s="233"/>
      <c r="K148" s="233"/>
      <c r="L148" s="233"/>
      <c r="M148" s="233"/>
      <c r="N148" s="233"/>
      <c r="O148" s="233"/>
      <c r="P148" s="233"/>
      <c r="Q148" s="233"/>
      <c r="R148" s="234">
        <v>0</v>
      </c>
      <c r="S148" s="235"/>
      <c r="T148" s="2"/>
    </row>
    <row r="149" spans="1:252" ht="15.6" x14ac:dyDescent="0.3">
      <c r="A149" s="232"/>
      <c r="B149" s="233" t="s">
        <v>245</v>
      </c>
      <c r="C149" s="233"/>
      <c r="D149" s="233"/>
      <c r="E149" s="233"/>
      <c r="F149" s="233"/>
      <c r="G149" s="233"/>
      <c r="H149" s="233"/>
      <c r="I149" s="233"/>
      <c r="J149" s="233"/>
      <c r="K149" s="233"/>
      <c r="L149" s="233"/>
      <c r="M149" s="233"/>
      <c r="N149" s="233"/>
      <c r="O149" s="233"/>
      <c r="P149" s="233"/>
      <c r="Q149" s="233"/>
      <c r="R149" s="234">
        <f>R146+R147+R148</f>
        <v>0</v>
      </c>
      <c r="S149" s="235"/>
      <c r="T149" s="2"/>
    </row>
    <row r="150" spans="1:252" ht="15.6" x14ac:dyDescent="0.3">
      <c r="A150" s="12"/>
      <c r="B150" s="43"/>
      <c r="C150" s="43"/>
      <c r="D150" s="43"/>
      <c r="E150" s="43"/>
      <c r="F150" s="43"/>
      <c r="G150" s="43"/>
      <c r="H150" s="43"/>
      <c r="I150" s="43"/>
      <c r="J150" s="43"/>
      <c r="K150" s="43"/>
      <c r="L150" s="43"/>
      <c r="M150" s="43"/>
      <c r="N150" s="43"/>
      <c r="O150" s="43"/>
      <c r="P150" s="43"/>
      <c r="Q150" s="43"/>
      <c r="R150" s="162"/>
      <c r="S150" s="218"/>
      <c r="T150" s="2"/>
    </row>
    <row r="151" spans="1:252" ht="15.6" x14ac:dyDescent="0.3">
      <c r="A151" s="12"/>
      <c r="B151" s="41" t="s">
        <v>39</v>
      </c>
      <c r="C151" s="14"/>
      <c r="D151" s="14"/>
      <c r="E151" s="14"/>
      <c r="F151" s="14"/>
      <c r="G151" s="14"/>
      <c r="H151" s="14"/>
      <c r="I151" s="14"/>
      <c r="J151" s="14"/>
      <c r="K151" s="14"/>
      <c r="L151" s="14"/>
      <c r="M151" s="14"/>
      <c r="N151" s="14"/>
      <c r="O151" s="14"/>
      <c r="P151" s="14"/>
      <c r="Q151" s="14"/>
      <c r="R151" s="42"/>
      <c r="S151" s="218"/>
      <c r="T151" s="2"/>
    </row>
    <row r="152" spans="1:252" ht="15.6" x14ac:dyDescent="0.3">
      <c r="A152" s="112"/>
      <c r="B152" s="113" t="s">
        <v>40</v>
      </c>
      <c r="C152" s="113"/>
      <c r="D152" s="113"/>
      <c r="E152" s="113"/>
      <c r="F152" s="113"/>
      <c r="G152" s="113"/>
      <c r="H152" s="113"/>
      <c r="I152" s="113"/>
      <c r="J152" s="113"/>
      <c r="K152" s="113"/>
      <c r="L152" s="113"/>
      <c r="M152" s="113"/>
      <c r="N152" s="113"/>
      <c r="O152" s="113"/>
      <c r="P152" s="113"/>
      <c r="Q152" s="113"/>
      <c r="R152" s="156">
        <v>0</v>
      </c>
      <c r="S152" s="116"/>
      <c r="T152" s="2"/>
    </row>
    <row r="153" spans="1:252" ht="15.6" x14ac:dyDescent="0.3">
      <c r="A153" s="112"/>
      <c r="B153" s="113" t="s">
        <v>41</v>
      </c>
      <c r="C153" s="113"/>
      <c r="D153" s="113"/>
      <c r="E153" s="113"/>
      <c r="F153" s="113"/>
      <c r="G153" s="113"/>
      <c r="H153" s="113"/>
      <c r="I153" s="113"/>
      <c r="J153" s="113"/>
      <c r="K153" s="113"/>
      <c r="L153" s="113"/>
      <c r="M153" s="113"/>
      <c r="N153" s="113"/>
      <c r="O153" s="113"/>
      <c r="P153" s="113"/>
      <c r="Q153" s="113"/>
      <c r="R153" s="156">
        <v>0</v>
      </c>
      <c r="S153" s="116"/>
      <c r="T153" s="2"/>
    </row>
    <row r="154" spans="1:252" ht="15.6" x14ac:dyDescent="0.3">
      <c r="A154" s="112"/>
      <c r="B154" s="113" t="s">
        <v>42</v>
      </c>
      <c r="C154" s="113"/>
      <c r="D154" s="113"/>
      <c r="E154" s="113"/>
      <c r="F154" s="113"/>
      <c r="G154" s="113"/>
      <c r="H154" s="113"/>
      <c r="I154" s="113"/>
      <c r="J154" s="113"/>
      <c r="K154" s="113"/>
      <c r="L154" s="113"/>
      <c r="M154" s="113"/>
      <c r="N154" s="113"/>
      <c r="O154" s="113"/>
      <c r="P154" s="113"/>
      <c r="Q154" s="113"/>
      <c r="R154" s="156">
        <f>R153+R152</f>
        <v>0</v>
      </c>
      <c r="S154" s="116"/>
      <c r="T154" s="2"/>
    </row>
    <row r="155" spans="1:252" ht="15.6" x14ac:dyDescent="0.3">
      <c r="A155" s="112"/>
      <c r="B155" s="113" t="s">
        <v>179</v>
      </c>
      <c r="C155" s="113"/>
      <c r="D155" s="113"/>
      <c r="E155" s="113"/>
      <c r="F155" s="113"/>
      <c r="G155" s="113"/>
      <c r="H155" s="113"/>
      <c r="I155" s="113"/>
      <c r="J155" s="113"/>
      <c r="K155" s="113"/>
      <c r="L155" s="113"/>
      <c r="M155" s="113"/>
      <c r="N155" s="113"/>
      <c r="O155" s="113"/>
      <c r="P155" s="113"/>
      <c r="Q155" s="113"/>
      <c r="R155" s="156">
        <f>R102</f>
        <v>0</v>
      </c>
      <c r="S155" s="116"/>
      <c r="T155" s="2"/>
    </row>
    <row r="156" spans="1:252" ht="15.6" x14ac:dyDescent="0.3">
      <c r="A156" s="112"/>
      <c r="B156" s="113" t="s">
        <v>43</v>
      </c>
      <c r="C156" s="113"/>
      <c r="D156" s="113"/>
      <c r="E156" s="113"/>
      <c r="F156" s="113"/>
      <c r="G156" s="113"/>
      <c r="H156" s="113"/>
      <c r="I156" s="113"/>
      <c r="J156" s="113"/>
      <c r="K156" s="113"/>
      <c r="L156" s="113"/>
      <c r="M156" s="113"/>
      <c r="N156" s="113"/>
      <c r="O156" s="113"/>
      <c r="P156" s="113"/>
      <c r="Q156" s="113"/>
      <c r="R156" s="156">
        <f>R154+R155</f>
        <v>0</v>
      </c>
      <c r="S156" s="116"/>
      <c r="T156" s="2"/>
    </row>
    <row r="157" spans="1:252" ht="15.6" x14ac:dyDescent="0.3">
      <c r="A157" s="112"/>
      <c r="B157" s="113" t="s">
        <v>150</v>
      </c>
      <c r="C157" s="113"/>
      <c r="D157" s="113"/>
      <c r="E157" s="113"/>
      <c r="F157" s="113"/>
      <c r="G157" s="113"/>
      <c r="H157" s="113"/>
      <c r="I157" s="113"/>
      <c r="J157" s="113"/>
      <c r="K157" s="113"/>
      <c r="L157" s="113"/>
      <c r="M157" s="113"/>
      <c r="N157" s="113"/>
      <c r="O157" s="113"/>
      <c r="P157" s="113"/>
      <c r="Q157" s="113"/>
      <c r="R157" s="156">
        <f>-R91</f>
        <v>0</v>
      </c>
      <c r="S157" s="116"/>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2"/>
      <c r="S158" s="218"/>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217"/>
      <c r="T159" s="2"/>
    </row>
    <row r="160" spans="1:252" s="6" customFormat="1" ht="15.6" x14ac:dyDescent="0.3">
      <c r="A160" s="12"/>
      <c r="B160" s="41" t="s">
        <v>223</v>
      </c>
      <c r="C160" s="43"/>
      <c r="D160" s="43"/>
      <c r="E160" s="43"/>
      <c r="F160" s="43"/>
      <c r="G160" s="43"/>
      <c r="H160" s="43"/>
      <c r="I160" s="43"/>
      <c r="J160" s="43"/>
      <c r="K160" s="43"/>
      <c r="L160" s="43"/>
      <c r="M160" s="43"/>
      <c r="N160" s="43"/>
      <c r="O160" s="43"/>
      <c r="P160" s="43"/>
      <c r="Q160" s="43"/>
      <c r="R160" s="44"/>
      <c r="S160" s="218"/>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2"/>
      <c r="B161" s="113" t="s">
        <v>141</v>
      </c>
      <c r="C161" s="113"/>
      <c r="D161" s="113"/>
      <c r="E161" s="113"/>
      <c r="F161" s="113"/>
      <c r="G161" s="113"/>
      <c r="H161" s="113"/>
      <c r="I161" s="113"/>
      <c r="J161" s="113"/>
      <c r="K161" s="113"/>
      <c r="L161" s="113"/>
      <c r="M161" s="113"/>
      <c r="N161" s="113"/>
      <c r="O161" s="113"/>
      <c r="P161" s="113"/>
      <c r="Q161" s="113"/>
      <c r="R161" s="156">
        <f>+'Nov 16'!R164</f>
        <v>675</v>
      </c>
      <c r="S161" s="116"/>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2"/>
      <c r="B162" s="113" t="s">
        <v>268</v>
      </c>
      <c r="C162" s="113"/>
      <c r="D162" s="113"/>
      <c r="E162" s="113"/>
      <c r="F162" s="113"/>
      <c r="G162" s="113"/>
      <c r="H162" s="113"/>
      <c r="I162" s="113"/>
      <c r="J162" s="113"/>
      <c r="K162" s="113"/>
      <c r="L162" s="113"/>
      <c r="M162" s="113"/>
      <c r="N162" s="113"/>
      <c r="O162" s="113"/>
      <c r="P162" s="113"/>
      <c r="Q162" s="113"/>
      <c r="R162" s="156">
        <v>260</v>
      </c>
      <c r="S162" s="116"/>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2"/>
      <c r="B163" s="113" t="s">
        <v>144</v>
      </c>
      <c r="C163" s="113"/>
      <c r="D163" s="113"/>
      <c r="E163" s="113"/>
      <c r="F163" s="113"/>
      <c r="G163" s="113"/>
      <c r="H163" s="113"/>
      <c r="I163" s="113"/>
      <c r="J163" s="113"/>
      <c r="K163" s="113"/>
      <c r="L163" s="113"/>
      <c r="M163" s="113"/>
      <c r="N163" s="113"/>
      <c r="O163" s="113"/>
      <c r="P163" s="113"/>
      <c r="Q163" s="113"/>
      <c r="R163" s="156">
        <f>R84</f>
        <v>84</v>
      </c>
      <c r="S163" s="116"/>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6" x14ac:dyDescent="0.3">
      <c r="A164" s="112"/>
      <c r="B164" s="113" t="s">
        <v>142</v>
      </c>
      <c r="C164" s="113"/>
      <c r="D164" s="113"/>
      <c r="E164" s="113"/>
      <c r="F164" s="113"/>
      <c r="G164" s="113"/>
      <c r="H164" s="113"/>
      <c r="I164" s="113"/>
      <c r="J164" s="113"/>
      <c r="K164" s="113"/>
      <c r="L164" s="113"/>
      <c r="M164" s="113"/>
      <c r="N164" s="113"/>
      <c r="O164" s="113"/>
      <c r="P164" s="113"/>
      <c r="Q164" s="113"/>
      <c r="R164" s="156">
        <f>+R161+R162-R163</f>
        <v>851</v>
      </c>
      <c r="S164" s="116"/>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2" thickBot="1" x14ac:dyDescent="0.35">
      <c r="A165" s="28"/>
      <c r="B165" s="43"/>
      <c r="C165" s="43"/>
      <c r="D165" s="43"/>
      <c r="E165" s="43"/>
      <c r="F165" s="43"/>
      <c r="G165" s="43"/>
      <c r="H165" s="43"/>
      <c r="I165" s="43"/>
      <c r="J165" s="43"/>
      <c r="K165" s="43"/>
      <c r="L165" s="43"/>
      <c r="M165" s="43"/>
      <c r="N165" s="43"/>
      <c r="O165" s="43"/>
      <c r="P165" s="43"/>
      <c r="Q165" s="43"/>
      <c r="R165" s="162"/>
      <c r="S165" s="218"/>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6" x14ac:dyDescent="0.3">
      <c r="A166" s="10"/>
      <c r="B166" s="11"/>
      <c r="C166" s="11"/>
      <c r="D166" s="11"/>
      <c r="E166" s="11"/>
      <c r="F166" s="11"/>
      <c r="G166" s="11"/>
      <c r="H166" s="11"/>
      <c r="I166" s="11"/>
      <c r="J166" s="11"/>
      <c r="K166" s="11"/>
      <c r="L166" s="11"/>
      <c r="M166" s="11"/>
      <c r="N166" s="11"/>
      <c r="O166" s="11"/>
      <c r="P166" s="11"/>
      <c r="Q166" s="11"/>
      <c r="R166" s="32"/>
      <c r="S166" s="217"/>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6" x14ac:dyDescent="0.3">
      <c r="A167" s="12"/>
      <c r="B167" s="41" t="s">
        <v>44</v>
      </c>
      <c r="C167" s="14"/>
      <c r="D167" s="14"/>
      <c r="E167" s="14"/>
      <c r="F167" s="14"/>
      <c r="G167" s="14"/>
      <c r="H167" s="14"/>
      <c r="I167" s="14"/>
      <c r="J167" s="14"/>
      <c r="K167" s="14"/>
      <c r="L167" s="14"/>
      <c r="M167" s="14"/>
      <c r="N167" s="14"/>
      <c r="O167" s="14"/>
      <c r="P167" s="14"/>
      <c r="Q167" s="14"/>
      <c r="R167" s="33"/>
      <c r="S167" s="218"/>
      <c r="T167" s="2"/>
    </row>
    <row r="168" spans="1:252" ht="15.6" x14ac:dyDescent="0.3">
      <c r="A168" s="12"/>
      <c r="B168" s="22"/>
      <c r="C168" s="14"/>
      <c r="D168" s="14"/>
      <c r="E168" s="14"/>
      <c r="F168" s="14"/>
      <c r="G168" s="14"/>
      <c r="H168" s="14"/>
      <c r="I168" s="14"/>
      <c r="J168" s="14"/>
      <c r="K168" s="14"/>
      <c r="L168" s="14"/>
      <c r="M168" s="14"/>
      <c r="N168" s="14"/>
      <c r="O168" s="14"/>
      <c r="P168" s="14"/>
      <c r="Q168" s="14"/>
      <c r="R168" s="33"/>
      <c r="S168" s="218"/>
      <c r="T168" s="2"/>
    </row>
    <row r="169" spans="1:252" ht="15.6" x14ac:dyDescent="0.3">
      <c r="A169" s="112"/>
      <c r="B169" s="113" t="s">
        <v>177</v>
      </c>
      <c r="C169" s="113"/>
      <c r="D169" s="113"/>
      <c r="E169" s="113"/>
      <c r="F169" s="113"/>
      <c r="G169" s="113"/>
      <c r="H169" s="113"/>
      <c r="I169" s="113"/>
      <c r="J169" s="113"/>
      <c r="K169" s="113"/>
      <c r="L169" s="113"/>
      <c r="M169" s="113"/>
      <c r="N169" s="113"/>
      <c r="O169" s="113"/>
      <c r="P169" s="113"/>
      <c r="Q169" s="113"/>
      <c r="R169" s="156">
        <f>+R59</f>
        <v>124552</v>
      </c>
      <c r="S169" s="116"/>
      <c r="T169" s="2"/>
    </row>
    <row r="170" spans="1:252" ht="15.6" x14ac:dyDescent="0.3">
      <c r="A170" s="112"/>
      <c r="B170" s="113" t="s">
        <v>178</v>
      </c>
      <c r="C170" s="113"/>
      <c r="D170" s="113"/>
      <c r="E170" s="113"/>
      <c r="F170" s="113"/>
      <c r="G170" s="113"/>
      <c r="H170" s="113"/>
      <c r="I170" s="113"/>
      <c r="J170" s="113"/>
      <c r="K170" s="113"/>
      <c r="L170" s="113"/>
      <c r="M170" s="113"/>
      <c r="N170" s="113"/>
      <c r="O170" s="113"/>
      <c r="P170" s="113"/>
      <c r="Q170" s="113"/>
      <c r="R170" s="156">
        <f>+R69</f>
        <v>0</v>
      </c>
      <c r="S170" s="116"/>
      <c r="T170" s="2"/>
    </row>
    <row r="171" spans="1:252" ht="15.6" x14ac:dyDescent="0.3">
      <c r="A171" s="112"/>
      <c r="B171" s="113" t="s">
        <v>246</v>
      </c>
      <c r="C171" s="113"/>
      <c r="D171" s="113"/>
      <c r="E171" s="113"/>
      <c r="F171" s="113"/>
      <c r="G171" s="113"/>
      <c r="H171" s="113"/>
      <c r="I171" s="113"/>
      <c r="J171" s="113"/>
      <c r="K171" s="113"/>
      <c r="L171" s="113"/>
      <c r="M171" s="113"/>
      <c r="N171" s="113"/>
      <c r="O171" s="113"/>
      <c r="P171" s="113"/>
      <c r="Q171" s="113"/>
      <c r="R171" s="156">
        <f>+R70</f>
        <v>0</v>
      </c>
      <c r="S171" s="116"/>
      <c r="T171" s="2"/>
    </row>
    <row r="172" spans="1:252" ht="15.6" x14ac:dyDescent="0.3">
      <c r="A172" s="112"/>
      <c r="B172" s="113" t="s">
        <v>126</v>
      </c>
      <c r="C172" s="113"/>
      <c r="D172" s="113"/>
      <c r="E172" s="113"/>
      <c r="F172" s="113"/>
      <c r="G172" s="113"/>
      <c r="H172" s="113"/>
      <c r="I172" s="113"/>
      <c r="J172" s="113"/>
      <c r="K172" s="113"/>
      <c r="L172" s="113"/>
      <c r="M172" s="113"/>
      <c r="N172" s="113"/>
      <c r="O172" s="113"/>
      <c r="P172" s="113"/>
      <c r="Q172" s="113"/>
      <c r="R172" s="156">
        <f>+R169+R170+R171</f>
        <v>124552</v>
      </c>
      <c r="S172" s="116"/>
      <c r="T172" s="2"/>
    </row>
    <row r="173" spans="1:252" ht="15.6" x14ac:dyDescent="0.3">
      <c r="A173" s="112"/>
      <c r="B173" s="113" t="s">
        <v>45</v>
      </c>
      <c r="C173" s="113"/>
      <c r="D173" s="113"/>
      <c r="E173" s="113"/>
      <c r="F173" s="113"/>
      <c r="G173" s="113"/>
      <c r="H173" s="113"/>
      <c r="I173" s="113"/>
      <c r="J173" s="113"/>
      <c r="K173" s="113"/>
      <c r="L173" s="113"/>
      <c r="M173" s="113"/>
      <c r="N173" s="113"/>
      <c r="O173" s="113"/>
      <c r="P173" s="113"/>
      <c r="Q173" s="113"/>
      <c r="R173" s="156">
        <f>R72</f>
        <v>124552</v>
      </c>
      <c r="S173" s="116"/>
      <c r="T173" s="2"/>
    </row>
    <row r="174" spans="1:252" ht="16.2" thickBot="1" x14ac:dyDescent="0.35">
      <c r="A174" s="12"/>
      <c r="B174" s="43"/>
      <c r="C174" s="43"/>
      <c r="D174" s="43"/>
      <c r="E174" s="43"/>
      <c r="F174" s="43"/>
      <c r="G174" s="43"/>
      <c r="H174" s="43"/>
      <c r="I174" s="43"/>
      <c r="J174" s="43"/>
      <c r="K174" s="43"/>
      <c r="L174" s="43"/>
      <c r="M174" s="43"/>
      <c r="N174" s="43"/>
      <c r="O174" s="43"/>
      <c r="P174" s="43"/>
      <c r="Q174" s="43"/>
      <c r="R174" s="162"/>
      <c r="S174" s="218"/>
      <c r="T174" s="2"/>
    </row>
    <row r="175" spans="1:252" ht="15.6" x14ac:dyDescent="0.3">
      <c r="A175" s="10"/>
      <c r="B175" s="11"/>
      <c r="C175" s="11"/>
      <c r="D175" s="11"/>
      <c r="E175" s="11"/>
      <c r="F175" s="11"/>
      <c r="G175" s="11"/>
      <c r="H175" s="11"/>
      <c r="I175" s="11"/>
      <c r="J175" s="11"/>
      <c r="K175" s="11"/>
      <c r="L175" s="11"/>
      <c r="M175" s="11"/>
      <c r="N175" s="11"/>
      <c r="O175" s="11"/>
      <c r="P175" s="11"/>
      <c r="Q175" s="11"/>
      <c r="R175" s="32"/>
      <c r="S175" s="217"/>
      <c r="T175" s="2"/>
    </row>
    <row r="176" spans="1:252" ht="15.6" x14ac:dyDescent="0.3">
      <c r="A176" s="12"/>
      <c r="B176" s="41" t="s">
        <v>46</v>
      </c>
      <c r="C176" s="37"/>
      <c r="D176" s="45"/>
      <c r="E176" s="45"/>
      <c r="F176" s="45"/>
      <c r="G176" s="45"/>
      <c r="H176" s="45"/>
      <c r="I176" s="45"/>
      <c r="J176" s="45"/>
      <c r="K176" s="45"/>
      <c r="L176" s="45"/>
      <c r="M176" s="45"/>
      <c r="N176" s="45"/>
      <c r="O176" s="45" t="s">
        <v>82</v>
      </c>
      <c r="P176" s="45" t="s">
        <v>173</v>
      </c>
      <c r="Q176" s="16"/>
      <c r="R176" s="46" t="s">
        <v>94</v>
      </c>
      <c r="S176" s="225"/>
      <c r="T176" s="2"/>
    </row>
    <row r="177" spans="1:20" ht="15.6" x14ac:dyDescent="0.3">
      <c r="A177" s="112"/>
      <c r="B177" s="113" t="s">
        <v>47</v>
      </c>
      <c r="C177" s="113"/>
      <c r="D177" s="113"/>
      <c r="E177" s="113"/>
      <c r="F177" s="113"/>
      <c r="G177" s="113"/>
      <c r="H177" s="113"/>
      <c r="I177" s="113"/>
      <c r="J177" s="113"/>
      <c r="K177" s="113"/>
      <c r="L177" s="113"/>
      <c r="M177" s="113"/>
      <c r="N177" s="113"/>
      <c r="O177" s="156">
        <f>+R28*0.05</f>
        <v>12500</v>
      </c>
      <c r="P177" s="145"/>
      <c r="Q177" s="113"/>
      <c r="R177" s="156"/>
      <c r="S177" s="116"/>
      <c r="T177" s="2"/>
    </row>
    <row r="178" spans="1:20" ht="15.6" x14ac:dyDescent="0.3">
      <c r="A178" s="112"/>
      <c r="B178" s="113" t="s">
        <v>48</v>
      </c>
      <c r="C178" s="113"/>
      <c r="D178" s="113"/>
      <c r="E178" s="113"/>
      <c r="F178" s="113"/>
      <c r="G178" s="113"/>
      <c r="H178" s="113"/>
      <c r="I178" s="113"/>
      <c r="J178" s="113"/>
      <c r="K178" s="113"/>
      <c r="L178" s="113"/>
      <c r="M178" s="113"/>
      <c r="N178" s="113"/>
      <c r="O178" s="156">
        <f>+'Nov 16'!O180</f>
        <v>831</v>
      </c>
      <c r="P178" s="156">
        <f>+'Nov 16'!P180</f>
        <v>517</v>
      </c>
      <c r="Q178" s="113"/>
      <c r="R178" s="156">
        <f>O178+P178</f>
        <v>1348</v>
      </c>
      <c r="S178" s="116"/>
      <c r="T178" s="2"/>
    </row>
    <row r="179" spans="1:20" ht="15.6" x14ac:dyDescent="0.3">
      <c r="A179" s="112"/>
      <c r="B179" s="113" t="s">
        <v>49</v>
      </c>
      <c r="C179" s="113"/>
      <c r="D179" s="113"/>
      <c r="E179" s="113"/>
      <c r="F179" s="113"/>
      <c r="G179" s="113"/>
      <c r="H179" s="113"/>
      <c r="I179" s="113"/>
      <c r="J179" s="113"/>
      <c r="K179" s="113"/>
      <c r="L179" s="113"/>
      <c r="M179" s="113"/>
      <c r="N179" s="113"/>
      <c r="O179" s="155">
        <v>0</v>
      </c>
      <c r="P179" s="155">
        <v>0</v>
      </c>
      <c r="Q179" s="113"/>
      <c r="R179" s="156">
        <f>O179+P179</f>
        <v>0</v>
      </c>
      <c r="S179" s="116"/>
      <c r="T179" s="2"/>
    </row>
    <row r="180" spans="1:20" ht="15.6" x14ac:dyDescent="0.3">
      <c r="A180" s="112"/>
      <c r="B180" s="113" t="s">
        <v>50</v>
      </c>
      <c r="C180" s="113"/>
      <c r="D180" s="113"/>
      <c r="E180" s="113"/>
      <c r="F180" s="113"/>
      <c r="G180" s="113"/>
      <c r="H180" s="113"/>
      <c r="I180" s="113"/>
      <c r="J180" s="113"/>
      <c r="K180" s="113"/>
      <c r="L180" s="113"/>
      <c r="M180" s="113"/>
      <c r="N180" s="113"/>
      <c r="O180" s="156">
        <f>O178+O179</f>
        <v>831</v>
      </c>
      <c r="P180" s="156">
        <f>P179+P178</f>
        <v>517</v>
      </c>
      <c r="Q180" s="113"/>
      <c r="R180" s="156">
        <f>O180+P180</f>
        <v>1348</v>
      </c>
      <c r="S180" s="116"/>
      <c r="T180" s="2"/>
    </row>
    <row r="181" spans="1:20" ht="15.6" x14ac:dyDescent="0.3">
      <c r="A181" s="112"/>
      <c r="B181" s="113" t="s">
        <v>51</v>
      </c>
      <c r="C181" s="113"/>
      <c r="D181" s="113"/>
      <c r="E181" s="113"/>
      <c r="F181" s="113"/>
      <c r="G181" s="113"/>
      <c r="H181" s="113"/>
      <c r="I181" s="113"/>
      <c r="J181" s="113"/>
      <c r="K181" s="113"/>
      <c r="L181" s="113"/>
      <c r="M181" s="113"/>
      <c r="N181" s="113"/>
      <c r="O181" s="156">
        <f>O177-O180-P180</f>
        <v>11152</v>
      </c>
      <c r="P181" s="145"/>
      <c r="Q181" s="113"/>
      <c r="R181" s="156"/>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8"/>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7"/>
      <c r="T183" s="2"/>
    </row>
    <row r="184" spans="1:20" ht="15.6" x14ac:dyDescent="0.3">
      <c r="A184" s="12"/>
      <c r="B184" s="41" t="s">
        <v>52</v>
      </c>
      <c r="C184" s="14"/>
      <c r="D184" s="14"/>
      <c r="E184" s="14"/>
      <c r="F184" s="14"/>
      <c r="G184" s="14"/>
      <c r="H184" s="14"/>
      <c r="I184" s="14"/>
      <c r="J184" s="14"/>
      <c r="K184" s="14"/>
      <c r="L184" s="14"/>
      <c r="M184" s="14"/>
      <c r="N184" s="14"/>
      <c r="O184" s="14"/>
      <c r="P184" s="14"/>
      <c r="Q184" s="14"/>
      <c r="R184" s="47"/>
      <c r="S184" s="218"/>
      <c r="T184" s="2"/>
    </row>
    <row r="185" spans="1:20" ht="15.6" x14ac:dyDescent="0.3">
      <c r="A185" s="112"/>
      <c r="B185" s="113" t="s">
        <v>53</v>
      </c>
      <c r="C185" s="113"/>
      <c r="D185" s="113"/>
      <c r="E185" s="113"/>
      <c r="F185" s="113"/>
      <c r="G185" s="113"/>
      <c r="H185" s="113"/>
      <c r="I185" s="113"/>
      <c r="J185" s="113"/>
      <c r="K185" s="113"/>
      <c r="L185" s="113"/>
      <c r="M185" s="113"/>
      <c r="N185" s="113"/>
      <c r="O185" s="113"/>
      <c r="P185" s="113"/>
      <c r="Q185" s="113"/>
      <c r="R185" s="161">
        <f>(R92+R94+R95+R96+R97)/-(R98)</f>
        <v>4.9111747851002869</v>
      </c>
      <c r="S185" s="116" t="s">
        <v>95</v>
      </c>
      <c r="T185" s="2"/>
    </row>
    <row r="186" spans="1:20" ht="15.6" x14ac:dyDescent="0.3">
      <c r="A186" s="112"/>
      <c r="B186" s="113" t="s">
        <v>54</v>
      </c>
      <c r="C186" s="113"/>
      <c r="D186" s="113"/>
      <c r="E186" s="113"/>
      <c r="F186" s="113"/>
      <c r="G186" s="113"/>
      <c r="H186" s="113"/>
      <c r="I186" s="113"/>
      <c r="J186" s="113"/>
      <c r="K186" s="113"/>
      <c r="L186" s="113"/>
      <c r="M186" s="113"/>
      <c r="N186" s="113"/>
      <c r="O186" s="113"/>
      <c r="P186" s="113"/>
      <c r="Q186" s="113"/>
      <c r="R186" s="164">
        <v>3.65</v>
      </c>
      <c r="S186" s="116" t="s">
        <v>95</v>
      </c>
      <c r="T186" s="2"/>
    </row>
    <row r="187" spans="1:20" ht="15.6" x14ac:dyDescent="0.3">
      <c r="A187" s="112"/>
      <c r="B187" s="113" t="s">
        <v>192</v>
      </c>
      <c r="C187" s="113"/>
      <c r="D187" s="113"/>
      <c r="E187" s="113"/>
      <c r="F187" s="113"/>
      <c r="G187" s="113"/>
      <c r="H187" s="113"/>
      <c r="I187" s="113"/>
      <c r="J187" s="113"/>
      <c r="K187" s="113"/>
      <c r="L187" s="113"/>
      <c r="M187" s="113"/>
      <c r="N187" s="113"/>
      <c r="O187" s="113"/>
      <c r="P187" s="113"/>
      <c r="Q187" s="113"/>
      <c r="R187" s="161">
        <f>(R92+R94+R95+R96+R97+R98)/-(R99)</f>
        <v>17.727272727272727</v>
      </c>
      <c r="S187" s="116" t="s">
        <v>95</v>
      </c>
      <c r="T187" s="2"/>
    </row>
    <row r="188" spans="1:20" ht="15.6" x14ac:dyDescent="0.3">
      <c r="A188" s="112"/>
      <c r="B188" s="113" t="s">
        <v>193</v>
      </c>
      <c r="C188" s="113"/>
      <c r="D188" s="113"/>
      <c r="E188" s="113"/>
      <c r="F188" s="113"/>
      <c r="G188" s="113"/>
      <c r="H188" s="113"/>
      <c r="I188" s="113"/>
      <c r="J188" s="113"/>
      <c r="K188" s="113"/>
      <c r="L188" s="113"/>
      <c r="M188" s="113"/>
      <c r="N188" s="113"/>
      <c r="O188" s="113"/>
      <c r="P188" s="113"/>
      <c r="Q188" s="113"/>
      <c r="R188" s="164">
        <v>20.21</v>
      </c>
      <c r="S188" s="116" t="s">
        <v>95</v>
      </c>
      <c r="T188" s="2"/>
    </row>
    <row r="189" spans="1:20" ht="15.6" x14ac:dyDescent="0.3">
      <c r="A189" s="112"/>
      <c r="B189" s="113" t="s">
        <v>194</v>
      </c>
      <c r="C189" s="113"/>
      <c r="D189" s="113"/>
      <c r="E189" s="113"/>
      <c r="F189" s="113"/>
      <c r="G189" s="113"/>
      <c r="H189" s="113"/>
      <c r="I189" s="113"/>
      <c r="J189" s="113"/>
      <c r="K189" s="113"/>
      <c r="L189" s="113"/>
      <c r="M189" s="113"/>
      <c r="N189" s="113"/>
      <c r="O189" s="113"/>
      <c r="P189" s="113"/>
      <c r="Q189" s="113"/>
      <c r="R189" s="161">
        <f>(R92+R94+R95+R96+R97+R98+R99)/-(R100)</f>
        <v>30.666666666666668</v>
      </c>
      <c r="S189" s="116" t="s">
        <v>95</v>
      </c>
      <c r="T189" s="2"/>
    </row>
    <row r="190" spans="1:20" ht="15.6" x14ac:dyDescent="0.3">
      <c r="A190" s="112"/>
      <c r="B190" s="113" t="s">
        <v>195</v>
      </c>
      <c r="C190" s="113"/>
      <c r="D190" s="113"/>
      <c r="E190" s="113"/>
      <c r="F190" s="113"/>
      <c r="G190" s="113"/>
      <c r="H190" s="113"/>
      <c r="I190" s="113"/>
      <c r="J190" s="113"/>
      <c r="K190" s="113"/>
      <c r="L190" s="113"/>
      <c r="M190" s="113"/>
      <c r="N190" s="113"/>
      <c r="O190" s="113"/>
      <c r="P190" s="113"/>
      <c r="Q190" s="113"/>
      <c r="R190" s="164">
        <v>35.700000000000003</v>
      </c>
      <c r="S190" s="116" t="s">
        <v>95</v>
      </c>
      <c r="T190" s="2"/>
    </row>
    <row r="191" spans="1:20" ht="15.6" x14ac:dyDescent="0.3">
      <c r="A191" s="112"/>
      <c r="B191" s="113" t="s">
        <v>196</v>
      </c>
      <c r="C191" s="113"/>
      <c r="D191" s="113"/>
      <c r="E191" s="113"/>
      <c r="F191" s="113"/>
      <c r="G191" s="113"/>
      <c r="H191" s="113"/>
      <c r="I191" s="113"/>
      <c r="J191" s="113"/>
      <c r="K191" s="113"/>
      <c r="L191" s="113"/>
      <c r="M191" s="113"/>
      <c r="N191" s="113"/>
      <c r="O191" s="113"/>
      <c r="P191" s="113"/>
      <c r="Q191" s="113"/>
      <c r="R191" s="161">
        <f>(R92+R94+R95+R96+R97+R98+R99+R100+R101+R102+R103+R104+R105)/-(R106)</f>
        <v>32.263157894736842</v>
      </c>
      <c r="S191" s="116" t="s">
        <v>95</v>
      </c>
      <c r="T191" s="2"/>
    </row>
    <row r="192" spans="1:20" ht="15.6" x14ac:dyDescent="0.3">
      <c r="A192" s="112"/>
      <c r="B192" s="113" t="s">
        <v>197</v>
      </c>
      <c r="C192" s="113"/>
      <c r="D192" s="113"/>
      <c r="E192" s="113"/>
      <c r="F192" s="113"/>
      <c r="G192" s="113"/>
      <c r="H192" s="113"/>
      <c r="I192" s="113"/>
      <c r="J192" s="113"/>
      <c r="K192" s="113"/>
      <c r="L192" s="113"/>
      <c r="M192" s="113"/>
      <c r="N192" s="113"/>
      <c r="O192" s="113"/>
      <c r="P192" s="113"/>
      <c r="Q192" s="113"/>
      <c r="R192" s="164">
        <v>38.25</v>
      </c>
      <c r="S192" s="116" t="s">
        <v>95</v>
      </c>
      <c r="T192" s="2"/>
    </row>
    <row r="193" spans="1:20" ht="15.6" x14ac:dyDescent="0.3">
      <c r="A193" s="112"/>
      <c r="B193" s="113"/>
      <c r="C193" s="113"/>
      <c r="D193" s="113"/>
      <c r="E193" s="113"/>
      <c r="F193" s="113"/>
      <c r="G193" s="113"/>
      <c r="H193" s="113"/>
      <c r="I193" s="113"/>
      <c r="J193" s="113"/>
      <c r="K193" s="113"/>
      <c r="L193" s="113"/>
      <c r="M193" s="113"/>
      <c r="N193" s="113"/>
      <c r="O193" s="113"/>
      <c r="P193" s="113"/>
      <c r="Q193" s="113"/>
      <c r="R193" s="113"/>
      <c r="S193" s="116"/>
      <c r="T193" s="2"/>
    </row>
    <row r="194" spans="1:20" ht="15.6" x14ac:dyDescent="0.3">
      <c r="A194" s="12"/>
      <c r="B194" s="163"/>
      <c r="C194" s="163"/>
      <c r="D194" s="163"/>
      <c r="E194" s="163"/>
      <c r="F194" s="163"/>
      <c r="G194" s="163"/>
      <c r="H194" s="163"/>
      <c r="I194" s="163"/>
      <c r="J194" s="163"/>
      <c r="K194" s="163"/>
      <c r="L194" s="163"/>
      <c r="M194" s="163"/>
      <c r="N194" s="163"/>
      <c r="O194" s="163"/>
      <c r="P194" s="163"/>
      <c r="Q194" s="163"/>
      <c r="R194" s="163"/>
      <c r="S194" s="219"/>
      <c r="T194" s="2"/>
    </row>
    <row r="195" spans="1:20" ht="15.6" x14ac:dyDescent="0.3">
      <c r="A195" s="12"/>
      <c r="B195" s="84"/>
      <c r="C195" s="84"/>
      <c r="D195" s="84"/>
      <c r="E195" s="84"/>
      <c r="F195" s="84"/>
      <c r="G195" s="84"/>
      <c r="H195" s="84"/>
      <c r="I195" s="84"/>
      <c r="J195" s="84"/>
      <c r="K195" s="84"/>
      <c r="L195" s="84"/>
      <c r="M195" s="84"/>
      <c r="N195" s="84"/>
      <c r="O195" s="84"/>
      <c r="P195" s="84"/>
      <c r="Q195" s="84"/>
      <c r="R195" s="84"/>
      <c r="S195" s="219"/>
      <c r="T195" s="2"/>
    </row>
    <row r="196" spans="1:20" ht="18" thickBot="1" x14ac:dyDescent="0.35">
      <c r="A196" s="28"/>
      <c r="B196" s="97" t="str">
        <f>B123</f>
        <v>PM21 INVESTOR REPORT QUARTER ENDING FEBRUARY 2017</v>
      </c>
      <c r="C196" s="98"/>
      <c r="D196" s="98"/>
      <c r="E196" s="98"/>
      <c r="F196" s="98"/>
      <c r="G196" s="98"/>
      <c r="H196" s="98"/>
      <c r="I196" s="98"/>
      <c r="J196" s="98"/>
      <c r="K196" s="98"/>
      <c r="L196" s="98"/>
      <c r="M196" s="98"/>
      <c r="N196" s="98"/>
      <c r="O196" s="98"/>
      <c r="P196" s="98"/>
      <c r="Q196" s="98"/>
      <c r="R196" s="98"/>
      <c r="S196" s="99"/>
      <c r="T196" s="2"/>
    </row>
    <row r="197" spans="1:20" ht="15.6" x14ac:dyDescent="0.3">
      <c r="A197" s="65"/>
      <c r="B197" s="66" t="s">
        <v>55</v>
      </c>
      <c r="C197" s="69"/>
      <c r="D197" s="70"/>
      <c r="E197" s="70"/>
      <c r="F197" s="70"/>
      <c r="G197" s="70"/>
      <c r="H197" s="70"/>
      <c r="I197" s="70"/>
      <c r="J197" s="70"/>
      <c r="K197" s="70"/>
      <c r="L197" s="70"/>
      <c r="M197" s="70"/>
      <c r="N197" s="70"/>
      <c r="O197" s="70"/>
      <c r="P197" s="70">
        <v>42794</v>
      </c>
      <c r="Q197" s="67"/>
      <c r="R197" s="67"/>
      <c r="S197" s="224"/>
      <c r="T197" s="2"/>
    </row>
    <row r="198" spans="1:20" ht="15.6" x14ac:dyDescent="0.3">
      <c r="A198" s="48"/>
      <c r="B198" s="49"/>
      <c r="C198" s="50"/>
      <c r="D198" s="51"/>
      <c r="E198" s="51"/>
      <c r="F198" s="51"/>
      <c r="G198" s="51"/>
      <c r="H198" s="51"/>
      <c r="I198" s="51"/>
      <c r="J198" s="51"/>
      <c r="K198" s="51"/>
      <c r="L198" s="51"/>
      <c r="M198" s="51"/>
      <c r="N198" s="51"/>
      <c r="O198" s="51"/>
      <c r="P198" s="51"/>
      <c r="Q198" s="14"/>
      <c r="R198" s="14"/>
      <c r="S198" s="218"/>
      <c r="T198" s="2"/>
    </row>
    <row r="199" spans="1:20" ht="15.6" x14ac:dyDescent="0.3">
      <c r="A199" s="167"/>
      <c r="B199" s="113" t="s">
        <v>56</v>
      </c>
      <c r="C199" s="168"/>
      <c r="D199" s="148"/>
      <c r="E199" s="148"/>
      <c r="F199" s="148"/>
      <c r="G199" s="148"/>
      <c r="H199" s="148"/>
      <c r="I199" s="148"/>
      <c r="J199" s="148"/>
      <c r="K199" s="148"/>
      <c r="L199" s="148"/>
      <c r="M199" s="148"/>
      <c r="N199" s="148"/>
      <c r="O199" s="148"/>
      <c r="P199" s="142">
        <v>4.1349999999999998E-2</v>
      </c>
      <c r="Q199" s="113"/>
      <c r="R199" s="113"/>
      <c r="S199" s="116"/>
      <c r="T199" s="2"/>
    </row>
    <row r="200" spans="1:20" ht="15.6" x14ac:dyDescent="0.3">
      <c r="A200" s="167"/>
      <c r="B200" s="113" t="s">
        <v>161</v>
      </c>
      <c r="C200" s="168"/>
      <c r="D200" s="148"/>
      <c r="E200" s="148"/>
      <c r="F200" s="148"/>
      <c r="G200" s="148"/>
      <c r="H200" s="148"/>
      <c r="I200" s="148"/>
      <c r="J200" s="148"/>
      <c r="K200" s="148"/>
      <c r="L200" s="148"/>
      <c r="M200" s="148"/>
      <c r="N200" s="148"/>
      <c r="O200" s="148"/>
      <c r="P200" s="142">
        <v>1.50706E-2</v>
      </c>
      <c r="Q200" s="113"/>
      <c r="R200" s="113"/>
      <c r="S200" s="116"/>
      <c r="T200" s="2"/>
    </row>
    <row r="201" spans="1:20" ht="15.6" x14ac:dyDescent="0.3">
      <c r="A201" s="167"/>
      <c r="B201" s="113" t="s">
        <v>57</v>
      </c>
      <c r="C201" s="168"/>
      <c r="D201" s="148"/>
      <c r="E201" s="148"/>
      <c r="F201" s="148"/>
      <c r="G201" s="148"/>
      <c r="H201" s="148"/>
      <c r="I201" s="148"/>
      <c r="J201" s="148"/>
      <c r="K201" s="148"/>
      <c r="L201" s="148"/>
      <c r="M201" s="148"/>
      <c r="N201" s="148"/>
      <c r="O201" s="148"/>
      <c r="P201" s="211">
        <f>P199-P200</f>
        <v>2.6279399999999998E-2</v>
      </c>
      <c r="Q201" s="113"/>
      <c r="R201" s="113"/>
      <c r="S201" s="116"/>
      <c r="T201" s="2"/>
    </row>
    <row r="202" spans="1:20" ht="15.6" x14ac:dyDescent="0.3">
      <c r="A202" s="167"/>
      <c r="B202" s="113" t="s">
        <v>164</v>
      </c>
      <c r="C202" s="168"/>
      <c r="D202" s="148"/>
      <c r="E202" s="148"/>
      <c r="F202" s="148"/>
      <c r="G202" s="148"/>
      <c r="H202" s="148"/>
      <c r="I202" s="148"/>
      <c r="J202" s="148"/>
      <c r="K202" s="148"/>
      <c r="L202" s="148"/>
      <c r="M202" s="148"/>
      <c r="N202" s="148"/>
      <c r="O202" s="148"/>
      <c r="P202" s="211">
        <v>4.3731300000000001E-2</v>
      </c>
      <c r="Q202" s="113"/>
      <c r="R202" s="113"/>
      <c r="S202" s="116"/>
      <c r="T202" s="2"/>
    </row>
    <row r="203" spans="1:20" ht="15.6" x14ac:dyDescent="0.3">
      <c r="A203" s="167"/>
      <c r="B203" s="113" t="s">
        <v>58</v>
      </c>
      <c r="C203" s="168"/>
      <c r="D203" s="148"/>
      <c r="E203" s="148"/>
      <c r="F203" s="148"/>
      <c r="G203" s="148"/>
      <c r="H203" s="148"/>
      <c r="I203" s="148"/>
      <c r="J203" s="148"/>
      <c r="K203" s="148"/>
      <c r="L203" s="148"/>
      <c r="M203" s="148"/>
      <c r="N203" s="148"/>
      <c r="O203" s="148"/>
      <c r="P203" s="209">
        <v>4.8599999999999997E-2</v>
      </c>
      <c r="Q203" s="113"/>
      <c r="R203" s="113"/>
      <c r="S203" s="116"/>
      <c r="T203" s="2"/>
    </row>
    <row r="204" spans="1:20" ht="15.6" x14ac:dyDescent="0.3">
      <c r="A204" s="167"/>
      <c r="B204" s="113" t="s">
        <v>162</v>
      </c>
      <c r="C204" s="168"/>
      <c r="D204" s="148"/>
      <c r="E204" s="148"/>
      <c r="F204" s="148"/>
      <c r="G204" s="148"/>
      <c r="H204" s="148"/>
      <c r="I204" s="148"/>
      <c r="J204" s="148"/>
      <c r="K204" s="148"/>
      <c r="L204" s="148"/>
      <c r="M204" s="148"/>
      <c r="N204" s="148"/>
      <c r="O204" s="148"/>
      <c r="P204" s="142">
        <f>R34</f>
        <v>1.3465417963842614E-2</v>
      </c>
      <c r="Q204" s="113"/>
      <c r="R204" s="113"/>
      <c r="S204" s="116"/>
      <c r="T204" s="2"/>
    </row>
    <row r="205" spans="1:20" ht="15.6" x14ac:dyDescent="0.3">
      <c r="A205" s="167"/>
      <c r="B205" s="113" t="s">
        <v>59</v>
      </c>
      <c r="C205" s="168"/>
      <c r="D205" s="148"/>
      <c r="E205" s="148"/>
      <c r="F205" s="148"/>
      <c r="G205" s="148"/>
      <c r="H205" s="148"/>
      <c r="I205" s="148"/>
      <c r="J205" s="148"/>
      <c r="K205" s="148"/>
      <c r="L205" s="148"/>
      <c r="M205" s="148"/>
      <c r="N205" s="148"/>
      <c r="O205" s="148"/>
      <c r="P205" s="142">
        <f>P203-P204</f>
        <v>3.513458203615738E-2</v>
      </c>
      <c r="Q205" s="113"/>
      <c r="R205" s="113"/>
      <c r="S205" s="116"/>
      <c r="T205" s="2"/>
    </row>
    <row r="206" spans="1:20" ht="15.6" x14ac:dyDescent="0.3">
      <c r="A206" s="167"/>
      <c r="B206" s="113" t="s">
        <v>139</v>
      </c>
      <c r="C206" s="168"/>
      <c r="D206" s="148"/>
      <c r="E206" s="148"/>
      <c r="F206" s="148"/>
      <c r="G206" s="148"/>
      <c r="H206" s="148"/>
      <c r="I206" s="148"/>
      <c r="J206" s="148"/>
      <c r="K206" s="148"/>
      <c r="L206" s="148"/>
      <c r="M206" s="148"/>
      <c r="N206" s="148"/>
      <c r="O206" s="148"/>
      <c r="P206" s="142">
        <f>(+R92+R94)/H72</f>
        <v>1.2169270628876502E-2</v>
      </c>
      <c r="Q206" s="113"/>
      <c r="R206" s="113"/>
      <c r="S206" s="116"/>
      <c r="T206" s="2"/>
    </row>
    <row r="207" spans="1:20" ht="15.6" x14ac:dyDescent="0.3">
      <c r="A207" s="167"/>
      <c r="B207" s="113" t="s">
        <v>132</v>
      </c>
      <c r="C207" s="168"/>
      <c r="D207" s="148"/>
      <c r="E207" s="148"/>
      <c r="F207" s="148"/>
      <c r="G207" s="148"/>
      <c r="H207" s="148"/>
      <c r="I207" s="148"/>
      <c r="J207" s="148"/>
      <c r="K207" s="148"/>
      <c r="L207" s="148"/>
      <c r="M207" s="148"/>
      <c r="N207" s="148"/>
      <c r="O207" s="148"/>
      <c r="P207" s="169">
        <v>15507</v>
      </c>
      <c r="Q207" s="113"/>
      <c r="R207" s="113"/>
      <c r="S207" s="116"/>
      <c r="T207" s="2"/>
    </row>
    <row r="208" spans="1:20" ht="15.6" x14ac:dyDescent="0.3">
      <c r="A208" s="167"/>
      <c r="B208" s="113" t="s">
        <v>198</v>
      </c>
      <c r="C208" s="168"/>
      <c r="D208" s="148"/>
      <c r="E208" s="148"/>
      <c r="F208" s="148"/>
      <c r="G208" s="148"/>
      <c r="H208" s="148"/>
      <c r="I208" s="148"/>
      <c r="J208" s="148"/>
      <c r="K208" s="148"/>
      <c r="L208" s="148"/>
      <c r="M208" s="148"/>
      <c r="N208" s="148"/>
      <c r="O208" s="148"/>
      <c r="P208" s="169">
        <v>15507</v>
      </c>
      <c r="Q208" s="113"/>
      <c r="R208" s="113"/>
      <c r="S208" s="116"/>
      <c r="T208" s="2"/>
    </row>
    <row r="209" spans="1:20" ht="15.6" x14ac:dyDescent="0.3">
      <c r="A209" s="167"/>
      <c r="B209" s="113" t="s">
        <v>199</v>
      </c>
      <c r="C209" s="168"/>
      <c r="D209" s="148"/>
      <c r="E209" s="148"/>
      <c r="F209" s="148"/>
      <c r="G209" s="148"/>
      <c r="H209" s="148"/>
      <c r="I209" s="148"/>
      <c r="J209" s="148"/>
      <c r="K209" s="148"/>
      <c r="L209" s="148"/>
      <c r="M209" s="148"/>
      <c r="N209" s="148"/>
      <c r="O209" s="148"/>
      <c r="P209" s="169">
        <v>15507</v>
      </c>
      <c r="Q209" s="113"/>
      <c r="R209" s="113"/>
      <c r="S209" s="116"/>
      <c r="T209" s="2"/>
    </row>
    <row r="210" spans="1:20" ht="15.6" x14ac:dyDescent="0.3">
      <c r="A210" s="167"/>
      <c r="B210" s="113" t="s">
        <v>200</v>
      </c>
      <c r="C210" s="168"/>
      <c r="D210" s="148"/>
      <c r="E210" s="148"/>
      <c r="F210" s="148"/>
      <c r="G210" s="148"/>
      <c r="H210" s="148"/>
      <c r="I210" s="148"/>
      <c r="J210" s="148"/>
      <c r="K210" s="148"/>
      <c r="L210" s="148"/>
      <c r="M210" s="148"/>
      <c r="N210" s="148"/>
      <c r="O210" s="148"/>
      <c r="P210" s="169">
        <v>15507</v>
      </c>
      <c r="Q210" s="113"/>
      <c r="R210" s="113"/>
      <c r="S210" s="116"/>
      <c r="T210" s="2"/>
    </row>
    <row r="211" spans="1:20" ht="15.6" x14ac:dyDescent="0.3">
      <c r="A211" s="167"/>
      <c r="B211" s="113" t="s">
        <v>60</v>
      </c>
      <c r="C211" s="168"/>
      <c r="D211" s="148"/>
      <c r="E211" s="148"/>
      <c r="F211" s="148"/>
      <c r="G211" s="148"/>
      <c r="H211" s="148"/>
      <c r="I211" s="148"/>
      <c r="J211" s="148"/>
      <c r="K211" s="148"/>
      <c r="L211" s="148"/>
      <c r="M211" s="148"/>
      <c r="N211" s="148"/>
      <c r="O211" s="148"/>
      <c r="P211" s="146">
        <v>20.170000000000002</v>
      </c>
      <c r="Q211" s="113" t="s">
        <v>90</v>
      </c>
      <c r="R211" s="113"/>
      <c r="S211" s="116"/>
      <c r="T211" s="2"/>
    </row>
    <row r="212" spans="1:20" ht="15.6" x14ac:dyDescent="0.3">
      <c r="A212" s="167"/>
      <c r="B212" s="113" t="s">
        <v>61</v>
      </c>
      <c r="C212" s="168"/>
      <c r="D212" s="148"/>
      <c r="E212" s="148"/>
      <c r="F212" s="148"/>
      <c r="G212" s="148"/>
      <c r="H212" s="148"/>
      <c r="I212" s="148"/>
      <c r="J212" s="148"/>
      <c r="K212" s="148"/>
      <c r="L212" s="148"/>
      <c r="M212" s="148"/>
      <c r="N212" s="148"/>
      <c r="O212" s="148"/>
      <c r="P212" s="210">
        <v>17.73</v>
      </c>
      <c r="Q212" s="113" t="s">
        <v>90</v>
      </c>
      <c r="R212" s="113"/>
      <c r="S212" s="116"/>
      <c r="T212" s="2"/>
    </row>
    <row r="213" spans="1:20" ht="15.6" x14ac:dyDescent="0.3">
      <c r="A213" s="167"/>
      <c r="B213" s="113" t="s">
        <v>62</v>
      </c>
      <c r="C213" s="168"/>
      <c r="D213" s="148"/>
      <c r="E213" s="148"/>
      <c r="F213" s="148"/>
      <c r="G213" s="148"/>
      <c r="H213" s="148"/>
      <c r="I213" s="148"/>
      <c r="J213" s="148"/>
      <c r="K213" s="148"/>
      <c r="L213" s="148"/>
      <c r="M213" s="148"/>
      <c r="N213" s="148"/>
      <c r="O213" s="148"/>
      <c r="P213" s="142">
        <f>(+J56+L56)/H56</f>
        <v>0.18510376593127634</v>
      </c>
      <c r="Q213" s="113"/>
      <c r="R213" s="113"/>
      <c r="S213" s="116"/>
      <c r="T213" s="2"/>
    </row>
    <row r="214" spans="1:20" ht="15.6" x14ac:dyDescent="0.3">
      <c r="A214" s="167"/>
      <c r="B214" s="113" t="s">
        <v>63</v>
      </c>
      <c r="C214" s="168"/>
      <c r="D214" s="148"/>
      <c r="E214" s="148"/>
      <c r="F214" s="148"/>
      <c r="G214" s="148"/>
      <c r="H214" s="148"/>
      <c r="I214" s="148"/>
      <c r="J214" s="148"/>
      <c r="K214" s="148"/>
      <c r="L214" s="148"/>
      <c r="M214" s="148"/>
      <c r="N214" s="148"/>
      <c r="O214" s="148"/>
      <c r="P214" s="211">
        <v>0.25679999999999997</v>
      </c>
      <c r="Q214" s="113"/>
      <c r="R214" s="113"/>
      <c r="S214" s="116"/>
      <c r="T214" s="2"/>
    </row>
    <row r="215" spans="1:20" ht="15.6" x14ac:dyDescent="0.3">
      <c r="A215" s="48"/>
      <c r="B215" s="165"/>
      <c r="C215" s="165"/>
      <c r="D215" s="43"/>
      <c r="E215" s="43"/>
      <c r="F215" s="43"/>
      <c r="G215" s="43"/>
      <c r="H215" s="43"/>
      <c r="I215" s="43"/>
      <c r="J215" s="43"/>
      <c r="K215" s="43"/>
      <c r="L215" s="43"/>
      <c r="M215" s="43"/>
      <c r="N215" s="43"/>
      <c r="O215" s="43"/>
      <c r="P215" s="162"/>
      <c r="Q215" s="43"/>
      <c r="R215" s="166"/>
      <c r="S215" s="218"/>
      <c r="T215" s="2"/>
    </row>
    <row r="216" spans="1:20" ht="15.6" x14ac:dyDescent="0.3">
      <c r="A216" s="71"/>
      <c r="B216" s="61" t="s">
        <v>64</v>
      </c>
      <c r="C216" s="62"/>
      <c r="D216" s="62"/>
      <c r="E216" s="62"/>
      <c r="F216" s="62"/>
      <c r="G216" s="62"/>
      <c r="H216" s="62"/>
      <c r="I216" s="62"/>
      <c r="J216" s="62"/>
      <c r="K216" s="62"/>
      <c r="L216" s="62"/>
      <c r="M216" s="62"/>
      <c r="N216" s="62"/>
      <c r="O216" s="62" t="s">
        <v>83</v>
      </c>
      <c r="P216" s="72" t="s">
        <v>88</v>
      </c>
      <c r="Q216" s="54"/>
      <c r="R216" s="54"/>
      <c r="S216" s="220"/>
      <c r="T216" s="2"/>
    </row>
    <row r="217" spans="1:20" ht="15.6" x14ac:dyDescent="0.3">
      <c r="A217" s="52"/>
      <c r="B217" s="79" t="s">
        <v>65</v>
      </c>
      <c r="C217" s="78"/>
      <c r="D217" s="95"/>
      <c r="E217" s="95"/>
      <c r="F217" s="95"/>
      <c r="G217" s="95"/>
      <c r="H217" s="95"/>
      <c r="I217" s="95"/>
      <c r="J217" s="95"/>
      <c r="K217" s="95"/>
      <c r="L217" s="95"/>
      <c r="M217" s="95"/>
      <c r="N217" s="95"/>
      <c r="O217" s="95">
        <v>0</v>
      </c>
      <c r="P217" s="96">
        <v>0</v>
      </c>
      <c r="Q217" s="79"/>
      <c r="R217" s="94"/>
      <c r="S217" s="226"/>
      <c r="T217" s="2"/>
    </row>
    <row r="218" spans="1:20" ht="15.6" x14ac:dyDescent="0.3">
      <c r="A218" s="173"/>
      <c r="B218" s="113" t="s">
        <v>113</v>
      </c>
      <c r="C218" s="155"/>
      <c r="D218" s="123"/>
      <c r="E218" s="123"/>
      <c r="F218" s="123"/>
      <c r="G218" s="123"/>
      <c r="H218" s="123"/>
      <c r="I218" s="123"/>
      <c r="J218" s="123"/>
      <c r="K218" s="123"/>
      <c r="L218" s="123"/>
      <c r="M218" s="123"/>
      <c r="N218" s="123"/>
      <c r="O218" s="174">
        <f>+N270</f>
        <v>0</v>
      </c>
      <c r="P218" s="175">
        <f>+P270</f>
        <v>0</v>
      </c>
      <c r="Q218" s="113"/>
      <c r="R218" s="176"/>
      <c r="S218" s="177"/>
      <c r="T218" s="2"/>
    </row>
    <row r="219" spans="1:20" ht="15.6" x14ac:dyDescent="0.3">
      <c r="A219" s="173"/>
      <c r="B219" s="113" t="s">
        <v>66</v>
      </c>
      <c r="C219" s="155"/>
      <c r="D219" s="123"/>
      <c r="E219" s="123"/>
      <c r="F219" s="123"/>
      <c r="G219" s="123"/>
      <c r="H219" s="123"/>
      <c r="I219" s="123"/>
      <c r="J219" s="123"/>
      <c r="K219" s="123"/>
      <c r="L219" s="123"/>
      <c r="M219" s="123"/>
      <c r="N219" s="123"/>
      <c r="O219" s="174">
        <f>+N282</f>
        <v>0</v>
      </c>
      <c r="P219" s="175">
        <f>+P282</f>
        <v>0</v>
      </c>
      <c r="Q219" s="113"/>
      <c r="R219" s="176"/>
      <c r="S219" s="177"/>
      <c r="T219" s="2"/>
    </row>
    <row r="220" spans="1:20" ht="15.6" x14ac:dyDescent="0.3">
      <c r="A220" s="173"/>
      <c r="B220" s="134" t="s">
        <v>263</v>
      </c>
      <c r="C220" s="178"/>
      <c r="D220" s="135"/>
      <c r="E220" s="135"/>
      <c r="F220" s="135"/>
      <c r="G220" s="135"/>
      <c r="H220" s="135"/>
      <c r="I220" s="135"/>
      <c r="J220" s="135"/>
      <c r="K220" s="135"/>
      <c r="L220" s="135"/>
      <c r="M220" s="135"/>
      <c r="N220" s="135"/>
      <c r="O220" s="113"/>
      <c r="P220" s="175">
        <v>0</v>
      </c>
      <c r="Q220" s="135"/>
      <c r="R220" s="179"/>
      <c r="S220" s="177"/>
      <c r="T220" s="2"/>
    </row>
    <row r="221" spans="1:20" ht="15.6" x14ac:dyDescent="0.3">
      <c r="A221" s="173"/>
      <c r="B221" s="134" t="s">
        <v>140</v>
      </c>
      <c r="C221" s="178"/>
      <c r="D221" s="135"/>
      <c r="E221" s="135"/>
      <c r="F221" s="135"/>
      <c r="G221" s="135"/>
      <c r="H221" s="135"/>
      <c r="I221" s="135"/>
      <c r="J221" s="135"/>
      <c r="K221" s="135"/>
      <c r="L221" s="135"/>
      <c r="M221" s="135"/>
      <c r="N221" s="135"/>
      <c r="O221" s="113"/>
      <c r="P221" s="175">
        <f>-J69</f>
        <v>0</v>
      </c>
      <c r="Q221" s="135"/>
      <c r="R221" s="179"/>
      <c r="S221" s="177"/>
      <c r="T221" s="2"/>
    </row>
    <row r="222" spans="1:20" ht="15.6" x14ac:dyDescent="0.3">
      <c r="A222" s="180"/>
      <c r="B222" s="134" t="s">
        <v>67</v>
      </c>
      <c r="C222" s="181"/>
      <c r="D222" s="135"/>
      <c r="E222" s="135"/>
      <c r="F222" s="135"/>
      <c r="G222" s="135"/>
      <c r="H222" s="135"/>
      <c r="I222" s="135"/>
      <c r="J222" s="135"/>
      <c r="K222" s="135"/>
      <c r="L222" s="135"/>
      <c r="M222" s="135"/>
      <c r="N222" s="135"/>
      <c r="O222" s="113"/>
      <c r="P222" s="175"/>
      <c r="Q222" s="135"/>
      <c r="R222" s="179"/>
      <c r="S222" s="182"/>
      <c r="T222" s="2"/>
    </row>
    <row r="223" spans="1:20" ht="15.6" x14ac:dyDescent="0.3">
      <c r="A223" s="180"/>
      <c r="B223" s="118" t="s">
        <v>68</v>
      </c>
      <c r="C223" s="181"/>
      <c r="D223" s="135"/>
      <c r="E223" s="135"/>
      <c r="F223" s="135"/>
      <c r="G223" s="135"/>
      <c r="H223" s="135"/>
      <c r="I223" s="135"/>
      <c r="J223" s="135"/>
      <c r="K223" s="135"/>
      <c r="L223" s="135"/>
      <c r="M223" s="135"/>
      <c r="N223" s="135"/>
      <c r="O223" s="123"/>
      <c r="P223" s="175">
        <f>R153</f>
        <v>0</v>
      </c>
      <c r="Q223" s="135"/>
      <c r="R223" s="179"/>
      <c r="S223" s="182"/>
      <c r="T223" s="2"/>
    </row>
    <row r="224" spans="1:20" ht="15.6" x14ac:dyDescent="0.3">
      <c r="A224" s="173"/>
      <c r="B224" s="113" t="s">
        <v>69</v>
      </c>
      <c r="C224" s="178"/>
      <c r="D224" s="135"/>
      <c r="E224" s="135"/>
      <c r="F224" s="135"/>
      <c r="G224" s="135"/>
      <c r="H224" s="135"/>
      <c r="I224" s="135"/>
      <c r="J224" s="135"/>
      <c r="K224" s="135"/>
      <c r="L224" s="135"/>
      <c r="M224" s="135"/>
      <c r="N224" s="135"/>
      <c r="O224" s="123"/>
      <c r="P224" s="175">
        <f>'Nov 16'!P224+P223</f>
        <v>0</v>
      </c>
      <c r="Q224" s="135"/>
      <c r="R224" s="179"/>
      <c r="S224" s="182"/>
      <c r="T224" s="2"/>
    </row>
    <row r="225" spans="1:20" ht="15.6" x14ac:dyDescent="0.3">
      <c r="A225" s="180"/>
      <c r="B225" s="134" t="s">
        <v>151</v>
      </c>
      <c r="C225" s="181"/>
      <c r="D225" s="135"/>
      <c r="E225" s="135"/>
      <c r="F225" s="135"/>
      <c r="G225" s="135"/>
      <c r="H225" s="135"/>
      <c r="I225" s="135"/>
      <c r="J225" s="135"/>
      <c r="K225" s="135"/>
      <c r="L225" s="135"/>
      <c r="M225" s="135"/>
      <c r="N225" s="135"/>
      <c r="O225" s="123"/>
      <c r="P225" s="175"/>
      <c r="Q225" s="135"/>
      <c r="R225" s="179"/>
      <c r="S225" s="182"/>
      <c r="T225" s="2"/>
    </row>
    <row r="226" spans="1:20" ht="15.6" x14ac:dyDescent="0.3">
      <c r="A226" s="180"/>
      <c r="B226" s="113" t="s">
        <v>163</v>
      </c>
      <c r="C226" s="181"/>
      <c r="D226" s="135"/>
      <c r="E226" s="135"/>
      <c r="F226" s="135"/>
      <c r="G226" s="135"/>
      <c r="H226" s="135"/>
      <c r="I226" s="135"/>
      <c r="J226" s="135"/>
      <c r="K226" s="135"/>
      <c r="L226" s="135"/>
      <c r="M226" s="135"/>
      <c r="N226" s="135"/>
      <c r="O226" s="123">
        <v>0</v>
      </c>
      <c r="P226" s="175">
        <v>0</v>
      </c>
      <c r="Q226" s="135"/>
      <c r="R226" s="179"/>
      <c r="S226" s="182"/>
      <c r="T226" s="2"/>
    </row>
    <row r="227" spans="1:20" ht="15.6" x14ac:dyDescent="0.3">
      <c r="A227" s="173"/>
      <c r="B227" s="113" t="s">
        <v>70</v>
      </c>
      <c r="C227" s="183"/>
      <c r="D227" s="135"/>
      <c r="E227" s="135"/>
      <c r="F227" s="135"/>
      <c r="G227" s="135"/>
      <c r="H227" s="135"/>
      <c r="I227" s="135"/>
      <c r="J227" s="135"/>
      <c r="K227" s="135"/>
      <c r="L227" s="135"/>
      <c r="M227" s="135"/>
      <c r="N227" s="135"/>
      <c r="O227" s="113"/>
      <c r="P227" s="184">
        <v>0</v>
      </c>
      <c r="Q227" s="135"/>
      <c r="R227" s="179"/>
      <c r="S227" s="182"/>
      <c r="T227" s="2"/>
    </row>
    <row r="228" spans="1:20" ht="15.6" x14ac:dyDescent="0.3">
      <c r="A228" s="173"/>
      <c r="B228" s="113" t="s">
        <v>71</v>
      </c>
      <c r="C228" s="183"/>
      <c r="D228" s="135"/>
      <c r="E228" s="135"/>
      <c r="F228" s="135"/>
      <c r="G228" s="135"/>
      <c r="H228" s="135"/>
      <c r="I228" s="135"/>
      <c r="J228" s="135"/>
      <c r="K228" s="135"/>
      <c r="L228" s="135"/>
      <c r="M228" s="135"/>
      <c r="N228" s="135"/>
      <c r="O228" s="113"/>
      <c r="P228" s="184">
        <v>0</v>
      </c>
      <c r="Q228" s="135"/>
      <c r="R228" s="179"/>
      <c r="S228" s="182"/>
      <c r="T228" s="2"/>
    </row>
    <row r="229" spans="1:20" ht="15.6" x14ac:dyDescent="0.3">
      <c r="A229" s="173"/>
      <c r="B229" s="134" t="s">
        <v>136</v>
      </c>
      <c r="C229" s="183"/>
      <c r="D229" s="135"/>
      <c r="E229" s="135"/>
      <c r="F229" s="135"/>
      <c r="G229" s="135"/>
      <c r="H229" s="135"/>
      <c r="I229" s="135"/>
      <c r="J229" s="135"/>
      <c r="K229" s="135"/>
      <c r="L229" s="135"/>
      <c r="M229" s="135"/>
      <c r="N229" s="135"/>
      <c r="O229" s="113"/>
      <c r="P229" s="185"/>
      <c r="Q229" s="135"/>
      <c r="R229" s="179"/>
      <c r="S229" s="182"/>
      <c r="T229" s="2"/>
    </row>
    <row r="230" spans="1:20" ht="15.6" x14ac:dyDescent="0.3">
      <c r="A230" s="173"/>
      <c r="B230" s="113" t="s">
        <v>163</v>
      </c>
      <c r="C230" s="183"/>
      <c r="D230" s="135"/>
      <c r="E230" s="135"/>
      <c r="F230" s="135"/>
      <c r="G230" s="135"/>
      <c r="H230" s="135"/>
      <c r="I230" s="135"/>
      <c r="J230" s="135"/>
      <c r="K230" s="135"/>
      <c r="L230" s="135"/>
      <c r="M230" s="135"/>
      <c r="N230" s="135"/>
      <c r="O230" s="123">
        <v>0</v>
      </c>
      <c r="P230" s="175">
        <v>0</v>
      </c>
      <c r="Q230" s="135"/>
      <c r="R230" s="179"/>
      <c r="S230" s="182"/>
      <c r="T230" s="2"/>
    </row>
    <row r="231" spans="1:20" ht="15.6" x14ac:dyDescent="0.3">
      <c r="A231" s="173"/>
      <c r="B231" s="113" t="s">
        <v>137</v>
      </c>
      <c r="C231" s="183"/>
      <c r="D231" s="135"/>
      <c r="E231" s="135"/>
      <c r="F231" s="135"/>
      <c r="G231" s="135"/>
      <c r="H231" s="135"/>
      <c r="I231" s="135"/>
      <c r="J231" s="135"/>
      <c r="K231" s="135"/>
      <c r="L231" s="135"/>
      <c r="M231" s="135"/>
      <c r="N231" s="135"/>
      <c r="O231" s="113"/>
      <c r="P231" s="184">
        <v>0</v>
      </c>
      <c r="Q231" s="135"/>
      <c r="R231" s="179"/>
      <c r="S231" s="182"/>
      <c r="T231" s="2"/>
    </row>
    <row r="232" spans="1:20" ht="15.6" x14ac:dyDescent="0.3">
      <c r="A232" s="173"/>
      <c r="B232" s="181"/>
      <c r="C232" s="183"/>
      <c r="D232" s="135"/>
      <c r="E232" s="135"/>
      <c r="F232" s="135"/>
      <c r="G232" s="135"/>
      <c r="H232" s="135"/>
      <c r="I232" s="135"/>
      <c r="J232" s="135"/>
      <c r="K232" s="135"/>
      <c r="L232" s="135"/>
      <c r="M232" s="135"/>
      <c r="N232" s="135"/>
      <c r="O232" s="113"/>
      <c r="P232" s="185"/>
      <c r="Q232" s="135"/>
      <c r="R232" s="179"/>
      <c r="S232" s="182"/>
      <c r="T232" s="2"/>
    </row>
    <row r="233" spans="1:20" ht="15.6" x14ac:dyDescent="0.3">
      <c r="A233" s="173"/>
      <c r="B233" s="181"/>
      <c r="C233" s="183"/>
      <c r="D233" s="135"/>
      <c r="E233" s="135"/>
      <c r="F233" s="135"/>
      <c r="G233" s="135"/>
      <c r="H233" s="135"/>
      <c r="I233" s="135"/>
      <c r="J233" s="135"/>
      <c r="K233" s="135"/>
      <c r="L233" s="135"/>
      <c r="M233" s="135"/>
      <c r="N233" s="135"/>
      <c r="O233" s="135"/>
      <c r="P233" s="186"/>
      <c r="Q233" s="135"/>
      <c r="R233" s="179"/>
      <c r="S233" s="182"/>
      <c r="T233" s="2"/>
    </row>
    <row r="234" spans="1:20" ht="17.399999999999999" x14ac:dyDescent="0.3">
      <c r="A234" s="173"/>
      <c r="B234" s="187" t="s">
        <v>129</v>
      </c>
      <c r="C234" s="183"/>
      <c r="D234" s="135"/>
      <c r="E234" s="135"/>
      <c r="F234" s="135"/>
      <c r="G234" s="135"/>
      <c r="H234" s="135"/>
      <c r="I234" s="135"/>
      <c r="J234" s="135"/>
      <c r="K234" s="135"/>
      <c r="L234" s="188"/>
      <c r="M234" s="135"/>
      <c r="N234" s="188" t="s">
        <v>128</v>
      </c>
      <c r="O234" s="188"/>
      <c r="P234" s="186"/>
      <c r="Q234" s="135"/>
      <c r="R234" s="179"/>
      <c r="S234" s="182"/>
      <c r="T234" s="2"/>
    </row>
    <row r="235" spans="1:20" ht="17.399999999999999" x14ac:dyDescent="0.3">
      <c r="A235" s="170"/>
      <c r="B235" s="200"/>
      <c r="C235" s="171"/>
      <c r="D235" s="43"/>
      <c r="E235" s="43"/>
      <c r="F235" s="43"/>
      <c r="G235" s="43"/>
      <c r="H235" s="43"/>
      <c r="I235" s="43"/>
      <c r="J235" s="43"/>
      <c r="K235" s="43"/>
      <c r="L235" s="201"/>
      <c r="M235" s="43"/>
      <c r="N235" s="43"/>
      <c r="O235" s="43"/>
      <c r="P235" s="172"/>
      <c r="Q235" s="43"/>
      <c r="R235" s="166"/>
      <c r="S235" s="227"/>
      <c r="T235" s="2"/>
    </row>
    <row r="236" spans="1:20" ht="15.6" x14ac:dyDescent="0.3">
      <c r="A236" s="53"/>
      <c r="B236" s="61" t="s">
        <v>153</v>
      </c>
      <c r="C236" s="62"/>
      <c r="D236" s="62"/>
      <c r="E236" s="62"/>
      <c r="F236" s="62"/>
      <c r="G236" s="62"/>
      <c r="H236" s="62"/>
      <c r="I236" s="62"/>
      <c r="J236" s="62"/>
      <c r="K236" s="62"/>
      <c r="L236" s="62"/>
      <c r="M236" s="62"/>
      <c r="N236" s="72" t="s">
        <v>83</v>
      </c>
      <c r="O236" s="62" t="s">
        <v>84</v>
      </c>
      <c r="P236" s="72" t="s">
        <v>89</v>
      </c>
      <c r="Q236" s="62" t="s">
        <v>84</v>
      </c>
      <c r="R236" s="54"/>
      <c r="S236" s="228"/>
      <c r="T236" s="2"/>
    </row>
    <row r="237" spans="1:20" ht="15.6" x14ac:dyDescent="0.3">
      <c r="A237" s="24"/>
      <c r="B237" s="78" t="s">
        <v>72</v>
      </c>
      <c r="C237" s="93"/>
      <c r="D237" s="93"/>
      <c r="E237" s="93"/>
      <c r="F237" s="93"/>
      <c r="G237" s="93"/>
      <c r="H237" s="93"/>
      <c r="I237" s="93"/>
      <c r="J237" s="93"/>
      <c r="K237" s="93"/>
      <c r="L237" s="93"/>
      <c r="M237" s="93"/>
      <c r="N237" s="78">
        <f t="shared" ref="N237:N244" si="1">+N249+N261+N273</f>
        <v>814</v>
      </c>
      <c r="O237" s="81">
        <f>N237/$N$246</f>
        <v>0.99877300613496933</v>
      </c>
      <c r="P237" s="82">
        <f t="shared" ref="P237:P244" si="2">+P249+P261+P273</f>
        <v>124432</v>
      </c>
      <c r="Q237" s="81">
        <f t="shared" ref="Q237:Q244" si="3">P237/$P$246</f>
        <v>0.99903654698439204</v>
      </c>
      <c r="R237" s="94"/>
      <c r="S237" s="229"/>
      <c r="T237" s="2"/>
    </row>
    <row r="238" spans="1:20" ht="15.6" x14ac:dyDescent="0.3">
      <c r="A238" s="112"/>
      <c r="B238" s="155" t="s">
        <v>73</v>
      </c>
      <c r="C238" s="192"/>
      <c r="D238" s="192"/>
      <c r="E238" s="192"/>
      <c r="F238" s="192"/>
      <c r="G238" s="192"/>
      <c r="H238" s="192"/>
      <c r="I238" s="192"/>
      <c r="J238" s="192"/>
      <c r="K238" s="192"/>
      <c r="L238" s="192"/>
      <c r="M238" s="192"/>
      <c r="N238" s="155">
        <f t="shared" si="1"/>
        <v>1</v>
      </c>
      <c r="O238" s="193">
        <f t="shared" ref="O238:O244" si="4">N238/$N$246</f>
        <v>1.2269938650306749E-3</v>
      </c>
      <c r="P238" s="156">
        <f t="shared" si="2"/>
        <v>120</v>
      </c>
      <c r="Q238" s="193">
        <f t="shared" si="3"/>
        <v>9.6345301560793884E-4</v>
      </c>
      <c r="R238" s="176"/>
      <c r="S238" s="194"/>
      <c r="T238" s="2"/>
    </row>
    <row r="239" spans="1:20" ht="15.6" x14ac:dyDescent="0.3">
      <c r="A239" s="112"/>
      <c r="B239" s="155" t="s">
        <v>74</v>
      </c>
      <c r="C239" s="192"/>
      <c r="D239" s="192"/>
      <c r="E239" s="192"/>
      <c r="F239" s="192"/>
      <c r="G239" s="192"/>
      <c r="H239" s="192"/>
      <c r="I239" s="192"/>
      <c r="J239" s="192"/>
      <c r="K239" s="192"/>
      <c r="L239" s="192"/>
      <c r="M239" s="192"/>
      <c r="N239" s="155">
        <f t="shared" si="1"/>
        <v>0</v>
      </c>
      <c r="O239" s="193">
        <f t="shared" si="4"/>
        <v>0</v>
      </c>
      <c r="P239" s="156">
        <f t="shared" si="2"/>
        <v>0</v>
      </c>
      <c r="Q239" s="193">
        <f t="shared" si="3"/>
        <v>0</v>
      </c>
      <c r="R239" s="176"/>
      <c r="S239" s="194"/>
      <c r="T239" s="2"/>
    </row>
    <row r="240" spans="1:20" ht="15.6" x14ac:dyDescent="0.3">
      <c r="A240" s="112"/>
      <c r="B240" s="155" t="s">
        <v>119</v>
      </c>
      <c r="C240" s="192"/>
      <c r="D240" s="192"/>
      <c r="E240" s="192"/>
      <c r="F240" s="192"/>
      <c r="G240" s="192"/>
      <c r="H240" s="192"/>
      <c r="I240" s="192"/>
      <c r="J240" s="192"/>
      <c r="K240" s="192"/>
      <c r="L240" s="192"/>
      <c r="M240" s="192"/>
      <c r="N240" s="155">
        <f t="shared" si="1"/>
        <v>0</v>
      </c>
      <c r="O240" s="193">
        <f t="shared" si="4"/>
        <v>0</v>
      </c>
      <c r="P240" s="156">
        <f t="shared" si="2"/>
        <v>0</v>
      </c>
      <c r="Q240" s="193">
        <f t="shared" si="3"/>
        <v>0</v>
      </c>
      <c r="R240" s="176"/>
      <c r="S240" s="194"/>
      <c r="T240" s="2"/>
    </row>
    <row r="241" spans="1:21" ht="15.6" x14ac:dyDescent="0.3">
      <c r="A241" s="112"/>
      <c r="B241" s="155" t="s">
        <v>120</v>
      </c>
      <c r="C241" s="192"/>
      <c r="D241" s="192"/>
      <c r="E241" s="192"/>
      <c r="F241" s="192"/>
      <c r="G241" s="192"/>
      <c r="H241" s="192"/>
      <c r="I241" s="192"/>
      <c r="J241" s="192"/>
      <c r="K241" s="192"/>
      <c r="L241" s="192"/>
      <c r="M241" s="192"/>
      <c r="N241" s="155">
        <f t="shared" si="1"/>
        <v>0</v>
      </c>
      <c r="O241" s="193">
        <f t="shared" si="4"/>
        <v>0</v>
      </c>
      <c r="P241" s="156">
        <f t="shared" si="2"/>
        <v>0</v>
      </c>
      <c r="Q241" s="193">
        <f t="shared" si="3"/>
        <v>0</v>
      </c>
      <c r="R241" s="176"/>
      <c r="S241" s="194"/>
      <c r="T241" s="2"/>
    </row>
    <row r="242" spans="1:21" ht="15.6" x14ac:dyDescent="0.3">
      <c r="A242" s="112"/>
      <c r="B242" s="155" t="s">
        <v>121</v>
      </c>
      <c r="C242" s="192"/>
      <c r="D242" s="192"/>
      <c r="E242" s="192"/>
      <c r="F242" s="192"/>
      <c r="G242" s="192"/>
      <c r="H242" s="192"/>
      <c r="I242" s="192"/>
      <c r="J242" s="192"/>
      <c r="K242" s="192"/>
      <c r="L242" s="192"/>
      <c r="M242" s="192"/>
      <c r="N242" s="155">
        <f t="shared" si="1"/>
        <v>0</v>
      </c>
      <c r="O242" s="193">
        <f t="shared" si="4"/>
        <v>0</v>
      </c>
      <c r="P242" s="156">
        <f t="shared" si="2"/>
        <v>0</v>
      </c>
      <c r="Q242" s="193">
        <f t="shared" si="3"/>
        <v>0</v>
      </c>
      <c r="R242" s="176"/>
      <c r="S242" s="194"/>
      <c r="T242" s="2"/>
    </row>
    <row r="243" spans="1:21" ht="15.6" x14ac:dyDescent="0.3">
      <c r="A243" s="112"/>
      <c r="B243" s="155" t="s">
        <v>122</v>
      </c>
      <c r="C243" s="192"/>
      <c r="D243" s="192"/>
      <c r="E243" s="192"/>
      <c r="F243" s="192"/>
      <c r="G243" s="192"/>
      <c r="H243" s="192"/>
      <c r="I243" s="192"/>
      <c r="J243" s="192"/>
      <c r="K243" s="192"/>
      <c r="L243" s="192"/>
      <c r="M243" s="192"/>
      <c r="N243" s="155">
        <f t="shared" si="1"/>
        <v>0</v>
      </c>
      <c r="O243" s="193">
        <f t="shared" si="4"/>
        <v>0</v>
      </c>
      <c r="P243" s="156">
        <f t="shared" si="2"/>
        <v>0</v>
      </c>
      <c r="Q243" s="193">
        <f t="shared" si="3"/>
        <v>0</v>
      </c>
      <c r="R243" s="176"/>
      <c r="S243" s="194"/>
      <c r="T243" s="2"/>
    </row>
    <row r="244" spans="1:21" ht="15.6" x14ac:dyDescent="0.3">
      <c r="A244" s="112"/>
      <c r="B244" s="155" t="s">
        <v>123</v>
      </c>
      <c r="C244" s="192"/>
      <c r="D244" s="192"/>
      <c r="E244" s="192"/>
      <c r="F244" s="192"/>
      <c r="G244" s="192"/>
      <c r="H244" s="192"/>
      <c r="I244" s="192"/>
      <c r="J244" s="192"/>
      <c r="K244" s="192"/>
      <c r="L244" s="192"/>
      <c r="M244" s="192"/>
      <c r="N244" s="155">
        <f t="shared" si="1"/>
        <v>0</v>
      </c>
      <c r="O244" s="193">
        <f t="shared" si="4"/>
        <v>0</v>
      </c>
      <c r="P244" s="156">
        <f t="shared" si="2"/>
        <v>0</v>
      </c>
      <c r="Q244" s="193">
        <f t="shared" si="3"/>
        <v>0</v>
      </c>
      <c r="R244" s="176"/>
      <c r="S244" s="194"/>
      <c r="T244" s="2"/>
    </row>
    <row r="245" spans="1:21" ht="15.6" x14ac:dyDescent="0.3">
      <c r="A245" s="112"/>
      <c r="B245" s="155"/>
      <c r="C245" s="192"/>
      <c r="D245" s="192"/>
      <c r="E245" s="192"/>
      <c r="F245" s="192"/>
      <c r="G245" s="192"/>
      <c r="H245" s="192"/>
      <c r="I245" s="192"/>
      <c r="J245" s="192"/>
      <c r="K245" s="192"/>
      <c r="L245" s="192"/>
      <c r="M245" s="192"/>
      <c r="N245" s="155"/>
      <c r="O245" s="193"/>
      <c r="P245" s="156"/>
      <c r="Q245" s="193"/>
      <c r="R245" s="176"/>
      <c r="S245" s="194"/>
      <c r="T245" s="2"/>
    </row>
    <row r="246" spans="1:21" ht="15.6" x14ac:dyDescent="0.3">
      <c r="A246" s="112"/>
      <c r="B246" s="113" t="s">
        <v>94</v>
      </c>
      <c r="C246" s="113"/>
      <c r="D246" s="195"/>
      <c r="E246" s="195"/>
      <c r="F246" s="195"/>
      <c r="G246" s="195"/>
      <c r="H246" s="195"/>
      <c r="I246" s="195"/>
      <c r="J246" s="195"/>
      <c r="K246" s="195"/>
      <c r="L246" s="195"/>
      <c r="M246" s="195"/>
      <c r="N246" s="155">
        <f>SUM(N237:N245)</f>
        <v>815</v>
      </c>
      <c r="O246" s="193">
        <f>SUM(O237:O245)</f>
        <v>1</v>
      </c>
      <c r="P246" s="156">
        <f>SUM(P237:P245)</f>
        <v>124552</v>
      </c>
      <c r="Q246" s="193">
        <f>SUM(Q237:Q245)</f>
        <v>1</v>
      </c>
      <c r="R246" s="113"/>
      <c r="S246" s="116"/>
      <c r="T246" s="2"/>
    </row>
    <row r="247" spans="1:21" ht="15.6" x14ac:dyDescent="0.3">
      <c r="A247" s="12"/>
      <c r="B247" s="165"/>
      <c r="C247" s="171"/>
      <c r="D247" s="43"/>
      <c r="E247" s="43"/>
      <c r="F247" s="43"/>
      <c r="G247" s="43"/>
      <c r="H247" s="43"/>
      <c r="I247" s="43"/>
      <c r="J247" s="43"/>
      <c r="K247" s="43"/>
      <c r="L247" s="43"/>
      <c r="M247" s="43"/>
      <c r="N247" s="43"/>
      <c r="O247" s="43"/>
      <c r="P247" s="172"/>
      <c r="Q247" s="43"/>
      <c r="R247" s="43"/>
      <c r="S247" s="218"/>
      <c r="T247" s="2"/>
    </row>
    <row r="248" spans="1:21" ht="15.6" x14ac:dyDescent="0.3">
      <c r="A248" s="53"/>
      <c r="B248" s="61" t="s">
        <v>124</v>
      </c>
      <c r="C248" s="62"/>
      <c r="D248" s="62"/>
      <c r="E248" s="62"/>
      <c r="F248" s="62"/>
      <c r="G248" s="62"/>
      <c r="H248" s="62"/>
      <c r="I248" s="62"/>
      <c r="J248" s="62"/>
      <c r="K248" s="62"/>
      <c r="L248" s="62"/>
      <c r="M248" s="62"/>
      <c r="N248" s="72" t="s">
        <v>83</v>
      </c>
      <c r="O248" s="62" t="s">
        <v>84</v>
      </c>
      <c r="P248" s="72" t="s">
        <v>89</v>
      </c>
      <c r="Q248" s="62" t="s">
        <v>84</v>
      </c>
      <c r="R248" s="54"/>
      <c r="S248" s="228"/>
      <c r="T248" s="2"/>
    </row>
    <row r="249" spans="1:21" ht="15.6" x14ac:dyDescent="0.3">
      <c r="A249" s="24"/>
      <c r="B249" s="78" t="s">
        <v>72</v>
      </c>
      <c r="C249" s="93"/>
      <c r="D249" s="93"/>
      <c r="E249" s="93"/>
      <c r="F249" s="93"/>
      <c r="G249" s="93"/>
      <c r="H249" s="93"/>
      <c r="I249" s="93"/>
      <c r="J249" s="93"/>
      <c r="K249" s="93"/>
      <c r="L249" s="93"/>
      <c r="M249" s="93"/>
      <c r="N249" s="78">
        <v>814</v>
      </c>
      <c r="O249" s="81">
        <f>N249/$N$258</f>
        <v>0.99877300613496933</v>
      </c>
      <c r="P249" s="82">
        <v>124432</v>
      </c>
      <c r="Q249" s="81">
        <f t="shared" ref="Q249:Q256" si="5">P249/$P$258</f>
        <v>0.99903654698439204</v>
      </c>
      <c r="R249" s="94"/>
      <c r="S249" s="229"/>
      <c r="T249" s="2"/>
    </row>
    <row r="250" spans="1:21" ht="15.6" x14ac:dyDescent="0.3">
      <c r="A250" s="112"/>
      <c r="B250" s="155" t="s">
        <v>73</v>
      </c>
      <c r="C250" s="192"/>
      <c r="D250" s="192"/>
      <c r="E250" s="192"/>
      <c r="F250" s="192"/>
      <c r="G250" s="192"/>
      <c r="H250" s="192"/>
      <c r="I250" s="192"/>
      <c r="J250" s="192"/>
      <c r="K250" s="192"/>
      <c r="L250" s="192"/>
      <c r="M250" s="192"/>
      <c r="N250" s="155">
        <v>1</v>
      </c>
      <c r="O250" s="193">
        <f t="shared" ref="O250:O256" si="6">N250/$N$258</f>
        <v>1.2269938650306749E-3</v>
      </c>
      <c r="P250" s="156">
        <v>120</v>
      </c>
      <c r="Q250" s="193">
        <f t="shared" si="5"/>
        <v>9.6345301560793884E-4</v>
      </c>
      <c r="R250" s="176"/>
      <c r="S250" s="194"/>
      <c r="T250" s="2"/>
      <c r="U250" s="4"/>
    </row>
    <row r="251" spans="1:21" ht="15.6" x14ac:dyDescent="0.3">
      <c r="A251" s="112"/>
      <c r="B251" s="155" t="s">
        <v>74</v>
      </c>
      <c r="C251" s="192"/>
      <c r="D251" s="192"/>
      <c r="E251" s="192"/>
      <c r="F251" s="192"/>
      <c r="G251" s="192"/>
      <c r="H251" s="192"/>
      <c r="I251" s="192"/>
      <c r="J251" s="192"/>
      <c r="K251" s="192"/>
      <c r="L251" s="192"/>
      <c r="M251" s="192"/>
      <c r="N251" s="155">
        <v>0</v>
      </c>
      <c r="O251" s="193">
        <f t="shared" si="6"/>
        <v>0</v>
      </c>
      <c r="P251" s="156">
        <v>0</v>
      </c>
      <c r="Q251" s="193">
        <f t="shared" si="5"/>
        <v>0</v>
      </c>
      <c r="R251" s="176"/>
      <c r="S251" s="194"/>
      <c r="T251" s="2"/>
    </row>
    <row r="252" spans="1:21" ht="15.6" x14ac:dyDescent="0.3">
      <c r="A252" s="112"/>
      <c r="B252" s="155" t="s">
        <v>119</v>
      </c>
      <c r="C252" s="192"/>
      <c r="D252" s="192"/>
      <c r="E252" s="192"/>
      <c r="F252" s="192"/>
      <c r="G252" s="192"/>
      <c r="H252" s="192"/>
      <c r="I252" s="192"/>
      <c r="J252" s="192"/>
      <c r="K252" s="192"/>
      <c r="L252" s="192"/>
      <c r="M252" s="192"/>
      <c r="N252" s="155">
        <v>0</v>
      </c>
      <c r="O252" s="193">
        <f t="shared" si="6"/>
        <v>0</v>
      </c>
      <c r="P252" s="156">
        <v>0</v>
      </c>
      <c r="Q252" s="193">
        <f t="shared" si="5"/>
        <v>0</v>
      </c>
      <c r="R252" s="176"/>
      <c r="S252" s="194"/>
      <c r="T252" s="2"/>
      <c r="U252" s="4"/>
    </row>
    <row r="253" spans="1:21" ht="15.6" x14ac:dyDescent="0.3">
      <c r="A253" s="112"/>
      <c r="B253" s="155" t="s">
        <v>120</v>
      </c>
      <c r="C253" s="192"/>
      <c r="D253" s="192"/>
      <c r="E253" s="192"/>
      <c r="F253" s="192"/>
      <c r="G253" s="192"/>
      <c r="H253" s="192"/>
      <c r="I253" s="192"/>
      <c r="J253" s="192"/>
      <c r="K253" s="192"/>
      <c r="L253" s="192"/>
      <c r="M253" s="192"/>
      <c r="N253" s="155">
        <v>0</v>
      </c>
      <c r="O253" s="193">
        <f t="shared" si="6"/>
        <v>0</v>
      </c>
      <c r="P253" s="156">
        <v>0</v>
      </c>
      <c r="Q253" s="193">
        <f t="shared" si="5"/>
        <v>0</v>
      </c>
      <c r="R253" s="176"/>
      <c r="S253" s="194"/>
      <c r="T253" s="2"/>
    </row>
    <row r="254" spans="1:21" ht="15.6" x14ac:dyDescent="0.3">
      <c r="A254" s="112"/>
      <c r="B254" s="155" t="s">
        <v>121</v>
      </c>
      <c r="C254" s="192"/>
      <c r="D254" s="192"/>
      <c r="E254" s="192"/>
      <c r="F254" s="192"/>
      <c r="G254" s="192"/>
      <c r="H254" s="192"/>
      <c r="I254" s="192"/>
      <c r="J254" s="192"/>
      <c r="K254" s="192"/>
      <c r="L254" s="192"/>
      <c r="M254" s="192"/>
      <c r="N254" s="155">
        <v>0</v>
      </c>
      <c r="O254" s="193">
        <f t="shared" si="6"/>
        <v>0</v>
      </c>
      <c r="P254" s="156">
        <v>0</v>
      </c>
      <c r="Q254" s="193">
        <f t="shared" si="5"/>
        <v>0</v>
      </c>
      <c r="R254" s="176"/>
      <c r="S254" s="194"/>
      <c r="T254" s="2"/>
      <c r="U254" s="4"/>
    </row>
    <row r="255" spans="1:21" ht="15.6" x14ac:dyDescent="0.3">
      <c r="A255" s="112"/>
      <c r="B255" s="155" t="s">
        <v>122</v>
      </c>
      <c r="C255" s="192"/>
      <c r="D255" s="192"/>
      <c r="E255" s="192"/>
      <c r="F255" s="192"/>
      <c r="G255" s="192"/>
      <c r="H255" s="192"/>
      <c r="I255" s="192"/>
      <c r="J255" s="192"/>
      <c r="K255" s="192"/>
      <c r="L255" s="192"/>
      <c r="M255" s="192"/>
      <c r="N255" s="155">
        <v>0</v>
      </c>
      <c r="O255" s="193">
        <f t="shared" si="6"/>
        <v>0</v>
      </c>
      <c r="P255" s="156">
        <v>0</v>
      </c>
      <c r="Q255" s="193">
        <f t="shared" si="5"/>
        <v>0</v>
      </c>
      <c r="R255" s="176"/>
      <c r="S255" s="194"/>
      <c r="T255" s="2"/>
    </row>
    <row r="256" spans="1:21" ht="15.6" x14ac:dyDescent="0.3">
      <c r="A256" s="112"/>
      <c r="B256" s="155" t="s">
        <v>123</v>
      </c>
      <c r="C256" s="192"/>
      <c r="D256" s="192"/>
      <c r="E256" s="192"/>
      <c r="F256" s="192"/>
      <c r="G256" s="192"/>
      <c r="H256" s="192"/>
      <c r="I256" s="192"/>
      <c r="J256" s="192"/>
      <c r="K256" s="192"/>
      <c r="L256" s="192"/>
      <c r="M256" s="192"/>
      <c r="N256" s="155">
        <v>0</v>
      </c>
      <c r="O256" s="193">
        <f t="shared" si="6"/>
        <v>0</v>
      </c>
      <c r="P256" s="156">
        <v>0</v>
      </c>
      <c r="Q256" s="193">
        <f t="shared" si="5"/>
        <v>0</v>
      </c>
      <c r="R256" s="176"/>
      <c r="S256" s="194"/>
      <c r="T256" s="2"/>
      <c r="U256" s="4"/>
    </row>
    <row r="257" spans="1:20" ht="15.6" x14ac:dyDescent="0.3">
      <c r="A257" s="112"/>
      <c r="B257" s="155"/>
      <c r="C257" s="192"/>
      <c r="D257" s="192"/>
      <c r="E257" s="192"/>
      <c r="F257" s="192"/>
      <c r="G257" s="192"/>
      <c r="H257" s="192"/>
      <c r="I257" s="192"/>
      <c r="J257" s="192"/>
      <c r="K257" s="192"/>
      <c r="L257" s="192"/>
      <c r="M257" s="192"/>
      <c r="N257" s="155"/>
      <c r="O257" s="193"/>
      <c r="P257" s="156"/>
      <c r="Q257" s="193"/>
      <c r="R257" s="176"/>
      <c r="S257" s="194"/>
      <c r="T257" s="2"/>
    </row>
    <row r="258" spans="1:20" ht="15.6" x14ac:dyDescent="0.3">
      <c r="A258" s="112"/>
      <c r="B258" s="113" t="s">
        <v>94</v>
      </c>
      <c r="C258" s="113"/>
      <c r="D258" s="195"/>
      <c r="E258" s="195"/>
      <c r="F258" s="195"/>
      <c r="G258" s="195"/>
      <c r="H258" s="195"/>
      <c r="I258" s="195"/>
      <c r="J258" s="195"/>
      <c r="K258" s="195"/>
      <c r="L258" s="195"/>
      <c r="M258" s="195"/>
      <c r="N258" s="155">
        <f>SUM(N249:N257)</f>
        <v>815</v>
      </c>
      <c r="O258" s="193">
        <f>SUM(O249:O257)</f>
        <v>1</v>
      </c>
      <c r="P258" s="156">
        <f>SUM(P249:P257)</f>
        <v>124552</v>
      </c>
      <c r="Q258" s="193">
        <f>SUM(Q249:Q257)</f>
        <v>1</v>
      </c>
      <c r="R258" s="113"/>
      <c r="S258" s="116"/>
      <c r="T258" s="2"/>
    </row>
    <row r="259" spans="1:20" ht="15.6" x14ac:dyDescent="0.3">
      <c r="A259" s="12"/>
      <c r="B259" s="43"/>
      <c r="C259" s="43"/>
      <c r="D259" s="189"/>
      <c r="E259" s="189"/>
      <c r="F259" s="189"/>
      <c r="G259" s="189"/>
      <c r="H259" s="189"/>
      <c r="I259" s="189"/>
      <c r="J259" s="189"/>
      <c r="K259" s="189"/>
      <c r="L259" s="189"/>
      <c r="M259" s="189"/>
      <c r="N259" s="153"/>
      <c r="O259" s="190"/>
      <c r="P259" s="191"/>
      <c r="Q259" s="190"/>
      <c r="R259" s="43"/>
      <c r="S259" s="218"/>
      <c r="T259" s="2"/>
    </row>
    <row r="260" spans="1:20" ht="15.6" x14ac:dyDescent="0.3">
      <c r="A260" s="73"/>
      <c r="B260" s="61" t="s">
        <v>146</v>
      </c>
      <c r="C260" s="62"/>
      <c r="D260" s="62"/>
      <c r="E260" s="62"/>
      <c r="F260" s="62"/>
      <c r="G260" s="62"/>
      <c r="H260" s="62"/>
      <c r="I260" s="62"/>
      <c r="J260" s="62"/>
      <c r="K260" s="62"/>
      <c r="L260" s="62"/>
      <c r="M260" s="62"/>
      <c r="N260" s="72" t="s">
        <v>83</v>
      </c>
      <c r="O260" s="62" t="s">
        <v>84</v>
      </c>
      <c r="P260" s="72" t="s">
        <v>89</v>
      </c>
      <c r="Q260" s="62" t="s">
        <v>84</v>
      </c>
      <c r="R260" s="74"/>
      <c r="S260" s="75"/>
      <c r="T260" s="2"/>
    </row>
    <row r="261" spans="1:20" ht="15.6" x14ac:dyDescent="0.3">
      <c r="A261" s="24"/>
      <c r="B261" s="78" t="s">
        <v>72</v>
      </c>
      <c r="C261" s="93"/>
      <c r="D261" s="93"/>
      <c r="E261" s="93"/>
      <c r="F261" s="93"/>
      <c r="G261" s="93"/>
      <c r="H261" s="93"/>
      <c r="I261" s="93"/>
      <c r="J261" s="93"/>
      <c r="K261" s="93"/>
      <c r="L261" s="93"/>
      <c r="M261" s="93"/>
      <c r="N261" s="78">
        <v>0</v>
      </c>
      <c r="O261" s="81">
        <v>0</v>
      </c>
      <c r="P261" s="82">
        <v>0</v>
      </c>
      <c r="Q261" s="81">
        <v>0</v>
      </c>
      <c r="R261" s="79"/>
      <c r="S261" s="221"/>
      <c r="T261" s="2"/>
    </row>
    <row r="262" spans="1:20" ht="15.6" x14ac:dyDescent="0.3">
      <c r="A262" s="112"/>
      <c r="B262" s="155" t="s">
        <v>73</v>
      </c>
      <c r="C262" s="192"/>
      <c r="D262" s="192"/>
      <c r="E262" s="192"/>
      <c r="F262" s="192"/>
      <c r="G262" s="192"/>
      <c r="H262" s="192"/>
      <c r="I262" s="192"/>
      <c r="J262" s="192"/>
      <c r="K262" s="192"/>
      <c r="L262" s="192"/>
      <c r="M262" s="192"/>
      <c r="N262" s="155">
        <v>0</v>
      </c>
      <c r="O262" s="193">
        <v>0</v>
      </c>
      <c r="P262" s="156">
        <v>0</v>
      </c>
      <c r="Q262" s="193">
        <v>0</v>
      </c>
      <c r="R262" s="113"/>
      <c r="S262" s="116"/>
      <c r="T262" s="2"/>
    </row>
    <row r="263" spans="1:20" ht="15.6" x14ac:dyDescent="0.3">
      <c r="A263" s="112"/>
      <c r="B263" s="155" t="s">
        <v>74</v>
      </c>
      <c r="C263" s="192"/>
      <c r="D263" s="192"/>
      <c r="E263" s="192"/>
      <c r="F263" s="192"/>
      <c r="G263" s="192"/>
      <c r="H263" s="192"/>
      <c r="I263" s="192"/>
      <c r="J263" s="192"/>
      <c r="K263" s="192"/>
      <c r="L263" s="192"/>
      <c r="M263" s="192"/>
      <c r="N263" s="155">
        <v>0</v>
      </c>
      <c r="O263" s="193">
        <v>0</v>
      </c>
      <c r="P263" s="156">
        <v>0</v>
      </c>
      <c r="Q263" s="193">
        <v>0</v>
      </c>
      <c r="R263" s="113"/>
      <c r="S263" s="116"/>
      <c r="T263" s="2"/>
    </row>
    <row r="264" spans="1:20" ht="15.6" x14ac:dyDescent="0.3">
      <c r="A264" s="112"/>
      <c r="B264" s="155" t="s">
        <v>119</v>
      </c>
      <c r="C264" s="192"/>
      <c r="D264" s="192"/>
      <c r="E264" s="192"/>
      <c r="F264" s="192"/>
      <c r="G264" s="192"/>
      <c r="H264" s="192"/>
      <c r="I264" s="192"/>
      <c r="J264" s="192"/>
      <c r="K264" s="192"/>
      <c r="L264" s="192"/>
      <c r="M264" s="192"/>
      <c r="N264" s="155">
        <v>0</v>
      </c>
      <c r="O264" s="193">
        <v>0</v>
      </c>
      <c r="P264" s="156">
        <v>0</v>
      </c>
      <c r="Q264" s="193">
        <v>0</v>
      </c>
      <c r="R264" s="113"/>
      <c r="S264" s="116"/>
      <c r="T264" s="2"/>
    </row>
    <row r="265" spans="1:20" ht="15.6" x14ac:dyDescent="0.3">
      <c r="A265" s="112"/>
      <c r="B265" s="155" t="s">
        <v>120</v>
      </c>
      <c r="C265" s="192"/>
      <c r="D265" s="192"/>
      <c r="E265" s="192"/>
      <c r="F265" s="192"/>
      <c r="G265" s="192"/>
      <c r="H265" s="192"/>
      <c r="I265" s="192"/>
      <c r="J265" s="192"/>
      <c r="K265" s="192"/>
      <c r="L265" s="192"/>
      <c r="M265" s="192"/>
      <c r="N265" s="155">
        <v>0</v>
      </c>
      <c r="O265" s="193">
        <v>0</v>
      </c>
      <c r="P265" s="156">
        <v>0</v>
      </c>
      <c r="Q265" s="193">
        <v>0</v>
      </c>
      <c r="R265" s="113"/>
      <c r="S265" s="116"/>
      <c r="T265" s="2"/>
    </row>
    <row r="266" spans="1:20" ht="15.6" x14ac:dyDescent="0.3">
      <c r="A266" s="112"/>
      <c r="B266" s="155" t="s">
        <v>121</v>
      </c>
      <c r="C266" s="192"/>
      <c r="D266" s="192"/>
      <c r="E266" s="192"/>
      <c r="F266" s="192"/>
      <c r="G266" s="192"/>
      <c r="H266" s="192"/>
      <c r="I266" s="192"/>
      <c r="J266" s="192"/>
      <c r="K266" s="192"/>
      <c r="L266" s="192"/>
      <c r="M266" s="192"/>
      <c r="N266" s="155">
        <v>0</v>
      </c>
      <c r="O266" s="193">
        <v>0</v>
      </c>
      <c r="P266" s="156">
        <v>0</v>
      </c>
      <c r="Q266" s="193">
        <v>0</v>
      </c>
      <c r="R266" s="113"/>
      <c r="S266" s="116"/>
      <c r="T266" s="2"/>
    </row>
    <row r="267" spans="1:20" ht="15.6" x14ac:dyDescent="0.3">
      <c r="A267" s="112"/>
      <c r="B267" s="155" t="s">
        <v>122</v>
      </c>
      <c r="C267" s="192"/>
      <c r="D267" s="192"/>
      <c r="E267" s="192"/>
      <c r="F267" s="192"/>
      <c r="G267" s="192"/>
      <c r="H267" s="192"/>
      <c r="I267" s="192"/>
      <c r="J267" s="192"/>
      <c r="K267" s="192"/>
      <c r="L267" s="192"/>
      <c r="M267" s="192"/>
      <c r="N267" s="155">
        <v>0</v>
      </c>
      <c r="O267" s="193">
        <v>0</v>
      </c>
      <c r="P267" s="156">
        <v>0</v>
      </c>
      <c r="Q267" s="193">
        <v>0</v>
      </c>
      <c r="R267" s="113"/>
      <c r="S267" s="116"/>
      <c r="T267" s="2"/>
    </row>
    <row r="268" spans="1:20" ht="15.6" x14ac:dyDescent="0.3">
      <c r="A268" s="112"/>
      <c r="B268" s="155" t="s">
        <v>123</v>
      </c>
      <c r="C268" s="192"/>
      <c r="D268" s="192"/>
      <c r="E268" s="192"/>
      <c r="F268" s="192"/>
      <c r="G268" s="192"/>
      <c r="H268" s="192"/>
      <c r="I268" s="192"/>
      <c r="J268" s="192"/>
      <c r="K268" s="192"/>
      <c r="L268" s="192"/>
      <c r="M268" s="192"/>
      <c r="N268" s="155">
        <v>0</v>
      </c>
      <c r="O268" s="193">
        <v>0</v>
      </c>
      <c r="P268" s="156">
        <v>0</v>
      </c>
      <c r="Q268" s="193">
        <v>0</v>
      </c>
      <c r="R268" s="113"/>
      <c r="S268" s="116"/>
      <c r="T268" s="2"/>
    </row>
    <row r="269" spans="1:20" ht="15.6" x14ac:dyDescent="0.3">
      <c r="A269" s="112"/>
      <c r="B269" s="155"/>
      <c r="C269" s="192"/>
      <c r="D269" s="192"/>
      <c r="E269" s="192"/>
      <c r="F269" s="192"/>
      <c r="G269" s="192"/>
      <c r="H269" s="192"/>
      <c r="I269" s="192"/>
      <c r="J269" s="192"/>
      <c r="K269" s="192"/>
      <c r="L269" s="192"/>
      <c r="M269" s="192"/>
      <c r="N269" s="155"/>
      <c r="O269" s="193"/>
      <c r="P269" s="156"/>
      <c r="Q269" s="193"/>
      <c r="R269" s="113"/>
      <c r="S269" s="116"/>
      <c r="T269" s="2"/>
    </row>
    <row r="270" spans="1:20" ht="15.6" x14ac:dyDescent="0.3">
      <c r="A270" s="112"/>
      <c r="B270" s="113" t="s">
        <v>94</v>
      </c>
      <c r="C270" s="113"/>
      <c r="D270" s="195"/>
      <c r="E270" s="195"/>
      <c r="F270" s="195"/>
      <c r="G270" s="195"/>
      <c r="H270" s="195"/>
      <c r="I270" s="195"/>
      <c r="J270" s="195"/>
      <c r="K270" s="195"/>
      <c r="L270" s="195"/>
      <c r="M270" s="195"/>
      <c r="N270" s="155">
        <f>SUM(N261:N269)</f>
        <v>0</v>
      </c>
      <c r="O270" s="193">
        <f>SUM(O261:O269)</f>
        <v>0</v>
      </c>
      <c r="P270" s="156">
        <f>SUM(P261:P269)</f>
        <v>0</v>
      </c>
      <c r="Q270" s="193">
        <f>SUM(Q261:Q269)</f>
        <v>0</v>
      </c>
      <c r="R270" s="113"/>
      <c r="S270" s="116"/>
      <c r="T270" s="2"/>
    </row>
    <row r="271" spans="1:20" ht="15.6" x14ac:dyDescent="0.3">
      <c r="A271" s="12"/>
      <c r="B271" s="43"/>
      <c r="C271" s="43"/>
      <c r="D271" s="189"/>
      <c r="E271" s="189"/>
      <c r="F271" s="189"/>
      <c r="G271" s="189"/>
      <c r="H271" s="189"/>
      <c r="I271" s="189"/>
      <c r="J271" s="189"/>
      <c r="K271" s="189"/>
      <c r="L271" s="189"/>
      <c r="M271" s="189"/>
      <c r="N271" s="153"/>
      <c r="O271" s="190"/>
      <c r="P271" s="191"/>
      <c r="Q271" s="190"/>
      <c r="R271" s="43"/>
      <c r="S271" s="218"/>
      <c r="T271" s="2"/>
    </row>
    <row r="272" spans="1:20" ht="15.6" x14ac:dyDescent="0.3">
      <c r="A272" s="73"/>
      <c r="B272" s="61" t="s">
        <v>125</v>
      </c>
      <c r="C272" s="74"/>
      <c r="D272" s="76"/>
      <c r="E272" s="76"/>
      <c r="F272" s="76"/>
      <c r="G272" s="76"/>
      <c r="H272" s="76"/>
      <c r="I272" s="76"/>
      <c r="J272" s="76"/>
      <c r="K272" s="76"/>
      <c r="L272" s="76"/>
      <c r="M272" s="76"/>
      <c r="N272" s="72" t="s">
        <v>83</v>
      </c>
      <c r="O272" s="62" t="s">
        <v>84</v>
      </c>
      <c r="P272" s="72" t="s">
        <v>89</v>
      </c>
      <c r="Q272" s="62" t="s">
        <v>84</v>
      </c>
      <c r="R272" s="74"/>
      <c r="S272" s="75"/>
      <c r="T272" s="2"/>
    </row>
    <row r="273" spans="1:20" ht="15.6" x14ac:dyDescent="0.3">
      <c r="A273" s="77"/>
      <c r="B273" s="78" t="s">
        <v>72</v>
      </c>
      <c r="C273" s="79"/>
      <c r="D273" s="80"/>
      <c r="E273" s="80"/>
      <c r="F273" s="80"/>
      <c r="G273" s="80"/>
      <c r="H273" s="80"/>
      <c r="I273" s="80"/>
      <c r="J273" s="80"/>
      <c r="K273" s="80"/>
      <c r="L273" s="80"/>
      <c r="M273" s="80"/>
      <c r="N273" s="78">
        <v>0</v>
      </c>
      <c r="O273" s="81">
        <v>0</v>
      </c>
      <c r="P273" s="82">
        <v>0</v>
      </c>
      <c r="Q273" s="81">
        <v>0</v>
      </c>
      <c r="R273" s="79"/>
      <c r="S273" s="221"/>
      <c r="T273" s="2"/>
    </row>
    <row r="274" spans="1:20" ht="15.6" x14ac:dyDescent="0.3">
      <c r="A274" s="122"/>
      <c r="B274" s="155" t="s">
        <v>73</v>
      </c>
      <c r="C274" s="113"/>
      <c r="D274" s="195"/>
      <c r="E274" s="195"/>
      <c r="F274" s="195"/>
      <c r="G274" s="195"/>
      <c r="H274" s="195"/>
      <c r="I274" s="195"/>
      <c r="J274" s="195"/>
      <c r="K274" s="195"/>
      <c r="L274" s="195"/>
      <c r="M274" s="195"/>
      <c r="N274" s="155">
        <v>0</v>
      </c>
      <c r="O274" s="193">
        <v>0</v>
      </c>
      <c r="P274" s="156">
        <v>0</v>
      </c>
      <c r="Q274" s="193">
        <v>0</v>
      </c>
      <c r="R274" s="113"/>
      <c r="S274" s="116"/>
      <c r="T274" s="2"/>
    </row>
    <row r="275" spans="1:20" ht="15.6" x14ac:dyDescent="0.3">
      <c r="A275" s="122"/>
      <c r="B275" s="155" t="s">
        <v>74</v>
      </c>
      <c r="C275" s="113"/>
      <c r="D275" s="195"/>
      <c r="E275" s="195"/>
      <c r="F275" s="195"/>
      <c r="G275" s="195"/>
      <c r="H275" s="195"/>
      <c r="I275" s="195"/>
      <c r="J275" s="195"/>
      <c r="K275" s="195"/>
      <c r="L275" s="195"/>
      <c r="M275" s="195"/>
      <c r="N275" s="155">
        <v>0</v>
      </c>
      <c r="O275" s="193">
        <v>0</v>
      </c>
      <c r="P275" s="156">
        <v>0</v>
      </c>
      <c r="Q275" s="193">
        <v>0</v>
      </c>
      <c r="R275" s="113"/>
      <c r="S275" s="116"/>
      <c r="T275" s="2"/>
    </row>
    <row r="276" spans="1:20" ht="15.6" x14ac:dyDescent="0.3">
      <c r="A276" s="122"/>
      <c r="B276" s="155" t="s">
        <v>119</v>
      </c>
      <c r="C276" s="113"/>
      <c r="D276" s="195"/>
      <c r="E276" s="195"/>
      <c r="F276" s="195"/>
      <c r="G276" s="195"/>
      <c r="H276" s="195"/>
      <c r="I276" s="195"/>
      <c r="J276" s="195"/>
      <c r="K276" s="195"/>
      <c r="L276" s="195"/>
      <c r="M276" s="195"/>
      <c r="N276" s="155">
        <v>0</v>
      </c>
      <c r="O276" s="193">
        <v>0</v>
      </c>
      <c r="P276" s="156">
        <v>0</v>
      </c>
      <c r="Q276" s="193">
        <v>0</v>
      </c>
      <c r="R276" s="113"/>
      <c r="S276" s="116"/>
      <c r="T276" s="2"/>
    </row>
    <row r="277" spans="1:20" ht="15.6" x14ac:dyDescent="0.3">
      <c r="A277" s="122"/>
      <c r="B277" s="155" t="s">
        <v>120</v>
      </c>
      <c r="C277" s="113"/>
      <c r="D277" s="195"/>
      <c r="E277" s="195"/>
      <c r="F277" s="195"/>
      <c r="G277" s="195"/>
      <c r="H277" s="195"/>
      <c r="I277" s="195"/>
      <c r="J277" s="195"/>
      <c r="K277" s="195"/>
      <c r="L277" s="195"/>
      <c r="M277" s="195"/>
      <c r="N277" s="155">
        <v>0</v>
      </c>
      <c r="O277" s="193">
        <v>0</v>
      </c>
      <c r="P277" s="156">
        <v>0</v>
      </c>
      <c r="Q277" s="193">
        <v>0</v>
      </c>
      <c r="R277" s="113"/>
      <c r="S277" s="116"/>
      <c r="T277" s="2"/>
    </row>
    <row r="278" spans="1:20" ht="15.6" x14ac:dyDescent="0.3">
      <c r="A278" s="122"/>
      <c r="B278" s="155" t="s">
        <v>121</v>
      </c>
      <c r="C278" s="113"/>
      <c r="D278" s="195"/>
      <c r="E278" s="195"/>
      <c r="F278" s="195"/>
      <c r="G278" s="195"/>
      <c r="H278" s="195"/>
      <c r="I278" s="195"/>
      <c r="J278" s="195"/>
      <c r="K278" s="195"/>
      <c r="L278" s="195"/>
      <c r="M278" s="195"/>
      <c r="N278" s="155">
        <v>0</v>
      </c>
      <c r="O278" s="193">
        <v>0</v>
      </c>
      <c r="P278" s="156">
        <v>0</v>
      </c>
      <c r="Q278" s="193">
        <v>0</v>
      </c>
      <c r="R278" s="113"/>
      <c r="S278" s="116"/>
      <c r="T278" s="2"/>
    </row>
    <row r="279" spans="1:20" ht="15.6" x14ac:dyDescent="0.3">
      <c r="A279" s="122"/>
      <c r="B279" s="155" t="s">
        <v>122</v>
      </c>
      <c r="C279" s="113"/>
      <c r="D279" s="195"/>
      <c r="E279" s="195"/>
      <c r="F279" s="195"/>
      <c r="G279" s="195"/>
      <c r="H279" s="195"/>
      <c r="I279" s="195"/>
      <c r="J279" s="195"/>
      <c r="K279" s="195"/>
      <c r="L279" s="195"/>
      <c r="M279" s="195"/>
      <c r="N279" s="155">
        <v>0</v>
      </c>
      <c r="O279" s="193">
        <v>0</v>
      </c>
      <c r="P279" s="156">
        <v>0</v>
      </c>
      <c r="Q279" s="193">
        <v>0</v>
      </c>
      <c r="R279" s="113"/>
      <c r="S279" s="116"/>
      <c r="T279" s="2"/>
    </row>
    <row r="280" spans="1:20" ht="15.6" x14ac:dyDescent="0.3">
      <c r="A280" s="122"/>
      <c r="B280" s="155" t="s">
        <v>123</v>
      </c>
      <c r="C280" s="113"/>
      <c r="D280" s="195"/>
      <c r="E280" s="195"/>
      <c r="F280" s="195"/>
      <c r="G280" s="195"/>
      <c r="H280" s="195"/>
      <c r="I280" s="195"/>
      <c r="J280" s="195"/>
      <c r="K280" s="195"/>
      <c r="L280" s="195"/>
      <c r="M280" s="195"/>
      <c r="N280" s="155">
        <v>0</v>
      </c>
      <c r="O280" s="193">
        <v>0</v>
      </c>
      <c r="P280" s="156">
        <v>0</v>
      </c>
      <c r="Q280" s="193">
        <v>0</v>
      </c>
      <c r="R280" s="113"/>
      <c r="S280" s="116"/>
      <c r="T280" s="2"/>
    </row>
    <row r="281" spans="1:20" ht="15.6" x14ac:dyDescent="0.3">
      <c r="A281" s="122"/>
      <c r="B281" s="155"/>
      <c r="C281" s="113"/>
      <c r="D281" s="195"/>
      <c r="E281" s="195"/>
      <c r="F281" s="195"/>
      <c r="G281" s="195"/>
      <c r="H281" s="195"/>
      <c r="I281" s="195"/>
      <c r="J281" s="195"/>
      <c r="K281" s="195"/>
      <c r="L281" s="195"/>
      <c r="M281" s="195"/>
      <c r="N281" s="155"/>
      <c r="O281" s="193"/>
      <c r="P281" s="156"/>
      <c r="Q281" s="193"/>
      <c r="R281" s="113"/>
      <c r="S281" s="116"/>
      <c r="T281" s="2"/>
    </row>
    <row r="282" spans="1:20" ht="15.6" x14ac:dyDescent="0.3">
      <c r="A282" s="122"/>
      <c r="B282" s="113" t="s">
        <v>94</v>
      </c>
      <c r="C282" s="113"/>
      <c r="D282" s="195"/>
      <c r="E282" s="195"/>
      <c r="F282" s="195"/>
      <c r="G282" s="195"/>
      <c r="H282" s="195"/>
      <c r="I282" s="195"/>
      <c r="J282" s="195"/>
      <c r="K282" s="195"/>
      <c r="L282" s="195"/>
      <c r="M282" s="195"/>
      <c r="N282" s="155">
        <f>SUM(N273:N280)</f>
        <v>0</v>
      </c>
      <c r="O282" s="193">
        <f>SUM(O273:O280)</f>
        <v>0</v>
      </c>
      <c r="P282" s="156">
        <f>SUM(P273:P280)</f>
        <v>0</v>
      </c>
      <c r="Q282" s="193">
        <f>SUM(Q273:Q280)</f>
        <v>0</v>
      </c>
      <c r="R282" s="113"/>
      <c r="S282" s="116"/>
      <c r="T282" s="2"/>
    </row>
    <row r="283" spans="1:20" ht="15.6" x14ac:dyDescent="0.3">
      <c r="A283" s="122"/>
      <c r="B283" s="113"/>
      <c r="C283" s="113"/>
      <c r="D283" s="195"/>
      <c r="E283" s="195"/>
      <c r="F283" s="195"/>
      <c r="G283" s="195"/>
      <c r="H283" s="195"/>
      <c r="I283" s="195"/>
      <c r="J283" s="195"/>
      <c r="K283" s="195"/>
      <c r="L283" s="195"/>
      <c r="M283" s="195"/>
      <c r="N283" s="155"/>
      <c r="O283" s="193"/>
      <c r="P283" s="156"/>
      <c r="Q283" s="193"/>
      <c r="R283" s="113"/>
      <c r="S283" s="116"/>
      <c r="T283" s="2"/>
    </row>
    <row r="284" spans="1:20" ht="15.6" x14ac:dyDescent="0.3">
      <c r="A284" s="122"/>
      <c r="B284" s="124" t="s">
        <v>182</v>
      </c>
      <c r="C284" s="113"/>
      <c r="D284" s="195"/>
      <c r="E284" s="195"/>
      <c r="F284" s="195"/>
      <c r="G284" s="195"/>
      <c r="H284" s="195"/>
      <c r="I284" s="195"/>
      <c r="J284" s="195"/>
      <c r="K284" s="195"/>
      <c r="L284" s="195"/>
      <c r="M284" s="195"/>
      <c r="N284" s="197">
        <f>N282+N270+N258</f>
        <v>815</v>
      </c>
      <c r="O284" s="193"/>
      <c r="P284" s="198">
        <f>+P282+P270+P258</f>
        <v>124552</v>
      </c>
      <c r="Q284" s="193"/>
      <c r="R284" s="113"/>
      <c r="S284" s="116"/>
      <c r="T284" s="2"/>
    </row>
    <row r="285" spans="1:20" ht="15.6" x14ac:dyDescent="0.3">
      <c r="A285" s="122"/>
      <c r="B285" s="124" t="s">
        <v>247</v>
      </c>
      <c r="C285" s="124"/>
      <c r="D285" s="206"/>
      <c r="E285" s="206"/>
      <c r="F285" s="206"/>
      <c r="G285" s="206"/>
      <c r="H285" s="206"/>
      <c r="I285" s="206"/>
      <c r="J285" s="206"/>
      <c r="K285" s="206"/>
      <c r="L285" s="206"/>
      <c r="M285" s="206"/>
      <c r="N285" s="197"/>
      <c r="O285" s="207"/>
      <c r="P285" s="208">
        <f>+R171</f>
        <v>0</v>
      </c>
      <c r="Q285" s="193"/>
      <c r="R285" s="113"/>
      <c r="S285" s="116"/>
      <c r="T285" s="2"/>
    </row>
    <row r="286" spans="1:20" ht="15.6" x14ac:dyDescent="0.3">
      <c r="A286" s="122"/>
      <c r="B286" s="124" t="s">
        <v>126</v>
      </c>
      <c r="C286" s="124"/>
      <c r="D286" s="206"/>
      <c r="E286" s="206"/>
      <c r="F286" s="206"/>
      <c r="G286" s="206"/>
      <c r="H286" s="206"/>
      <c r="I286" s="206"/>
      <c r="J286" s="206"/>
      <c r="K286" s="206"/>
      <c r="L286" s="206"/>
      <c r="M286" s="206"/>
      <c r="N286" s="197"/>
      <c r="O286" s="207"/>
      <c r="P286" s="208">
        <f>+P284+P285</f>
        <v>124552</v>
      </c>
      <c r="Q286" s="193"/>
      <c r="R286" s="113"/>
      <c r="S286" s="116"/>
      <c r="T286" s="2"/>
    </row>
    <row r="287" spans="1:20" ht="15.6" x14ac:dyDescent="0.3">
      <c r="A287" s="122"/>
      <c r="B287" s="124" t="s">
        <v>181</v>
      </c>
      <c r="C287" s="113"/>
      <c r="D287" s="195"/>
      <c r="E287" s="195"/>
      <c r="F287" s="195"/>
      <c r="G287" s="195"/>
      <c r="H287" s="195"/>
      <c r="I287" s="195"/>
      <c r="J287" s="195"/>
      <c r="K287" s="195"/>
      <c r="L287" s="195"/>
      <c r="M287" s="195"/>
      <c r="N287" s="197"/>
      <c r="O287" s="193"/>
      <c r="P287" s="198">
        <f>+R72</f>
        <v>124552</v>
      </c>
      <c r="Q287" s="193"/>
      <c r="R287" s="113"/>
      <c r="S287" s="116"/>
      <c r="T287" s="2"/>
    </row>
    <row r="288" spans="1:20" ht="15.6" x14ac:dyDescent="0.3">
      <c r="A288" s="122"/>
      <c r="B288" s="124"/>
      <c r="C288" s="113"/>
      <c r="D288" s="195"/>
      <c r="E288" s="195"/>
      <c r="F288" s="195"/>
      <c r="G288" s="195"/>
      <c r="H288" s="195"/>
      <c r="I288" s="195"/>
      <c r="J288" s="195"/>
      <c r="K288" s="195"/>
      <c r="L288" s="195"/>
      <c r="M288" s="195"/>
      <c r="N288" s="197"/>
      <c r="O288" s="193"/>
      <c r="P288" s="198"/>
      <c r="Q288" s="193"/>
      <c r="R288" s="113"/>
      <c r="S288" s="116"/>
      <c r="T288" s="2"/>
    </row>
    <row r="289" spans="1:20" ht="15.6" x14ac:dyDescent="0.3">
      <c r="A289" s="122"/>
      <c r="B289" s="124" t="s">
        <v>221</v>
      </c>
      <c r="C289" s="113"/>
      <c r="D289" s="195"/>
      <c r="E289" s="195"/>
      <c r="F289" s="195"/>
      <c r="G289" s="195"/>
      <c r="H289" s="195"/>
      <c r="I289" s="195"/>
      <c r="J289" s="195"/>
      <c r="K289" s="195"/>
      <c r="L289" s="195"/>
      <c r="M289" s="195"/>
      <c r="N289" s="197"/>
      <c r="O289" s="193"/>
      <c r="P289" s="215">
        <f>(J30+R138)/R30</f>
        <v>0.10076142224981305</v>
      </c>
      <c r="Q289" s="193"/>
      <c r="R289" s="113"/>
      <c r="S289" s="116"/>
      <c r="T289" s="2"/>
    </row>
    <row r="290" spans="1:20" ht="15.6" x14ac:dyDescent="0.3">
      <c r="A290" s="83"/>
      <c r="B290" s="84"/>
      <c r="C290" s="84"/>
      <c r="D290" s="85"/>
      <c r="E290" s="85"/>
      <c r="F290" s="85"/>
      <c r="G290" s="85"/>
      <c r="H290" s="85"/>
      <c r="I290" s="85"/>
      <c r="J290" s="85"/>
      <c r="K290" s="85"/>
      <c r="L290" s="85"/>
      <c r="M290" s="85"/>
      <c r="N290" s="85"/>
      <c r="O290" s="85"/>
      <c r="P290" s="86"/>
      <c r="Q290" s="85"/>
      <c r="R290" s="84"/>
      <c r="S290" s="219"/>
      <c r="T290" s="2"/>
    </row>
    <row r="291" spans="1:20" ht="15.6" x14ac:dyDescent="0.3">
      <c r="A291" s="87"/>
      <c r="B291" s="88" t="s">
        <v>75</v>
      </c>
      <c r="C291" s="84"/>
      <c r="D291" s="89" t="s">
        <v>79</v>
      </c>
      <c r="E291" s="88"/>
      <c r="F291" s="88" t="s">
        <v>80</v>
      </c>
      <c r="G291" s="84"/>
      <c r="H291" s="88"/>
      <c r="I291" s="90"/>
      <c r="J291" s="90"/>
      <c r="K291" s="90"/>
      <c r="L291" s="90"/>
      <c r="M291" s="90"/>
      <c r="N291" s="90"/>
      <c r="O291" s="90"/>
      <c r="P291" s="90"/>
      <c r="Q291" s="90"/>
      <c r="R291" s="90"/>
      <c r="S291" s="230"/>
      <c r="T291" s="2"/>
    </row>
    <row r="292" spans="1:20" ht="15.6" x14ac:dyDescent="0.3">
      <c r="A292" s="87"/>
      <c r="B292" s="90"/>
      <c r="C292" s="84"/>
      <c r="D292" s="84"/>
      <c r="E292" s="84"/>
      <c r="F292" s="84"/>
      <c r="G292" s="84"/>
      <c r="H292" s="84"/>
      <c r="I292" s="90"/>
      <c r="J292" s="90"/>
      <c r="K292" s="90"/>
      <c r="L292" s="90"/>
      <c r="M292" s="90"/>
      <c r="N292" s="90"/>
      <c r="O292" s="90"/>
      <c r="P292" s="90"/>
      <c r="Q292" s="90"/>
      <c r="R292" s="90"/>
      <c r="S292" s="230"/>
      <c r="T292" s="2"/>
    </row>
    <row r="293" spans="1:20" ht="15.6" x14ac:dyDescent="0.3">
      <c r="A293" s="87"/>
      <c r="B293" s="214" t="s">
        <v>212</v>
      </c>
      <c r="C293" s="88"/>
      <c r="D293" s="91" t="s">
        <v>147</v>
      </c>
      <c r="E293" s="88"/>
      <c r="F293" s="88" t="s">
        <v>148</v>
      </c>
      <c r="G293" s="88"/>
      <c r="H293" s="88"/>
      <c r="I293" s="90"/>
      <c r="J293" s="90"/>
      <c r="K293" s="90"/>
      <c r="L293" s="90"/>
      <c r="M293" s="90"/>
      <c r="N293" s="90"/>
      <c r="O293" s="90"/>
      <c r="P293" s="90"/>
      <c r="Q293" s="90"/>
      <c r="R293" s="90"/>
      <c r="S293" s="230"/>
      <c r="T293" s="2"/>
    </row>
    <row r="294" spans="1:20" ht="15.6" x14ac:dyDescent="0.3">
      <c r="A294" s="87"/>
      <c r="B294" s="214" t="s">
        <v>213</v>
      </c>
      <c r="C294" s="88"/>
      <c r="D294" s="91" t="s">
        <v>114</v>
      </c>
      <c r="E294" s="88"/>
      <c r="F294" s="88" t="s">
        <v>117</v>
      </c>
      <c r="G294" s="88"/>
      <c r="H294" s="88"/>
      <c r="I294" s="90"/>
      <c r="J294" s="90"/>
      <c r="K294" s="90"/>
      <c r="L294" s="90"/>
      <c r="M294" s="90"/>
      <c r="N294" s="90"/>
      <c r="O294" s="90"/>
      <c r="P294" s="90"/>
      <c r="Q294" s="90"/>
      <c r="R294" s="90"/>
      <c r="S294" s="230"/>
      <c r="T294" s="2"/>
    </row>
    <row r="295" spans="1:20" ht="15.6" x14ac:dyDescent="0.3">
      <c r="A295" s="87"/>
      <c r="B295" s="88"/>
      <c r="C295" s="88"/>
      <c r="D295" s="90"/>
      <c r="E295" s="90"/>
      <c r="F295" s="90"/>
      <c r="G295" s="90"/>
      <c r="H295" s="90"/>
      <c r="I295" s="90"/>
      <c r="J295" s="90"/>
      <c r="K295" s="90"/>
      <c r="L295" s="90"/>
      <c r="M295" s="90"/>
      <c r="N295" s="90"/>
      <c r="O295" s="90"/>
      <c r="P295" s="90"/>
      <c r="Q295" s="90"/>
      <c r="R295" s="90"/>
      <c r="S295" s="230"/>
      <c r="T295" s="2"/>
    </row>
    <row r="296" spans="1:20" ht="15.6" x14ac:dyDescent="0.3">
      <c r="A296" s="87"/>
      <c r="B296" s="88"/>
      <c r="C296" s="88"/>
      <c r="D296" s="90"/>
      <c r="E296" s="90"/>
      <c r="F296" s="90"/>
      <c r="G296" s="90"/>
      <c r="H296" s="90"/>
      <c r="I296" s="90"/>
      <c r="J296" s="90"/>
      <c r="K296" s="90"/>
      <c r="L296" s="90"/>
      <c r="M296" s="90"/>
      <c r="N296" s="90"/>
      <c r="O296" s="90"/>
      <c r="P296" s="90"/>
      <c r="Q296" s="90"/>
      <c r="R296" s="90"/>
      <c r="S296" s="230"/>
      <c r="T296" s="2"/>
    </row>
    <row r="297" spans="1:20" ht="18" thickBot="1" x14ac:dyDescent="0.35">
      <c r="A297" s="87"/>
      <c r="B297" s="92" t="str">
        <f>B196</f>
        <v>PM21 INVESTOR REPORT QUARTER ENDING FEBRUARY 2017</v>
      </c>
      <c r="C297" s="88"/>
      <c r="D297" s="90"/>
      <c r="E297" s="90"/>
      <c r="F297" s="90"/>
      <c r="G297" s="90"/>
      <c r="H297" s="90"/>
      <c r="I297" s="90"/>
      <c r="J297" s="90"/>
      <c r="K297" s="90"/>
      <c r="L297" s="90"/>
      <c r="M297" s="90"/>
      <c r="N297" s="90"/>
      <c r="O297" s="90"/>
      <c r="P297" s="90"/>
      <c r="Q297" s="90"/>
      <c r="R297" s="90"/>
      <c r="S297" s="99"/>
      <c r="T297" s="2"/>
    </row>
    <row r="298" spans="1:20" x14ac:dyDescent="0.25">
      <c r="A298" s="3"/>
      <c r="B298" s="3"/>
      <c r="C298" s="3"/>
      <c r="D298" s="3"/>
      <c r="E298" s="3"/>
      <c r="F298" s="3"/>
      <c r="G298" s="3"/>
      <c r="H298" s="3"/>
      <c r="I298" s="3"/>
      <c r="J298" s="3"/>
      <c r="K298" s="3"/>
      <c r="L298" s="3"/>
      <c r="M298" s="3"/>
      <c r="N298" s="3"/>
      <c r="O298" s="3"/>
      <c r="P298" s="3"/>
      <c r="Q298" s="3"/>
      <c r="R298" s="3"/>
      <c r="S298"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80</vt:i4>
      </vt:variant>
    </vt:vector>
  </HeadingPairs>
  <TitlesOfParts>
    <vt:vector size="96" baseType="lpstr">
      <vt:lpstr>February 15</vt:lpstr>
      <vt:lpstr>May 15</vt:lpstr>
      <vt:lpstr>Aug 15</vt:lpstr>
      <vt:lpstr>Nov 15</vt:lpstr>
      <vt:lpstr>Feb 16</vt:lpstr>
      <vt:lpstr>May 16</vt:lpstr>
      <vt:lpstr>Aug 16</vt:lpstr>
      <vt:lpstr>Nov 16</vt:lpstr>
      <vt:lpstr>Feb 17</vt:lpstr>
      <vt:lpstr>May 17</vt:lpstr>
      <vt:lpstr>Aug 17</vt:lpstr>
      <vt:lpstr>Nov 17</vt:lpstr>
      <vt:lpstr>Feb 18</vt:lpstr>
      <vt:lpstr>May 18</vt:lpstr>
      <vt:lpstr>Aug 18</vt:lpstr>
      <vt:lpstr>Nov 18</vt:lpstr>
      <vt:lpstr>'Aug 15'!_1PAGE_1</vt:lpstr>
      <vt:lpstr>'Aug 16'!_1PAGE_1</vt:lpstr>
      <vt:lpstr>'Aug 17'!_1PAGE_1</vt:lpstr>
      <vt:lpstr>'Aug 18'!_1PAGE_1</vt:lpstr>
      <vt:lpstr>'Feb 16'!_1PAGE_1</vt:lpstr>
      <vt:lpstr>'Feb 17'!_1PAGE_1</vt:lpstr>
      <vt:lpstr>'Feb 18'!_1PAGE_1</vt:lpstr>
      <vt:lpstr>'February 15'!_1PAGE_1</vt:lpstr>
      <vt:lpstr>'May 15'!_1PAGE_1</vt:lpstr>
      <vt:lpstr>'May 16'!_1PAGE_1</vt:lpstr>
      <vt:lpstr>'May 17'!_1PAGE_1</vt:lpstr>
      <vt:lpstr>'May 18'!_1PAGE_1</vt:lpstr>
      <vt:lpstr>'Nov 15'!_1PAGE_1</vt:lpstr>
      <vt:lpstr>'Nov 16'!_1PAGE_1</vt:lpstr>
      <vt:lpstr>'Nov 17'!_1PAGE_1</vt:lpstr>
      <vt:lpstr>'Nov 18'!_1PAGE_1</vt:lpstr>
      <vt:lpstr>'Aug 15'!_3PAGE_2</vt:lpstr>
      <vt:lpstr>'Aug 16'!_3PAGE_2</vt:lpstr>
      <vt:lpstr>'Aug 17'!_3PAGE_2</vt:lpstr>
      <vt:lpstr>'Aug 18'!_3PAGE_2</vt:lpstr>
      <vt:lpstr>'Feb 16'!_3PAGE_2</vt:lpstr>
      <vt:lpstr>'Feb 17'!_3PAGE_2</vt:lpstr>
      <vt:lpstr>'Feb 18'!_3PAGE_2</vt:lpstr>
      <vt:lpstr>'February 15'!_3PAGE_2</vt:lpstr>
      <vt:lpstr>'May 15'!_3PAGE_2</vt:lpstr>
      <vt:lpstr>'May 16'!_3PAGE_2</vt:lpstr>
      <vt:lpstr>'May 17'!_3PAGE_2</vt:lpstr>
      <vt:lpstr>'May 18'!_3PAGE_2</vt:lpstr>
      <vt:lpstr>'Nov 15'!_3PAGE_2</vt:lpstr>
      <vt:lpstr>'Nov 16'!_3PAGE_2</vt:lpstr>
      <vt:lpstr>'Nov 17'!_3PAGE_2</vt:lpstr>
      <vt:lpstr>'Nov 18'!_3PAGE_2</vt:lpstr>
      <vt:lpstr>'Aug 15'!_5PAGE_3</vt:lpstr>
      <vt:lpstr>'Aug 16'!_5PAGE_3</vt:lpstr>
      <vt:lpstr>'Aug 17'!_5PAGE_3</vt:lpstr>
      <vt:lpstr>'Aug 18'!_5PAGE_3</vt:lpstr>
      <vt:lpstr>'Feb 16'!_5PAGE_3</vt:lpstr>
      <vt:lpstr>'Feb 17'!_5PAGE_3</vt:lpstr>
      <vt:lpstr>'Feb 18'!_5PAGE_3</vt:lpstr>
      <vt:lpstr>'February 15'!_5PAGE_3</vt:lpstr>
      <vt:lpstr>'May 15'!_5PAGE_3</vt:lpstr>
      <vt:lpstr>'May 16'!_5PAGE_3</vt:lpstr>
      <vt:lpstr>'May 17'!_5PAGE_3</vt:lpstr>
      <vt:lpstr>'May 18'!_5PAGE_3</vt:lpstr>
      <vt:lpstr>'Nov 15'!_5PAGE_3</vt:lpstr>
      <vt:lpstr>'Nov 16'!_5PAGE_3</vt:lpstr>
      <vt:lpstr>'Nov 17'!_5PAGE_3</vt:lpstr>
      <vt:lpstr>'Nov 18'!_5PAGE_3</vt:lpstr>
      <vt:lpstr>'Aug 15'!_7PAGE_4</vt:lpstr>
      <vt:lpstr>'Aug 16'!_7PAGE_4</vt:lpstr>
      <vt:lpstr>'Aug 17'!_7PAGE_4</vt:lpstr>
      <vt:lpstr>'Aug 18'!_7PAGE_4</vt:lpstr>
      <vt:lpstr>'Feb 16'!_7PAGE_4</vt:lpstr>
      <vt:lpstr>'Feb 17'!_7PAGE_4</vt:lpstr>
      <vt:lpstr>'Feb 18'!_7PAGE_4</vt:lpstr>
      <vt:lpstr>'February 15'!_7PAGE_4</vt:lpstr>
      <vt:lpstr>'May 15'!_7PAGE_4</vt:lpstr>
      <vt:lpstr>'May 16'!_7PAGE_4</vt:lpstr>
      <vt:lpstr>'May 17'!_7PAGE_4</vt:lpstr>
      <vt:lpstr>'May 18'!_7PAGE_4</vt:lpstr>
      <vt:lpstr>'Nov 15'!_7PAGE_4</vt:lpstr>
      <vt:lpstr>'Nov 16'!_7PAGE_4</vt:lpstr>
      <vt:lpstr>'Nov 17'!_7PAGE_4</vt:lpstr>
      <vt:lpstr>'Nov 18'!_7PAGE_4</vt:lpstr>
      <vt:lpstr>'Aug 15'!Print_Area</vt:lpstr>
      <vt:lpstr>'Aug 16'!Print_Area</vt:lpstr>
      <vt:lpstr>'Aug 17'!Print_Area</vt:lpstr>
      <vt:lpstr>'Aug 18'!Print_Area</vt:lpstr>
      <vt:lpstr>'Feb 16'!Print_Area</vt:lpstr>
      <vt:lpstr>'Feb 17'!Print_Area</vt:lpstr>
      <vt:lpstr>'Feb 18'!Print_Area</vt:lpstr>
      <vt:lpstr>'February 15'!Print_Area</vt:lpstr>
      <vt:lpstr>'May 15'!Print_Area</vt:lpstr>
      <vt:lpstr>'May 16'!Print_Area</vt:lpstr>
      <vt:lpstr>'May 17'!Print_Area</vt:lpstr>
      <vt:lpstr>'May 18'!Print_Area</vt:lpstr>
      <vt:lpstr>'Nov 15'!Print_Area</vt:lpstr>
      <vt:lpstr>'Nov 16'!Print_Area</vt:lpstr>
      <vt:lpstr>'Nov 17'!Print_Area</vt:lpstr>
      <vt:lpstr>'Nov 18'!Print_Area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2017-12-15T10:14:10Z</cp:lastPrinted>
  <dcterms:created xsi:type="dcterms:W3CDTF">2003-11-18T07:58:35Z</dcterms:created>
  <dcterms:modified xsi:type="dcterms:W3CDTF">2018-12-19T14:44:44Z</dcterms:modified>
</cp:coreProperties>
</file>