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N:\JPG\Investor Reporting\Paragon Finance\PM20\"/>
    </mc:Choice>
  </mc:AlternateContent>
  <bookViews>
    <workbookView xWindow="285" yWindow="-165" windowWidth="23715" windowHeight="6645" firstSheet="7" activeTab="15"/>
  </bookViews>
  <sheets>
    <sheet name="October 14" sheetId="11" r:id="rId1"/>
    <sheet name="January 15" sheetId="12" r:id="rId2"/>
    <sheet name="April 15" sheetId="13" r:id="rId3"/>
    <sheet name="July 15" sheetId="14" r:id="rId4"/>
    <sheet name="October 15" sheetId="15" r:id="rId5"/>
    <sheet name="January 16" sheetId="16" r:id="rId6"/>
    <sheet name="April 16" sheetId="17" r:id="rId7"/>
    <sheet name="July 16" sheetId="18" r:id="rId8"/>
    <sheet name="October 16" sheetId="19" r:id="rId9"/>
    <sheet name="January 17" sheetId="20" r:id="rId10"/>
    <sheet name="April 17" sheetId="21" r:id="rId11"/>
    <sheet name="July 17" sheetId="22" r:id="rId12"/>
    <sheet name="Oct 17" sheetId="23" r:id="rId13"/>
    <sheet name="Jan 18" sheetId="24" r:id="rId14"/>
    <sheet name="April 18" sheetId="25" r:id="rId15"/>
    <sheet name="July 18" sheetId="26" r:id="rId16"/>
  </sheets>
  <definedNames>
    <definedName name="_1PAGE_1" localSheetId="2">'April 15'!$A$1:$S$52</definedName>
    <definedName name="_1PAGE_1" localSheetId="6">'April 16'!$A$1:$S$52</definedName>
    <definedName name="_1PAGE_1" localSheetId="10">'April 17'!$A$1:$S$52</definedName>
    <definedName name="_1PAGE_1" localSheetId="14">'April 18'!$A$1:$S$52</definedName>
    <definedName name="_1PAGE_1" localSheetId="13">'Jan 18'!$A$1:$S$52</definedName>
    <definedName name="_1PAGE_1" localSheetId="1">'January 15'!$A$1:$S$52</definedName>
    <definedName name="_1PAGE_1" localSheetId="5">'January 16'!$A$1:$S$52</definedName>
    <definedName name="_1PAGE_1" localSheetId="9">'January 17'!$A$1:$S$52</definedName>
    <definedName name="_1PAGE_1" localSheetId="3">'July 15'!$A$1:$S$52</definedName>
    <definedName name="_1PAGE_1" localSheetId="7">'July 16'!$A$1:$S$52</definedName>
    <definedName name="_1PAGE_1" localSheetId="11">'July 17'!$A$1:$S$52</definedName>
    <definedName name="_1PAGE_1" localSheetId="15">'July 18'!$A$1:$S$52</definedName>
    <definedName name="_1PAGE_1" localSheetId="12">'Oct 17'!$A$1:$S$52</definedName>
    <definedName name="_1PAGE_1" localSheetId="0">'October 14'!$A$1:$S$52</definedName>
    <definedName name="_1PAGE_1" localSheetId="4">'October 15'!$A$1:$S$52</definedName>
    <definedName name="_1PAGE_1" localSheetId="8">'October 16'!$A$1:$S$52</definedName>
    <definedName name="_2PAGE_1" localSheetId="2">#REF!</definedName>
    <definedName name="_2PAGE_1" localSheetId="6">#REF!</definedName>
    <definedName name="_2PAGE_1" localSheetId="10">#REF!</definedName>
    <definedName name="_2PAGE_1" localSheetId="14">#REF!</definedName>
    <definedName name="_2PAGE_1" localSheetId="13">#REF!</definedName>
    <definedName name="_2PAGE_1" localSheetId="1">#REF!</definedName>
    <definedName name="_2PAGE_1" localSheetId="5">#REF!</definedName>
    <definedName name="_2PAGE_1" localSheetId="9">#REF!</definedName>
    <definedName name="_2PAGE_1" localSheetId="3">#REF!</definedName>
    <definedName name="_2PAGE_1" localSheetId="7">#REF!</definedName>
    <definedName name="_2PAGE_1" localSheetId="11">#REF!</definedName>
    <definedName name="_2PAGE_1" localSheetId="15">#REF!</definedName>
    <definedName name="_2PAGE_1" localSheetId="12">#REF!</definedName>
    <definedName name="_2PAGE_1" localSheetId="4">#REF!</definedName>
    <definedName name="_2PAGE_1" localSheetId="8">#REF!</definedName>
    <definedName name="_2PAGE_1">#REF!</definedName>
    <definedName name="_3PAGE_2" localSheetId="2">'April 15'!$A$53:$S$121</definedName>
    <definedName name="_3PAGE_2" localSheetId="6">'April 16'!$A$53:$S$121</definedName>
    <definedName name="_3PAGE_2" localSheetId="10">'April 17'!$A$53:$S$121</definedName>
    <definedName name="_3PAGE_2" localSheetId="14">'April 18'!$A$53:$S$121</definedName>
    <definedName name="_3PAGE_2" localSheetId="13">'Jan 18'!$A$53:$S$121</definedName>
    <definedName name="_3PAGE_2" localSheetId="1">'January 15'!$A$53:$S$121</definedName>
    <definedName name="_3PAGE_2" localSheetId="5">'January 16'!$A$53:$S$121</definedName>
    <definedName name="_3PAGE_2" localSheetId="9">'January 17'!$A$53:$S$121</definedName>
    <definedName name="_3PAGE_2" localSheetId="3">'July 15'!$A$53:$S$121</definedName>
    <definedName name="_3PAGE_2" localSheetId="7">'July 16'!$A$53:$S$121</definedName>
    <definedName name="_3PAGE_2" localSheetId="11">'July 17'!$A$53:$S$121</definedName>
    <definedName name="_3PAGE_2" localSheetId="15">'July 18'!$A$53:$S$122</definedName>
    <definedName name="_3PAGE_2" localSheetId="12">'Oct 17'!$A$53:$S$121</definedName>
    <definedName name="_3PAGE_2" localSheetId="0">'October 14'!$A$53:$S$122</definedName>
    <definedName name="_3PAGE_2" localSheetId="4">'October 15'!$A$53:$S$121</definedName>
    <definedName name="_3PAGE_2" localSheetId="8">'October 16'!$A$53:$S$121</definedName>
    <definedName name="_4PAGE_2" localSheetId="2">#REF!</definedName>
    <definedName name="_4PAGE_2" localSheetId="6">#REF!</definedName>
    <definedName name="_4PAGE_2" localSheetId="10">#REF!</definedName>
    <definedName name="_4PAGE_2" localSheetId="14">#REF!</definedName>
    <definedName name="_4PAGE_2" localSheetId="13">#REF!</definedName>
    <definedName name="_4PAGE_2" localSheetId="1">#REF!</definedName>
    <definedName name="_4PAGE_2" localSheetId="5">#REF!</definedName>
    <definedName name="_4PAGE_2" localSheetId="9">#REF!</definedName>
    <definedName name="_4PAGE_2" localSheetId="3">#REF!</definedName>
    <definedName name="_4PAGE_2" localSheetId="7">#REF!</definedName>
    <definedName name="_4PAGE_2" localSheetId="11">#REF!</definedName>
    <definedName name="_4PAGE_2" localSheetId="15">#REF!</definedName>
    <definedName name="_4PAGE_2" localSheetId="12">#REF!</definedName>
    <definedName name="_4PAGE_2" localSheetId="4">#REF!</definedName>
    <definedName name="_4PAGE_2" localSheetId="8">#REF!</definedName>
    <definedName name="_4PAGE_2">#REF!</definedName>
    <definedName name="_5PAGE_3" localSheetId="2">'April 15'!$A$122:$S$190</definedName>
    <definedName name="_5PAGE_3" localSheetId="6">'April 16'!$A$122:$S$190</definedName>
    <definedName name="_5PAGE_3" localSheetId="10">'April 17'!$A$122:$S$190</definedName>
    <definedName name="_5PAGE_3" localSheetId="14">'April 18'!$A$122:$S$190</definedName>
    <definedName name="_5PAGE_3" localSheetId="13">'Jan 18'!$A$122:$S$190</definedName>
    <definedName name="_5PAGE_3" localSheetId="1">'January 15'!$A$122:$S$190</definedName>
    <definedName name="_5PAGE_3" localSheetId="5">'January 16'!$A$122:$S$190</definedName>
    <definedName name="_5PAGE_3" localSheetId="9">'January 17'!$A$122:$S$190</definedName>
    <definedName name="_5PAGE_3" localSheetId="3">'July 15'!$A$122:$S$190</definedName>
    <definedName name="_5PAGE_3" localSheetId="7">'July 16'!$A$122:$S$190</definedName>
    <definedName name="_5PAGE_3" localSheetId="11">'July 17'!$A$122:$S$190</definedName>
    <definedName name="_5PAGE_3" localSheetId="15">'July 18'!$A$123:$S$192</definedName>
    <definedName name="_5PAGE_3" localSheetId="12">'Oct 17'!$A$122:$S$190</definedName>
    <definedName name="_5PAGE_3" localSheetId="0">'October 14'!$A$123:$S$191</definedName>
    <definedName name="_5PAGE_3" localSheetId="4">'October 15'!$A$122:$S$190</definedName>
    <definedName name="_5PAGE_3" localSheetId="8">'October 16'!$A$122:$S$190</definedName>
    <definedName name="_6PAGE_3" localSheetId="2">#REF!</definedName>
    <definedName name="_6PAGE_3" localSheetId="6">#REF!</definedName>
    <definedName name="_6PAGE_3" localSheetId="10">#REF!</definedName>
    <definedName name="_6PAGE_3" localSheetId="14">#REF!</definedName>
    <definedName name="_6PAGE_3" localSheetId="13">#REF!</definedName>
    <definedName name="_6PAGE_3" localSheetId="1">#REF!</definedName>
    <definedName name="_6PAGE_3" localSheetId="5">#REF!</definedName>
    <definedName name="_6PAGE_3" localSheetId="9">#REF!</definedName>
    <definedName name="_6PAGE_3" localSheetId="3">#REF!</definedName>
    <definedName name="_6PAGE_3" localSheetId="7">#REF!</definedName>
    <definedName name="_6PAGE_3" localSheetId="11">#REF!</definedName>
    <definedName name="_6PAGE_3" localSheetId="15">#REF!</definedName>
    <definedName name="_6PAGE_3" localSheetId="12">#REF!</definedName>
    <definedName name="_6PAGE_3" localSheetId="4">#REF!</definedName>
    <definedName name="_6PAGE_3" localSheetId="8">#REF!</definedName>
    <definedName name="_6PAGE_3">#REF!</definedName>
    <definedName name="_7PAGE_4" localSheetId="2">'April 15'!$A$191:$S$291</definedName>
    <definedName name="_7PAGE_4" localSheetId="6">'April 16'!$A$191:$S$291</definedName>
    <definedName name="_7PAGE_4" localSheetId="10">'April 17'!$A$191:$S$290</definedName>
    <definedName name="_7PAGE_4" localSheetId="14">'April 18'!$A$191:$S$290</definedName>
    <definedName name="_7PAGE_4" localSheetId="13">'Jan 18'!$A$191:$S$290</definedName>
    <definedName name="_7PAGE_4" localSheetId="1">'January 15'!$A$191:$S$291</definedName>
    <definedName name="_7PAGE_4" localSheetId="5">'January 16'!$A$191:$S$291</definedName>
    <definedName name="_7PAGE_4" localSheetId="9">'January 17'!$A$191:$S$290</definedName>
    <definedName name="_7PAGE_4" localSheetId="3">'July 15'!$A$191:$S$291</definedName>
    <definedName name="_7PAGE_4" localSheetId="7">'July 16'!$A$191:$S$291</definedName>
    <definedName name="_7PAGE_4" localSheetId="11">'July 17'!$A$191:$S$290</definedName>
    <definedName name="_7PAGE_4" localSheetId="15">'July 18'!$A$193:$S$292</definedName>
    <definedName name="_7PAGE_4" localSheetId="12">'Oct 17'!$A$191:$S$290</definedName>
    <definedName name="_7PAGE_4" localSheetId="0">'October 14'!$A$192:$S$292</definedName>
    <definedName name="_7PAGE_4" localSheetId="4">'October 15'!$A$191:$S$291</definedName>
    <definedName name="_7PAGE_4" localSheetId="8">'October 16'!$A$191:$S$291</definedName>
    <definedName name="_8PAGE_4" localSheetId="2">#REF!</definedName>
    <definedName name="_8PAGE_4" localSheetId="6">#REF!</definedName>
    <definedName name="_8PAGE_4" localSheetId="10">#REF!</definedName>
    <definedName name="_8PAGE_4" localSheetId="14">#REF!</definedName>
    <definedName name="_8PAGE_4" localSheetId="13">#REF!</definedName>
    <definedName name="_8PAGE_4" localSheetId="1">#REF!</definedName>
    <definedName name="_8PAGE_4" localSheetId="5">#REF!</definedName>
    <definedName name="_8PAGE_4" localSheetId="9">#REF!</definedName>
    <definedName name="_8PAGE_4" localSheetId="3">#REF!</definedName>
    <definedName name="_8PAGE_4" localSheetId="7">#REF!</definedName>
    <definedName name="_8PAGE_4" localSheetId="11">#REF!</definedName>
    <definedName name="_8PAGE_4" localSheetId="15">#REF!</definedName>
    <definedName name="_8PAGE_4" localSheetId="12">#REF!</definedName>
    <definedName name="_8PAGE_4" localSheetId="4">#REF!</definedName>
    <definedName name="_8PAGE_4" localSheetId="8">#REF!</definedName>
    <definedName name="_8PAGE_4">#REF!</definedName>
    <definedName name="_xlnm.Print_Area" localSheetId="2">'April 15'!$A$1:$S$292</definedName>
    <definedName name="_xlnm.Print_Area" localSheetId="6">'April 16'!$A$1:$S$292</definedName>
    <definedName name="_xlnm.Print_Area" localSheetId="10">'April 17'!$A$1:$S$291</definedName>
    <definedName name="_xlnm.Print_Area" localSheetId="14">'April 18'!$A$1:$S$291</definedName>
    <definedName name="_xlnm.Print_Area" localSheetId="13">'Jan 18'!$A$1:$S$291</definedName>
    <definedName name="_xlnm.Print_Area" localSheetId="1">'January 15'!$A$1:$S$292</definedName>
    <definedName name="_xlnm.Print_Area" localSheetId="5">'January 16'!$A$1:$S$292</definedName>
    <definedName name="_xlnm.Print_Area" localSheetId="9">'January 17'!$A$1:$S$291</definedName>
    <definedName name="_xlnm.Print_Area" localSheetId="3">'July 15'!$A$1:$S$292</definedName>
    <definedName name="_xlnm.Print_Area" localSheetId="7">'July 16'!$A$1:$S$292</definedName>
    <definedName name="_xlnm.Print_Area" localSheetId="11">'July 17'!$A$1:$S$291</definedName>
    <definedName name="_xlnm.Print_Area" localSheetId="15">'July 18'!$A$1:$S$293</definedName>
    <definedName name="_xlnm.Print_Area" localSheetId="12">'Oct 17'!$A$1:$S$291</definedName>
    <definedName name="_xlnm.Print_Area" localSheetId="0">'October 14'!$A$1:$S$293</definedName>
    <definedName name="_xlnm.Print_Area" localSheetId="4">'October 15'!$A$1:$S$292</definedName>
    <definedName name="_xlnm.Print_Area" localSheetId="8">'October 16'!$A$1:$S$292</definedName>
    <definedName name="_xlnm.Print_Area">#REF!</definedName>
  </definedNames>
  <calcPr calcId="171027"/>
</workbook>
</file>

<file path=xl/calcChain.xml><?xml version="1.0" encoding="utf-8"?>
<calcChain xmlns="http://schemas.openxmlformats.org/spreadsheetml/2006/main">
  <c r="R118" i="26" l="1"/>
  <c r="R90" i="26"/>
  <c r="R89" i="26"/>
  <c r="P79" i="26" l="1"/>
  <c r="R160" i="26" l="1"/>
  <c r="R109" i="26"/>
  <c r="R97" i="26"/>
  <c r="R80" i="26" l="1"/>
  <c r="P90" i="26"/>
  <c r="P56" i="26"/>
  <c r="J56" i="26"/>
  <c r="P176" i="26" l="1"/>
  <c r="P178" i="26" s="1"/>
  <c r="O176" i="26"/>
  <c r="Q277" i="26"/>
  <c r="P277" i="26"/>
  <c r="O277" i="26"/>
  <c r="N277" i="26"/>
  <c r="P265" i="26"/>
  <c r="N265" i="26"/>
  <c r="P253" i="26"/>
  <c r="N253" i="26"/>
  <c r="P239" i="26"/>
  <c r="N239" i="26"/>
  <c r="P238" i="26"/>
  <c r="N238" i="26"/>
  <c r="P237" i="26"/>
  <c r="N237" i="26"/>
  <c r="P236" i="26"/>
  <c r="N236" i="26"/>
  <c r="P235" i="26"/>
  <c r="N235" i="26"/>
  <c r="P234" i="26"/>
  <c r="N234" i="26"/>
  <c r="P233" i="26"/>
  <c r="N233" i="26"/>
  <c r="P232" i="26"/>
  <c r="N232" i="26"/>
  <c r="P216" i="26"/>
  <c r="P214" i="26"/>
  <c r="O214" i="26"/>
  <c r="P197" i="26"/>
  <c r="R177" i="26"/>
  <c r="O178" i="26"/>
  <c r="R168" i="26"/>
  <c r="R161" i="26"/>
  <c r="R154" i="26"/>
  <c r="R146" i="26"/>
  <c r="R145" i="26"/>
  <c r="R148" i="26" s="1"/>
  <c r="R142" i="26"/>
  <c r="R141" i="26"/>
  <c r="B122" i="26"/>
  <c r="B192" i="26" s="1"/>
  <c r="B292" i="26" s="1"/>
  <c r="P114" i="26"/>
  <c r="P113" i="26"/>
  <c r="P118" i="26" s="1"/>
  <c r="P111" i="26"/>
  <c r="P102" i="26"/>
  <c r="R152" i="26" s="1"/>
  <c r="P91" i="26"/>
  <c r="R93" i="26"/>
  <c r="P77" i="26"/>
  <c r="J75" i="26"/>
  <c r="R70" i="26"/>
  <c r="R169" i="26" s="1"/>
  <c r="N59" i="26"/>
  <c r="L59" i="26"/>
  <c r="H59" i="26"/>
  <c r="H72" i="26" s="1"/>
  <c r="F59" i="26"/>
  <c r="F72" i="26" s="1"/>
  <c r="R57" i="26"/>
  <c r="P215" i="26"/>
  <c r="J59" i="26"/>
  <c r="N47" i="26"/>
  <c r="N46" i="26"/>
  <c r="R40" i="26"/>
  <c r="H30" i="26"/>
  <c r="F30" i="26"/>
  <c r="D30" i="26"/>
  <c r="H29" i="26"/>
  <c r="F29" i="26"/>
  <c r="D29" i="26"/>
  <c r="R29" i="26" s="1"/>
  <c r="R34" i="26" s="1"/>
  <c r="P201" i="26" s="1"/>
  <c r="R28" i="26"/>
  <c r="O175" i="26" s="1"/>
  <c r="O179" i="26" l="1"/>
  <c r="R162" i="26"/>
  <c r="R129" i="26"/>
  <c r="Q253" i="26"/>
  <c r="O253" i="26"/>
  <c r="P213" i="26"/>
  <c r="Q265" i="26"/>
  <c r="P279" i="26"/>
  <c r="P241" i="26"/>
  <c r="N241" i="26"/>
  <c r="N279" i="26"/>
  <c r="O213" i="26"/>
  <c r="O265" i="26"/>
  <c r="R178" i="26"/>
  <c r="R110" i="26"/>
  <c r="R119" i="26" s="1"/>
  <c r="P218" i="26"/>
  <c r="P219" i="26" s="1"/>
  <c r="R153" i="26"/>
  <c r="R155" i="26" s="1"/>
  <c r="P280" i="26"/>
  <c r="P59" i="26"/>
  <c r="P93" i="26"/>
  <c r="P119" i="26" s="1"/>
  <c r="R176" i="26"/>
  <c r="P208" i="26"/>
  <c r="R30" i="26"/>
  <c r="R56" i="26"/>
  <c r="R59" i="26" s="1"/>
  <c r="R126" i="26"/>
  <c r="R128" i="26" s="1"/>
  <c r="R137" i="26" s="1"/>
  <c r="O255" i="25"/>
  <c r="P281" i="26" l="1"/>
  <c r="Q241" i="26"/>
  <c r="R72" i="26"/>
  <c r="R167" i="26"/>
  <c r="R170" i="26" s="1"/>
  <c r="O241" i="26"/>
  <c r="P79" i="25"/>
  <c r="P282" i="26" l="1"/>
  <c r="R171" i="26"/>
  <c r="R34" i="25"/>
  <c r="R185" i="25" l="1"/>
  <c r="R158" i="25"/>
  <c r="R108" i="25"/>
  <c r="R96" i="25"/>
  <c r="R80" i="25"/>
  <c r="P56" i="25"/>
  <c r="J56" i="25"/>
  <c r="P174" i="25" l="1"/>
  <c r="O174" i="25"/>
  <c r="Q275" i="25"/>
  <c r="P275" i="25"/>
  <c r="O275" i="25"/>
  <c r="N275" i="25"/>
  <c r="P263" i="25"/>
  <c r="N263" i="25"/>
  <c r="Q261" i="25"/>
  <c r="O261" i="25"/>
  <c r="Q260" i="25"/>
  <c r="O260" i="25"/>
  <c r="Q259" i="25"/>
  <c r="O259" i="25"/>
  <c r="Q258" i="25"/>
  <c r="O258" i="25"/>
  <c r="Q257" i="25"/>
  <c r="O257" i="25"/>
  <c r="Q256" i="25"/>
  <c r="O256" i="25"/>
  <c r="O263" i="25" s="1"/>
  <c r="Q255" i="25"/>
  <c r="Q263" i="25" s="1"/>
  <c r="P251" i="25"/>
  <c r="Q249" i="25" s="1"/>
  <c r="N251" i="25"/>
  <c r="O249" i="25" s="1"/>
  <c r="O246" i="25"/>
  <c r="O244" i="25"/>
  <c r="O242" i="25"/>
  <c r="P237" i="25"/>
  <c r="N237" i="25"/>
  <c r="P236" i="25"/>
  <c r="N236" i="25"/>
  <c r="P235" i="25"/>
  <c r="N235" i="25"/>
  <c r="P234" i="25"/>
  <c r="N234" i="25"/>
  <c r="P233" i="25"/>
  <c r="N233" i="25"/>
  <c r="P232" i="25"/>
  <c r="N232" i="25"/>
  <c r="P231" i="25"/>
  <c r="N231" i="25"/>
  <c r="P230" i="25"/>
  <c r="N230" i="25"/>
  <c r="P214" i="25"/>
  <c r="P213" i="25"/>
  <c r="P212" i="25"/>
  <c r="O212" i="25"/>
  <c r="P211" i="25"/>
  <c r="O211" i="25"/>
  <c r="P195" i="25"/>
  <c r="R175" i="25"/>
  <c r="P176" i="25"/>
  <c r="O176" i="25"/>
  <c r="R166" i="25"/>
  <c r="R159" i="25"/>
  <c r="R154" i="25"/>
  <c r="R152" i="25"/>
  <c r="R144" i="25"/>
  <c r="R143" i="25"/>
  <c r="R146" i="25" s="1"/>
  <c r="R139" i="25"/>
  <c r="R140" i="25" s="1"/>
  <c r="B121" i="25"/>
  <c r="B190" i="25" s="1"/>
  <c r="B290" i="25" s="1"/>
  <c r="P113" i="25"/>
  <c r="P112" i="25"/>
  <c r="P117" i="25" s="1"/>
  <c r="P110" i="25"/>
  <c r="P101" i="25"/>
  <c r="R150" i="25" s="1"/>
  <c r="P90" i="25"/>
  <c r="R89" i="25"/>
  <c r="R92" i="25" s="1"/>
  <c r="P77" i="25"/>
  <c r="J75" i="25"/>
  <c r="R70" i="25"/>
  <c r="R167" i="25" s="1"/>
  <c r="N59" i="25"/>
  <c r="L59" i="25"/>
  <c r="H59" i="25"/>
  <c r="H72" i="25" s="1"/>
  <c r="F59" i="25"/>
  <c r="F72" i="25" s="1"/>
  <c r="R57" i="25"/>
  <c r="P59" i="25"/>
  <c r="N47" i="25"/>
  <c r="N46" i="25"/>
  <c r="R40" i="25"/>
  <c r="H30" i="25"/>
  <c r="F30" i="25"/>
  <c r="D30" i="25"/>
  <c r="R41" i="25" s="1"/>
  <c r="H29" i="25"/>
  <c r="F29" i="25"/>
  <c r="R29" i="25" s="1"/>
  <c r="P198" i="25" s="1"/>
  <c r="P199" i="25" s="1"/>
  <c r="D29" i="25"/>
  <c r="R28" i="25"/>
  <c r="N277" i="25" l="1"/>
  <c r="O248" i="25"/>
  <c r="O243" i="25"/>
  <c r="O251" i="25" s="1"/>
  <c r="O245" i="25"/>
  <c r="O247" i="25"/>
  <c r="R160" i="25"/>
  <c r="R128" i="25"/>
  <c r="R181" i="25"/>
  <c r="R109" i="25"/>
  <c r="R117" i="25" s="1"/>
  <c r="R118" i="25" s="1"/>
  <c r="P200" i="25"/>
  <c r="R183" i="25"/>
  <c r="P278" i="25"/>
  <c r="O173" i="25"/>
  <c r="O177" i="25" s="1"/>
  <c r="R125" i="25"/>
  <c r="R127" i="25" s="1"/>
  <c r="R135" i="25" s="1"/>
  <c r="P282" i="25" s="1"/>
  <c r="R30" i="25"/>
  <c r="P206" i="25"/>
  <c r="P89" i="25"/>
  <c r="P92" i="25" s="1"/>
  <c r="P118" i="25" s="1"/>
  <c r="J59" i="25"/>
  <c r="R56" i="25"/>
  <c r="R59" i="25" s="1"/>
  <c r="P216" i="25"/>
  <c r="P217" i="25" s="1"/>
  <c r="R151" i="25"/>
  <c r="R153" i="25" s="1"/>
  <c r="R176" i="25"/>
  <c r="N239" i="25"/>
  <c r="O230" i="25" s="1"/>
  <c r="P239" i="25"/>
  <c r="Q231" i="25" s="1"/>
  <c r="P277" i="25"/>
  <c r="P279" i="25" s="1"/>
  <c r="R174" i="25"/>
  <c r="Q242" i="25"/>
  <c r="Q243" i="25"/>
  <c r="Q244" i="25"/>
  <c r="Q245" i="25"/>
  <c r="Q246" i="25"/>
  <c r="Q247" i="25"/>
  <c r="Q248" i="25"/>
  <c r="P282" i="24"/>
  <c r="Q236" i="25" l="1"/>
  <c r="Q232" i="25"/>
  <c r="Q234" i="25"/>
  <c r="Q230" i="25"/>
  <c r="Q251" i="25"/>
  <c r="O237" i="25"/>
  <c r="O235" i="25"/>
  <c r="O233" i="25"/>
  <c r="O231" i="25"/>
  <c r="Q237" i="25"/>
  <c r="Q235" i="25"/>
  <c r="Q233" i="25"/>
  <c r="R165" i="25"/>
  <c r="R168" i="25" s="1"/>
  <c r="R72" i="25"/>
  <c r="O236" i="25"/>
  <c r="O234" i="25"/>
  <c r="O232" i="25"/>
  <c r="P79" i="24"/>
  <c r="Q239" i="25" l="1"/>
  <c r="O239" i="25"/>
  <c r="P280" i="25"/>
  <c r="R169" i="25"/>
  <c r="R185" i="24"/>
  <c r="R158" i="24" l="1"/>
  <c r="R108" i="24"/>
  <c r="R96" i="24"/>
  <c r="R80" i="24"/>
  <c r="J56" i="24"/>
  <c r="P56" i="24"/>
  <c r="P174" i="24" l="1"/>
  <c r="O174" i="24"/>
  <c r="Q275" i="24"/>
  <c r="P275" i="24"/>
  <c r="O275" i="24"/>
  <c r="N275" i="24"/>
  <c r="P263" i="24"/>
  <c r="N263" i="24"/>
  <c r="O261" i="24"/>
  <c r="O260" i="24"/>
  <c r="O259" i="24"/>
  <c r="O258" i="24"/>
  <c r="O257" i="24"/>
  <c r="O256" i="24"/>
  <c r="O263" i="24" s="1"/>
  <c r="P251" i="24"/>
  <c r="Q249" i="24" s="1"/>
  <c r="N251" i="24"/>
  <c r="O249" i="24" s="1"/>
  <c r="O246" i="24"/>
  <c r="O244" i="24"/>
  <c r="O242" i="24"/>
  <c r="P237" i="24"/>
  <c r="N237" i="24"/>
  <c r="P236" i="24"/>
  <c r="N236" i="24"/>
  <c r="P235" i="24"/>
  <c r="N235" i="24"/>
  <c r="P234" i="24"/>
  <c r="N234" i="24"/>
  <c r="P233" i="24"/>
  <c r="N233" i="24"/>
  <c r="P232" i="24"/>
  <c r="N232" i="24"/>
  <c r="P231" i="24"/>
  <c r="N231" i="24"/>
  <c r="P230" i="24"/>
  <c r="N230" i="24"/>
  <c r="P214" i="24"/>
  <c r="P213" i="24"/>
  <c r="P212" i="24"/>
  <c r="O212" i="24"/>
  <c r="O211" i="24"/>
  <c r="P195" i="24"/>
  <c r="R175" i="24"/>
  <c r="P176" i="24"/>
  <c r="O176" i="24"/>
  <c r="R166" i="24"/>
  <c r="R159" i="24"/>
  <c r="R160" i="24"/>
  <c r="R154" i="24"/>
  <c r="R152" i="24"/>
  <c r="R144" i="24"/>
  <c r="R143" i="24"/>
  <c r="R146" i="24" s="1"/>
  <c r="R139" i="24"/>
  <c r="R140" i="24" s="1"/>
  <c r="B121" i="24"/>
  <c r="B190" i="24" s="1"/>
  <c r="B290" i="24" s="1"/>
  <c r="P113" i="24"/>
  <c r="P112" i="24"/>
  <c r="P117" i="24" s="1"/>
  <c r="P110" i="24"/>
  <c r="P101" i="24"/>
  <c r="R150" i="24" s="1"/>
  <c r="P90" i="24"/>
  <c r="R89" i="24"/>
  <c r="R92" i="24" s="1"/>
  <c r="P77" i="24"/>
  <c r="J75" i="24"/>
  <c r="R70" i="24"/>
  <c r="R167" i="24" s="1"/>
  <c r="N59" i="24"/>
  <c r="L59" i="24"/>
  <c r="H59" i="24"/>
  <c r="H72" i="24" s="1"/>
  <c r="F59" i="24"/>
  <c r="F72" i="24" s="1"/>
  <c r="R57" i="24"/>
  <c r="P59" i="24"/>
  <c r="N47" i="24"/>
  <c r="N46" i="24"/>
  <c r="R40" i="24"/>
  <c r="H30" i="24"/>
  <c r="F30" i="24"/>
  <c r="D30" i="24"/>
  <c r="R41" i="24" s="1"/>
  <c r="H29" i="24"/>
  <c r="F29" i="24"/>
  <c r="R29" i="24" s="1"/>
  <c r="R34" i="24" s="1"/>
  <c r="P198" i="24" s="1"/>
  <c r="P199" i="24" s="1"/>
  <c r="D29" i="24"/>
  <c r="R28" i="24"/>
  <c r="P277" i="24" l="1"/>
  <c r="Q259" i="24"/>
  <c r="P211" i="24"/>
  <c r="Q256" i="24"/>
  <c r="Q258" i="24"/>
  <c r="Q260" i="24"/>
  <c r="Q255" i="24"/>
  <c r="Q257" i="24"/>
  <c r="Q261" i="24"/>
  <c r="O248" i="24"/>
  <c r="N277" i="24"/>
  <c r="O243" i="24"/>
  <c r="O245" i="24"/>
  <c r="O247" i="24"/>
  <c r="R128" i="24"/>
  <c r="R181" i="24"/>
  <c r="R109" i="24"/>
  <c r="R117" i="24" s="1"/>
  <c r="R118" i="24" s="1"/>
  <c r="P200" i="24"/>
  <c r="R183" i="24"/>
  <c r="P278" i="24"/>
  <c r="O173" i="24"/>
  <c r="O177" i="24" s="1"/>
  <c r="R125" i="24"/>
  <c r="R127" i="24" s="1"/>
  <c r="R135" i="24" s="1"/>
  <c r="R30" i="24"/>
  <c r="P206" i="24"/>
  <c r="P89" i="24"/>
  <c r="P92" i="24" s="1"/>
  <c r="P118" i="24" s="1"/>
  <c r="J59" i="24"/>
  <c r="R56" i="24"/>
  <c r="R59" i="24" s="1"/>
  <c r="P216" i="24"/>
  <c r="P217" i="24" s="1"/>
  <c r="R151" i="24"/>
  <c r="R153" i="24" s="1"/>
  <c r="R176" i="24"/>
  <c r="N239" i="24"/>
  <c r="O230" i="24" s="1"/>
  <c r="P239" i="24"/>
  <c r="Q231" i="24" s="1"/>
  <c r="P279" i="24"/>
  <c r="R174" i="24"/>
  <c r="Q242" i="24"/>
  <c r="Q243" i="24"/>
  <c r="Q244" i="24"/>
  <c r="Q245" i="24"/>
  <c r="Q246" i="24"/>
  <c r="Q247" i="24"/>
  <c r="Q248" i="24"/>
  <c r="P79" i="23"/>
  <c r="Q263" i="24" l="1"/>
  <c r="Q234" i="24"/>
  <c r="Q230" i="24"/>
  <c r="Q236" i="24"/>
  <c r="Q232" i="24"/>
  <c r="O251" i="24"/>
  <c r="Q251" i="24"/>
  <c r="O237" i="24"/>
  <c r="O235" i="24"/>
  <c r="O233" i="24"/>
  <c r="O231" i="24"/>
  <c r="Q237" i="24"/>
  <c r="Q235" i="24"/>
  <c r="Q233" i="24"/>
  <c r="R165" i="24"/>
  <c r="R168" i="24" s="1"/>
  <c r="R72" i="24"/>
  <c r="O236" i="24"/>
  <c r="O234" i="24"/>
  <c r="O232" i="24"/>
  <c r="R158" i="23"/>
  <c r="R108" i="23"/>
  <c r="R96" i="23"/>
  <c r="R80" i="23"/>
  <c r="P56" i="23"/>
  <c r="J56" i="23"/>
  <c r="Q239" i="24" l="1"/>
  <c r="O239" i="24"/>
  <c r="P280" i="24"/>
  <c r="R169" i="24"/>
  <c r="P174" i="23"/>
  <c r="O174" i="23"/>
  <c r="Q275" i="23"/>
  <c r="P275" i="23"/>
  <c r="O275" i="23"/>
  <c r="N275" i="23"/>
  <c r="P263" i="23"/>
  <c r="N263" i="23"/>
  <c r="Q261" i="23"/>
  <c r="O261" i="23"/>
  <c r="Q260" i="23"/>
  <c r="O260" i="23"/>
  <c r="Q259" i="23"/>
  <c r="O259" i="23"/>
  <c r="Q258" i="23"/>
  <c r="O258" i="23"/>
  <c r="Q257" i="23"/>
  <c r="O257" i="23"/>
  <c r="Q256" i="23"/>
  <c r="O256" i="23"/>
  <c r="O263" i="23" s="1"/>
  <c r="Q255" i="23"/>
  <c r="Q263" i="23" s="1"/>
  <c r="P251" i="23"/>
  <c r="Q249" i="23" s="1"/>
  <c r="N251" i="23"/>
  <c r="O249" i="23"/>
  <c r="O248" i="23"/>
  <c r="O247" i="23"/>
  <c r="O246" i="23"/>
  <c r="O245" i="23"/>
  <c r="O244" i="23"/>
  <c r="Q243" i="23"/>
  <c r="O243" i="23"/>
  <c r="Q242" i="23"/>
  <c r="O242" i="23"/>
  <c r="P237" i="23"/>
  <c r="N237" i="23"/>
  <c r="P236" i="23"/>
  <c r="N236" i="23"/>
  <c r="P235" i="23"/>
  <c r="N235" i="23"/>
  <c r="P234" i="23"/>
  <c r="N234" i="23"/>
  <c r="P233" i="23"/>
  <c r="N233" i="23"/>
  <c r="P232" i="23"/>
  <c r="N232" i="23"/>
  <c r="P231" i="23"/>
  <c r="N231" i="23"/>
  <c r="P230" i="23"/>
  <c r="N230" i="23"/>
  <c r="P214" i="23"/>
  <c r="P212" i="23"/>
  <c r="O212" i="23"/>
  <c r="P211" i="23"/>
  <c r="O211" i="23"/>
  <c r="P195" i="23"/>
  <c r="R175" i="23"/>
  <c r="P176" i="23"/>
  <c r="O176" i="23"/>
  <c r="R176" i="23" s="1"/>
  <c r="R166" i="23"/>
  <c r="R159" i="23"/>
  <c r="R160" i="23"/>
  <c r="R154" i="23"/>
  <c r="R152" i="23"/>
  <c r="R144" i="23"/>
  <c r="R143" i="23"/>
  <c r="R146" i="23" s="1"/>
  <c r="R139" i="23"/>
  <c r="R140" i="23" s="1"/>
  <c r="B121" i="23"/>
  <c r="B190" i="23" s="1"/>
  <c r="B290" i="23" s="1"/>
  <c r="P113" i="23"/>
  <c r="P112" i="23"/>
  <c r="P110" i="23"/>
  <c r="P101" i="23"/>
  <c r="R150" i="23" s="1"/>
  <c r="P90" i="23"/>
  <c r="R89" i="23"/>
  <c r="R92" i="23" s="1"/>
  <c r="P77" i="23"/>
  <c r="J75" i="23"/>
  <c r="R70" i="23"/>
  <c r="R167" i="23" s="1"/>
  <c r="N59" i="23"/>
  <c r="L59" i="23"/>
  <c r="H59" i="23"/>
  <c r="H72" i="23" s="1"/>
  <c r="F59" i="23"/>
  <c r="F72" i="23" s="1"/>
  <c r="R57" i="23"/>
  <c r="P59" i="23"/>
  <c r="P206" i="23"/>
  <c r="N47" i="23"/>
  <c r="N46" i="23"/>
  <c r="R40" i="23"/>
  <c r="H30" i="23"/>
  <c r="F30" i="23"/>
  <c r="D30" i="23"/>
  <c r="R41" i="23" s="1"/>
  <c r="H29" i="23"/>
  <c r="F29" i="23"/>
  <c r="D29" i="23"/>
  <c r="R29" i="23" s="1"/>
  <c r="R34" i="23" s="1"/>
  <c r="P198" i="23" s="1"/>
  <c r="P199" i="23" s="1"/>
  <c r="R28" i="23"/>
  <c r="O173" i="23" s="1"/>
  <c r="P117" i="23" l="1"/>
  <c r="Q244" i="23"/>
  <c r="Q245" i="23"/>
  <c r="Q246" i="23"/>
  <c r="Q247" i="23"/>
  <c r="Q248" i="23"/>
  <c r="Q251" i="23"/>
  <c r="P277" i="23"/>
  <c r="O251" i="23"/>
  <c r="N277" i="23"/>
  <c r="O177" i="23"/>
  <c r="P216" i="23"/>
  <c r="P217" i="23" s="1"/>
  <c r="R151" i="23"/>
  <c r="R153" i="23" s="1"/>
  <c r="R185" i="23"/>
  <c r="R181" i="23"/>
  <c r="R109" i="23"/>
  <c r="R117" i="23" s="1"/>
  <c r="R118" i="23" s="1"/>
  <c r="P200" i="23"/>
  <c r="R183" i="23"/>
  <c r="P278" i="23"/>
  <c r="P279" i="23" s="1"/>
  <c r="R30" i="23"/>
  <c r="R56" i="23"/>
  <c r="R59" i="23" s="1"/>
  <c r="J59" i="23"/>
  <c r="R125" i="23"/>
  <c r="R128" i="23"/>
  <c r="P213" i="23"/>
  <c r="N239" i="23"/>
  <c r="O230" i="23" s="1"/>
  <c r="P239" i="23"/>
  <c r="Q230" i="23" s="1"/>
  <c r="P89" i="23"/>
  <c r="P92" i="23" s="1"/>
  <c r="R174" i="23"/>
  <c r="Q260" i="22"/>
  <c r="O260" i="22"/>
  <c r="P118" i="23" l="1"/>
  <c r="R127" i="23"/>
  <c r="R135" i="23" s="1"/>
  <c r="P282" i="23" s="1"/>
  <c r="R165" i="23"/>
  <c r="R168" i="23" s="1"/>
  <c r="R72" i="23"/>
  <c r="O237" i="23"/>
  <c r="O235" i="23"/>
  <c r="O233" i="23"/>
  <c r="O231" i="23"/>
  <c r="Q237" i="23"/>
  <c r="Q235" i="23"/>
  <c r="Q233" i="23"/>
  <c r="Q231" i="23"/>
  <c r="O236" i="23"/>
  <c r="O234" i="23"/>
  <c r="O232" i="23"/>
  <c r="Q236" i="23"/>
  <c r="Q234" i="23"/>
  <c r="Q232" i="23"/>
  <c r="R185" i="22"/>
  <c r="R158" i="22"/>
  <c r="R108" i="22"/>
  <c r="R96" i="22"/>
  <c r="R80" i="22"/>
  <c r="P79" i="22"/>
  <c r="J56" i="22"/>
  <c r="P56" i="22"/>
  <c r="Q239" i="23" l="1"/>
  <c r="O239" i="23"/>
  <c r="P280" i="23"/>
  <c r="R169" i="23"/>
  <c r="P174" i="22"/>
  <c r="O174" i="22"/>
  <c r="Q275" i="22"/>
  <c r="P275" i="22"/>
  <c r="O275" i="22"/>
  <c r="N275" i="22"/>
  <c r="P263" i="22"/>
  <c r="N263" i="22"/>
  <c r="Q261" i="22"/>
  <c r="O261" i="22"/>
  <c r="Q259" i="22"/>
  <c r="O259" i="22"/>
  <c r="Q258" i="22"/>
  <c r="O258" i="22"/>
  <c r="Q257" i="22"/>
  <c r="O257" i="22"/>
  <c r="Q256" i="22"/>
  <c r="O256" i="22"/>
  <c r="O263" i="22" s="1"/>
  <c r="Q255" i="22"/>
  <c r="Q263" i="22" s="1"/>
  <c r="P251" i="22"/>
  <c r="Q249" i="22" s="1"/>
  <c r="N251" i="22"/>
  <c r="O249" i="22"/>
  <c r="O248" i="22"/>
  <c r="Q247" i="22"/>
  <c r="O247" i="22"/>
  <c r="Q246" i="22"/>
  <c r="O246" i="22"/>
  <c r="Q245" i="22"/>
  <c r="O245" i="22"/>
  <c r="Q244" i="22"/>
  <c r="O244" i="22"/>
  <c r="Q243" i="22"/>
  <c r="O243" i="22"/>
  <c r="Q242" i="22"/>
  <c r="O242" i="22"/>
  <c r="P237" i="22"/>
  <c r="N237" i="22"/>
  <c r="P236" i="22"/>
  <c r="N236" i="22"/>
  <c r="P235" i="22"/>
  <c r="N235" i="22"/>
  <c r="P234" i="22"/>
  <c r="N234" i="22"/>
  <c r="P233" i="22"/>
  <c r="N233" i="22"/>
  <c r="P232" i="22"/>
  <c r="N232" i="22"/>
  <c r="P231" i="22"/>
  <c r="N231" i="22"/>
  <c r="P230" i="22"/>
  <c r="N230" i="22"/>
  <c r="P214" i="22"/>
  <c r="P212" i="22"/>
  <c r="O212" i="22"/>
  <c r="P211" i="22"/>
  <c r="O211" i="22"/>
  <c r="P195" i="22"/>
  <c r="R175" i="22"/>
  <c r="P176" i="22"/>
  <c r="O176" i="22"/>
  <c r="R176" i="22" s="1"/>
  <c r="R166" i="22"/>
  <c r="R159" i="22"/>
  <c r="R160" i="22"/>
  <c r="R154" i="22"/>
  <c r="R152" i="22"/>
  <c r="R144" i="22"/>
  <c r="R143" i="22"/>
  <c r="R146" i="22" s="1"/>
  <c r="R139" i="22"/>
  <c r="R140" i="22" s="1"/>
  <c r="B121" i="22"/>
  <c r="B190" i="22" s="1"/>
  <c r="B290" i="22" s="1"/>
  <c r="P113" i="22"/>
  <c r="P112" i="22"/>
  <c r="P117" i="22" s="1"/>
  <c r="P110" i="22"/>
  <c r="P101" i="22"/>
  <c r="R150" i="22" s="1"/>
  <c r="P90" i="22"/>
  <c r="R89" i="22"/>
  <c r="R92" i="22" s="1"/>
  <c r="P77" i="22"/>
  <c r="J75" i="22"/>
  <c r="R70" i="22"/>
  <c r="R167" i="22" s="1"/>
  <c r="N59" i="22"/>
  <c r="L59" i="22"/>
  <c r="H59" i="22"/>
  <c r="H72" i="22" s="1"/>
  <c r="F59" i="22"/>
  <c r="F72" i="22" s="1"/>
  <c r="R57" i="22"/>
  <c r="P59" i="22"/>
  <c r="P206" i="22"/>
  <c r="N47" i="22"/>
  <c r="N46" i="22"/>
  <c r="R40" i="22"/>
  <c r="H30" i="22"/>
  <c r="F30" i="22"/>
  <c r="D30" i="22"/>
  <c r="R41" i="22" s="1"/>
  <c r="H29" i="22"/>
  <c r="F29" i="22"/>
  <c r="D29" i="22"/>
  <c r="R29" i="22" s="1"/>
  <c r="R34" i="22" s="1"/>
  <c r="P198" i="22" s="1"/>
  <c r="P199" i="22" s="1"/>
  <c r="R28" i="22"/>
  <c r="O173" i="22" s="1"/>
  <c r="Q248" i="22" l="1"/>
  <c r="Q251" i="22" s="1"/>
  <c r="P277" i="22"/>
  <c r="N277" i="22"/>
  <c r="O251" i="22"/>
  <c r="O177" i="22"/>
  <c r="P216" i="22"/>
  <c r="P217" i="22" s="1"/>
  <c r="R151" i="22"/>
  <c r="R153" i="22" s="1"/>
  <c r="R181" i="22"/>
  <c r="R109" i="22"/>
  <c r="R117" i="22" s="1"/>
  <c r="R118" i="22" s="1"/>
  <c r="P200" i="22"/>
  <c r="R183" i="22"/>
  <c r="P278" i="22"/>
  <c r="P279" i="22" s="1"/>
  <c r="R30" i="22"/>
  <c r="R56" i="22"/>
  <c r="R59" i="22" s="1"/>
  <c r="J59" i="22"/>
  <c r="R125" i="22"/>
  <c r="R128" i="22"/>
  <c r="P213" i="22"/>
  <c r="N239" i="22"/>
  <c r="O230" i="22" s="1"/>
  <c r="P239" i="22"/>
  <c r="Q230" i="22" s="1"/>
  <c r="P89" i="22"/>
  <c r="P92" i="22" s="1"/>
  <c r="P118" i="22" s="1"/>
  <c r="R174" i="22"/>
  <c r="O259" i="21"/>
  <c r="Q259" i="21"/>
  <c r="R127" i="22" l="1"/>
  <c r="R135" i="22" s="1"/>
  <c r="P282" i="22" s="1"/>
  <c r="R165" i="22"/>
  <c r="R168" i="22" s="1"/>
  <c r="R72" i="22"/>
  <c r="O237" i="22"/>
  <c r="O235" i="22"/>
  <c r="O233" i="22"/>
  <c r="O231" i="22"/>
  <c r="Q237" i="22"/>
  <c r="Q235" i="22"/>
  <c r="Q233" i="22"/>
  <c r="Q231" i="22"/>
  <c r="O236" i="22"/>
  <c r="O234" i="22"/>
  <c r="O232" i="22"/>
  <c r="Q236" i="22"/>
  <c r="Q234" i="22"/>
  <c r="Q232" i="22"/>
  <c r="P79" i="21"/>
  <c r="Q239" i="22" l="1"/>
  <c r="O239" i="22"/>
  <c r="P280" i="22"/>
  <c r="R169" i="22"/>
  <c r="R158" i="21"/>
  <c r="R108" i="21"/>
  <c r="R96" i="21"/>
  <c r="R80" i="21"/>
  <c r="P56" i="21"/>
  <c r="J56" i="21"/>
  <c r="P217" i="21" l="1"/>
  <c r="P174" i="21"/>
  <c r="O174" i="21"/>
  <c r="O176" i="21" s="1"/>
  <c r="Q275" i="21"/>
  <c r="P275" i="21"/>
  <c r="O275" i="21"/>
  <c r="N275" i="21"/>
  <c r="P263" i="21"/>
  <c r="N263" i="21"/>
  <c r="Q261" i="21"/>
  <c r="O261" i="21"/>
  <c r="Q258" i="21"/>
  <c r="O258" i="21"/>
  <c r="Q257" i="21"/>
  <c r="O257" i="21"/>
  <c r="Q256" i="21"/>
  <c r="O256" i="21"/>
  <c r="O263" i="21" s="1"/>
  <c r="Q255" i="21"/>
  <c r="Q263" i="21" s="1"/>
  <c r="P251" i="21"/>
  <c r="Q249" i="21" s="1"/>
  <c r="N251" i="21"/>
  <c r="O249" i="21"/>
  <c r="O248" i="21"/>
  <c r="O247" i="21"/>
  <c r="O246" i="21"/>
  <c r="O245" i="21"/>
  <c r="O244" i="21"/>
  <c r="Q243" i="21"/>
  <c r="O243" i="21"/>
  <c r="Q242" i="21"/>
  <c r="O242" i="21"/>
  <c r="O251" i="21" s="1"/>
  <c r="P237" i="21"/>
  <c r="N237" i="21"/>
  <c r="P236" i="21"/>
  <c r="N236" i="21"/>
  <c r="P235" i="21"/>
  <c r="N235" i="21"/>
  <c r="P234" i="21"/>
  <c r="N234" i="21"/>
  <c r="P233" i="21"/>
  <c r="N233" i="21"/>
  <c r="P232" i="21"/>
  <c r="N232" i="21"/>
  <c r="P231" i="21"/>
  <c r="N231" i="21"/>
  <c r="P230" i="21"/>
  <c r="N230" i="21"/>
  <c r="P214" i="21"/>
  <c r="P213" i="21"/>
  <c r="P212" i="21"/>
  <c r="O212" i="21"/>
  <c r="P211" i="21"/>
  <c r="O211" i="21"/>
  <c r="P195" i="21"/>
  <c r="R175" i="21"/>
  <c r="P176" i="21"/>
  <c r="R166" i="21"/>
  <c r="R159" i="21"/>
  <c r="R154" i="21"/>
  <c r="R152" i="21"/>
  <c r="R144" i="21"/>
  <c r="R143" i="21"/>
  <c r="R146" i="21" s="1"/>
  <c r="R139" i="21"/>
  <c r="R140" i="21" s="1"/>
  <c r="B121" i="21"/>
  <c r="B190" i="21" s="1"/>
  <c r="B290" i="21" s="1"/>
  <c r="P113" i="21"/>
  <c r="P112" i="21"/>
  <c r="P117" i="21" s="1"/>
  <c r="P110" i="21"/>
  <c r="P101" i="21"/>
  <c r="R150" i="21" s="1"/>
  <c r="P90" i="21"/>
  <c r="R89" i="21"/>
  <c r="R92" i="21" s="1"/>
  <c r="P77" i="21"/>
  <c r="J75" i="21"/>
  <c r="R70" i="21"/>
  <c r="R167" i="21" s="1"/>
  <c r="P59" i="21"/>
  <c r="N59" i="21"/>
  <c r="L59" i="21"/>
  <c r="H59" i="21"/>
  <c r="H72" i="21" s="1"/>
  <c r="F59" i="21"/>
  <c r="F72" i="21" s="1"/>
  <c r="R57" i="21"/>
  <c r="P206" i="21"/>
  <c r="N47" i="21"/>
  <c r="N46" i="21"/>
  <c r="R40" i="21"/>
  <c r="H30" i="21"/>
  <c r="F30" i="21"/>
  <c r="D30" i="21"/>
  <c r="R30" i="21" s="1"/>
  <c r="H29" i="21"/>
  <c r="F29" i="21"/>
  <c r="D29" i="21"/>
  <c r="R29" i="21" s="1"/>
  <c r="R34" i="21" s="1"/>
  <c r="P198" i="21" s="1"/>
  <c r="P199" i="21" s="1"/>
  <c r="R28" i="21"/>
  <c r="O173" i="21" s="1"/>
  <c r="R160" i="21" l="1"/>
  <c r="Q244" i="21"/>
  <c r="Q245" i="21"/>
  <c r="Q246" i="21"/>
  <c r="Q247" i="21"/>
  <c r="Q248" i="21"/>
  <c r="Q251" i="21"/>
  <c r="P277" i="21"/>
  <c r="N277" i="21"/>
  <c r="O177" i="21"/>
  <c r="R185" i="21"/>
  <c r="R181" i="21"/>
  <c r="R109" i="21"/>
  <c r="R117" i="21" s="1"/>
  <c r="R118" i="21" s="1"/>
  <c r="P200" i="21"/>
  <c r="R183" i="21"/>
  <c r="P278" i="21"/>
  <c r="P279" i="21"/>
  <c r="P216" i="21"/>
  <c r="R151" i="21"/>
  <c r="R153" i="21" s="1"/>
  <c r="R176" i="21"/>
  <c r="R41" i="21"/>
  <c r="R56" i="21"/>
  <c r="R59" i="21" s="1"/>
  <c r="J59" i="21"/>
  <c r="R125" i="21"/>
  <c r="R128" i="21"/>
  <c r="N239" i="21"/>
  <c r="O231" i="21" s="1"/>
  <c r="P239" i="21"/>
  <c r="Q231" i="21" s="1"/>
  <c r="P89" i="21"/>
  <c r="P92" i="21" s="1"/>
  <c r="P118" i="21" s="1"/>
  <c r="R174" i="21"/>
  <c r="P79" i="20"/>
  <c r="O236" i="21" l="1"/>
  <c r="O234" i="21"/>
  <c r="O232" i="21"/>
  <c r="O230" i="21"/>
  <c r="Q236" i="21"/>
  <c r="Q234" i="21"/>
  <c r="Q232" i="21"/>
  <c r="Q230" i="21"/>
  <c r="R127" i="21"/>
  <c r="R135" i="21" s="1"/>
  <c r="P282" i="21" s="1"/>
  <c r="R165" i="21"/>
  <c r="R168" i="21" s="1"/>
  <c r="R72" i="21"/>
  <c r="O237" i="21"/>
  <c r="O235" i="21"/>
  <c r="O233" i="21"/>
  <c r="Q237" i="21"/>
  <c r="Q235" i="21"/>
  <c r="Q233" i="21"/>
  <c r="R158" i="20"/>
  <c r="R80" i="20"/>
  <c r="R108" i="20"/>
  <c r="R96" i="20"/>
  <c r="J56" i="20"/>
  <c r="Q239" i="21" l="1"/>
  <c r="O239" i="21"/>
  <c r="P280" i="21"/>
  <c r="R169" i="21"/>
  <c r="P174" i="20"/>
  <c r="O174" i="20"/>
  <c r="Q275" i="20"/>
  <c r="P275" i="20"/>
  <c r="O275" i="20"/>
  <c r="N275" i="20"/>
  <c r="O212" i="20" s="1"/>
  <c r="P263" i="20"/>
  <c r="Q261" i="20" s="1"/>
  <c r="N263" i="20"/>
  <c r="O211" i="20" s="1"/>
  <c r="O256" i="20"/>
  <c r="P251" i="20"/>
  <c r="Q248" i="20" s="1"/>
  <c r="N251" i="20"/>
  <c r="O249" i="20" s="1"/>
  <c r="Q249" i="20"/>
  <c r="Q243" i="20"/>
  <c r="P237" i="20"/>
  <c r="N237" i="20"/>
  <c r="P236" i="20"/>
  <c r="N236" i="20"/>
  <c r="P235" i="20"/>
  <c r="N235" i="20"/>
  <c r="P234" i="20"/>
  <c r="N234" i="20"/>
  <c r="P233" i="20"/>
  <c r="N233" i="20"/>
  <c r="P232" i="20"/>
  <c r="N232" i="20"/>
  <c r="P231" i="20"/>
  <c r="N231" i="20"/>
  <c r="P230" i="20"/>
  <c r="N230" i="20"/>
  <c r="N239" i="20" s="1"/>
  <c r="P214" i="20"/>
  <c r="P213" i="20"/>
  <c r="P212" i="20"/>
  <c r="P211" i="20"/>
  <c r="P195" i="20"/>
  <c r="R175" i="20"/>
  <c r="P176" i="20"/>
  <c r="O176" i="20"/>
  <c r="R166" i="20"/>
  <c r="R159" i="20"/>
  <c r="R154" i="20"/>
  <c r="R152" i="20"/>
  <c r="R144" i="20"/>
  <c r="R143" i="20"/>
  <c r="R146" i="20" s="1"/>
  <c r="P278" i="20" s="1"/>
  <c r="R140" i="20"/>
  <c r="R139" i="20"/>
  <c r="B121" i="20"/>
  <c r="B190" i="20" s="1"/>
  <c r="B290" i="20" s="1"/>
  <c r="P113" i="20"/>
  <c r="P112" i="20"/>
  <c r="P110" i="20"/>
  <c r="P101" i="20"/>
  <c r="R150" i="20" s="1"/>
  <c r="P90" i="20"/>
  <c r="R89" i="20"/>
  <c r="R92" i="20" s="1"/>
  <c r="P89" i="20"/>
  <c r="P92" i="20" s="1"/>
  <c r="P77" i="20"/>
  <c r="J75" i="20"/>
  <c r="R70" i="20"/>
  <c r="R167" i="20" s="1"/>
  <c r="P59" i="20"/>
  <c r="L59" i="20"/>
  <c r="H59" i="20"/>
  <c r="H72" i="20" s="1"/>
  <c r="F59" i="20"/>
  <c r="F72" i="20" s="1"/>
  <c r="R57" i="20"/>
  <c r="N59" i="20"/>
  <c r="J59" i="20"/>
  <c r="N47" i="20"/>
  <c r="N46" i="20"/>
  <c r="R40" i="20"/>
  <c r="H30" i="20"/>
  <c r="F30" i="20"/>
  <c r="D30" i="20"/>
  <c r="H29" i="20"/>
  <c r="F29" i="20"/>
  <c r="D29" i="20"/>
  <c r="R29" i="20" s="1"/>
  <c r="R34" i="20" s="1"/>
  <c r="P198" i="20" s="1"/>
  <c r="P199" i="20" s="1"/>
  <c r="R28" i="20"/>
  <c r="O173" i="20" s="1"/>
  <c r="R160" i="20" l="1"/>
  <c r="O257" i="20"/>
  <c r="O263" i="20" s="1"/>
  <c r="Q245" i="20"/>
  <c r="Q247" i="20"/>
  <c r="Q242" i="20"/>
  <c r="Q244" i="20"/>
  <c r="Q246" i="20"/>
  <c r="O244" i="20"/>
  <c r="O242" i="20"/>
  <c r="O246" i="20"/>
  <c r="O248" i="20"/>
  <c r="P239" i="20"/>
  <c r="Q251" i="20"/>
  <c r="O258" i="20"/>
  <c r="O243" i="20"/>
  <c r="O245" i="20"/>
  <c r="O247" i="20"/>
  <c r="O261" i="20"/>
  <c r="P117" i="20"/>
  <c r="P118" i="20" s="1"/>
  <c r="P206" i="20"/>
  <c r="P277" i="20"/>
  <c r="P279" i="20" s="1"/>
  <c r="R176" i="20"/>
  <c r="P200" i="20"/>
  <c r="R183" i="20"/>
  <c r="R185" i="20"/>
  <c r="R181" i="20"/>
  <c r="R109" i="20"/>
  <c r="R117" i="20" s="1"/>
  <c r="R118" i="20" s="1"/>
  <c r="Q237" i="20"/>
  <c r="Q236" i="20"/>
  <c r="Q235" i="20"/>
  <c r="Q234" i="20"/>
  <c r="Q233" i="20"/>
  <c r="Q232" i="20"/>
  <c r="Q231" i="20"/>
  <c r="Q230" i="20"/>
  <c r="O177" i="20"/>
  <c r="R128" i="20"/>
  <c r="R30" i="20"/>
  <c r="R41" i="20"/>
  <c r="P216" i="20"/>
  <c r="P217" i="20" s="1"/>
  <c r="R151" i="20"/>
  <c r="R153" i="20" s="1"/>
  <c r="O237" i="20"/>
  <c r="O236" i="20"/>
  <c r="O235" i="20"/>
  <c r="O234" i="20"/>
  <c r="O233" i="20"/>
  <c r="O232" i="20"/>
  <c r="O231" i="20"/>
  <c r="O230" i="20"/>
  <c r="R174" i="20"/>
  <c r="N277" i="20"/>
  <c r="R56" i="20"/>
  <c r="R59" i="20" s="1"/>
  <c r="R125" i="20"/>
  <c r="R127" i="20" s="1"/>
  <c r="R135" i="20" s="1"/>
  <c r="P282" i="20" s="1"/>
  <c r="Q255" i="20"/>
  <c r="Q256" i="20"/>
  <c r="Q257" i="20"/>
  <c r="Q258" i="20"/>
  <c r="R143" i="19"/>
  <c r="R117" i="19"/>
  <c r="P79" i="19"/>
  <c r="R34" i="19"/>
  <c r="O251" i="20" l="1"/>
  <c r="Q263" i="20"/>
  <c r="R72" i="20"/>
  <c r="R165" i="20"/>
  <c r="R168" i="20" s="1"/>
  <c r="O239" i="20"/>
  <c r="Q239" i="20"/>
  <c r="R158" i="19"/>
  <c r="R80" i="19"/>
  <c r="R108" i="19"/>
  <c r="R96" i="19"/>
  <c r="N56" i="19"/>
  <c r="J56" i="19"/>
  <c r="P280" i="20" l="1"/>
  <c r="R169" i="20"/>
  <c r="Q275" i="19"/>
  <c r="P275" i="19"/>
  <c r="O275" i="19"/>
  <c r="N275" i="19"/>
  <c r="P263" i="19"/>
  <c r="Q261" i="19" s="1"/>
  <c r="N263" i="19"/>
  <c r="O211" i="19" s="1"/>
  <c r="O261" i="19"/>
  <c r="O258" i="19"/>
  <c r="O257" i="19"/>
  <c r="O256" i="19"/>
  <c r="O263" i="19" s="1"/>
  <c r="P251" i="19"/>
  <c r="Q249" i="19" s="1"/>
  <c r="N251" i="19"/>
  <c r="O249" i="19" s="1"/>
  <c r="O248" i="19"/>
  <c r="O246" i="19"/>
  <c r="O244" i="19"/>
  <c r="O243" i="19"/>
  <c r="O242" i="19"/>
  <c r="P237" i="19"/>
  <c r="N237" i="19"/>
  <c r="P236" i="19"/>
  <c r="N236" i="19"/>
  <c r="P235" i="19"/>
  <c r="N235" i="19"/>
  <c r="P234" i="19"/>
  <c r="N234" i="19"/>
  <c r="P233" i="19"/>
  <c r="N233" i="19"/>
  <c r="P232" i="19"/>
  <c r="N232" i="19"/>
  <c r="P231" i="19"/>
  <c r="N231" i="19"/>
  <c r="P230" i="19"/>
  <c r="N230" i="19"/>
  <c r="P214" i="19"/>
  <c r="P212" i="19"/>
  <c r="O212" i="19"/>
  <c r="P211" i="19"/>
  <c r="P195" i="19"/>
  <c r="R175" i="19"/>
  <c r="R166" i="19"/>
  <c r="R159" i="19"/>
  <c r="R154" i="19"/>
  <c r="R152" i="19"/>
  <c r="R144" i="19"/>
  <c r="R139" i="19"/>
  <c r="R140" i="19" s="1"/>
  <c r="B121" i="19"/>
  <c r="B190" i="19" s="1"/>
  <c r="B291" i="19" s="1"/>
  <c r="P113" i="19"/>
  <c r="P112" i="19"/>
  <c r="P110" i="19"/>
  <c r="P101" i="19"/>
  <c r="R150" i="19" s="1"/>
  <c r="P90" i="19"/>
  <c r="R89" i="19"/>
  <c r="R92" i="19" s="1"/>
  <c r="P77" i="19"/>
  <c r="J75" i="19"/>
  <c r="R70" i="19"/>
  <c r="R167" i="19" s="1"/>
  <c r="N59" i="19"/>
  <c r="H59" i="19"/>
  <c r="H72" i="19" s="1"/>
  <c r="F59" i="19"/>
  <c r="F72" i="19" s="1"/>
  <c r="R57" i="19"/>
  <c r="P59" i="19"/>
  <c r="L59" i="19"/>
  <c r="P206" i="19"/>
  <c r="N47" i="19"/>
  <c r="N46" i="19"/>
  <c r="R40" i="19"/>
  <c r="H30" i="19"/>
  <c r="F30" i="19"/>
  <c r="D30" i="19"/>
  <c r="H29" i="19"/>
  <c r="F29" i="19"/>
  <c r="D29" i="19"/>
  <c r="R28" i="19"/>
  <c r="O173" i="19" s="1"/>
  <c r="O245" i="19" l="1"/>
  <c r="O247" i="19"/>
  <c r="J59" i="19"/>
  <c r="R125" i="19"/>
  <c r="R29" i="19"/>
  <c r="P198" i="19" s="1"/>
  <c r="P199" i="19" s="1"/>
  <c r="P117" i="19"/>
  <c r="P213" i="19"/>
  <c r="O251" i="19"/>
  <c r="Q255" i="19"/>
  <c r="Q256" i="19"/>
  <c r="Q257" i="19"/>
  <c r="Q258" i="19"/>
  <c r="N277" i="19"/>
  <c r="R30" i="19"/>
  <c r="R128" i="19"/>
  <c r="R127" i="19" s="1"/>
  <c r="R135" i="19" s="1"/>
  <c r="R41" i="19"/>
  <c r="R185" i="19"/>
  <c r="R181" i="19"/>
  <c r="R109" i="19"/>
  <c r="R118" i="19" s="1"/>
  <c r="P200" i="19"/>
  <c r="R183" i="19"/>
  <c r="P216" i="19"/>
  <c r="R151" i="19"/>
  <c r="R153" i="19" s="1"/>
  <c r="R56" i="19"/>
  <c r="R59" i="19" s="1"/>
  <c r="N239" i="19"/>
  <c r="O231" i="19" s="1"/>
  <c r="P239" i="19"/>
  <c r="Q231" i="19" s="1"/>
  <c r="P277" i="19"/>
  <c r="P89" i="19"/>
  <c r="P92" i="19" s="1"/>
  <c r="Q242" i="19"/>
  <c r="Q243" i="19"/>
  <c r="Q244" i="19"/>
  <c r="Q245" i="19"/>
  <c r="Q246" i="19"/>
  <c r="Q247" i="19"/>
  <c r="Q248" i="19"/>
  <c r="P118" i="19" l="1"/>
  <c r="O230" i="19"/>
  <c r="O234" i="19"/>
  <c r="Q263" i="19"/>
  <c r="O236" i="19"/>
  <c r="O232" i="19"/>
  <c r="P282" i="19"/>
  <c r="Q251" i="19"/>
  <c r="R165" i="19"/>
  <c r="R168" i="19" s="1"/>
  <c r="R72" i="19"/>
  <c r="Q236" i="19"/>
  <c r="Q234" i="19"/>
  <c r="Q232" i="19"/>
  <c r="Q230" i="19"/>
  <c r="Q237" i="19"/>
  <c r="Q235" i="19"/>
  <c r="Q233" i="19"/>
  <c r="O237" i="19"/>
  <c r="O235" i="19"/>
  <c r="O233" i="19"/>
  <c r="R108" i="18"/>
  <c r="R96" i="18"/>
  <c r="R80" i="18"/>
  <c r="P113" i="18"/>
  <c r="L56" i="18"/>
  <c r="J56" i="18"/>
  <c r="P79" i="18" s="1"/>
  <c r="P56" i="18"/>
  <c r="O239" i="19" l="1"/>
  <c r="Q239" i="19"/>
  <c r="P280" i="19"/>
  <c r="R169" i="19"/>
  <c r="Q275" i="18"/>
  <c r="P275" i="18"/>
  <c r="O275" i="18"/>
  <c r="N275" i="18"/>
  <c r="P263" i="18"/>
  <c r="Q261" i="18" s="1"/>
  <c r="N263" i="18"/>
  <c r="O261" i="18"/>
  <c r="O258" i="18"/>
  <c r="O257" i="18"/>
  <c r="O256" i="18"/>
  <c r="O263" i="18" s="1"/>
  <c r="P251" i="18"/>
  <c r="Q249" i="18" s="1"/>
  <c r="N251" i="18"/>
  <c r="O249" i="18"/>
  <c r="O248" i="18"/>
  <c r="O247" i="18"/>
  <c r="O246" i="18"/>
  <c r="O245" i="18"/>
  <c r="O244" i="18"/>
  <c r="O243" i="18"/>
  <c r="O242" i="18"/>
  <c r="P237" i="18"/>
  <c r="N237" i="18"/>
  <c r="P236" i="18"/>
  <c r="N236" i="18"/>
  <c r="P235" i="18"/>
  <c r="N235" i="18"/>
  <c r="P234" i="18"/>
  <c r="N234" i="18"/>
  <c r="P233" i="18"/>
  <c r="N233" i="18"/>
  <c r="P232" i="18"/>
  <c r="N232" i="18"/>
  <c r="P231" i="18"/>
  <c r="N231" i="18"/>
  <c r="P230" i="18"/>
  <c r="N230" i="18"/>
  <c r="P214" i="18"/>
  <c r="P212" i="18"/>
  <c r="O212" i="18"/>
  <c r="O211" i="18"/>
  <c r="P195" i="18"/>
  <c r="R175" i="18"/>
  <c r="O173" i="18"/>
  <c r="R166" i="18"/>
  <c r="R159" i="18"/>
  <c r="R154" i="18"/>
  <c r="R152" i="18"/>
  <c r="R144" i="18"/>
  <c r="R139" i="18"/>
  <c r="R140" i="18" s="1"/>
  <c r="B121" i="18"/>
  <c r="B190" i="18" s="1"/>
  <c r="B291" i="18" s="1"/>
  <c r="P112" i="18"/>
  <c r="P117" i="18" s="1"/>
  <c r="P110" i="18"/>
  <c r="P101" i="18"/>
  <c r="R150" i="18" s="1"/>
  <c r="P90" i="18"/>
  <c r="R89" i="18"/>
  <c r="R92" i="18" s="1"/>
  <c r="P77" i="18"/>
  <c r="J75" i="18"/>
  <c r="R70" i="18"/>
  <c r="R167" i="18" s="1"/>
  <c r="P59" i="18"/>
  <c r="H59" i="18"/>
  <c r="H72" i="18" s="1"/>
  <c r="F59" i="18"/>
  <c r="F72" i="18" s="1"/>
  <c r="R57" i="18"/>
  <c r="P213" i="18"/>
  <c r="N59" i="18"/>
  <c r="P206" i="18"/>
  <c r="N47" i="18"/>
  <c r="N46" i="18"/>
  <c r="R40" i="18"/>
  <c r="H30" i="18"/>
  <c r="F30" i="18"/>
  <c r="D30" i="18"/>
  <c r="H29" i="18"/>
  <c r="F29" i="18"/>
  <c r="D29" i="18"/>
  <c r="R29" i="18" s="1"/>
  <c r="R34" i="18" s="1"/>
  <c r="P198" i="18" s="1"/>
  <c r="P199" i="18" s="1"/>
  <c r="R28" i="18"/>
  <c r="R125" i="18" s="1"/>
  <c r="P211" i="18" l="1"/>
  <c r="Q255" i="18"/>
  <c r="Q256" i="18"/>
  <c r="Q257" i="18"/>
  <c r="Q258" i="18"/>
  <c r="O251" i="18"/>
  <c r="N277" i="18"/>
  <c r="P89" i="18"/>
  <c r="P92" i="18" s="1"/>
  <c r="P118" i="18" s="1"/>
  <c r="R30" i="18"/>
  <c r="R128" i="18"/>
  <c r="R127" i="18" s="1"/>
  <c r="R135" i="18" s="1"/>
  <c r="R185" i="18"/>
  <c r="R181" i="18"/>
  <c r="P200" i="18"/>
  <c r="R183" i="18"/>
  <c r="R109" i="18"/>
  <c r="R117" i="18" s="1"/>
  <c r="R118" i="18" s="1"/>
  <c r="R41" i="18"/>
  <c r="L59" i="18"/>
  <c r="P216" i="18"/>
  <c r="R151" i="18"/>
  <c r="R153" i="18" s="1"/>
  <c r="N239" i="18"/>
  <c r="O231" i="18" s="1"/>
  <c r="P239" i="18"/>
  <c r="Q231" i="18" s="1"/>
  <c r="P277" i="18"/>
  <c r="R56" i="18"/>
  <c r="R59" i="18" s="1"/>
  <c r="J59" i="18"/>
  <c r="Q242" i="18"/>
  <c r="Q243" i="18"/>
  <c r="Q244" i="18"/>
  <c r="Q245" i="18"/>
  <c r="Q246" i="18"/>
  <c r="Q247" i="18"/>
  <c r="Q248" i="18"/>
  <c r="Q263" i="18" l="1"/>
  <c r="P282" i="18"/>
  <c r="Q236" i="18"/>
  <c r="Q232" i="18"/>
  <c r="Q234" i="18"/>
  <c r="Q230" i="18"/>
  <c r="Q251" i="18"/>
  <c r="O236" i="18"/>
  <c r="O234" i="18"/>
  <c r="O232" i="18"/>
  <c r="O230" i="18"/>
  <c r="R165" i="18"/>
  <c r="R168" i="18" s="1"/>
  <c r="R72" i="18"/>
  <c r="Q237" i="18"/>
  <c r="Q235" i="18"/>
  <c r="Q233" i="18"/>
  <c r="O237" i="18"/>
  <c r="O235" i="18"/>
  <c r="O233" i="18"/>
  <c r="Q239" i="18" l="1"/>
  <c r="P280" i="18"/>
  <c r="R169" i="18"/>
  <c r="O239" i="18"/>
  <c r="R80" i="17"/>
  <c r="R108" i="17"/>
  <c r="R96" i="17"/>
  <c r="P77" i="17"/>
  <c r="L56" i="17"/>
  <c r="N56" i="17"/>
  <c r="J56" i="17"/>
  <c r="P56" i="17"/>
  <c r="P79" i="17" l="1"/>
  <c r="Q275" i="17" l="1"/>
  <c r="P275" i="17"/>
  <c r="O275" i="17"/>
  <c r="N275" i="17"/>
  <c r="O212" i="17" s="1"/>
  <c r="P263" i="17"/>
  <c r="Q261" i="17" s="1"/>
  <c r="N263" i="17"/>
  <c r="Q258" i="17"/>
  <c r="O258" i="17"/>
  <c r="Q257" i="17"/>
  <c r="O257" i="17"/>
  <c r="Q256" i="17"/>
  <c r="O256" i="17"/>
  <c r="Q255" i="17"/>
  <c r="Q263" i="17" s="1"/>
  <c r="P251" i="17"/>
  <c r="Q249" i="17" s="1"/>
  <c r="N251" i="17"/>
  <c r="O249" i="17" s="1"/>
  <c r="O248" i="17"/>
  <c r="O246" i="17"/>
  <c r="O244" i="17"/>
  <c r="O242" i="17"/>
  <c r="P237" i="17"/>
  <c r="N237" i="17"/>
  <c r="P236" i="17"/>
  <c r="N236" i="17"/>
  <c r="P235" i="17"/>
  <c r="N235" i="17"/>
  <c r="P234" i="17"/>
  <c r="N234" i="17"/>
  <c r="P233" i="17"/>
  <c r="N233" i="17"/>
  <c r="P232" i="17"/>
  <c r="N232" i="17"/>
  <c r="P231" i="17"/>
  <c r="N231" i="17"/>
  <c r="P230" i="17"/>
  <c r="N230" i="17"/>
  <c r="P214" i="17"/>
  <c r="P213" i="17"/>
  <c r="P212" i="17"/>
  <c r="P211" i="17"/>
  <c r="P195" i="17"/>
  <c r="R175" i="17"/>
  <c r="R166" i="17"/>
  <c r="R159" i="17"/>
  <c r="R154" i="17"/>
  <c r="R152" i="17"/>
  <c r="R139" i="17"/>
  <c r="R140" i="17" s="1"/>
  <c r="B121" i="17"/>
  <c r="B190" i="17" s="1"/>
  <c r="B291" i="17" s="1"/>
  <c r="P112" i="17"/>
  <c r="P117" i="17" s="1"/>
  <c r="P110" i="17"/>
  <c r="P101" i="17"/>
  <c r="R150" i="17" s="1"/>
  <c r="P90" i="17"/>
  <c r="R89" i="17"/>
  <c r="R92" i="17" s="1"/>
  <c r="R144" i="17"/>
  <c r="J75" i="17"/>
  <c r="R70" i="17"/>
  <c r="R167" i="17" s="1"/>
  <c r="P59" i="17"/>
  <c r="N59" i="17"/>
  <c r="J59" i="17"/>
  <c r="H59" i="17"/>
  <c r="H72" i="17" s="1"/>
  <c r="F59" i="17"/>
  <c r="F72" i="17" s="1"/>
  <c r="R57" i="17"/>
  <c r="N47" i="17"/>
  <c r="N46" i="17"/>
  <c r="R40" i="17"/>
  <c r="H30" i="17"/>
  <c r="F30" i="17"/>
  <c r="D30" i="17"/>
  <c r="R41" i="17" s="1"/>
  <c r="H29" i="17"/>
  <c r="F29" i="17"/>
  <c r="D29" i="17"/>
  <c r="R28" i="17"/>
  <c r="O173" i="17" s="1"/>
  <c r="O211" i="17" l="1"/>
  <c r="O261" i="17"/>
  <c r="O263" i="17" s="1"/>
  <c r="R34" i="17"/>
  <c r="P198" i="17" s="1"/>
  <c r="P199" i="17" s="1"/>
  <c r="R29" i="17"/>
  <c r="R125" i="17"/>
  <c r="N277" i="17"/>
  <c r="O243" i="17"/>
  <c r="O245" i="17"/>
  <c r="O247" i="17"/>
  <c r="L59" i="17"/>
  <c r="P89" i="17"/>
  <c r="P92" i="17" s="1"/>
  <c r="P118" i="17" s="1"/>
  <c r="R56" i="17"/>
  <c r="R59" i="17" s="1"/>
  <c r="P216" i="17"/>
  <c r="R151" i="17"/>
  <c r="R153" i="17" s="1"/>
  <c r="R30" i="17"/>
  <c r="R128" i="17"/>
  <c r="P206" i="17"/>
  <c r="R185" i="17"/>
  <c r="R181" i="17"/>
  <c r="P200" i="17"/>
  <c r="R183" i="17"/>
  <c r="R109" i="17"/>
  <c r="N239" i="17"/>
  <c r="O230" i="17" s="1"/>
  <c r="P239" i="17"/>
  <c r="Q231" i="17" s="1"/>
  <c r="P277" i="17"/>
  <c r="Q242" i="17"/>
  <c r="Q243" i="17"/>
  <c r="Q244" i="17"/>
  <c r="Q245" i="17"/>
  <c r="Q246" i="17"/>
  <c r="Q247" i="17"/>
  <c r="Q248" i="17"/>
  <c r="L56" i="16"/>
  <c r="O251" i="17" l="1"/>
  <c r="R117" i="17"/>
  <c r="R118" i="17" s="1"/>
  <c r="R127" i="17"/>
  <c r="R135" i="17" s="1"/>
  <c r="P282" i="17" s="1"/>
  <c r="Q232" i="17"/>
  <c r="Q236" i="17"/>
  <c r="Q234" i="17"/>
  <c r="Q230" i="17"/>
  <c r="Q251" i="17"/>
  <c r="O237" i="17"/>
  <c r="O235" i="17"/>
  <c r="O233" i="17"/>
  <c r="O231" i="17"/>
  <c r="R165" i="17"/>
  <c r="R168" i="17" s="1"/>
  <c r="R72" i="17"/>
  <c r="O236" i="17"/>
  <c r="O234" i="17"/>
  <c r="O232" i="17"/>
  <c r="Q237" i="17"/>
  <c r="Q235" i="17"/>
  <c r="Q233" i="17"/>
  <c r="J75" i="16"/>
  <c r="Q239" i="17" l="1"/>
  <c r="O239" i="17"/>
  <c r="P280" i="17"/>
  <c r="R169" i="17"/>
  <c r="R80" i="16"/>
  <c r="R108" i="16"/>
  <c r="R96" i="16"/>
  <c r="P77" i="16"/>
  <c r="P78" i="16" s="1"/>
  <c r="N56" i="16"/>
  <c r="J56" i="16"/>
  <c r="P79" i="16" s="1"/>
  <c r="Q275" i="16" l="1"/>
  <c r="P275" i="16"/>
  <c r="P212" i="16" s="1"/>
  <c r="O275" i="16"/>
  <c r="N275" i="16"/>
  <c r="P263" i="16"/>
  <c r="O263" i="16"/>
  <c r="N263" i="16"/>
  <c r="Q260" i="16"/>
  <c r="O260" i="16"/>
  <c r="Q258" i="16"/>
  <c r="O258" i="16"/>
  <c r="Q257" i="16"/>
  <c r="O257" i="16"/>
  <c r="Q256" i="16"/>
  <c r="O256" i="16"/>
  <c r="Q255" i="16"/>
  <c r="Q263" i="16" s="1"/>
  <c r="P251" i="16"/>
  <c r="Q249" i="16" s="1"/>
  <c r="N251" i="16"/>
  <c r="O249" i="16" s="1"/>
  <c r="O242" i="16"/>
  <c r="P237" i="16"/>
  <c r="N237" i="16"/>
  <c r="P236" i="16"/>
  <c r="N236" i="16"/>
  <c r="P235" i="16"/>
  <c r="N235" i="16"/>
  <c r="P234" i="16"/>
  <c r="N234" i="16"/>
  <c r="P233" i="16"/>
  <c r="N233" i="16"/>
  <c r="P232" i="16"/>
  <c r="N232" i="16"/>
  <c r="P231" i="16"/>
  <c r="N231" i="16"/>
  <c r="P230" i="16"/>
  <c r="N230" i="16"/>
  <c r="P214" i="16"/>
  <c r="P213" i="16"/>
  <c r="O212" i="16"/>
  <c r="P211" i="16"/>
  <c r="O211" i="16"/>
  <c r="P195" i="16"/>
  <c r="R175" i="16"/>
  <c r="R166" i="16"/>
  <c r="R159" i="16"/>
  <c r="R154" i="16"/>
  <c r="R152" i="16"/>
  <c r="R144" i="16"/>
  <c r="R139" i="16"/>
  <c r="R140" i="16" s="1"/>
  <c r="B121" i="16"/>
  <c r="B190" i="16" s="1"/>
  <c r="B291" i="16" s="1"/>
  <c r="P112" i="16"/>
  <c r="P117" i="16" s="1"/>
  <c r="P110" i="16"/>
  <c r="P101" i="16"/>
  <c r="R150" i="16" s="1"/>
  <c r="P90" i="16"/>
  <c r="R89" i="16"/>
  <c r="R92" i="16" s="1"/>
  <c r="R70" i="16"/>
  <c r="R167" i="16" s="1"/>
  <c r="P59" i="16"/>
  <c r="H59" i="16"/>
  <c r="H72" i="16" s="1"/>
  <c r="F59" i="16"/>
  <c r="F72" i="16" s="1"/>
  <c r="R57" i="16"/>
  <c r="N59" i="16"/>
  <c r="L59" i="16"/>
  <c r="P206" i="16"/>
  <c r="N47" i="16"/>
  <c r="N46" i="16"/>
  <c r="R40" i="16"/>
  <c r="H30" i="16"/>
  <c r="F30" i="16"/>
  <c r="D30" i="16"/>
  <c r="H29" i="16"/>
  <c r="F29" i="16"/>
  <c r="D29" i="16"/>
  <c r="R28" i="16"/>
  <c r="O173" i="16" s="1"/>
  <c r="R29" i="16" l="1"/>
  <c r="R34" i="16" s="1"/>
  <c r="P198" i="16" s="1"/>
  <c r="P199" i="16" s="1"/>
  <c r="R30" i="16"/>
  <c r="O246" i="16"/>
  <c r="O244" i="16"/>
  <c r="O248" i="16"/>
  <c r="N277" i="16"/>
  <c r="O243" i="16"/>
  <c r="O245" i="16"/>
  <c r="O247" i="16"/>
  <c r="R185" i="16"/>
  <c r="R181" i="16"/>
  <c r="P200" i="16"/>
  <c r="R183" i="16"/>
  <c r="R109" i="16"/>
  <c r="R117" i="16" s="1"/>
  <c r="R118" i="16" s="1"/>
  <c r="P216" i="16"/>
  <c r="R151" i="16"/>
  <c r="R153" i="16" s="1"/>
  <c r="R41" i="16"/>
  <c r="R56" i="16"/>
  <c r="R59" i="16" s="1"/>
  <c r="J59" i="16"/>
  <c r="P89" i="16"/>
  <c r="P92" i="16" s="1"/>
  <c r="P118" i="16" s="1"/>
  <c r="R125" i="16"/>
  <c r="R128" i="16"/>
  <c r="N239" i="16"/>
  <c r="O231" i="16" s="1"/>
  <c r="P239" i="16"/>
  <c r="Q231" i="16" s="1"/>
  <c r="P277" i="16"/>
  <c r="Q242" i="16"/>
  <c r="Q243" i="16"/>
  <c r="Q244" i="16"/>
  <c r="Q245" i="16"/>
  <c r="Q246" i="16"/>
  <c r="Q247" i="16"/>
  <c r="Q248" i="16"/>
  <c r="P77" i="15"/>
  <c r="R144" i="15"/>
  <c r="Q234" i="16" l="1"/>
  <c r="Q230" i="16"/>
  <c r="Q236" i="16"/>
  <c r="Q232" i="16"/>
  <c r="O251" i="16"/>
  <c r="R127" i="16"/>
  <c r="R135" i="16" s="1"/>
  <c r="P282" i="16" s="1"/>
  <c r="Q251" i="16"/>
  <c r="O236" i="16"/>
  <c r="O234" i="16"/>
  <c r="O232" i="16"/>
  <c r="O230" i="16"/>
  <c r="R165" i="16"/>
  <c r="R168" i="16" s="1"/>
  <c r="R72" i="16"/>
  <c r="Q237" i="16"/>
  <c r="Q235" i="16"/>
  <c r="Q233" i="16"/>
  <c r="O237" i="16"/>
  <c r="O235" i="16"/>
  <c r="O233" i="16"/>
  <c r="R80" i="15"/>
  <c r="R108" i="15"/>
  <c r="R96" i="15"/>
  <c r="L56" i="15"/>
  <c r="N56" i="15"/>
  <c r="J56" i="15"/>
  <c r="Q239" i="16" l="1"/>
  <c r="P280" i="16"/>
  <c r="R169" i="16"/>
  <c r="O239" i="16"/>
  <c r="P79" i="15"/>
  <c r="P89" i="15" s="1"/>
  <c r="Q275" i="15"/>
  <c r="P275" i="15"/>
  <c r="P212" i="15" s="1"/>
  <c r="O275" i="15"/>
  <c r="N275" i="15"/>
  <c r="O212" i="15" s="1"/>
  <c r="P263" i="15"/>
  <c r="Q257" i="15" s="1"/>
  <c r="N263" i="15"/>
  <c r="O260" i="15" s="1"/>
  <c r="P251" i="15"/>
  <c r="Q249" i="15" s="1"/>
  <c r="N251" i="15"/>
  <c r="O249" i="15" s="1"/>
  <c r="P237" i="15"/>
  <c r="N237" i="15"/>
  <c r="P236" i="15"/>
  <c r="N236" i="15"/>
  <c r="P235" i="15"/>
  <c r="N235" i="15"/>
  <c r="P234" i="15"/>
  <c r="N234" i="15"/>
  <c r="P233" i="15"/>
  <c r="N233" i="15"/>
  <c r="P232" i="15"/>
  <c r="N232" i="15"/>
  <c r="P231" i="15"/>
  <c r="N231" i="15"/>
  <c r="P230" i="15"/>
  <c r="N230" i="15"/>
  <c r="P214" i="15"/>
  <c r="P213" i="15"/>
  <c r="P195" i="15"/>
  <c r="R175" i="15"/>
  <c r="R166" i="15"/>
  <c r="R159" i="15"/>
  <c r="R154" i="15"/>
  <c r="R152" i="15"/>
  <c r="R139" i="15"/>
  <c r="R140" i="15" s="1"/>
  <c r="B121" i="15"/>
  <c r="B190" i="15" s="1"/>
  <c r="B291" i="15" s="1"/>
  <c r="P112" i="15"/>
  <c r="P117" i="15" s="1"/>
  <c r="P110" i="15"/>
  <c r="P101" i="15"/>
  <c r="R150" i="15" s="1"/>
  <c r="R151" i="15" s="1"/>
  <c r="P90" i="15"/>
  <c r="R89" i="15"/>
  <c r="R92" i="15" s="1"/>
  <c r="R185" i="15" s="1"/>
  <c r="R70" i="15"/>
  <c r="R167" i="15" s="1"/>
  <c r="P59" i="15"/>
  <c r="L59" i="15"/>
  <c r="H59" i="15"/>
  <c r="H72" i="15" s="1"/>
  <c r="F59" i="15"/>
  <c r="F72" i="15" s="1"/>
  <c r="R57" i="15"/>
  <c r="N59" i="15"/>
  <c r="P206" i="15"/>
  <c r="N47" i="15"/>
  <c r="N46" i="15"/>
  <c r="R40" i="15"/>
  <c r="H30" i="15"/>
  <c r="F30" i="15"/>
  <c r="D30" i="15"/>
  <c r="R128" i="15" s="1"/>
  <c r="H29" i="15"/>
  <c r="F29" i="15"/>
  <c r="D29" i="15"/>
  <c r="R28" i="15"/>
  <c r="O173" i="15" s="1"/>
  <c r="O211" i="15" l="1"/>
  <c r="P92" i="15"/>
  <c r="P118" i="15" s="1"/>
  <c r="R29" i="15"/>
  <c r="R153" i="15"/>
  <c r="O256" i="15"/>
  <c r="R34" i="15"/>
  <c r="P198" i="15" s="1"/>
  <c r="P199" i="15" s="1"/>
  <c r="P216" i="15"/>
  <c r="O257" i="15"/>
  <c r="O263" i="15" s="1"/>
  <c r="O258" i="15"/>
  <c r="Q256" i="15"/>
  <c r="Q258" i="15"/>
  <c r="Q260" i="15"/>
  <c r="P211" i="15"/>
  <c r="Q255" i="15"/>
  <c r="Q242" i="15"/>
  <c r="Q243" i="15"/>
  <c r="Q246" i="15"/>
  <c r="Q247" i="15"/>
  <c r="Q244" i="15"/>
  <c r="Q248" i="15"/>
  <c r="Q245" i="15"/>
  <c r="P277" i="15"/>
  <c r="N239" i="15"/>
  <c r="O233" i="15" s="1"/>
  <c r="O248" i="15"/>
  <c r="N277" i="15"/>
  <c r="O242" i="15"/>
  <c r="O231" i="15"/>
  <c r="O246" i="15"/>
  <c r="O244" i="15"/>
  <c r="R181" i="15"/>
  <c r="P200" i="15"/>
  <c r="R183" i="15"/>
  <c r="R109" i="15"/>
  <c r="R117" i="15" s="1"/>
  <c r="R118" i="15" s="1"/>
  <c r="O234" i="15"/>
  <c r="R41" i="15"/>
  <c r="R125" i="15"/>
  <c r="R127" i="15" s="1"/>
  <c r="R135" i="15" s="1"/>
  <c r="P282" i="15" s="1"/>
  <c r="R30" i="15"/>
  <c r="P239" i="15"/>
  <c r="Q234" i="15" s="1"/>
  <c r="O243" i="15"/>
  <c r="O245" i="15"/>
  <c r="O247" i="15"/>
  <c r="R56" i="15"/>
  <c r="R59" i="15" s="1"/>
  <c r="J59" i="15"/>
  <c r="O232" i="15" l="1"/>
  <c r="O237" i="15"/>
  <c r="O230" i="15"/>
  <c r="O236" i="15"/>
  <c r="O239" i="15" s="1"/>
  <c r="O235" i="15"/>
  <c r="Q263" i="15"/>
  <c r="Q251" i="15"/>
  <c r="Q233" i="15"/>
  <c r="Q231" i="15"/>
  <c r="Q236" i="15"/>
  <c r="Q232" i="15"/>
  <c r="Q237" i="15"/>
  <c r="Q230" i="15"/>
  <c r="O251" i="15"/>
  <c r="R72" i="15"/>
  <c r="R165" i="15"/>
  <c r="R168" i="15" s="1"/>
  <c r="Q235" i="15"/>
  <c r="Q239" i="15" l="1"/>
  <c r="P280" i="15"/>
  <c r="R169" i="15"/>
  <c r="L56" i="14"/>
  <c r="P213" i="14" l="1"/>
  <c r="R80" i="14" l="1"/>
  <c r="R108" i="14"/>
  <c r="R96" i="14"/>
  <c r="R81" i="14"/>
  <c r="P77" i="14"/>
  <c r="P78" i="14" s="1"/>
  <c r="N56" i="14"/>
  <c r="J56" i="14"/>
  <c r="P79" i="14" s="1"/>
  <c r="P206" i="14" l="1"/>
  <c r="Q275" i="14"/>
  <c r="P275" i="14"/>
  <c r="P212" i="14" s="1"/>
  <c r="O275" i="14"/>
  <c r="N275" i="14"/>
  <c r="P263" i="14"/>
  <c r="P211" i="14" s="1"/>
  <c r="N263" i="14"/>
  <c r="P251" i="14"/>
  <c r="Q248" i="14" s="1"/>
  <c r="N251" i="14"/>
  <c r="O248" i="14" s="1"/>
  <c r="P237" i="14"/>
  <c r="N237" i="14"/>
  <c r="P236" i="14"/>
  <c r="N236" i="14"/>
  <c r="P235" i="14"/>
  <c r="N235" i="14"/>
  <c r="P234" i="14"/>
  <c r="N234" i="14"/>
  <c r="P233" i="14"/>
  <c r="N233" i="14"/>
  <c r="P232" i="14"/>
  <c r="N232" i="14"/>
  <c r="P231" i="14"/>
  <c r="N231" i="14"/>
  <c r="P230" i="14"/>
  <c r="N230" i="14"/>
  <c r="P216" i="14"/>
  <c r="P214" i="14"/>
  <c r="O212" i="14"/>
  <c r="P195" i="14"/>
  <c r="R175" i="14"/>
  <c r="R166" i="14"/>
  <c r="R159" i="14"/>
  <c r="R154" i="14"/>
  <c r="R152" i="14"/>
  <c r="R151" i="14"/>
  <c r="R144" i="14"/>
  <c r="R139" i="14"/>
  <c r="R140" i="14" s="1"/>
  <c r="B121" i="14"/>
  <c r="B190" i="14" s="1"/>
  <c r="B291" i="14" s="1"/>
  <c r="P112" i="14"/>
  <c r="P117" i="14" s="1"/>
  <c r="P110" i="14"/>
  <c r="P101" i="14"/>
  <c r="P90" i="14"/>
  <c r="R89" i="14"/>
  <c r="R92" i="14" s="1"/>
  <c r="R70" i="14"/>
  <c r="R167" i="14" s="1"/>
  <c r="P59" i="14"/>
  <c r="L59" i="14"/>
  <c r="H59" i="14"/>
  <c r="H72" i="14" s="1"/>
  <c r="F59" i="14"/>
  <c r="F72" i="14" s="1"/>
  <c r="R57" i="14"/>
  <c r="N59" i="14"/>
  <c r="N47" i="14"/>
  <c r="N46" i="14"/>
  <c r="R40" i="14"/>
  <c r="H30" i="14"/>
  <c r="F30" i="14"/>
  <c r="D30" i="14"/>
  <c r="H29" i="14"/>
  <c r="F29" i="14"/>
  <c r="D29" i="14"/>
  <c r="R28" i="14"/>
  <c r="O173" i="14" s="1"/>
  <c r="Q245" i="14" l="1"/>
  <c r="R153" i="14"/>
  <c r="R128" i="14"/>
  <c r="R30" i="14"/>
  <c r="Q257" i="14"/>
  <c r="Q258" i="14"/>
  <c r="O260" i="14"/>
  <c r="O258" i="14"/>
  <c r="R29" i="14"/>
  <c r="Q255" i="14"/>
  <c r="Q256" i="14"/>
  <c r="Q260" i="14"/>
  <c r="P239" i="14"/>
  <c r="Q231" i="14" s="1"/>
  <c r="O242" i="14"/>
  <c r="O246" i="14"/>
  <c r="O244" i="14"/>
  <c r="O247" i="14"/>
  <c r="O249" i="14"/>
  <c r="O243" i="14"/>
  <c r="O245" i="14"/>
  <c r="Q243" i="14"/>
  <c r="P277" i="14"/>
  <c r="Q249" i="14"/>
  <c r="Q247" i="14"/>
  <c r="N277" i="14"/>
  <c r="Q232" i="14"/>
  <c r="R183" i="14"/>
  <c r="P200" i="14"/>
  <c r="R181" i="14"/>
  <c r="R185" i="14"/>
  <c r="R109" i="14"/>
  <c r="O257" i="14"/>
  <c r="R41" i="14"/>
  <c r="P89" i="14"/>
  <c r="P92" i="14" s="1"/>
  <c r="P118" i="14" s="1"/>
  <c r="R125" i="14"/>
  <c r="R127" i="14" s="1"/>
  <c r="R135" i="14" s="1"/>
  <c r="R56" i="14"/>
  <c r="R59" i="14" s="1"/>
  <c r="J59" i="14"/>
  <c r="N239" i="14"/>
  <c r="O234" i="14" s="1"/>
  <c r="O211" i="14"/>
  <c r="Q242" i="14"/>
  <c r="Q244" i="14"/>
  <c r="Q246" i="14"/>
  <c r="O256" i="14"/>
  <c r="O251" i="14" l="1"/>
  <c r="Q263" i="14"/>
  <c r="Q236" i="14"/>
  <c r="R117" i="14"/>
  <c r="R118" i="14" s="1"/>
  <c r="R34" i="14"/>
  <c r="P198" i="14" s="1"/>
  <c r="P199" i="14" s="1"/>
  <c r="Q235" i="14"/>
  <c r="Q237" i="14"/>
  <c r="Q233" i="14"/>
  <c r="Q230" i="14"/>
  <c r="Q234" i="14"/>
  <c r="O263" i="14"/>
  <c r="O233" i="14"/>
  <c r="O236" i="14"/>
  <c r="Q251" i="14"/>
  <c r="P282" i="14"/>
  <c r="O232" i="14"/>
  <c r="O231" i="14"/>
  <c r="O230" i="14"/>
  <c r="O237" i="14"/>
  <c r="R72" i="14"/>
  <c r="P280" i="14" s="1"/>
  <c r="R165" i="14"/>
  <c r="R168" i="14" s="1"/>
  <c r="O235" i="14"/>
  <c r="Q239" i="14" l="1"/>
  <c r="O239" i="14"/>
  <c r="R169" i="14"/>
  <c r="L56" i="13"/>
  <c r="R80" i="13" l="1"/>
  <c r="R108" i="13"/>
  <c r="R96" i="13"/>
  <c r="R81" i="13"/>
  <c r="J56" i="13"/>
  <c r="P79" i="13" s="1"/>
  <c r="N56" i="13"/>
  <c r="Q275" i="13" l="1"/>
  <c r="P275" i="13"/>
  <c r="O275" i="13"/>
  <c r="N275" i="13"/>
  <c r="O212" i="13" s="1"/>
  <c r="P263" i="13"/>
  <c r="N263" i="13"/>
  <c r="P251" i="13"/>
  <c r="Q246" i="13" s="1"/>
  <c r="N251" i="13"/>
  <c r="O249" i="13" s="1"/>
  <c r="P237" i="13"/>
  <c r="N237" i="13"/>
  <c r="P236" i="13"/>
  <c r="N236" i="13"/>
  <c r="P235" i="13"/>
  <c r="N235" i="13"/>
  <c r="P234" i="13"/>
  <c r="N234" i="13"/>
  <c r="P233" i="13"/>
  <c r="N233" i="13"/>
  <c r="P232" i="13"/>
  <c r="N232" i="13"/>
  <c r="P231" i="13"/>
  <c r="N231" i="13"/>
  <c r="P230" i="13"/>
  <c r="N230" i="13"/>
  <c r="P216" i="13"/>
  <c r="P214" i="13"/>
  <c r="P195" i="13"/>
  <c r="R175" i="13"/>
  <c r="R166" i="13"/>
  <c r="R159" i="13"/>
  <c r="R154" i="13"/>
  <c r="R152" i="13"/>
  <c r="R153" i="13" s="1"/>
  <c r="R151" i="13"/>
  <c r="R144" i="13"/>
  <c r="R139" i="13"/>
  <c r="R140" i="13" s="1"/>
  <c r="B121" i="13"/>
  <c r="B190" i="13" s="1"/>
  <c r="B291" i="13" s="1"/>
  <c r="P112" i="13"/>
  <c r="P117" i="13" s="1"/>
  <c r="P110" i="13"/>
  <c r="P101" i="13"/>
  <c r="P90" i="13"/>
  <c r="R89" i="13"/>
  <c r="R92" i="13" s="1"/>
  <c r="P77" i="13"/>
  <c r="P78" i="13" s="1"/>
  <c r="R70" i="13"/>
  <c r="R167" i="13" s="1"/>
  <c r="P59" i="13"/>
  <c r="N59" i="13"/>
  <c r="H59" i="13"/>
  <c r="H72" i="13" s="1"/>
  <c r="F59" i="13"/>
  <c r="F72" i="13" s="1"/>
  <c r="R57" i="13"/>
  <c r="L59" i="13"/>
  <c r="P206" i="13"/>
  <c r="N47" i="13"/>
  <c r="N46" i="13"/>
  <c r="R40" i="13"/>
  <c r="H30" i="13"/>
  <c r="F30" i="13"/>
  <c r="D30" i="13"/>
  <c r="H29" i="13"/>
  <c r="F29" i="13"/>
  <c r="D29" i="13"/>
  <c r="R28" i="13"/>
  <c r="O173" i="13" s="1"/>
  <c r="P277" i="13" l="1"/>
  <c r="R29" i="13"/>
  <c r="R125" i="13"/>
  <c r="R34" i="13"/>
  <c r="P198" i="13" s="1"/>
  <c r="P199" i="13" s="1"/>
  <c r="O211" i="13"/>
  <c r="O257" i="13"/>
  <c r="O256" i="13"/>
  <c r="O260" i="13"/>
  <c r="P211" i="13"/>
  <c r="Q260" i="13"/>
  <c r="Q257" i="13"/>
  <c r="Q256" i="13"/>
  <c r="R30" i="13"/>
  <c r="P212" i="13"/>
  <c r="N277" i="13"/>
  <c r="O242" i="13"/>
  <c r="O244" i="13"/>
  <c r="Q244" i="13"/>
  <c r="R128" i="13"/>
  <c r="R127" i="13" s="1"/>
  <c r="R135" i="13" s="1"/>
  <c r="O246" i="13"/>
  <c r="R41" i="13"/>
  <c r="Q255" i="13"/>
  <c r="N239" i="13"/>
  <c r="O236" i="13" s="1"/>
  <c r="Q247" i="13"/>
  <c r="Q242" i="13"/>
  <c r="Q245" i="13"/>
  <c r="Q248" i="13"/>
  <c r="Q243" i="13"/>
  <c r="Q249" i="13"/>
  <c r="O243" i="13"/>
  <c r="O245" i="13"/>
  <c r="O248" i="13"/>
  <c r="R183" i="13"/>
  <c r="P200" i="13"/>
  <c r="R181" i="13"/>
  <c r="R185" i="13"/>
  <c r="R109" i="13"/>
  <c r="R117" i="13" s="1"/>
  <c r="R118" i="13" s="1"/>
  <c r="O232" i="13"/>
  <c r="P89" i="13"/>
  <c r="P92" i="13" s="1"/>
  <c r="P118" i="13" s="1"/>
  <c r="P239" i="13"/>
  <c r="Q230" i="13" s="1"/>
  <c r="O247" i="13"/>
  <c r="R56" i="13"/>
  <c r="R59" i="13" s="1"/>
  <c r="J59" i="13"/>
  <c r="P78" i="11"/>
  <c r="P79" i="11" s="1"/>
  <c r="P77" i="12"/>
  <c r="P78" i="12" s="1"/>
  <c r="O234" i="13" l="1"/>
  <c r="O230" i="13"/>
  <c r="P282" i="13"/>
  <c r="O233" i="13"/>
  <c r="O263" i="13"/>
  <c r="O235" i="13"/>
  <c r="O231" i="13"/>
  <c r="O237" i="13"/>
  <c r="Q263" i="13"/>
  <c r="Q233" i="13"/>
  <c r="Q232" i="13"/>
  <c r="Q251" i="13"/>
  <c r="O251" i="13"/>
  <c r="R165" i="13"/>
  <c r="R168" i="13" s="1"/>
  <c r="R72" i="13"/>
  <c r="Q231" i="13"/>
  <c r="Q237" i="13"/>
  <c r="Q236" i="13"/>
  <c r="Q235" i="13"/>
  <c r="Q234" i="13"/>
  <c r="H59" i="12"/>
  <c r="R40" i="12"/>
  <c r="O239" i="13" l="1"/>
  <c r="Q239" i="13"/>
  <c r="R169" i="13"/>
  <c r="P280" i="13"/>
  <c r="R108" i="12"/>
  <c r="R96" i="12"/>
  <c r="R80" i="12"/>
  <c r="R81" i="12"/>
  <c r="J56" i="12"/>
  <c r="N56" i="12"/>
  <c r="L56" i="12"/>
  <c r="N46" i="12"/>
  <c r="H29" i="12"/>
  <c r="F29" i="12"/>
  <c r="D29" i="12"/>
  <c r="P79" i="12" l="1"/>
  <c r="P89" i="12" s="1"/>
  <c r="R56" i="12"/>
  <c r="P206" i="12"/>
  <c r="Q275" i="12"/>
  <c r="P275" i="12"/>
  <c r="O275" i="12"/>
  <c r="N275" i="12"/>
  <c r="O212" i="12" s="1"/>
  <c r="P263" i="12"/>
  <c r="P211" i="12" s="1"/>
  <c r="O263" i="12"/>
  <c r="N263" i="12"/>
  <c r="O211" i="12" s="1"/>
  <c r="P251" i="12"/>
  <c r="Q248" i="12" s="1"/>
  <c r="N251" i="12"/>
  <c r="O249" i="12" s="1"/>
  <c r="P237" i="12"/>
  <c r="N237" i="12"/>
  <c r="P236" i="12"/>
  <c r="N236" i="12"/>
  <c r="P235" i="12"/>
  <c r="N235" i="12"/>
  <c r="P234" i="12"/>
  <c r="N234" i="12"/>
  <c r="P233" i="12"/>
  <c r="N233" i="12"/>
  <c r="P232" i="12"/>
  <c r="N232" i="12"/>
  <c r="P231" i="12"/>
  <c r="N231" i="12"/>
  <c r="P230" i="12"/>
  <c r="N230" i="12"/>
  <c r="P216" i="12"/>
  <c r="P214" i="12"/>
  <c r="P212" i="12"/>
  <c r="P191" i="12"/>
  <c r="R175" i="12"/>
  <c r="R166" i="12"/>
  <c r="R159" i="12"/>
  <c r="R154" i="12"/>
  <c r="R152" i="12"/>
  <c r="R151" i="12"/>
  <c r="R144" i="12"/>
  <c r="R139" i="12"/>
  <c r="B121" i="12"/>
  <c r="B190" i="12" s="1"/>
  <c r="B291" i="12" s="1"/>
  <c r="P112" i="12"/>
  <c r="P117" i="12" s="1"/>
  <c r="P110" i="12"/>
  <c r="P101" i="12"/>
  <c r="P90" i="12"/>
  <c r="R89" i="12"/>
  <c r="R92" i="12" s="1"/>
  <c r="R70" i="12"/>
  <c r="R167" i="12" s="1"/>
  <c r="P59" i="12"/>
  <c r="H72" i="12"/>
  <c r="F59" i="12"/>
  <c r="F72" i="12" s="1"/>
  <c r="R57" i="12"/>
  <c r="N59" i="12"/>
  <c r="L59" i="12"/>
  <c r="N47" i="12"/>
  <c r="H30" i="12"/>
  <c r="F30" i="12"/>
  <c r="D30" i="12"/>
  <c r="R29" i="12"/>
  <c r="R34" i="12" s="1"/>
  <c r="P198" i="12" s="1"/>
  <c r="P199" i="12" s="1"/>
  <c r="R28" i="12"/>
  <c r="R125" i="12" s="1"/>
  <c r="Q242" i="12" l="1"/>
  <c r="Q246" i="12"/>
  <c r="R153" i="12"/>
  <c r="N239" i="12"/>
  <c r="O234" i="12" s="1"/>
  <c r="Q244" i="12"/>
  <c r="Q249" i="12"/>
  <c r="Q243" i="12"/>
  <c r="Q247" i="12"/>
  <c r="Q245" i="12"/>
  <c r="R128" i="12"/>
  <c r="R127" i="12" s="1"/>
  <c r="R135" i="12" s="1"/>
  <c r="R41" i="12"/>
  <c r="P200" i="12"/>
  <c r="Q257" i="12"/>
  <c r="Q255" i="12"/>
  <c r="P239" i="12"/>
  <c r="Q231" i="12" s="1"/>
  <c r="P277" i="12"/>
  <c r="O242" i="12"/>
  <c r="O243" i="12"/>
  <c r="O244" i="12"/>
  <c r="O245" i="12"/>
  <c r="O246" i="12"/>
  <c r="O247" i="12"/>
  <c r="O248" i="12"/>
  <c r="N277" i="12"/>
  <c r="R140" i="12"/>
  <c r="R185" i="12"/>
  <c r="R181" i="12"/>
  <c r="R109" i="12"/>
  <c r="R117" i="12" s="1"/>
  <c r="R118" i="12" s="1"/>
  <c r="R183" i="12"/>
  <c r="Q235" i="12"/>
  <c r="P92" i="12"/>
  <c r="P118" i="12" s="1"/>
  <c r="O173" i="12"/>
  <c r="P195" i="12"/>
  <c r="Q230" i="12"/>
  <c r="R30" i="12"/>
  <c r="R59" i="12"/>
  <c r="J59" i="12"/>
  <c r="Q234" i="12" l="1"/>
  <c r="O237" i="12"/>
  <c r="O233" i="12"/>
  <c r="O236" i="12"/>
  <c r="O232" i="12"/>
  <c r="O230" i="12"/>
  <c r="Q237" i="12"/>
  <c r="Q233" i="12"/>
  <c r="O235" i="12"/>
  <c r="O231" i="12"/>
  <c r="Q236" i="12"/>
  <c r="Q232" i="12"/>
  <c r="Q251" i="12"/>
  <c r="Q263" i="12"/>
  <c r="O251" i="12"/>
  <c r="P282" i="12"/>
  <c r="R165" i="12"/>
  <c r="R168" i="12" s="1"/>
  <c r="R72" i="12"/>
  <c r="O239" i="12" l="1"/>
  <c r="Q239" i="12"/>
  <c r="P280" i="12"/>
  <c r="R169" i="12"/>
  <c r="P215" i="11"/>
  <c r="R145" i="11" l="1"/>
  <c r="R147" i="11" s="1"/>
  <c r="R143" i="12" s="1"/>
  <c r="R146" i="12" s="1"/>
  <c r="R40" i="11"/>
  <c r="R28" i="11"/>
  <c r="R34" i="11" s="1"/>
  <c r="P278" i="12" l="1"/>
  <c r="P279" i="12" s="1"/>
  <c r="R143" i="13"/>
  <c r="R146" i="13" s="1"/>
  <c r="R159" i="11"/>
  <c r="R109" i="11"/>
  <c r="R97" i="11"/>
  <c r="R81" i="11"/>
  <c r="R82" i="11"/>
  <c r="L56" i="11"/>
  <c r="N56" i="11"/>
  <c r="J56" i="11"/>
  <c r="R70" i="11"/>
  <c r="R168" i="11" s="1"/>
  <c r="P278" i="13" l="1"/>
  <c r="P279" i="13" s="1"/>
  <c r="R143" i="14"/>
  <c r="R146" i="14" s="1"/>
  <c r="P80" i="11"/>
  <c r="P90" i="11" s="1"/>
  <c r="P207" i="11"/>
  <c r="P231" i="11"/>
  <c r="P278" i="14" l="1"/>
  <c r="P279" i="14" s="1"/>
  <c r="R143" i="15"/>
  <c r="R146" i="15" s="1"/>
  <c r="R139" i="11"/>
  <c r="P278" i="15" l="1"/>
  <c r="P279" i="15" s="1"/>
  <c r="R143" i="16"/>
  <c r="R146" i="16" s="1"/>
  <c r="H30" i="11"/>
  <c r="P278" i="16" l="1"/>
  <c r="P279" i="16" s="1"/>
  <c r="R143" i="17"/>
  <c r="R146" i="17" s="1"/>
  <c r="P192" i="11"/>
  <c r="P278" i="17" l="1"/>
  <c r="P279" i="17" s="1"/>
  <c r="R146" i="19"/>
  <c r="P278" i="19" s="1"/>
  <c r="P279" i="19" s="1"/>
  <c r="R143" i="18"/>
  <c r="R146" i="18" s="1"/>
  <c r="P278" i="18" s="1"/>
  <c r="P279" i="18" s="1"/>
  <c r="P232" i="11"/>
  <c r="N232" i="11"/>
  <c r="N231" i="11"/>
  <c r="R140" i="11" l="1"/>
  <c r="R141" i="11" s="1"/>
  <c r="F30" i="11" l="1"/>
  <c r="D30" i="11"/>
  <c r="R41" i="11" l="1"/>
  <c r="R30" i="11"/>
  <c r="R129" i="11"/>
  <c r="N59" i="11" l="1"/>
  <c r="R90" i="11"/>
  <c r="R93" i="11" s="1"/>
  <c r="P201" i="11" s="1"/>
  <c r="P113" i="11"/>
  <c r="P118" i="11" s="1"/>
  <c r="R29" i="11"/>
  <c r="N47" i="11"/>
  <c r="P111" i="11"/>
  <c r="F59" i="11"/>
  <c r="F72" i="11" s="1"/>
  <c r="R57" i="11"/>
  <c r="H59" i="11"/>
  <c r="H72" i="11" s="1"/>
  <c r="P91" i="11"/>
  <c r="P233" i="11"/>
  <c r="P234" i="11"/>
  <c r="P235" i="11"/>
  <c r="P236" i="11"/>
  <c r="P237" i="11"/>
  <c r="P238" i="11"/>
  <c r="N252" i="11"/>
  <c r="O244" i="11" s="1"/>
  <c r="N233" i="11"/>
  <c r="N234" i="11"/>
  <c r="N235" i="11"/>
  <c r="N236" i="11"/>
  <c r="N237" i="11"/>
  <c r="N238" i="11"/>
  <c r="P252" i="11"/>
  <c r="Q244" i="11" s="1"/>
  <c r="P217" i="11"/>
  <c r="P218" i="11" s="1"/>
  <c r="P217" i="12" s="1"/>
  <c r="P217" i="13" s="1"/>
  <c r="P217" i="14" s="1"/>
  <c r="P217" i="15" s="1"/>
  <c r="P217" i="16" s="1"/>
  <c r="P217" i="17" s="1"/>
  <c r="P217" i="18" s="1"/>
  <c r="P217" i="19" s="1"/>
  <c r="J59" i="11"/>
  <c r="P59" i="11"/>
  <c r="P102" i="11"/>
  <c r="B122" i="11"/>
  <c r="B191" i="11" s="1"/>
  <c r="B292" i="11" s="1"/>
  <c r="R152" i="11"/>
  <c r="R153" i="11"/>
  <c r="R155" i="11"/>
  <c r="R160" i="11"/>
  <c r="R161" i="11" s="1"/>
  <c r="R158" i="12" s="1"/>
  <c r="R160" i="12" s="1"/>
  <c r="R158" i="13" s="1"/>
  <c r="R160" i="13" s="1"/>
  <c r="R158" i="14" s="1"/>
  <c r="R160" i="14" s="1"/>
  <c r="R158" i="15" s="1"/>
  <c r="R160" i="15" s="1"/>
  <c r="R158" i="16" s="1"/>
  <c r="R160" i="16" s="1"/>
  <c r="R158" i="17" s="1"/>
  <c r="R160" i="17" s="1"/>
  <c r="N264" i="11"/>
  <c r="O212" i="11" s="1"/>
  <c r="P264" i="11"/>
  <c r="N276" i="11"/>
  <c r="O213" i="11" s="1"/>
  <c r="P276" i="11"/>
  <c r="L59" i="11"/>
  <c r="P177" i="11"/>
  <c r="P174" i="12" s="1"/>
  <c r="P176" i="12" s="1"/>
  <c r="R176" i="11"/>
  <c r="O177" i="11"/>
  <c r="O174" i="12" s="1"/>
  <c r="R175" i="11"/>
  <c r="O276" i="11"/>
  <c r="Q276" i="11"/>
  <c r="O264" i="11"/>
  <c r="Q264" i="11"/>
  <c r="R126" i="11"/>
  <c r="R56" i="11"/>
  <c r="O174" i="11"/>
  <c r="O249" i="11"/>
  <c r="O245" i="11"/>
  <c r="O250" i="11"/>
  <c r="O247" i="11"/>
  <c r="O246" i="11"/>
  <c r="O248" i="11"/>
  <c r="R160" i="19" l="1"/>
  <c r="R158" i="18"/>
  <c r="R160" i="18" s="1"/>
  <c r="R154" i="11"/>
  <c r="P174" i="13"/>
  <c r="P176" i="13" s="1"/>
  <c r="P174" i="14" s="1"/>
  <c r="P176" i="14" s="1"/>
  <c r="P174" i="15" s="1"/>
  <c r="P176" i="15" s="1"/>
  <c r="P174" i="16" s="1"/>
  <c r="P176" i="16" s="1"/>
  <c r="P174" i="17" s="1"/>
  <c r="P176" i="17" s="1"/>
  <c r="P174" i="18" s="1"/>
  <c r="P176" i="18" s="1"/>
  <c r="P174" i="19" s="1"/>
  <c r="P176" i="19" s="1"/>
  <c r="P278" i="11"/>
  <c r="P240" i="11"/>
  <c r="Q238" i="11" s="1"/>
  <c r="Q248" i="11"/>
  <c r="Q247" i="11"/>
  <c r="O176" i="12"/>
  <c r="R174" i="12"/>
  <c r="Q246" i="11"/>
  <c r="R59" i="11"/>
  <c r="R72" i="11" s="1"/>
  <c r="P281" i="11" s="1"/>
  <c r="R167" i="11"/>
  <c r="P279" i="11" s="1"/>
  <c r="P280" i="11" s="1"/>
  <c r="P212" i="11"/>
  <c r="Q245" i="11"/>
  <c r="Q243" i="11"/>
  <c r="R186" i="11"/>
  <c r="P213" i="11"/>
  <c r="N278" i="11"/>
  <c r="R177" i="11"/>
  <c r="O178" i="11"/>
  <c r="N240" i="11"/>
  <c r="O234" i="11" s="1"/>
  <c r="P93" i="11"/>
  <c r="R184" i="11"/>
  <c r="R182" i="11"/>
  <c r="P195" i="11"/>
  <c r="P196" i="11" s="1"/>
  <c r="Q249" i="11"/>
  <c r="Q250" i="11"/>
  <c r="O243" i="11"/>
  <c r="O252" i="11" s="1"/>
  <c r="Q233" i="11"/>
  <c r="R110" i="11"/>
  <c r="R118" i="11" s="1"/>
  <c r="R119" i="11" s="1"/>
  <c r="R166" i="11"/>
  <c r="R169" i="11" s="1"/>
  <c r="R128" i="11"/>
  <c r="Q231" i="11" l="1"/>
  <c r="Q237" i="11"/>
  <c r="O174" i="13"/>
  <c r="R174" i="13" s="1"/>
  <c r="Q232" i="11"/>
  <c r="Q234" i="11"/>
  <c r="Q236" i="11"/>
  <c r="Q235" i="11"/>
  <c r="O176" i="13"/>
  <c r="O174" i="14" s="1"/>
  <c r="R176" i="12"/>
  <c r="O177" i="12"/>
  <c r="R136" i="11"/>
  <c r="P283" i="11" s="1"/>
  <c r="Q252" i="11"/>
  <c r="P119" i="11"/>
  <c r="P199" i="11"/>
  <c r="P200" i="11" s="1"/>
  <c r="O237" i="11"/>
  <c r="O233" i="11"/>
  <c r="O231" i="11"/>
  <c r="O236" i="11"/>
  <c r="O232" i="11"/>
  <c r="O238" i="11"/>
  <c r="O235" i="11"/>
  <c r="Q240" i="11" l="1"/>
  <c r="O176" i="14"/>
  <c r="O174" i="15" s="1"/>
  <c r="R174" i="14"/>
  <c r="R176" i="13"/>
  <c r="O177" i="13"/>
  <c r="O240" i="11"/>
  <c r="R170" i="11"/>
  <c r="O176" i="15" l="1"/>
  <c r="O174" i="16" s="1"/>
  <c r="R174" i="15"/>
  <c r="R176" i="14"/>
  <c r="O177" i="14"/>
  <c r="O176" i="16" l="1"/>
  <c r="R174" i="16"/>
  <c r="O177" i="15"/>
  <c r="R176" i="15"/>
  <c r="O174" i="17" l="1"/>
  <c r="R176" i="16"/>
  <c r="O177" i="16"/>
  <c r="O176" i="17" l="1"/>
  <c r="R174" i="17"/>
  <c r="O174" i="18" l="1"/>
  <c r="O177" i="17"/>
  <c r="R176" i="17"/>
  <c r="O176" i="18" l="1"/>
  <c r="R174" i="18"/>
  <c r="O174" i="19" l="1"/>
  <c r="R176" i="18"/>
  <c r="O177" i="18"/>
  <c r="O176" i="19" l="1"/>
  <c r="R174" i="19"/>
  <c r="O177" i="19" l="1"/>
  <c r="R176" i="19"/>
</calcChain>
</file>

<file path=xl/sharedStrings.xml><?xml version="1.0" encoding="utf-8"?>
<sst xmlns="http://schemas.openxmlformats.org/spreadsheetml/2006/main" count="5050" uniqueCount="270">
  <si>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</si>
  <si>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</si>
  <si>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</si>
  <si>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</si>
  <si>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</si>
  <si>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</si>
  <si>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</si>
  <si>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</si>
  <si>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</si>
  <si>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</si>
  <si>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</si>
  <si>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</si>
  <si>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</si>
  <si>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</si>
  <si>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</si>
  <si>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</si>
  <si>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</si>
  <si>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</si>
  <si>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</si>
  <si>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</si>
  <si>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</si>
  <si>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</si>
  <si>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</si>
  <si>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</si>
  <si>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</si>
  <si>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</si>
  <si>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</si>
  <si>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</si>
  <si>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</si>
  <si>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</si>
  <si>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</si>
  <si>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</si>
  <si>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</si>
  <si>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</si>
  <si>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</si>
  <si>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</si>
  <si>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</si>
  <si>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</si>
  <si>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</si>
  <si>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</si>
  <si>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</si>
  <si>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</si>
  <si>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</si>
  <si>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</si>
  <si>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</si>
  <si>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</si>
  <si>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</si>
  <si>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</si>
  <si>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</si>
  <si>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</si>
  <si>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</si>
  <si>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</si>
  <si>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</si>
  <si>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</si>
  <si>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</si>
  <si>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</si>
  <si>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</si>
  <si>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</si>
  <si>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</si>
  <si>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</si>
  <si>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</si>
  <si>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</si>
  <si>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</si>
  <si>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</si>
  <si>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</si>
  <si>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</si>
  <si>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</si>
  <si>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</si>
  <si>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</si>
  <si>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</si>
  <si>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</si>
  <si>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</si>
  <si>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</si>
  <si>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</si>
  <si>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</si>
  <si>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</si>
  <si>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</si>
  <si>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</si>
  <si>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</si>
  <si>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</si>
  <si>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</si>
  <si>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</si>
  <si>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</si>
  <si>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</si>
  <si>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</si>
  <si>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</si>
  <si>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</si>
  <si>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</si>
  <si>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</si>
  <si>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</si>
  <si>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</si>
  <si>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</si>
  <si>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</si>
  <si>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</si>
  <si>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</si>
  <si>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</si>
  <si>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</si>
  <si>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</si>
  <si>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</si>
  <si>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</si>
  <si>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</si>
  <si>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</si>
  <si>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</si>
  <si>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</si>
  <si>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</si>
  <si>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</si>
  <si>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</si>
  <si>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</si>
  <si>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</si>
  <si>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</si>
  <si>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</si>
  <si>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</si>
  <si>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</si>
  <si>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</si>
  <si>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</si>
  <si>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</si>
  <si>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</si>
  <si>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</si>
  <si>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</si>
  <si>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</si>
  <si>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</si>
  <si>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</si>
  <si>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</si>
  <si>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</si>
  <si>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</si>
  <si>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</si>
  <si>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</si>
  <si>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</si>
  <si>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</si>
  <si>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</si>
  <si>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</si>
  <si>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Fitch Rating at Closing</t>
  </si>
  <si>
    <t>Current Fitch Rating</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</si>
  <si>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</si>
  <si>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</si>
  <si>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</si>
  <si>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</si>
  <si>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</si>
  <si>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</si>
  <si>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</si>
  <si>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</si>
  <si>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</si>
  <si>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</si>
  <si>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</si>
  <si>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</si>
  <si>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</si>
  <si>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</si>
  <si>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</si>
  <si>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</si>
  <si>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</si>
  <si>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</si>
  <si>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</si>
  <si>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</si>
  <si>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</si>
  <si>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</si>
  <si>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Class A Notes</t>
  </si>
  <si>
    <t>Delinquency Summary</t>
  </si>
  <si>
    <t>Unrated</t>
  </si>
  <si>
    <t>Optional Redemption (Call) / Turbo Dates</t>
  </si>
  <si>
    <t>PM (2010) Ltd</t>
  </si>
  <si>
    <t>Class A Note Interest</t>
  </si>
  <si>
    <t>Issuer Profit Amount</t>
  </si>
  <si>
    <t>Swap Retention fund</t>
  </si>
  <si>
    <t>Class A Note repayment</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</si>
  <si>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</si>
  <si>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</si>
  <si>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</si>
  <si>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</si>
  <si>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</si>
  <si>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</si>
  <si>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</si>
  <si>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</si>
  <si>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</si>
  <si>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</si>
  <si>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</si>
  <si>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</si>
  <si>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</si>
  <si>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Unutilised Pre Funding Reserve diverted to Principal</t>
  </si>
  <si>
    <t>Surplus income to the Issuer (prior to Call Option Date)</t>
  </si>
  <si>
    <t>Surplus income diverted to Principal (on or after Call Option Date)</t>
  </si>
  <si>
    <t>Current Principal Balance Outstanding (£'000)</t>
  </si>
  <si>
    <t>Pre Funding Reserve Outstanding (£'000)</t>
  </si>
  <si>
    <t>Accrued Arrears and Interest not Sold to Issuer</t>
  </si>
  <si>
    <t>Total Note Principal</t>
  </si>
  <si>
    <t>Total Mortgage Assets</t>
  </si>
  <si>
    <t>Class B Notes</t>
  </si>
  <si>
    <t>Class D Notes</t>
  </si>
  <si>
    <t>Class B Note repayment</t>
  </si>
  <si>
    <t>Class D Note repayment</t>
  </si>
  <si>
    <t>Cover Ratio for Class B Notes (at last Interest Payment Date)</t>
  </si>
  <si>
    <t xml:space="preserve">Cover Ratio for Class B Notes (cumulative) </t>
  </si>
  <si>
    <t>Cover Ratio for Class D Notes (at last Interest Payment Date)</t>
  </si>
  <si>
    <t xml:space="preserve">Cover Ratio for Class D Notes (cumulative) </t>
  </si>
  <si>
    <t>Stated Maturity - Class B Notes</t>
  </si>
  <si>
    <t>Stated Maturity - Class D Notes</t>
  </si>
  <si>
    <t>Class B Note Interest</t>
  </si>
  <si>
    <t>Class D Note Interest and Deferred Interest</t>
  </si>
  <si>
    <t>Pre Funding utilised this quarter</t>
  </si>
  <si>
    <t>John Harvey, 51 Homer Road, Solihull, West Midlands, B91 3QJ</t>
  </si>
  <si>
    <t>Andrew Kitching, 51 Homer Road, Solihull, West Midlands, B91 3QJ</t>
  </si>
  <si>
    <t>Jimmy Giles, 51 Homer Road, Solihull, West Midlands, B91 3QJ</t>
  </si>
  <si>
    <t>Pre Funding Reserve / Available Redemption Funds</t>
  </si>
  <si>
    <t>Moody's Rating at Closing</t>
  </si>
  <si>
    <t>Current Moody's Rating</t>
  </si>
  <si>
    <t>Aaa</t>
  </si>
  <si>
    <t>Retention Requirement under Article 405 of Regulation (EU) No.575/2013 (as amended) (the "Capital Requirements Regulation")</t>
  </si>
  <si>
    <t xml:space="preserve">Pre Funding Reserve Ledger </t>
  </si>
  <si>
    <t xml:space="preserve">Margin Reserve Fund </t>
  </si>
  <si>
    <t>Paragon Mortgages (No.20) PLC</t>
  </si>
  <si>
    <t>This performance report is issued by Paragon Mortgages (2010) Limited for and on behalf of Paragon Mortgages (No.20) PLC</t>
  </si>
  <si>
    <t>PM20 PLC</t>
  </si>
  <si>
    <t>PM20 INVESTOR REPORT QUARTER ENDING OCTOBER 2014</t>
  </si>
  <si>
    <t>XS1080895631</t>
  </si>
  <si>
    <t>XS1080912667</t>
  </si>
  <si>
    <t>XS1080925305</t>
  </si>
  <si>
    <t>68bp</t>
  </si>
  <si>
    <t>100bp</t>
  </si>
  <si>
    <t>135bp</t>
  </si>
  <si>
    <t>Drawing on the PFPLC/PM20 Subordinated Loan for Interest Shortfalls</t>
  </si>
  <si>
    <t>Class B and D Notes as a percentage Class A Notes at issue</t>
  </si>
  <si>
    <t>Current Outstanding Class B and D Notes as a percentage of Current Outstanding Class A Notes</t>
  </si>
  <si>
    <t>Determination Event for Paying Class B and D Notes</t>
  </si>
  <si>
    <t>Junior Administration Fee to PM (2010) and PFPLC</t>
  </si>
  <si>
    <t>PM (2010) Mandatory Further Advances</t>
  </si>
  <si>
    <t>PM (2010) Discretionary Further Advances</t>
  </si>
  <si>
    <t>Replenishments from drawings on the PM20/PFPLC Subordinated Loan</t>
  </si>
  <si>
    <t>AA-</t>
  </si>
  <si>
    <t>Aa1</t>
  </si>
  <si>
    <t>Class A, B and D Interest Calculated on</t>
  </si>
  <si>
    <t>Class A, B and D Interest Payment Cycle</t>
  </si>
  <si>
    <t>Trustee Fee/Costs and Expenses claimed by the Substitute Administrator &amp; Intertrust Corporate Services Provider</t>
  </si>
  <si>
    <t>Discretionary Further Advance Pre Funding Reserve at Closing</t>
  </si>
  <si>
    <t>Discretionary Further Advance Pre Funding Reserve utilised this quarter</t>
  </si>
  <si>
    <t>Pre Funding Reserve Remaining / Diverted to Principal to form part of the Available Redemption Funds</t>
  </si>
  <si>
    <t>Discretionary Further Advance Pre Funding Reserve Ledger (DFAPFRL)</t>
  </si>
  <si>
    <t>Liquidity Amount (3% of the Class A and B Notes outstanding)</t>
  </si>
  <si>
    <t>Senior Administration Fee to PM (2010) and PFPLC/ Out of pocket expenses/ Substitute Administrator Commitment Fee/ Substitute Administrator Facilitator Fee / Surveillance Fees to Rating Agencies / Fees to Corporate Services Provider</t>
  </si>
  <si>
    <t xml:space="preserve">Closing Discretionary Further Advance Pre Funding Reserve </t>
  </si>
  <si>
    <t>Discretionary Further Advance Pre Funding Reserve Diverted to Principal to form part of the Available Redemption Funds</t>
  </si>
  <si>
    <t>IDEM</t>
  </si>
  <si>
    <t>Discretionary Further Advance Pre Funding Reserve</t>
  </si>
  <si>
    <t xml:space="preserve">Outstanding Pre Funding Reserve and DFAPFRL </t>
  </si>
  <si>
    <t>Discretionary Further Advance Pre Funding Reserve Outstanding (£'000)</t>
  </si>
  <si>
    <t>PM20 INVESTOR REPORT QUARTER ENDING JANUARY 2015</t>
  </si>
  <si>
    <t xml:space="preserve">Discretionary Further Advance Pre Funding Reserve at last quarter </t>
  </si>
  <si>
    <t xml:space="preserve">Funding of PM (2010) Discretionary Further Advances </t>
  </si>
  <si>
    <t>PM (2010) Discretionary Further Advance Pre Funding Reserve diverted to Principal</t>
  </si>
  <si>
    <t>PM20 INVESTOR REPORT QUARTER ENDING APRIL 2015</t>
  </si>
  <si>
    <t>PM20 INVESTOR REPORT QUARTER ENDING JULY 2015</t>
  </si>
  <si>
    <t>PM20 INVESTOR REPORT QUARTER ENDING OCTOBER 2015</t>
  </si>
  <si>
    <t>PM20 INVESTOR REPORT QUARTER ENDING JANUARY 2016</t>
  </si>
  <si>
    <t>PM20 INVESTOR REPORT QUARTER ENDING APRIL 2016</t>
  </si>
  <si>
    <t>PM20 INVESTOR REPORT QUARTER ENDING JULY 2016</t>
  </si>
  <si>
    <t>PDL replenishment (-) from Revenue income / Liquidity Excess Amount / Recovery (+) to Revenue income</t>
  </si>
  <si>
    <t>Aggregate Principal Balance of Repurchased Loans (during related Collection Period)</t>
  </si>
  <si>
    <t>PM20 INVESTOR REPORT QUARTER ENDING OCTOBER 2016</t>
  </si>
  <si>
    <t>PM20 INVESTOR REPORT QUARTER ENDING JANUARY 2017</t>
  </si>
  <si>
    <t>PM20 INVESTOR REPORT QUARTER ENDING APRIL 2017</t>
  </si>
  <si>
    <t>AA</t>
  </si>
  <si>
    <t>Senior Administration Fee to PM (2010) and PFPLC/ Out of pocket expenses/ Senior Expenses</t>
  </si>
  <si>
    <t>PM20 INVESTOR REPORT QUARTER ENDING JULY 2017</t>
  </si>
  <si>
    <t>http://www.paragonbankinggroup.co.uk</t>
  </si>
  <si>
    <t>andrew.kitching@paragonbank.co.uk</t>
  </si>
  <si>
    <t>jimmy.giles@paragonbank.co.uk</t>
  </si>
  <si>
    <t>PM20 INVESTOR REPORT QUARTER ENDING OCTOBER 2017</t>
  </si>
  <si>
    <t>PM20 INVESTOR REPORT QUARTER ENDING JANUARY 2018</t>
  </si>
  <si>
    <t>PM20 INVESTOR REPORT QUARTER ENDING APRIL 2018</t>
  </si>
  <si>
    <t>PM20 INVESTOR REPORT QUARTER ENDING JULY 2018</t>
  </si>
  <si>
    <t>Release of the First Loss Fund to Revenue</t>
  </si>
  <si>
    <t>Release of the First Loss Fund following repayment of the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</si>
</sst>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65"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b/>
      <u/>
      <sz val="12"/>
      <color rgb="FF89CB31"/>
      <name val="Calibri"/>
      <family val="2"/>
      <scheme val="minor"/>
    </font>
    <font>
      <b/>
      <u/>
      <sz val="14"/>
      <color rgb="FF89CB31"/>
      <name val="Calibri"/>
      <family val="2"/>
      <scheme val="minor"/>
    </font>
    <font>
      <sz val="12"/>
      <name val="Calibri"/>
      <family val="2"/>
      <scheme val="minor"/>
    </font>
    <font>
      <b/>
      <u/>
      <sz val="16"/>
      <color rgb="FF2D2926"/>
      <name val="Calibri"/>
      <family val="2"/>
      <scheme val="minor"/>
    </font>
    <font>
      <u/>
      <sz val="12"/>
      <name val="Calibri"/>
      <family val="2"/>
      <scheme val="minor"/>
    </font>
    <font>
      <b/>
      <sz val="12"/>
      <color rgb="FF89CB31"/>
      <name val="Calibri"/>
      <family val="2"/>
      <scheme val="minor"/>
    </font>
    <font>
      <b/>
      <i/>
      <sz val="10"/>
      <color rgb="FF2D2926"/>
      <name val="Calibri"/>
      <family val="2"/>
      <scheme val="minor"/>
    </font>
    <font>
      <b/>
      <i/>
      <sz val="10"/>
      <name val="Calibri"/>
      <family val="2"/>
      <scheme val="minor"/>
    </font>
    <font>
      <b/>
      <sz val="14"/>
      <color rgb="FF89CB31"/>
      <name val="Calibri"/>
      <family val="2"/>
      <scheme val="minor"/>
    </font>
    <font>
      <b/>
      <u/>
      <sz val="14"/>
      <color indexed="53"/>
      <name val="Calibri"/>
      <family val="2"/>
      <scheme val="minor"/>
    </font>
    <font>
      <b/>
      <sz val="12"/>
      <name val="Calibri"/>
      <family val="2"/>
      <scheme val="minor"/>
    </font>
    <font>
      <b/>
      <sz val="12"/>
      <color rgb="FF2D2926"/>
      <name val="Calibri"/>
      <family val="2"/>
      <scheme val="minor"/>
    </font>
    <font>
      <sz val="12"/>
      <color rgb="FF2D2926"/>
      <name val="Calibri"/>
      <family val="2"/>
      <scheme val="minor"/>
    </font>
    <font>
      <b/>
      <u/>
      <sz val="12"/>
      <color rgb="FF2D2926"/>
      <name val="Calibri"/>
      <family val="2"/>
      <scheme val="minor"/>
    </font>
    <font>
      <sz val="12"/>
      <color indexed="9"/>
      <name val="Calibri"/>
      <family val="2"/>
      <scheme val="minor"/>
    </font>
    <font>
      <b/>
      <sz val="12"/>
      <color indexed="9"/>
      <name val="Calibri"/>
      <family val="2"/>
      <scheme val="minor"/>
    </font>
    <font>
      <sz val="12"/>
      <color rgb="FF89CB31"/>
      <name val="Calibri"/>
      <family val="2"/>
      <scheme val="minor"/>
    </font>
    <font>
      <b/>
      <sz val="12"/>
      <color indexed="53"/>
      <name val="Calibri"/>
      <family val="2"/>
      <scheme val="minor"/>
    </font>
    <font>
      <b/>
      <sz val="14"/>
      <color rgb="FF2D2926"/>
      <name val="Calibri"/>
      <family val="2"/>
      <scheme val="minor"/>
    </font>
    <font>
      <b/>
      <u/>
      <sz val="12"/>
      <color indexed="9"/>
      <name val="Calibri"/>
      <family val="2"/>
      <scheme val="minor"/>
    </font>
    <font>
      <sz val="12"/>
      <color indexed="8"/>
      <name val="Calibri"/>
      <family val="2"/>
      <scheme val="minor"/>
    </font>
    <font>
      <sz val="12"/>
      <color indexed="18"/>
      <name val="Calibri"/>
      <family val="2"/>
      <scheme val="minor"/>
    </font>
    <font>
      <b/>
      <u/>
      <sz val="12"/>
      <name val="Calibri"/>
      <family val="2"/>
      <scheme val="minor"/>
    </font>
    <font>
      <sz val="12"/>
      <color indexed="53"/>
      <name val="Calibri"/>
      <family val="2"/>
      <scheme val="minor"/>
    </font>
    <font>
      <b/>
      <sz val="12"/>
      <color indexed="29"/>
      <name val="Calibri"/>
      <family val="2"/>
      <scheme val="minor"/>
    </font>
    <font>
      <b/>
      <u/>
      <sz val="12"/>
      <color indexed="8"/>
      <name val="Calibri"/>
      <family val="2"/>
      <scheme val="minor"/>
    </font>
    <font>
      <b/>
      <sz val="12"/>
      <color indexed="8"/>
      <name val="Calibri"/>
      <family val="2"/>
      <scheme val="minor"/>
    </font>
    <font>
      <b/>
      <sz val="14"/>
      <color indexed="53"/>
      <name val="Calibri"/>
      <family val="2"/>
      <scheme val="minor"/>
    </font>
  </fonts>
  <fills count="6">
    <fill>
      <patternFill patternType="none"/>
    </fill>
    <fill>
      <patternFill patternType="gray125"/>
    </fill>
    <fill>
      <patternFill patternType="solid">
        <fgColor indexed="38"/>
        <bgColor indexed="64"/>
      </patternFill>
    </fill>
    <fill>
      <patternFill patternType="solid">
        <fgColor indexed="18"/>
        <bgColor indexed="64"/>
      </patternFill>
    </fill>
    <fill>
      <patternFill patternType="solid">
        <fgColor rgb="FFF4F4F4"/>
        <bgColor indexed="64"/>
      </patternFill>
    </fill>
    <fill>
      <patternFill patternType="solid">
        <fgColor rgb="FF89CB31"/>
        <bgColor indexed="64"/>
      </patternFill>
    </fill>
  </fills>
  <borders count="29">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bottom style="hair">
        <color indexed="8"/>
      </bottom>
      <diagonal/>
    </border>
    <border>
      <left/>
      <right/>
      <top/>
      <bottom style="hair">
        <color indexed="8"/>
      </bottom>
      <diagonal/>
    </border>
    <border>
      <left/>
      <right style="medium">
        <color indexed="8"/>
      </right>
      <top/>
      <bottom style="hair">
        <color indexed="8"/>
      </bottom>
      <diagonal/>
    </border>
    <border>
      <left style="medium">
        <color indexed="8"/>
      </left>
      <right/>
      <top/>
      <bottom style="thin">
        <color indexed="55"/>
      </bottom>
      <diagonal/>
    </border>
    <border>
      <left/>
      <right/>
      <top/>
      <bottom style="thin">
        <color indexed="55"/>
      </bottom>
      <diagonal/>
    </border>
    <border>
      <left/>
      <right style="medium">
        <color indexed="8"/>
      </right>
      <top/>
      <bottom style="thin">
        <color indexed="55"/>
      </bottom>
      <diagonal/>
    </border>
  </borders>
  <cellStyleXfs count="2">
    <xf numFmtId="0" fontId="0" fillId="0" borderId="0"/>
    <xf numFmtId="0" fontId="15" fillId="0" borderId="0" applyNumberFormat="0" applyFill="0" applyBorder="0" applyAlignment="0" applyProtection="0">
      <alignment vertical="top"/>
      <protection locked="0"/>
    </xf>
  </cellStyleXfs>
  <cellXfs count="470">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10" fontId="35" fillId="2" borderId="15" xfId="0" applyNumberFormat="1" applyFont="1" applyFill="1" applyBorder="1" applyAlignment="1">
      <alignment horizontal="center"/>
    </xf>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0" fontId="2" fillId="2" borderId="20" xfId="0" applyNumberFormat="1" applyFont="1" applyFill="1" applyBorder="1" applyAlignment="1"/>
    <xf numFmtId="0" fontId="24" fillId="2" borderId="21" xfId="0" applyNumberFormat="1" applyFont="1" applyFill="1" applyBorder="1" applyAlignment="1"/>
    <xf numFmtId="3" fontId="24" fillId="2" borderId="21" xfId="0" applyNumberFormat="1" applyFont="1" applyFill="1" applyBorder="1" applyAlignment="1" applyProtection="1">
      <alignment horizontal="right"/>
      <protection locked="0"/>
    </xf>
    <xf numFmtId="0" fontId="2" fillId="2" borderId="22" xfId="0" applyNumberFormat="1" applyFont="1" applyFill="1" applyBorder="1" applyAlignment="1"/>
    <xf numFmtId="0" fontId="2" fillId="2" borderId="23" xfId="0" applyNumberFormat="1" applyFont="1" applyFill="1" applyBorder="1" applyAlignment="1"/>
    <xf numFmtId="0" fontId="24" fillId="2" borderId="24" xfId="0" applyNumberFormat="1" applyFont="1" applyFill="1" applyBorder="1" applyAlignment="1"/>
    <xf numFmtId="3" fontId="24" fillId="2" borderId="24" xfId="0" applyNumberFormat="1" applyFont="1" applyFill="1" applyBorder="1" applyAlignment="1" applyProtection="1">
      <alignment horizontal="right"/>
      <protection locked="0"/>
    </xf>
    <xf numFmtId="0" fontId="2" fillId="2" borderId="25" xfId="0" applyNumberFormat="1" applyFont="1" applyFill="1" applyBorder="1" applyAlignment="1"/>
    <xf numFmtId="0" fontId="37" fillId="4" borderId="0" xfId="1" applyNumberFormat="1" applyFont="1" applyFill="1" applyAlignment="1" applyProtection="1"/>
    <xf numFmtId="0" fontId="38" fillId="4" borderId="15" xfId="1" applyNumberFormat="1" applyFont="1" applyFill="1" applyBorder="1" applyAlignment="1" applyProtection="1"/>
    <xf numFmtId="0" fontId="39" fillId="2" borderId="5" xfId="0" applyNumberFormat="1" applyFont="1" applyFill="1" applyBorder="1" applyAlignment="1"/>
    <xf numFmtId="0" fontId="40" fillId="2" borderId="2" xfId="0" applyNumberFormat="1" applyFont="1" applyFill="1" applyBorder="1" applyAlignment="1"/>
    <xf numFmtId="0" fontId="39" fillId="2" borderId="2" xfId="0" applyNumberFormat="1" applyFont="1" applyFill="1" applyBorder="1" applyAlignment="1"/>
    <xf numFmtId="0" fontId="39" fillId="2" borderId="17" xfId="0" applyNumberFormat="1" applyFont="1" applyFill="1" applyBorder="1" applyAlignment="1"/>
    <xf numFmtId="0" fontId="39" fillId="0" borderId="1" xfId="0" applyNumberFormat="1" applyFont="1" applyBorder="1"/>
    <xf numFmtId="0" fontId="39" fillId="0" borderId="0" xfId="0" applyNumberFormat="1" applyFont="1" applyAlignment="1"/>
    <xf numFmtId="0" fontId="39" fillId="2" borderId="1" xfId="0" applyNumberFormat="1" applyFont="1" applyFill="1" applyBorder="1" applyAlignment="1"/>
    <xf numFmtId="0" fontId="41" fillId="2" borderId="0" xfId="0" applyNumberFormat="1" applyFont="1" applyFill="1" applyAlignment="1"/>
    <xf numFmtId="0" fontId="39" fillId="2" borderId="0" xfId="0" applyNumberFormat="1" applyFont="1" applyFill="1" applyAlignment="1"/>
    <xf numFmtId="0" fontId="39" fillId="2" borderId="18" xfId="0" applyNumberFormat="1" applyFont="1" applyFill="1" applyBorder="1" applyAlignment="1"/>
    <xf numFmtId="0" fontId="39" fillId="2" borderId="1" xfId="0" applyNumberFormat="1" applyFont="1" applyFill="1" applyBorder="1" applyAlignment="1">
      <alignment horizontal="center"/>
    </xf>
    <xf numFmtId="0" fontId="42" fillId="2" borderId="0" xfId="0" applyNumberFormat="1" applyFont="1" applyFill="1" applyAlignment="1"/>
    <xf numFmtId="0" fontId="43" fillId="2" borderId="0" xfId="0" applyNumberFormat="1" applyFont="1" applyFill="1" applyAlignment="1"/>
    <xf numFmtId="0" fontId="44" fillId="2" borderId="0" xfId="0" applyNumberFormat="1" applyFont="1" applyFill="1" applyAlignment="1"/>
    <xf numFmtId="0" fontId="45" fillId="2" borderId="0" xfId="0" applyNumberFormat="1" applyFont="1" applyFill="1" applyAlignment="1"/>
    <xf numFmtId="0" fontId="46" fillId="2" borderId="0" xfId="1" applyNumberFormat="1" applyFont="1" applyFill="1" applyAlignment="1" applyProtection="1"/>
    <xf numFmtId="0" fontId="47" fillId="2" borderId="0" xfId="0" applyNumberFormat="1" applyFont="1" applyFill="1" applyAlignment="1"/>
    <xf numFmtId="0" fontId="48" fillId="2" borderId="0" xfId="0" applyNumberFormat="1" applyFont="1" applyFill="1" applyAlignment="1"/>
    <xf numFmtId="0" fontId="49" fillId="2" borderId="1" xfId="0" applyNumberFormat="1" applyFont="1" applyFill="1" applyBorder="1" applyAlignment="1"/>
    <xf numFmtId="0" fontId="49" fillId="2" borderId="0" xfId="0" applyNumberFormat="1" applyFont="1" applyFill="1" applyAlignment="1"/>
    <xf numFmtId="0" fontId="50" fillId="2" borderId="0" xfId="0" applyNumberFormat="1" applyFont="1" applyFill="1" applyAlignment="1">
      <alignment horizontal="center" wrapText="1"/>
    </xf>
    <xf numFmtId="0" fontId="49" fillId="2" borderId="18" xfId="0" applyNumberFormat="1" applyFont="1" applyFill="1" applyBorder="1" applyAlignment="1"/>
    <xf numFmtId="0" fontId="49" fillId="0" borderId="1" xfId="0" applyNumberFormat="1" applyFont="1" applyBorder="1"/>
    <xf numFmtId="0" fontId="49" fillId="0" borderId="0" xfId="0" applyNumberFormat="1" applyFont="1" applyAlignment="1"/>
    <xf numFmtId="9" fontId="48" fillId="2" borderId="0" xfId="0" applyNumberFormat="1" applyFont="1" applyFill="1" applyAlignment="1">
      <alignment horizontal="center"/>
    </xf>
    <xf numFmtId="10" fontId="48" fillId="2" borderId="0" xfId="0" applyNumberFormat="1" applyFont="1" applyFill="1" applyAlignment="1">
      <alignment horizontal="center"/>
    </xf>
    <xf numFmtId="15" fontId="48" fillId="2" borderId="0" xfId="0" applyNumberFormat="1" applyFont="1" applyFill="1" applyAlignment="1">
      <alignment horizontal="center"/>
    </xf>
    <xf numFmtId="0" fontId="49" fillId="2" borderId="0" xfId="0" applyNumberFormat="1" applyFont="1" applyFill="1" applyAlignment="1">
      <alignment horizontal="center"/>
    </xf>
    <xf numFmtId="0" fontId="50" fillId="2" borderId="0" xfId="0" applyNumberFormat="1" applyFont="1" applyFill="1" applyAlignment="1"/>
    <xf numFmtId="0" fontId="39" fillId="2" borderId="0" xfId="0" applyNumberFormat="1" applyFont="1" applyFill="1" applyAlignment="1">
      <alignment horizontal="right"/>
    </xf>
    <xf numFmtId="0" fontId="48" fillId="2" borderId="14" xfId="0" applyNumberFormat="1" applyFont="1" applyFill="1" applyBorder="1" applyAlignment="1"/>
    <xf numFmtId="0" fontId="49" fillId="2" borderId="15" xfId="0" applyNumberFormat="1" applyFont="1" applyFill="1" applyBorder="1" applyAlignment="1"/>
    <xf numFmtId="0" fontId="48" fillId="2" borderId="15" xfId="0" applyNumberFormat="1" applyFont="1" applyFill="1" applyBorder="1" applyAlignment="1">
      <alignment horizontal="center" wrapText="1"/>
    </xf>
    <xf numFmtId="0" fontId="49" fillId="2" borderId="15" xfId="0" applyNumberFormat="1" applyFont="1" applyFill="1" applyBorder="1" applyAlignment="1">
      <alignment horizontal="center" wrapText="1"/>
    </xf>
    <xf numFmtId="0" fontId="49" fillId="2" borderId="16" xfId="0" applyNumberFormat="1" applyFont="1" applyFill="1" applyBorder="1" applyAlignment="1"/>
    <xf numFmtId="0" fontId="49" fillId="2" borderId="14" xfId="0" applyNumberFormat="1" applyFont="1" applyFill="1" applyBorder="1" applyAlignment="1"/>
    <xf numFmtId="0" fontId="48" fillId="2" borderId="15" xfId="0" applyNumberFormat="1" applyFont="1" applyFill="1" applyBorder="1" applyAlignment="1"/>
    <xf numFmtId="0" fontId="49" fillId="2" borderId="15" xfId="0" applyNumberFormat="1" applyFont="1" applyFill="1" applyBorder="1" applyAlignment="1">
      <alignment horizontal="center"/>
    </xf>
    <xf numFmtId="169" fontId="49" fillId="0" borderId="0" xfId="0" applyNumberFormat="1" applyFont="1" applyAlignment="1"/>
    <xf numFmtId="171" fontId="49" fillId="0" borderId="0" xfId="0" applyNumberFormat="1" applyFont="1" applyAlignment="1"/>
    <xf numFmtId="164" fontId="49" fillId="2" borderId="15" xfId="0" applyNumberFormat="1" applyFont="1" applyFill="1" applyBorder="1" applyAlignment="1"/>
    <xf numFmtId="164" fontId="49" fillId="2" borderId="15" xfId="0" applyNumberFormat="1" applyFont="1" applyFill="1" applyBorder="1" applyAlignment="1">
      <alignment horizontal="center"/>
    </xf>
    <xf numFmtId="3" fontId="49" fillId="2" borderId="16" xfId="0" applyNumberFormat="1" applyFont="1" applyFill="1" applyBorder="1" applyAlignment="1"/>
    <xf numFmtId="164" fontId="48" fillId="2" borderId="15" xfId="0" applyNumberFormat="1" applyFont="1" applyFill="1" applyBorder="1" applyAlignment="1"/>
    <xf numFmtId="169" fontId="49" fillId="2" borderId="15" xfId="0" applyNumberFormat="1" applyFont="1" applyFill="1" applyBorder="1" applyAlignment="1">
      <alignment horizontal="center"/>
    </xf>
    <xf numFmtId="168" fontId="49" fillId="2" borderId="15" xfId="0" applyNumberFormat="1" applyFont="1" applyFill="1" applyBorder="1" applyAlignment="1">
      <alignment horizontal="center"/>
    </xf>
    <xf numFmtId="171" fontId="49" fillId="2" borderId="15" xfId="0" applyNumberFormat="1" applyFont="1" applyFill="1" applyBorder="1" applyAlignment="1">
      <alignment horizontal="center"/>
    </xf>
    <xf numFmtId="164" fontId="48" fillId="2" borderId="15" xfId="0" applyNumberFormat="1" applyFont="1" applyFill="1" applyBorder="1" applyAlignment="1">
      <alignment horizontal="center"/>
    </xf>
    <xf numFmtId="169" fontId="48" fillId="2" borderId="15" xfId="0" applyNumberFormat="1" applyFont="1" applyFill="1" applyBorder="1" applyAlignment="1">
      <alignment horizontal="center"/>
    </xf>
    <xf numFmtId="168" fontId="48" fillId="2" borderId="15" xfId="0" applyNumberFormat="1" applyFont="1" applyFill="1" applyBorder="1" applyAlignment="1">
      <alignment horizontal="center"/>
    </xf>
    <xf numFmtId="0" fontId="39" fillId="2" borderId="14" xfId="0" applyNumberFormat="1" applyFont="1" applyFill="1" applyBorder="1" applyAlignment="1"/>
    <xf numFmtId="0" fontId="42" fillId="2" borderId="15" xfId="0" applyNumberFormat="1" applyFont="1" applyFill="1" applyBorder="1" applyAlignment="1"/>
    <xf numFmtId="0" fontId="53" fillId="2" borderId="15" xfId="0" applyNumberFormat="1" applyFont="1" applyFill="1" applyBorder="1" applyAlignment="1"/>
    <xf numFmtId="170" fontId="42" fillId="2" borderId="15" xfId="0" applyNumberFormat="1" applyFont="1" applyFill="1" applyBorder="1" applyAlignment="1">
      <alignment horizontal="center"/>
    </xf>
    <xf numFmtId="170" fontId="54" fillId="2" borderId="15" xfId="0" applyNumberFormat="1" applyFont="1" applyFill="1" applyBorder="1" applyAlignment="1">
      <alignment horizontal="center"/>
    </xf>
    <xf numFmtId="0" fontId="39" fillId="2" borderId="15" xfId="0" applyNumberFormat="1" applyFont="1" applyFill="1" applyBorder="1" applyAlignment="1">
      <alignment horizontal="center"/>
    </xf>
    <xf numFmtId="0" fontId="39" fillId="2" borderId="15" xfId="0" applyNumberFormat="1" applyFont="1" applyFill="1" applyBorder="1" applyAlignment="1"/>
    <xf numFmtId="164" fontId="39" fillId="2" borderId="15" xfId="0" applyNumberFormat="1" applyFont="1" applyFill="1" applyBorder="1" applyAlignment="1"/>
    <xf numFmtId="0" fontId="39" fillId="2" borderId="16" xfId="0" applyNumberFormat="1" applyFont="1" applyFill="1" applyBorder="1" applyAlignment="1"/>
    <xf numFmtId="10" fontId="39" fillId="2" borderId="15" xfId="0" applyNumberFormat="1" applyFont="1" applyFill="1" applyBorder="1" applyAlignment="1">
      <alignment horizontal="center"/>
    </xf>
    <xf numFmtId="165" fontId="39" fillId="2" borderId="15" xfId="0" applyNumberFormat="1" applyFont="1" applyFill="1" applyBorder="1" applyAlignment="1">
      <alignment horizontal="center"/>
    </xf>
    <xf numFmtId="10" fontId="49" fillId="2" borderId="15" xfId="0" applyNumberFormat="1" applyFont="1" applyFill="1" applyBorder="1" applyAlignment="1">
      <alignment horizontal="center"/>
    </xf>
    <xf numFmtId="165" fontId="49" fillId="2" borderId="15" xfId="0" applyNumberFormat="1" applyFont="1" applyFill="1" applyBorder="1" applyAlignment="1">
      <alignment horizontal="center"/>
    </xf>
    <xf numFmtId="167" fontId="49" fillId="2" borderId="15" xfId="0" applyNumberFormat="1" applyFont="1" applyFill="1" applyBorder="1" applyAlignment="1">
      <alignment horizontal="center"/>
    </xf>
    <xf numFmtId="0" fontId="49" fillId="2" borderId="15" xfId="0" applyNumberFormat="1" applyFont="1" applyFill="1" applyBorder="1" applyAlignment="1">
      <alignment horizontal="right"/>
    </xf>
    <xf numFmtId="4" fontId="49" fillId="2" borderId="15" xfId="0" applyNumberFormat="1" applyFont="1" applyFill="1" applyBorder="1" applyAlignment="1">
      <alignment horizontal="center"/>
    </xf>
    <xf numFmtId="0" fontId="48" fillId="2" borderId="15" xfId="0" applyNumberFormat="1" applyFont="1" applyFill="1" applyBorder="1" applyAlignment="1">
      <alignment horizontal="center"/>
    </xf>
    <xf numFmtId="15" fontId="48" fillId="2" borderId="15" xfId="0" applyNumberFormat="1" applyFont="1" applyFill="1" applyBorder="1" applyAlignment="1">
      <alignment horizontal="center"/>
    </xf>
    <xf numFmtId="15" fontId="48" fillId="2" borderId="15" xfId="0" applyNumberFormat="1" applyFont="1" applyFill="1" applyBorder="1" applyAlignment="1" applyProtection="1">
      <alignment horizontal="center"/>
      <protection locked="0"/>
    </xf>
    <xf numFmtId="15" fontId="49" fillId="2" borderId="15" xfId="0" applyNumberFormat="1" applyFont="1" applyFill="1" applyBorder="1" applyAlignment="1"/>
    <xf numFmtId="15" fontId="49" fillId="2" borderId="15" xfId="0" applyNumberFormat="1" applyFont="1" applyFill="1" applyBorder="1" applyAlignment="1" applyProtection="1">
      <alignment horizontal="center"/>
      <protection locked="0"/>
    </xf>
    <xf numFmtId="15" fontId="49" fillId="2" borderId="15" xfId="0" applyNumberFormat="1" applyFont="1" applyFill="1" applyBorder="1" applyAlignment="1">
      <alignment horizontal="center"/>
    </xf>
    <xf numFmtId="0" fontId="49" fillId="0" borderId="0" xfId="0" applyNumberFormat="1" applyFont="1" applyFill="1" applyBorder="1" applyAlignment="1"/>
    <xf numFmtId="0" fontId="49" fillId="2" borderId="0" xfId="0" applyNumberFormat="1" applyFont="1" applyFill="1" applyBorder="1" applyAlignment="1"/>
    <xf numFmtId="15" fontId="49" fillId="2" borderId="0" xfId="0" applyNumberFormat="1" applyFont="1" applyFill="1" applyBorder="1" applyAlignment="1" applyProtection="1">
      <alignment horizontal="center"/>
      <protection locked="0"/>
    </xf>
    <xf numFmtId="15" fontId="49" fillId="2" borderId="0" xfId="0" applyNumberFormat="1" applyFont="1" applyFill="1" applyBorder="1" applyAlignment="1">
      <alignment horizontal="center"/>
    </xf>
    <xf numFmtId="15" fontId="49" fillId="2" borderId="0" xfId="0" applyNumberFormat="1" applyFont="1" applyFill="1" applyAlignment="1" applyProtection="1">
      <alignment horizontal="center"/>
      <protection locked="0"/>
    </xf>
    <xf numFmtId="15" fontId="49" fillId="2" borderId="0" xfId="0" applyNumberFormat="1" applyFont="1" applyFill="1" applyAlignment="1">
      <alignment horizontal="center"/>
    </xf>
    <xf numFmtId="0" fontId="49" fillId="2" borderId="8" xfId="0" applyNumberFormat="1" applyFont="1" applyFill="1" applyBorder="1" applyAlignment="1"/>
    <xf numFmtId="0" fontId="55" fillId="2" borderId="9" xfId="0" applyNumberFormat="1" applyFont="1" applyFill="1" applyBorder="1" applyAlignment="1"/>
    <xf numFmtId="0" fontId="49" fillId="2" borderId="9" xfId="0" applyNumberFormat="1" applyFont="1" applyFill="1" applyBorder="1" applyAlignment="1"/>
    <xf numFmtId="0" fontId="49" fillId="2" borderId="9" xfId="0" applyNumberFormat="1" applyFont="1" applyFill="1" applyBorder="1" applyAlignment="1" applyProtection="1">
      <alignment horizontal="right"/>
      <protection locked="0"/>
    </xf>
    <xf numFmtId="0" fontId="49" fillId="2" borderId="10" xfId="0" applyNumberFormat="1" applyFont="1" applyFill="1" applyBorder="1" applyAlignment="1"/>
    <xf numFmtId="4" fontId="39" fillId="2" borderId="0" xfId="0" applyNumberFormat="1" applyFont="1" applyFill="1" applyAlignment="1" applyProtection="1">
      <alignment horizontal="right"/>
      <protection locked="0"/>
    </xf>
    <xf numFmtId="0" fontId="53" fillId="2" borderId="1" xfId="0" applyNumberFormat="1" applyFont="1" applyFill="1" applyBorder="1" applyAlignment="1"/>
    <xf numFmtId="0" fontId="42" fillId="2" borderId="0" xfId="0" applyNumberFormat="1" applyFont="1" applyFill="1" applyAlignment="1">
      <alignment horizontal="left" vertical="top" wrapText="1"/>
    </xf>
    <xf numFmtId="0" fontId="42" fillId="2" borderId="0" xfId="0" applyNumberFormat="1" applyFont="1" applyFill="1" applyAlignment="1">
      <alignment horizontal="center" vertical="top" wrapText="1"/>
    </xf>
    <xf numFmtId="4" fontId="42" fillId="2" borderId="0" xfId="0" applyNumberFormat="1" applyFont="1" applyFill="1" applyAlignment="1" applyProtection="1">
      <alignment horizontal="center" vertical="top" wrapText="1"/>
      <protection locked="0"/>
    </xf>
    <xf numFmtId="0" fontId="53" fillId="2" borderId="18" xfId="0" applyNumberFormat="1" applyFont="1" applyFill="1" applyBorder="1" applyAlignment="1"/>
    <xf numFmtId="0" fontId="53" fillId="0" borderId="1" xfId="0" applyNumberFormat="1" applyFont="1" applyBorder="1"/>
    <xf numFmtId="0" fontId="53" fillId="0" borderId="0" xfId="0" applyNumberFormat="1" applyFont="1" applyAlignment="1"/>
    <xf numFmtId="3" fontId="49" fillId="2" borderId="15" xfId="0" applyNumberFormat="1" applyFont="1" applyFill="1" applyBorder="1" applyAlignment="1"/>
    <xf numFmtId="3" fontId="49" fillId="2" borderId="15" xfId="0" applyNumberFormat="1" applyFont="1" applyFill="1" applyBorder="1" applyAlignment="1" applyProtection="1">
      <alignment horizontal="right"/>
      <protection locked="0"/>
    </xf>
    <xf numFmtId="0" fontId="39" fillId="2" borderId="0" xfId="0" applyNumberFormat="1" applyFont="1" applyFill="1" applyBorder="1" applyAlignment="1"/>
    <xf numFmtId="3" fontId="39" fillId="2" borderId="0" xfId="0" applyNumberFormat="1" applyFont="1" applyFill="1" applyBorder="1" applyAlignment="1"/>
    <xf numFmtId="3" fontId="57" fillId="2" borderId="0" xfId="0" applyNumberFormat="1" applyFont="1" applyFill="1" applyBorder="1" applyAlignment="1"/>
    <xf numFmtId="3" fontId="39" fillId="2" borderId="0" xfId="0" applyNumberFormat="1" applyFont="1" applyFill="1" applyAlignment="1"/>
    <xf numFmtId="3" fontId="57" fillId="2" borderId="0" xfId="0" applyNumberFormat="1" applyFont="1" applyFill="1" applyAlignment="1"/>
    <xf numFmtId="14" fontId="49" fillId="2" borderId="15" xfId="0" applyNumberFormat="1" applyFont="1" applyFill="1" applyBorder="1" applyAlignment="1">
      <alignment horizontal="right"/>
    </xf>
    <xf numFmtId="167" fontId="49" fillId="2" borderId="15" xfId="0" applyNumberFormat="1" applyFont="1" applyFill="1" applyBorder="1" applyAlignment="1">
      <alignment horizontal="right"/>
    </xf>
    <xf numFmtId="0" fontId="37" fillId="2" borderId="15" xfId="0" applyNumberFormat="1" applyFont="1" applyFill="1" applyBorder="1" applyAlignment="1"/>
    <xf numFmtId="3" fontId="58" fillId="2" borderId="15" xfId="0" applyNumberFormat="1" applyFont="1" applyFill="1" applyBorder="1" applyAlignment="1"/>
    <xf numFmtId="0" fontId="58" fillId="2" borderId="15" xfId="0" applyNumberFormat="1" applyFont="1" applyFill="1" applyBorder="1" applyAlignment="1"/>
    <xf numFmtId="3" fontId="58" fillId="2" borderId="15" xfId="0" applyNumberFormat="1" applyFont="1" applyFill="1" applyBorder="1" applyAlignment="1" applyProtection="1">
      <alignment horizontal="right"/>
      <protection locked="0"/>
    </xf>
    <xf numFmtId="3" fontId="49" fillId="0" borderId="0" xfId="0" applyNumberFormat="1" applyFont="1" applyAlignment="1"/>
    <xf numFmtId="4" fontId="58" fillId="2" borderId="15" xfId="0" applyNumberFormat="1" applyFont="1" applyFill="1" applyBorder="1" applyAlignment="1" applyProtection="1">
      <alignment horizontal="right"/>
      <protection locked="0"/>
    </xf>
    <xf numFmtId="3" fontId="49" fillId="2" borderId="0" xfId="0" applyNumberFormat="1" applyFont="1" applyFill="1" applyBorder="1" applyAlignment="1"/>
    <xf numFmtId="4" fontId="49" fillId="2" borderId="0" xfId="0" applyNumberFormat="1" applyFont="1" applyFill="1" applyAlignment="1" applyProtection="1">
      <alignment horizontal="right"/>
      <protection locked="0"/>
    </xf>
    <xf numFmtId="4" fontId="49" fillId="2" borderId="9" xfId="0" applyNumberFormat="1" applyFont="1" applyFill="1" applyBorder="1" applyAlignment="1" applyProtection="1">
      <alignment horizontal="right"/>
      <protection locked="0"/>
    </xf>
    <xf numFmtId="0" fontId="59" fillId="2" borderId="0" xfId="0" applyNumberFormat="1" applyFont="1" applyFill="1" applyAlignment="1"/>
    <xf numFmtId="0" fontId="37" fillId="2" borderId="0" xfId="0" applyNumberFormat="1" applyFont="1" applyFill="1" applyAlignment="1"/>
    <xf numFmtId="4" fontId="49" fillId="2" borderId="0" xfId="0" applyNumberFormat="1" applyFont="1" applyFill="1" applyBorder="1" applyAlignment="1" applyProtection="1">
      <alignment horizontal="right"/>
      <protection locked="0"/>
    </xf>
    <xf numFmtId="0" fontId="58" fillId="2" borderId="0" xfId="0" applyNumberFormat="1" applyFont="1" applyFill="1" applyBorder="1" applyAlignment="1"/>
    <xf numFmtId="3" fontId="58" fillId="2" borderId="0" xfId="0" applyNumberFormat="1" applyFont="1" applyFill="1" applyBorder="1" applyAlignment="1" applyProtection="1">
      <alignment horizontal="right"/>
      <protection locked="0"/>
    </xf>
    <xf numFmtId="0" fontId="49" fillId="2" borderId="20" xfId="0" applyNumberFormat="1" applyFont="1" applyFill="1" applyBorder="1" applyAlignment="1"/>
    <xf numFmtId="0" fontId="49" fillId="2" borderId="21" xfId="0" applyNumberFormat="1" applyFont="1" applyFill="1" applyBorder="1" applyAlignment="1"/>
    <xf numFmtId="3" fontId="49" fillId="2" borderId="21" xfId="0" applyNumberFormat="1" applyFont="1" applyFill="1" applyBorder="1" applyAlignment="1" applyProtection="1">
      <alignment horizontal="right"/>
      <protection locked="0"/>
    </xf>
    <xf numFmtId="0" fontId="49" fillId="2" borderId="22" xfId="0" applyNumberFormat="1" applyFont="1" applyFill="1" applyBorder="1" applyAlignment="1"/>
    <xf numFmtId="0" fontId="49" fillId="2" borderId="23" xfId="0" applyNumberFormat="1" applyFont="1" applyFill="1" applyBorder="1" applyAlignment="1"/>
    <xf numFmtId="0" fontId="49" fillId="2" borderId="24" xfId="0" applyNumberFormat="1" applyFont="1" applyFill="1" applyBorder="1" applyAlignment="1"/>
    <xf numFmtId="3" fontId="49" fillId="2" borderId="24" xfId="0" applyNumberFormat="1" applyFont="1" applyFill="1" applyBorder="1" applyAlignment="1" applyProtection="1">
      <alignment horizontal="right"/>
      <protection locked="0"/>
    </xf>
    <xf numFmtId="0" fontId="49" fillId="2" borderId="25" xfId="0" applyNumberFormat="1" applyFont="1" applyFill="1" applyBorder="1" applyAlignment="1"/>
    <xf numFmtId="4" fontId="39" fillId="2" borderId="0" xfId="0" applyNumberFormat="1" applyFont="1" applyFill="1" applyBorder="1" applyAlignment="1" applyProtection="1">
      <alignment horizontal="right"/>
      <protection locked="0"/>
    </xf>
    <xf numFmtId="4" fontId="57" fillId="2" borderId="0" xfId="0" applyNumberFormat="1" applyFont="1" applyFill="1" applyAlignment="1" applyProtection="1">
      <alignment horizontal="right"/>
      <protection locked="0"/>
    </xf>
    <xf numFmtId="4" fontId="39" fillId="2" borderId="2" xfId="0" applyNumberFormat="1" applyFont="1" applyFill="1" applyBorder="1" applyAlignment="1" applyProtection="1">
      <alignment horizontal="right"/>
      <protection locked="0"/>
    </xf>
    <xf numFmtId="3" fontId="39" fillId="2" borderId="0" xfId="0" applyNumberFormat="1" applyFont="1" applyFill="1" applyBorder="1" applyAlignment="1" applyProtection="1">
      <alignment horizontal="right"/>
      <protection locked="0"/>
    </xf>
    <xf numFmtId="0" fontId="39" fillId="0" borderId="0" xfId="0" applyNumberFormat="1" applyFont="1" applyBorder="1" applyAlignment="1"/>
    <xf numFmtId="0" fontId="49" fillId="0" borderId="3" xfId="0" applyNumberFormat="1" applyFont="1" applyBorder="1" applyAlignment="1"/>
    <xf numFmtId="0" fontId="49" fillId="0" borderId="4" xfId="0" applyNumberFormat="1" applyFont="1" applyBorder="1" applyAlignment="1"/>
    <xf numFmtId="0" fontId="39" fillId="0" borderId="2" xfId="0" applyNumberFormat="1" applyFont="1" applyBorder="1" applyAlignment="1"/>
    <xf numFmtId="0" fontId="60" fillId="2" borderId="0" xfId="0" applyNumberFormat="1" applyFont="1" applyFill="1" applyAlignment="1"/>
    <xf numFmtId="0" fontId="54" fillId="2" borderId="0" xfId="0" applyNumberFormat="1" applyFont="1" applyFill="1" applyAlignment="1">
      <alignment horizontal="right"/>
    </xf>
    <xf numFmtId="0" fontId="42" fillId="2" borderId="0" xfId="0" applyNumberFormat="1" applyFont="1" applyFill="1" applyAlignment="1">
      <alignment horizontal="right"/>
    </xf>
    <xf numFmtId="4" fontId="42" fillId="2" borderId="0" xfId="0" applyNumberFormat="1" applyFont="1" applyFill="1" applyAlignment="1" applyProtection="1">
      <alignment horizontal="right"/>
      <protection locked="0"/>
    </xf>
    <xf numFmtId="0" fontId="61" fillId="2" borderId="18" xfId="0" applyNumberFormat="1" applyFont="1" applyFill="1" applyBorder="1" applyAlignment="1"/>
    <xf numFmtId="0" fontId="39" fillId="2" borderId="0" xfId="0" applyNumberFormat="1" applyFont="1" applyFill="1" applyAlignment="1" applyProtection="1">
      <protection locked="0"/>
    </xf>
    <xf numFmtId="4" fontId="49" fillId="2" borderId="15" xfId="0" applyNumberFormat="1" applyFont="1" applyFill="1" applyBorder="1" applyAlignment="1" applyProtection="1">
      <alignment horizontal="right"/>
      <protection locked="0"/>
    </xf>
    <xf numFmtId="2" fontId="49" fillId="2" borderId="15" xfId="0" applyNumberFormat="1" applyFont="1" applyFill="1" applyBorder="1" applyAlignment="1" applyProtection="1">
      <alignment horizontal="right"/>
      <protection locked="0"/>
    </xf>
    <xf numFmtId="0" fontId="57" fillId="2" borderId="1" xfId="0" applyNumberFormat="1" applyFont="1" applyFill="1" applyBorder="1" applyAlignment="1"/>
    <xf numFmtId="0" fontId="62" fillId="2" borderId="0" xfId="0" applyNumberFormat="1" applyFont="1" applyFill="1" applyAlignment="1"/>
    <xf numFmtId="15" fontId="63" fillId="2" borderId="0" xfId="0" applyNumberFormat="1" applyFont="1" applyFill="1" applyAlignment="1">
      <alignment horizontal="centerContinuous"/>
    </xf>
    <xf numFmtId="15" fontId="63" fillId="2" borderId="0" xfId="0" applyNumberFormat="1" applyFont="1" applyFill="1" applyAlignment="1">
      <alignment horizontal="center"/>
    </xf>
    <xf numFmtId="15" fontId="48" fillId="2" borderId="15" xfId="0" applyNumberFormat="1" applyFont="1" applyFill="1" applyBorder="1" applyAlignment="1">
      <alignment horizontal="centerContinuous"/>
    </xf>
    <xf numFmtId="17" fontId="49" fillId="2" borderId="15" xfId="0" applyNumberFormat="1" applyFont="1" applyFill="1" applyBorder="1" applyAlignment="1">
      <alignment horizontal="center"/>
    </xf>
    <xf numFmtId="0" fontId="57" fillId="2" borderId="0" xfId="0" applyNumberFormat="1" applyFont="1" applyFill="1" applyBorder="1" applyAlignment="1"/>
    <xf numFmtId="0" fontId="39" fillId="2" borderId="0" xfId="0" applyNumberFormat="1" applyFont="1" applyFill="1" applyBorder="1" applyAlignment="1" applyProtection="1">
      <protection locked="0"/>
    </xf>
    <xf numFmtId="0" fontId="49" fillId="2" borderId="14" xfId="0" applyNumberFormat="1" applyFont="1" applyFill="1" applyBorder="1" applyAlignment="1">
      <alignment horizontal="right"/>
    </xf>
    <xf numFmtId="3" fontId="49" fillId="2" borderId="15" xfId="0" applyNumberFormat="1" applyFont="1" applyFill="1" applyBorder="1" applyAlignment="1">
      <alignment horizontal="center"/>
    </xf>
    <xf numFmtId="3" fontId="49" fillId="2" borderId="15" xfId="0" applyNumberFormat="1" applyFont="1" applyFill="1" applyBorder="1" applyAlignment="1" applyProtection="1">
      <alignment horizontal="center"/>
      <protection locked="0"/>
    </xf>
    <xf numFmtId="0" fontId="49" fillId="2" borderId="15" xfId="0" applyNumberFormat="1" applyFont="1" applyFill="1" applyBorder="1" applyAlignment="1" applyProtection="1">
      <protection locked="0"/>
    </xf>
    <xf numFmtId="3" fontId="48" fillId="2" borderId="16" xfId="0" applyNumberFormat="1" applyFont="1" applyFill="1" applyBorder="1" applyAlignment="1"/>
    <xf numFmtId="0" fontId="57" fillId="2" borderId="14" xfId="0" applyNumberFormat="1" applyFont="1" applyFill="1" applyBorder="1" applyAlignment="1">
      <alignment horizontal="right"/>
    </xf>
    <xf numFmtId="3" fontId="57" fillId="2" borderId="15" xfId="0" applyNumberFormat="1" applyFont="1" applyFill="1" applyBorder="1" applyAlignment="1"/>
    <xf numFmtId="0" fontId="39" fillId="2" borderId="15" xfId="0" applyNumberFormat="1" applyFont="1" applyFill="1" applyBorder="1" applyAlignment="1" applyProtection="1">
      <protection locked="0"/>
    </xf>
    <xf numFmtId="3" fontId="63" fillId="2" borderId="16" xfId="0" applyNumberFormat="1" applyFont="1" applyFill="1" applyBorder="1" applyAlignment="1"/>
    <xf numFmtId="0" fontId="57" fillId="2" borderId="14" xfId="0" applyNumberFormat="1" applyFont="1" applyFill="1" applyBorder="1" applyAlignment="1">
      <alignment horizontal="center"/>
    </xf>
    <xf numFmtId="0" fontId="57" fillId="2" borderId="15" xfId="0" applyNumberFormat="1" applyFont="1" applyFill="1" applyBorder="1" applyAlignment="1"/>
    <xf numFmtId="3" fontId="58" fillId="2" borderId="15" xfId="0" applyNumberFormat="1" applyFont="1" applyFill="1" applyBorder="1" applyAlignment="1" applyProtection="1">
      <alignment horizontal="center"/>
      <protection locked="0"/>
    </xf>
    <xf numFmtId="0" fontId="63" fillId="2" borderId="16" xfId="0" applyNumberFormat="1" applyFont="1" applyFill="1" applyBorder="1" applyAlignment="1"/>
    <xf numFmtId="0" fontId="49" fillId="2" borderId="14" xfId="0" applyNumberFormat="1" applyFont="1" applyFill="1" applyBorder="1" applyAlignment="1">
      <alignment horizontal="center"/>
    </xf>
    <xf numFmtId="0" fontId="48" fillId="2" borderId="16" xfId="0" applyNumberFormat="1" applyFont="1" applyFill="1" applyBorder="1" applyAlignment="1"/>
    <xf numFmtId="0" fontId="58" fillId="2" borderId="15" xfId="0" applyNumberFormat="1" applyFont="1" applyFill="1" applyBorder="1" applyAlignment="1">
      <alignment horizontal="center"/>
    </xf>
    <xf numFmtId="4" fontId="49" fillId="2" borderId="15" xfId="0" applyNumberFormat="1" applyFont="1" applyFill="1" applyBorder="1" applyAlignment="1" applyProtection="1">
      <alignment horizontal="center"/>
      <protection locked="0"/>
    </xf>
    <xf numFmtId="0" fontId="57" fillId="2" borderId="15" xfId="0" applyNumberFormat="1" applyFont="1" applyFill="1" applyBorder="1" applyAlignment="1">
      <alignment horizontal="right"/>
    </xf>
    <xf numFmtId="10" fontId="58" fillId="2" borderId="15" xfId="0" applyNumberFormat="1" applyFont="1" applyFill="1" applyBorder="1" applyAlignment="1" applyProtection="1">
      <alignment horizontal="center"/>
      <protection locked="0"/>
    </xf>
    <xf numFmtId="10" fontId="57" fillId="2" borderId="15" xfId="0" applyNumberFormat="1" applyFont="1" applyFill="1" applyBorder="1" applyAlignment="1" applyProtection="1">
      <alignment horizontal="center"/>
      <protection locked="0"/>
    </xf>
    <xf numFmtId="0" fontId="45" fillId="2" borderId="15" xfId="0" applyNumberFormat="1" applyFont="1" applyFill="1" applyBorder="1" applyAlignment="1"/>
    <xf numFmtId="10" fontId="46" fillId="2" borderId="15" xfId="1" applyNumberFormat="1" applyFont="1" applyFill="1" applyBorder="1" applyAlignment="1">
      <alignment horizontal="left"/>
      <protection locked="0"/>
    </xf>
    <xf numFmtId="0" fontId="57" fillId="2" borderId="1" xfId="0" applyNumberFormat="1" applyFont="1" applyFill="1" applyBorder="1" applyAlignment="1">
      <alignment horizontal="right"/>
    </xf>
    <xf numFmtId="0" fontId="64" fillId="2" borderId="0" xfId="0" applyNumberFormat="1" applyFont="1" applyFill="1" applyBorder="1" applyAlignment="1"/>
    <xf numFmtId="0" fontId="57" fillId="2" borderId="0" xfId="0" applyNumberFormat="1" applyFont="1" applyFill="1" applyBorder="1" applyAlignment="1">
      <alignment horizontal="right"/>
    </xf>
    <xf numFmtId="10" fontId="46" fillId="2" borderId="0" xfId="1" applyNumberFormat="1" applyFont="1" applyFill="1" applyBorder="1" applyAlignment="1">
      <alignment horizontal="left"/>
      <protection locked="0"/>
    </xf>
    <xf numFmtId="10" fontId="57" fillId="2" borderId="0" xfId="0" applyNumberFormat="1" applyFont="1" applyFill="1" applyBorder="1" applyAlignment="1" applyProtection="1">
      <alignment horizontal="center"/>
      <protection locked="0"/>
    </xf>
    <xf numFmtId="0" fontId="63" fillId="2" borderId="18" xfId="0" applyNumberFormat="1" applyFont="1" applyFill="1" applyBorder="1" applyAlignment="1"/>
    <xf numFmtId="166" fontId="49" fillId="2" borderId="15" xfId="0" applyNumberFormat="1" applyFont="1" applyFill="1" applyBorder="1" applyAlignment="1"/>
    <xf numFmtId="10" fontId="49" fillId="2" borderId="15" xfId="0" applyNumberFormat="1" applyFont="1" applyFill="1" applyBorder="1" applyAlignment="1"/>
    <xf numFmtId="3" fontId="49" fillId="2" borderId="0" xfId="0" applyNumberFormat="1" applyFont="1" applyFill="1" applyBorder="1" applyAlignment="1" applyProtection="1">
      <alignment horizontal="right"/>
      <protection locked="0"/>
    </xf>
    <xf numFmtId="9" fontId="49" fillId="2" borderId="15" xfId="0" applyNumberFormat="1" applyFont="1" applyFill="1" applyBorder="1" applyAlignment="1"/>
    <xf numFmtId="9" fontId="39" fillId="2" borderId="0" xfId="0" applyNumberFormat="1" applyFont="1" applyFill="1" applyBorder="1" applyAlignment="1"/>
    <xf numFmtId="10" fontId="39" fillId="2" borderId="0" xfId="0" applyNumberFormat="1" applyFont="1" applyFill="1" applyBorder="1" applyAlignment="1"/>
    <xf numFmtId="3" fontId="57" fillId="2" borderId="0" xfId="0" applyNumberFormat="1" applyFont="1" applyFill="1" applyBorder="1" applyAlignment="1" applyProtection="1">
      <alignment horizontal="right"/>
      <protection locked="0"/>
    </xf>
    <xf numFmtId="3" fontId="48" fillId="2" borderId="15" xfId="0" applyNumberFormat="1" applyFont="1" applyFill="1" applyBorder="1" applyAlignment="1"/>
    <xf numFmtId="3" fontId="48" fillId="2" borderId="15" xfId="0" applyNumberFormat="1" applyFont="1" applyFill="1" applyBorder="1" applyAlignment="1" applyProtection="1">
      <alignment horizontal="right"/>
      <protection locked="0"/>
    </xf>
    <xf numFmtId="9" fontId="48" fillId="2" borderId="15" xfId="0" applyNumberFormat="1" applyFont="1" applyFill="1" applyBorder="1" applyAlignment="1"/>
    <xf numFmtId="10" fontId="48" fillId="2" borderId="15" xfId="0" applyNumberFormat="1" applyFont="1" applyFill="1" applyBorder="1" applyAlignment="1"/>
    <xf numFmtId="10" fontId="48" fillId="2" borderId="15" xfId="0" applyNumberFormat="1" applyFont="1" applyFill="1" applyBorder="1" applyAlignment="1" applyProtection="1">
      <alignment horizontal="right"/>
      <protection locked="0"/>
    </xf>
    <xf numFmtId="9" fontId="49" fillId="2" borderId="0" xfId="0" applyNumberFormat="1" applyFont="1" applyFill="1" applyAlignment="1"/>
    <xf numFmtId="3" fontId="49" fillId="2" borderId="0" xfId="0" applyNumberFormat="1" applyFont="1" applyFill="1" applyAlignment="1" applyProtection="1">
      <alignment horizontal="right"/>
      <protection locked="0"/>
    </xf>
    <xf numFmtId="0" fontId="48" fillId="2" borderId="0" xfId="0" applyNumberFormat="1" applyFont="1" applyFill="1" applyAlignment="1">
      <alignment horizontal="center"/>
    </xf>
    <xf numFmtId="0" fontId="48" fillId="2" borderId="0" xfId="0" quotePrefix="1" applyNumberFormat="1" applyFont="1" applyFill="1" applyAlignment="1">
      <alignment horizontal="center"/>
    </xf>
    <xf numFmtId="0" fontId="55" fillId="2" borderId="0" xfId="0" applyNumberFormat="1" applyFont="1" applyFill="1" applyAlignment="1"/>
    <xf numFmtId="0" fontId="39" fillId="0" borderId="2" xfId="0" applyNumberFormat="1" applyFont="1" applyBorder="1"/>
    <xf numFmtId="0" fontId="51" fillId="5" borderId="1" xfId="0" applyNumberFormat="1" applyFont="1" applyFill="1" applyBorder="1" applyAlignment="1"/>
    <xf numFmtId="0" fontId="51" fillId="5" borderId="0" xfId="0" applyNumberFormat="1" applyFont="1" applyFill="1" applyAlignment="1"/>
    <xf numFmtId="0" fontId="51" fillId="5" borderId="18" xfId="0" applyNumberFormat="1" applyFont="1" applyFill="1" applyBorder="1" applyAlignment="1"/>
    <xf numFmtId="0" fontId="48" fillId="2" borderId="26" xfId="0" applyNumberFormat="1" applyFont="1" applyFill="1" applyBorder="1" applyAlignment="1"/>
    <xf numFmtId="0" fontId="49" fillId="2" borderId="27" xfId="0" applyNumberFormat="1" applyFont="1" applyFill="1" applyBorder="1" applyAlignment="1"/>
    <xf numFmtId="0" fontId="48" fillId="2" borderId="27" xfId="0" applyNumberFormat="1" applyFont="1" applyFill="1" applyBorder="1" applyAlignment="1">
      <alignment horizontal="center" wrapText="1"/>
    </xf>
    <xf numFmtId="0" fontId="49" fillId="2" borderId="27" xfId="0" applyNumberFormat="1" applyFont="1" applyFill="1" applyBorder="1" applyAlignment="1">
      <alignment horizontal="center" wrapText="1"/>
    </xf>
    <xf numFmtId="0" fontId="49" fillId="2" borderId="28" xfId="0" applyNumberFormat="1" applyFont="1" applyFill="1" applyBorder="1" applyAlignment="1"/>
    <xf numFmtId="0" fontId="51" fillId="5" borderId="0" xfId="0" applyNumberFormat="1" applyFont="1" applyFill="1" applyBorder="1" applyAlignment="1"/>
    <xf numFmtId="0" fontId="52" fillId="5" borderId="0" xfId="0" applyNumberFormat="1" applyFont="1" applyFill="1" applyBorder="1" applyAlignment="1">
      <alignment horizontal="center" wrapText="1"/>
    </xf>
    <xf numFmtId="0" fontId="51" fillId="5" borderId="0" xfId="0" applyNumberFormat="1" applyFont="1" applyFill="1" applyBorder="1" applyAlignment="1">
      <alignment horizontal="center" wrapText="1"/>
    </xf>
    <xf numFmtId="0" fontId="56" fillId="5" borderId="0" xfId="0" applyNumberFormat="1" applyFont="1" applyFill="1" applyAlignment="1"/>
    <xf numFmtId="4" fontId="51" fillId="5" borderId="0" xfId="0" applyNumberFormat="1" applyFont="1" applyFill="1" applyAlignment="1" applyProtection="1">
      <alignment horizontal="right"/>
      <protection locked="0"/>
    </xf>
    <xf numFmtId="0" fontId="52" fillId="5" borderId="0" xfId="0" applyNumberFormat="1" applyFont="1" applyFill="1" applyBorder="1" applyAlignment="1"/>
    <xf numFmtId="0" fontId="52" fillId="5" borderId="0" xfId="0" applyNumberFormat="1" applyFont="1" applyFill="1" applyBorder="1" applyAlignment="1">
      <alignment horizontal="center"/>
    </xf>
    <xf numFmtId="0" fontId="52" fillId="5" borderId="0" xfId="0" applyNumberFormat="1" applyFont="1" applyFill="1" applyBorder="1" applyAlignment="1">
      <alignment horizontal="right"/>
    </xf>
    <xf numFmtId="15" fontId="52" fillId="5" borderId="0" xfId="0" applyNumberFormat="1" applyFont="1" applyFill="1" applyBorder="1" applyAlignment="1">
      <alignment horizontal="right"/>
    </xf>
    <xf numFmtId="0" fontId="51" fillId="5" borderId="5" xfId="0" applyNumberFormat="1" applyFont="1" applyFill="1" applyBorder="1" applyAlignment="1"/>
    <xf numFmtId="0" fontId="52" fillId="5" borderId="2" xfId="0" applyNumberFormat="1" applyFont="1" applyFill="1" applyBorder="1" applyAlignment="1"/>
    <xf numFmtId="0" fontId="51" fillId="5" borderId="2" xfId="0" applyNumberFormat="1" applyFont="1" applyFill="1" applyBorder="1" applyAlignment="1"/>
    <xf numFmtId="4" fontId="51" fillId="5" borderId="2" xfId="0" applyNumberFormat="1" applyFont="1" applyFill="1" applyBorder="1" applyAlignment="1" applyProtection="1">
      <alignment horizontal="right"/>
      <protection locked="0"/>
    </xf>
    <xf numFmtId="0" fontId="51" fillId="5" borderId="17" xfId="0" applyNumberFormat="1" applyFont="1" applyFill="1" applyBorder="1" applyAlignment="1"/>
    <xf numFmtId="15" fontId="52" fillId="5" borderId="2" xfId="0" applyNumberFormat="1" applyFont="1" applyFill="1" applyBorder="1" applyAlignment="1">
      <alignment horizontal="centerContinuous"/>
    </xf>
    <xf numFmtId="15" fontId="52" fillId="5" borderId="2" xfId="0" applyNumberFormat="1" applyFont="1" applyFill="1" applyBorder="1" applyAlignment="1">
      <alignment horizontal="center"/>
    </xf>
    <xf numFmtId="0" fontId="51" fillId="5" borderId="1" xfId="0" applyNumberFormat="1" applyFont="1" applyFill="1" applyBorder="1" applyAlignment="1">
      <alignment horizontal="right"/>
    </xf>
    <xf numFmtId="0" fontId="49" fillId="2" borderId="1" xfId="0" applyNumberFormat="1" applyFont="1" applyFill="1" applyBorder="1" applyAlignment="1">
      <alignment horizontal="right"/>
    </xf>
    <xf numFmtId="0" fontId="49" fillId="2" borderId="0" xfId="0" applyNumberFormat="1" applyFont="1" applyFill="1" applyBorder="1" applyAlignment="1">
      <alignment horizontal="center"/>
    </xf>
    <xf numFmtId="3" fontId="49" fillId="2" borderId="0" xfId="0" applyNumberFormat="1" applyFont="1" applyFill="1" applyBorder="1" applyAlignment="1" applyProtection="1">
      <alignment horizontal="center"/>
      <protection locked="0"/>
    </xf>
    <xf numFmtId="0" fontId="49" fillId="2" borderId="0" xfId="0" applyNumberFormat="1" applyFont="1" applyFill="1" applyBorder="1" applyAlignment="1" applyProtection="1">
      <protection locked="0"/>
    </xf>
    <xf numFmtId="3" fontId="48" fillId="2" borderId="18" xfId="0" applyNumberFormat="1" applyFont="1" applyFill="1" applyBorder="1" applyAlignment="1"/>
    <xf numFmtId="3" fontId="52" fillId="5" borderId="0" xfId="0" applyNumberFormat="1" applyFont="1" applyFill="1" applyBorder="1" applyAlignment="1">
      <alignment horizontal="center"/>
    </xf>
    <xf numFmtId="0" fontId="52" fillId="5" borderId="18" xfId="0" applyNumberFormat="1" applyFont="1" applyFill="1" applyBorder="1" applyAlignment="1"/>
    <xf numFmtId="166" fontId="49" fillId="2" borderId="0" xfId="0" applyNumberFormat="1" applyFont="1" applyFill="1" applyBorder="1" applyAlignment="1"/>
    <xf numFmtId="10" fontId="49" fillId="2" borderId="0" xfId="0" applyNumberFormat="1" applyFont="1" applyFill="1" applyBorder="1" applyAlignment="1"/>
    <xf numFmtId="0" fontId="48" fillId="2" borderId="18" xfId="0" applyNumberFormat="1" applyFont="1" applyFill="1" applyBorder="1" applyAlignment="1"/>
    <xf numFmtId="9" fontId="49" fillId="2" borderId="0" xfId="0" applyNumberFormat="1" applyFont="1" applyFill="1" applyBorder="1" applyAlignment="1"/>
    <xf numFmtId="9" fontId="51" fillId="5" borderId="0" xfId="0" applyNumberFormat="1" applyFont="1" applyFill="1" applyBorder="1" applyAlignment="1"/>
    <xf numFmtId="0" fontId="48" fillId="4" borderId="0" xfId="0" applyNumberFormat="1" applyFont="1" applyFill="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D2926"/>
      <color rgb="FF89CB31"/>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3724" name="Picture 1" descr="C:\WINDOWS\TEMP\Symbol.gif">
          <a:extLst>
            <a:ext uri="{FF2B5EF4-FFF2-40B4-BE49-F238E27FC236}">
              <a16:creationId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23725" name="Picture 2" descr="C:\WINDOWS\TEMP\Symbol.gif">
          <a:extLst>
            <a:ext uri="{FF2B5EF4-FFF2-40B4-BE49-F238E27FC236}">
              <a16:creationId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189</xdr:row>
      <xdr:rowOff>171450</xdr:rowOff>
    </xdr:from>
    <xdr:to>
      <xdr:col>1</xdr:col>
      <xdr:colOff>47625</xdr:colOff>
      <xdr:row>190</xdr:row>
      <xdr:rowOff>209550</xdr:rowOff>
    </xdr:to>
    <xdr:pic>
      <xdr:nvPicPr>
        <xdr:cNvPr id="23726" name="Picture 3" descr="C:\WINDOWS\TEMP\Symbol.gif">
          <a:extLst>
            <a:ext uri="{FF2B5EF4-FFF2-40B4-BE49-F238E27FC236}">
              <a16:creationId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290</xdr:row>
      <xdr:rowOff>161925</xdr:rowOff>
    </xdr:from>
    <xdr:to>
      <xdr:col>1</xdr:col>
      <xdr:colOff>19050</xdr:colOff>
      <xdr:row>291</xdr:row>
      <xdr:rowOff>200025</xdr:rowOff>
    </xdr:to>
    <xdr:pic>
      <xdr:nvPicPr>
        <xdr:cNvPr id="23727" name="Picture 4" descr="C:\WINDOWS\TEMP\Symbol.gif">
          <a:extLst>
            <a:ext uri="{FF2B5EF4-FFF2-40B4-BE49-F238E27FC236}">
              <a16:creationId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290</xdr:row>
      <xdr:rowOff>123825</xdr:rowOff>
    </xdr:from>
    <xdr:to>
      <xdr:col>18</xdr:col>
      <xdr:colOff>1895475</xdr:colOff>
      <xdr:row>291</xdr:row>
      <xdr:rowOff>152400</xdr:rowOff>
    </xdr:to>
    <xdr:pic>
      <xdr:nvPicPr>
        <xdr:cNvPr id="23728" name="Picture 5" descr="C:\WINDOWS\TEMP\~0003946.gif">
          <a:extLst>
            <a:ext uri="{FF2B5EF4-FFF2-40B4-BE49-F238E27FC236}">
              <a16:creationId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189</xdr:row>
      <xdr:rowOff>152400</xdr:rowOff>
    </xdr:from>
    <xdr:to>
      <xdr:col>18</xdr:col>
      <xdr:colOff>1924050</xdr:colOff>
      <xdr:row>190</xdr:row>
      <xdr:rowOff>180975</xdr:rowOff>
    </xdr:to>
    <xdr:pic>
      <xdr:nvPicPr>
        <xdr:cNvPr id="23729" name="Picture 6" descr="C:\WINDOWS\TEMP\~0003946.gif">
          <a:extLst>
            <a:ext uri="{FF2B5EF4-FFF2-40B4-BE49-F238E27FC236}">
              <a16:creationId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23730" name="Picture 7" descr="C:\WINDOWS\TEMP\~0003946.gif">
          <a:extLst>
            <a:ext uri="{FF2B5EF4-FFF2-40B4-BE49-F238E27FC236}">
              <a16:creationId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3731" name="Picture 8" descr="C:\WINDOWS\TEMP\~0003946.gif">
          <a:extLst>
            <a:ext uri="{FF2B5EF4-FFF2-40B4-BE49-F238E27FC236}">
              <a16:creationId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3732" name="Picture 9" descr="C:\WINDOWS\TEMP\~0003946.gif">
          <a:extLst>
            <a:ext uri="{FF2B5EF4-FFF2-40B4-BE49-F238E27FC236}">
              <a16:creationId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23733" name="Picture 10" descr="C:\WINDOWS\TEMP\~0003946.gif">
          <a:extLst>
            <a:ext uri="{FF2B5EF4-FFF2-40B4-BE49-F238E27FC236}">
              <a16:creationId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189</xdr:row>
      <xdr:rowOff>104775</xdr:rowOff>
    </xdr:from>
    <xdr:to>
      <xdr:col>18</xdr:col>
      <xdr:colOff>809625</xdr:colOff>
      <xdr:row>190</xdr:row>
      <xdr:rowOff>133350</xdr:rowOff>
    </xdr:to>
    <xdr:pic>
      <xdr:nvPicPr>
        <xdr:cNvPr id="23734" name="Picture 11" descr="C:\WINDOWS\TEMP\~0003946.gif">
          <a:extLst>
            <a:ext uri="{FF2B5EF4-FFF2-40B4-BE49-F238E27FC236}">
              <a16:creationId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290</xdr:row>
      <xdr:rowOff>104775</xdr:rowOff>
    </xdr:from>
    <xdr:to>
      <xdr:col>18</xdr:col>
      <xdr:colOff>895350</xdr:colOff>
      <xdr:row>291</xdr:row>
      <xdr:rowOff>133350</xdr:rowOff>
    </xdr:to>
    <xdr:pic>
      <xdr:nvPicPr>
        <xdr:cNvPr id="23735" name="Picture 12" descr="C:\WINDOWS\TEMP\~0003946.gif">
          <a:extLst>
            <a:ext uri="{FF2B5EF4-FFF2-40B4-BE49-F238E27FC236}">
              <a16:creationId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288</xdr:row>
      <xdr:rowOff>161925</xdr:rowOff>
    </xdr:from>
    <xdr:to>
      <xdr:col>1</xdr:col>
      <xdr:colOff>19050</xdr:colOff>
      <xdr:row>289</xdr:row>
      <xdr:rowOff>200025</xdr:rowOff>
    </xdr:to>
    <xdr:pic>
      <xdr:nvPicPr>
        <xdr:cNvPr id="5" name="Picture 4" descr="C:\WINDOWS\TEMP\Symbol.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288</xdr:row>
      <xdr:rowOff>123825</xdr:rowOff>
    </xdr:from>
    <xdr:to>
      <xdr:col>18</xdr:col>
      <xdr:colOff>1895475</xdr:colOff>
      <xdr:row>289</xdr:row>
      <xdr:rowOff>152400</xdr:rowOff>
    </xdr:to>
    <xdr:pic>
      <xdr:nvPicPr>
        <xdr:cNvPr id="6" name="Picture 5" descr="C:\WINDOWS\TEMP\~0003946.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288</xdr:row>
      <xdr:rowOff>104775</xdr:rowOff>
    </xdr:from>
    <xdr:to>
      <xdr:col>18</xdr:col>
      <xdr:colOff>895350</xdr:colOff>
      <xdr:row>289</xdr:row>
      <xdr:rowOff>133350</xdr:rowOff>
    </xdr:to>
    <xdr:pic>
      <xdr:nvPicPr>
        <xdr:cNvPr id="13" name="Picture 12" descr="C:\WINDOWS\TEMP\~0003946.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4E6FCF78-4445-4CDC-BA44-9F1C1D68C5C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17D1B5F6-0325-4626-9041-CD7D58BF74E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7FD1CCBF-FAC6-46DA-B0FA-A034B0488E4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288</xdr:row>
      <xdr:rowOff>161925</xdr:rowOff>
    </xdr:from>
    <xdr:to>
      <xdr:col>1</xdr:col>
      <xdr:colOff>19050</xdr:colOff>
      <xdr:row>289</xdr:row>
      <xdr:rowOff>200025</xdr:rowOff>
    </xdr:to>
    <xdr:pic>
      <xdr:nvPicPr>
        <xdr:cNvPr id="5" name="Picture 4" descr="C:\WINDOWS\TEMP\Symbol.gif">
          <a:extLst>
            <a:ext uri="{FF2B5EF4-FFF2-40B4-BE49-F238E27FC236}">
              <a16:creationId xmlns:a16="http://schemas.microsoft.com/office/drawing/2014/main" id="{17324F8C-3E85-4068-BBD7-39A282E4781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5311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288</xdr:row>
      <xdr:rowOff>123825</xdr:rowOff>
    </xdr:from>
    <xdr:to>
      <xdr:col>18</xdr:col>
      <xdr:colOff>1895475</xdr:colOff>
      <xdr:row>289</xdr:row>
      <xdr:rowOff>152400</xdr:rowOff>
    </xdr:to>
    <xdr:pic>
      <xdr:nvPicPr>
        <xdr:cNvPr id="6" name="Picture 5" descr="C:\WINDOWS\TEMP\~0003946.gif">
          <a:extLst>
            <a:ext uri="{FF2B5EF4-FFF2-40B4-BE49-F238E27FC236}">
              <a16:creationId xmlns:a16="http://schemas.microsoft.com/office/drawing/2014/main" id="{C8DCACB2-84FB-4FC2-9B65-9DA5778E7E32}"/>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493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3BABC7D2-E7A1-4551-BAB6-FA80E7C5DF7F}"/>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413583DE-538F-4D5E-8D29-1C18A4440595}"/>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35E98F42-22AD-4B9F-BD86-1D41E5B210EB}"/>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A96D1806-1D30-4B2B-89E7-E38D86492813}"/>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DD96A531-A0C4-4B38-B250-D4EBC32F703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8C5ED9C7-5A95-4D69-8D88-BEF562FA56F7}"/>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288</xdr:row>
      <xdr:rowOff>104775</xdr:rowOff>
    </xdr:from>
    <xdr:to>
      <xdr:col>18</xdr:col>
      <xdr:colOff>895350</xdr:colOff>
      <xdr:row>289</xdr:row>
      <xdr:rowOff>133350</xdr:rowOff>
    </xdr:to>
    <xdr:pic>
      <xdr:nvPicPr>
        <xdr:cNvPr id="13" name="Picture 12" descr="C:\WINDOWS\TEMP\~0003946.gif">
          <a:extLst>
            <a:ext uri="{FF2B5EF4-FFF2-40B4-BE49-F238E27FC236}">
              <a16:creationId xmlns:a16="http://schemas.microsoft.com/office/drawing/2014/main" id="{0BD47CC8-B266-41A4-9169-6B464689D3DE}"/>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4739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A61D5A50-B232-4E36-A7E1-33238B9CF89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5EB1F359-82A6-4EB0-A15B-5FCF0D2125F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1D641B7E-DA63-4CBF-90E5-9994A022EDF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288</xdr:row>
      <xdr:rowOff>161925</xdr:rowOff>
    </xdr:from>
    <xdr:to>
      <xdr:col>1</xdr:col>
      <xdr:colOff>19050</xdr:colOff>
      <xdr:row>289</xdr:row>
      <xdr:rowOff>200025</xdr:rowOff>
    </xdr:to>
    <xdr:pic>
      <xdr:nvPicPr>
        <xdr:cNvPr id="5" name="Picture 4" descr="C:\WINDOWS\TEMP\Symbol.gif">
          <a:extLst>
            <a:ext uri="{FF2B5EF4-FFF2-40B4-BE49-F238E27FC236}">
              <a16:creationId xmlns:a16="http://schemas.microsoft.com/office/drawing/2014/main" id="{4C05F45B-45BB-48BE-90E6-B6B651D18D5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5311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288</xdr:row>
      <xdr:rowOff>123825</xdr:rowOff>
    </xdr:from>
    <xdr:to>
      <xdr:col>18</xdr:col>
      <xdr:colOff>1895475</xdr:colOff>
      <xdr:row>289</xdr:row>
      <xdr:rowOff>152400</xdr:rowOff>
    </xdr:to>
    <xdr:pic>
      <xdr:nvPicPr>
        <xdr:cNvPr id="6" name="Picture 5" descr="C:\WINDOWS\TEMP\~0003946.gif">
          <a:extLst>
            <a:ext uri="{FF2B5EF4-FFF2-40B4-BE49-F238E27FC236}">
              <a16:creationId xmlns:a16="http://schemas.microsoft.com/office/drawing/2014/main" id="{BD87B9D7-FAA1-4AA5-AAF8-F38404ED0EC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493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A3CB0FDA-7EDE-452B-9507-B57915EBB764}"/>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72BA9476-A35F-44B5-969A-32B1BC90EA5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670865A8-0F70-4982-8A9D-D12B63D38102}"/>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C8AE685-6CEE-45D4-96F5-EB6F63438EA9}"/>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A2F3C7E9-5E53-4DA7-BFDA-90C5548D9DC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35F5A0C4-0C51-4690-A6EB-D3A6B7320065}"/>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288</xdr:row>
      <xdr:rowOff>104775</xdr:rowOff>
    </xdr:from>
    <xdr:to>
      <xdr:col>18</xdr:col>
      <xdr:colOff>895350</xdr:colOff>
      <xdr:row>289</xdr:row>
      <xdr:rowOff>133350</xdr:rowOff>
    </xdr:to>
    <xdr:pic>
      <xdr:nvPicPr>
        <xdr:cNvPr id="13" name="Picture 12" descr="C:\WINDOWS\TEMP\~0003946.gif">
          <a:extLst>
            <a:ext uri="{FF2B5EF4-FFF2-40B4-BE49-F238E27FC236}">
              <a16:creationId xmlns:a16="http://schemas.microsoft.com/office/drawing/2014/main" id="{E7212560-0538-452B-9B92-67993C9BDC76}"/>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4739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1095375</xdr:colOff>
      <xdr:row>288</xdr:row>
      <xdr:rowOff>123825</xdr:rowOff>
    </xdr:from>
    <xdr:to>
      <xdr:col>18</xdr:col>
      <xdr:colOff>1895475</xdr:colOff>
      <xdr:row>289</xdr:row>
      <xdr:rowOff>152400</xdr:rowOff>
    </xdr:to>
    <xdr:pic>
      <xdr:nvPicPr>
        <xdr:cNvPr id="6" name="Picture 5" descr="C:\WINDOWS\TEMP\~0003946.gif">
          <a:extLst>
            <a:ext uri="{FF2B5EF4-FFF2-40B4-BE49-F238E27FC236}">
              <a16:creationId xmlns:a16="http://schemas.microsoft.com/office/drawing/2014/main" id="{976FE5F3-391A-4770-B0EF-921FAF96DFA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58493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FA51AD37-2AB4-41E6-BE59-AE2FE340DD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C3CC4C88-1B12-467F-A8EE-8FEF4AE39FF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4039FE9B-8E7F-4452-92CB-3BF59D6AA24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108857</xdr:colOff>
      <xdr:row>288</xdr:row>
      <xdr:rowOff>136072</xdr:rowOff>
    </xdr:from>
    <xdr:to>
      <xdr:col>0</xdr:col>
      <xdr:colOff>279560</xdr:colOff>
      <xdr:row>289</xdr:row>
      <xdr:rowOff>157537</xdr:rowOff>
    </xdr:to>
    <xdr:pic>
      <xdr:nvPicPr>
        <xdr:cNvPr id="14" name="Picture 13">
          <a:extLst>
            <a:ext uri="{FF2B5EF4-FFF2-40B4-BE49-F238E27FC236}">
              <a16:creationId xmlns:a16="http://schemas.microsoft.com/office/drawing/2014/main" id="{CAD7693E-2F19-49AA-9B84-78C5C07D6D0B}"/>
            </a:ext>
          </a:extLst>
        </xdr:cNvPr>
        <xdr:cNvPicPr>
          <a:picLocks noChangeAspect="1"/>
        </xdr:cNvPicPr>
      </xdr:nvPicPr>
      <xdr:blipFill>
        <a:blip xmlns:r="http://schemas.openxmlformats.org/officeDocument/2006/relationships" r:embed="rId3"/>
        <a:stretch>
          <a:fillRect/>
        </a:stretch>
      </xdr:blipFill>
      <xdr:spPr>
        <a:xfrm>
          <a:off x="108857" y="59626501"/>
          <a:ext cx="170703" cy="225572"/>
        </a:xfrm>
        <a:prstGeom prst="rect">
          <a:avLst/>
        </a:prstGeom>
      </xdr:spPr>
    </xdr:pic>
    <xdr:clientData/>
  </xdr:twoCellAnchor>
  <xdr:twoCellAnchor editAs="oneCell">
    <xdr:from>
      <xdr:col>0</xdr:col>
      <xdr:colOff>176893</xdr:colOff>
      <xdr:row>188</xdr:row>
      <xdr:rowOff>122464</xdr:rowOff>
    </xdr:from>
    <xdr:to>
      <xdr:col>1</xdr:col>
      <xdr:colOff>7417</xdr:colOff>
      <xdr:row>189</xdr:row>
      <xdr:rowOff>143929</xdr:rowOff>
    </xdr:to>
    <xdr:pic>
      <xdr:nvPicPr>
        <xdr:cNvPr id="15" name="Picture 14">
          <a:extLst>
            <a:ext uri="{FF2B5EF4-FFF2-40B4-BE49-F238E27FC236}">
              <a16:creationId xmlns:a16="http://schemas.microsoft.com/office/drawing/2014/main" id="{B8098DDD-6D13-488C-AF6F-3BD864665F12}"/>
            </a:ext>
          </a:extLst>
        </xdr:cNvPr>
        <xdr:cNvPicPr>
          <a:picLocks noChangeAspect="1"/>
        </xdr:cNvPicPr>
      </xdr:nvPicPr>
      <xdr:blipFill>
        <a:blip xmlns:r="http://schemas.openxmlformats.org/officeDocument/2006/relationships" r:embed="rId3"/>
        <a:stretch>
          <a:fillRect/>
        </a:stretch>
      </xdr:blipFill>
      <xdr:spPr>
        <a:xfrm>
          <a:off x="176893" y="39079714"/>
          <a:ext cx="170703" cy="225572"/>
        </a:xfrm>
        <a:prstGeom prst="rect">
          <a:avLst/>
        </a:prstGeom>
      </xdr:spPr>
    </xdr:pic>
    <xdr:clientData/>
  </xdr:twoCellAnchor>
  <xdr:twoCellAnchor editAs="oneCell">
    <xdr:from>
      <xdr:col>0</xdr:col>
      <xdr:colOff>149679</xdr:colOff>
      <xdr:row>119</xdr:row>
      <xdr:rowOff>108857</xdr:rowOff>
    </xdr:from>
    <xdr:to>
      <xdr:col>0</xdr:col>
      <xdr:colOff>320382</xdr:colOff>
      <xdr:row>120</xdr:row>
      <xdr:rowOff>130322</xdr:rowOff>
    </xdr:to>
    <xdr:pic>
      <xdr:nvPicPr>
        <xdr:cNvPr id="16" name="Picture 15">
          <a:extLst>
            <a:ext uri="{FF2B5EF4-FFF2-40B4-BE49-F238E27FC236}">
              <a16:creationId xmlns:a16="http://schemas.microsoft.com/office/drawing/2014/main" id="{F871F9AB-B4E2-4F3A-B8D6-2AB56166A547}"/>
            </a:ext>
          </a:extLst>
        </xdr:cNvPr>
        <xdr:cNvPicPr>
          <a:picLocks noChangeAspect="1"/>
        </xdr:cNvPicPr>
      </xdr:nvPicPr>
      <xdr:blipFill>
        <a:blip xmlns:r="http://schemas.openxmlformats.org/officeDocument/2006/relationships" r:embed="rId3"/>
        <a:stretch>
          <a:fillRect/>
        </a:stretch>
      </xdr:blipFill>
      <xdr:spPr>
        <a:xfrm>
          <a:off x="149679" y="24941893"/>
          <a:ext cx="170703" cy="225572"/>
        </a:xfrm>
        <a:prstGeom prst="rect">
          <a:avLst/>
        </a:prstGeom>
      </xdr:spPr>
    </xdr:pic>
    <xdr:clientData/>
  </xdr:twoCellAnchor>
  <xdr:twoCellAnchor editAs="oneCell">
    <xdr:from>
      <xdr:col>0</xdr:col>
      <xdr:colOff>163286</xdr:colOff>
      <xdr:row>50</xdr:row>
      <xdr:rowOff>122464</xdr:rowOff>
    </xdr:from>
    <xdr:to>
      <xdr:col>0</xdr:col>
      <xdr:colOff>327639</xdr:colOff>
      <xdr:row>51</xdr:row>
      <xdr:rowOff>143929</xdr:rowOff>
    </xdr:to>
    <xdr:pic>
      <xdr:nvPicPr>
        <xdr:cNvPr id="17" name="Picture 16">
          <a:extLst>
            <a:ext uri="{FF2B5EF4-FFF2-40B4-BE49-F238E27FC236}">
              <a16:creationId xmlns:a16="http://schemas.microsoft.com/office/drawing/2014/main" id="{512B7E05-D8D1-4FDD-B051-995AA8541EFE}"/>
            </a:ext>
          </a:extLst>
        </xdr:cNvPr>
        <xdr:cNvPicPr>
          <a:picLocks noChangeAspect="1"/>
        </xdr:cNvPicPr>
      </xdr:nvPicPr>
      <xdr:blipFill>
        <a:blip xmlns:r="http://schemas.openxmlformats.org/officeDocument/2006/relationships" r:embed="rId3"/>
        <a:stretch>
          <a:fillRect/>
        </a:stretch>
      </xdr:blipFill>
      <xdr:spPr>
        <a:xfrm>
          <a:off x="163286" y="10436678"/>
          <a:ext cx="170703" cy="225572"/>
        </a:xfrm>
        <a:prstGeom prst="rect">
          <a:avLst/>
        </a:prstGeom>
      </xdr:spPr>
    </xdr:pic>
    <xdr:clientData/>
  </xdr:twoCellAnchor>
  <xdr:twoCellAnchor editAs="oneCell">
    <xdr:from>
      <xdr:col>17</xdr:col>
      <xdr:colOff>1129392</xdr:colOff>
      <xdr:row>50</xdr:row>
      <xdr:rowOff>54428</xdr:rowOff>
    </xdr:from>
    <xdr:to>
      <xdr:col>18</xdr:col>
      <xdr:colOff>761532</xdr:colOff>
      <xdr:row>51</xdr:row>
      <xdr:rowOff>149051</xdr:rowOff>
    </xdr:to>
    <xdr:pic>
      <xdr:nvPicPr>
        <xdr:cNvPr id="18" name="Picture 17">
          <a:extLst>
            <a:ext uri="{FF2B5EF4-FFF2-40B4-BE49-F238E27FC236}">
              <a16:creationId xmlns:a16="http://schemas.microsoft.com/office/drawing/2014/main" id="{50118E10-543B-4BD4-B42A-EFFAB944C7CD}"/>
            </a:ext>
          </a:extLst>
        </xdr:cNvPr>
        <xdr:cNvPicPr>
          <a:picLocks noChangeAspect="1"/>
        </xdr:cNvPicPr>
      </xdr:nvPicPr>
      <xdr:blipFill>
        <a:blip xmlns:r="http://schemas.openxmlformats.org/officeDocument/2006/relationships" r:embed="rId4"/>
        <a:stretch>
          <a:fillRect/>
        </a:stretch>
      </xdr:blipFill>
      <xdr:spPr>
        <a:xfrm>
          <a:off x="19907249" y="10368642"/>
          <a:ext cx="883997" cy="298730"/>
        </a:xfrm>
        <a:prstGeom prst="rect">
          <a:avLst/>
        </a:prstGeom>
      </xdr:spPr>
    </xdr:pic>
    <xdr:clientData/>
  </xdr:twoCellAnchor>
  <xdr:twoCellAnchor editAs="oneCell">
    <xdr:from>
      <xdr:col>17</xdr:col>
      <xdr:colOff>1115785</xdr:colOff>
      <xdr:row>119</xdr:row>
      <xdr:rowOff>54428</xdr:rowOff>
    </xdr:from>
    <xdr:to>
      <xdr:col>18</xdr:col>
      <xdr:colOff>747925</xdr:colOff>
      <xdr:row>120</xdr:row>
      <xdr:rowOff>149051</xdr:rowOff>
    </xdr:to>
    <xdr:pic>
      <xdr:nvPicPr>
        <xdr:cNvPr id="19" name="Picture 18">
          <a:extLst>
            <a:ext uri="{FF2B5EF4-FFF2-40B4-BE49-F238E27FC236}">
              <a16:creationId xmlns:a16="http://schemas.microsoft.com/office/drawing/2014/main" id="{A8BB9070-C9E3-40C8-A461-D1EFFCCBB693}"/>
            </a:ext>
          </a:extLst>
        </xdr:cNvPr>
        <xdr:cNvPicPr>
          <a:picLocks noChangeAspect="1"/>
        </xdr:cNvPicPr>
      </xdr:nvPicPr>
      <xdr:blipFill>
        <a:blip xmlns:r="http://schemas.openxmlformats.org/officeDocument/2006/relationships" r:embed="rId4"/>
        <a:stretch>
          <a:fillRect/>
        </a:stretch>
      </xdr:blipFill>
      <xdr:spPr>
        <a:xfrm>
          <a:off x="19893642" y="24887464"/>
          <a:ext cx="883997" cy="298730"/>
        </a:xfrm>
        <a:prstGeom prst="rect">
          <a:avLst/>
        </a:prstGeom>
      </xdr:spPr>
    </xdr:pic>
    <xdr:clientData/>
  </xdr:twoCellAnchor>
  <xdr:twoCellAnchor editAs="oneCell">
    <xdr:from>
      <xdr:col>17</xdr:col>
      <xdr:colOff>1170214</xdr:colOff>
      <xdr:row>188</xdr:row>
      <xdr:rowOff>40822</xdr:rowOff>
    </xdr:from>
    <xdr:to>
      <xdr:col>18</xdr:col>
      <xdr:colOff>802354</xdr:colOff>
      <xdr:row>189</xdr:row>
      <xdr:rowOff>135445</xdr:rowOff>
    </xdr:to>
    <xdr:pic>
      <xdr:nvPicPr>
        <xdr:cNvPr id="20" name="Picture 19">
          <a:extLst>
            <a:ext uri="{FF2B5EF4-FFF2-40B4-BE49-F238E27FC236}">
              <a16:creationId xmlns:a16="http://schemas.microsoft.com/office/drawing/2014/main" id="{8C15DF8D-A3FE-4F58-9BFA-20874547040A}"/>
            </a:ext>
          </a:extLst>
        </xdr:cNvPr>
        <xdr:cNvPicPr>
          <a:picLocks noChangeAspect="1"/>
        </xdr:cNvPicPr>
      </xdr:nvPicPr>
      <xdr:blipFill>
        <a:blip xmlns:r="http://schemas.openxmlformats.org/officeDocument/2006/relationships" r:embed="rId4"/>
        <a:stretch>
          <a:fillRect/>
        </a:stretch>
      </xdr:blipFill>
      <xdr:spPr>
        <a:xfrm>
          <a:off x="19948071" y="38998072"/>
          <a:ext cx="883997" cy="298730"/>
        </a:xfrm>
        <a:prstGeom prst="rect">
          <a:avLst/>
        </a:prstGeom>
      </xdr:spPr>
    </xdr:pic>
    <xdr:clientData/>
  </xdr:twoCellAnchor>
  <xdr:twoCellAnchor editAs="oneCell">
    <xdr:from>
      <xdr:col>17</xdr:col>
      <xdr:colOff>1102179</xdr:colOff>
      <xdr:row>288</xdr:row>
      <xdr:rowOff>13607</xdr:rowOff>
    </xdr:from>
    <xdr:to>
      <xdr:col>18</xdr:col>
      <xdr:colOff>734319</xdr:colOff>
      <xdr:row>289</xdr:row>
      <xdr:rowOff>108230</xdr:rowOff>
    </xdr:to>
    <xdr:pic>
      <xdr:nvPicPr>
        <xdr:cNvPr id="21" name="Picture 20">
          <a:extLst>
            <a:ext uri="{FF2B5EF4-FFF2-40B4-BE49-F238E27FC236}">
              <a16:creationId xmlns:a16="http://schemas.microsoft.com/office/drawing/2014/main" id="{9663A794-06C5-4AF9-B868-B5F1D6D19749}"/>
            </a:ext>
          </a:extLst>
        </xdr:cNvPr>
        <xdr:cNvPicPr>
          <a:picLocks noChangeAspect="1"/>
        </xdr:cNvPicPr>
      </xdr:nvPicPr>
      <xdr:blipFill>
        <a:blip xmlns:r="http://schemas.openxmlformats.org/officeDocument/2006/relationships" r:embed="rId4"/>
        <a:stretch>
          <a:fillRect/>
        </a:stretch>
      </xdr:blipFill>
      <xdr:spPr>
        <a:xfrm>
          <a:off x="19880036" y="59504036"/>
          <a:ext cx="883997" cy="2987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1095375</xdr:colOff>
      <xdr:row>288</xdr:row>
      <xdr:rowOff>123825</xdr:rowOff>
    </xdr:from>
    <xdr:to>
      <xdr:col>18</xdr:col>
      <xdr:colOff>1895475</xdr:colOff>
      <xdr:row>289</xdr:row>
      <xdr:rowOff>152400</xdr:rowOff>
    </xdr:to>
    <xdr:pic>
      <xdr:nvPicPr>
        <xdr:cNvPr id="2" name="Picture 1" descr="C:\WINDOWS\TEMP\~0003946.gif">
          <a:extLst>
            <a:ext uri="{FF2B5EF4-FFF2-40B4-BE49-F238E27FC236}">
              <a16:creationId xmlns:a16="http://schemas.microsoft.com/office/drawing/2014/main" id="{08A8958D-F23A-48A6-9B51-52EA1C8F0C6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585025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3" name="Picture 2" descr="C:\WINDOWS\TEMP\~0003946.gif">
          <a:extLst>
            <a:ext uri="{FF2B5EF4-FFF2-40B4-BE49-F238E27FC236}">
              <a16:creationId xmlns:a16="http://schemas.microsoft.com/office/drawing/2014/main" id="{26A87B6A-C51D-4882-8AD8-2F1900AE387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384048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4" name="Picture 3" descr="C:\WINDOWS\TEMP\~0003946.gif">
          <a:extLst>
            <a:ext uri="{FF2B5EF4-FFF2-40B4-BE49-F238E27FC236}">
              <a16:creationId xmlns:a16="http://schemas.microsoft.com/office/drawing/2014/main" id="{9C7C7E6B-6CB1-4D9B-B3E9-5FC37A6FF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4526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a16="http://schemas.microsoft.com/office/drawing/2014/main" id="{D7400F74-089E-43D7-AADE-5FEEAF00DEA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108857</xdr:colOff>
      <xdr:row>288</xdr:row>
      <xdr:rowOff>136072</xdr:rowOff>
    </xdr:from>
    <xdr:to>
      <xdr:col>0</xdr:col>
      <xdr:colOff>279560</xdr:colOff>
      <xdr:row>289</xdr:row>
      <xdr:rowOff>157537</xdr:rowOff>
    </xdr:to>
    <xdr:pic>
      <xdr:nvPicPr>
        <xdr:cNvPr id="6" name="Picture 5">
          <a:extLst>
            <a:ext uri="{FF2B5EF4-FFF2-40B4-BE49-F238E27FC236}">
              <a16:creationId xmlns:a16="http://schemas.microsoft.com/office/drawing/2014/main" id="{C36ADDD8-ABD4-4C90-B6F6-3E237CB7A3B6}"/>
            </a:ext>
          </a:extLst>
        </xdr:cNvPr>
        <xdr:cNvPicPr>
          <a:picLocks noChangeAspect="1"/>
        </xdr:cNvPicPr>
      </xdr:nvPicPr>
      <xdr:blipFill>
        <a:blip xmlns:r="http://schemas.openxmlformats.org/officeDocument/2006/relationships" r:embed="rId3"/>
        <a:stretch>
          <a:fillRect/>
        </a:stretch>
      </xdr:blipFill>
      <xdr:spPr>
        <a:xfrm>
          <a:off x="108857" y="58514797"/>
          <a:ext cx="170703" cy="221490"/>
        </a:xfrm>
        <a:prstGeom prst="rect">
          <a:avLst/>
        </a:prstGeom>
      </xdr:spPr>
    </xdr:pic>
    <xdr:clientData/>
  </xdr:twoCellAnchor>
  <xdr:twoCellAnchor editAs="oneCell">
    <xdr:from>
      <xdr:col>0</xdr:col>
      <xdr:colOff>176893</xdr:colOff>
      <xdr:row>188</xdr:row>
      <xdr:rowOff>122464</xdr:rowOff>
    </xdr:from>
    <xdr:to>
      <xdr:col>1</xdr:col>
      <xdr:colOff>7417</xdr:colOff>
      <xdr:row>189</xdr:row>
      <xdr:rowOff>143929</xdr:rowOff>
    </xdr:to>
    <xdr:pic>
      <xdr:nvPicPr>
        <xdr:cNvPr id="7" name="Picture 6">
          <a:extLst>
            <a:ext uri="{FF2B5EF4-FFF2-40B4-BE49-F238E27FC236}">
              <a16:creationId xmlns:a16="http://schemas.microsoft.com/office/drawing/2014/main" id="{72B0E9FA-6C29-4498-9F6E-B58D805567E0}"/>
            </a:ext>
          </a:extLst>
        </xdr:cNvPr>
        <xdr:cNvPicPr>
          <a:picLocks noChangeAspect="1"/>
        </xdr:cNvPicPr>
      </xdr:nvPicPr>
      <xdr:blipFill>
        <a:blip xmlns:r="http://schemas.openxmlformats.org/officeDocument/2006/relationships" r:embed="rId3"/>
        <a:stretch>
          <a:fillRect/>
        </a:stretch>
      </xdr:blipFill>
      <xdr:spPr>
        <a:xfrm>
          <a:off x="176893" y="38374864"/>
          <a:ext cx="173424" cy="221490"/>
        </a:xfrm>
        <a:prstGeom prst="rect">
          <a:avLst/>
        </a:prstGeom>
      </xdr:spPr>
    </xdr:pic>
    <xdr:clientData/>
  </xdr:twoCellAnchor>
  <xdr:twoCellAnchor editAs="oneCell">
    <xdr:from>
      <xdr:col>0</xdr:col>
      <xdr:colOff>149679</xdr:colOff>
      <xdr:row>119</xdr:row>
      <xdr:rowOff>108857</xdr:rowOff>
    </xdr:from>
    <xdr:to>
      <xdr:col>0</xdr:col>
      <xdr:colOff>320382</xdr:colOff>
      <xdr:row>120</xdr:row>
      <xdr:rowOff>130322</xdr:rowOff>
    </xdr:to>
    <xdr:pic>
      <xdr:nvPicPr>
        <xdr:cNvPr id="8" name="Picture 7">
          <a:extLst>
            <a:ext uri="{FF2B5EF4-FFF2-40B4-BE49-F238E27FC236}">
              <a16:creationId xmlns:a16="http://schemas.microsoft.com/office/drawing/2014/main" id="{6C254B17-FD22-4424-B5C3-C33BF8F8A53A}"/>
            </a:ext>
          </a:extLst>
        </xdr:cNvPr>
        <xdr:cNvPicPr>
          <a:picLocks noChangeAspect="1"/>
        </xdr:cNvPicPr>
      </xdr:nvPicPr>
      <xdr:blipFill>
        <a:blip xmlns:r="http://schemas.openxmlformats.org/officeDocument/2006/relationships" r:embed="rId3"/>
        <a:stretch>
          <a:fillRect/>
        </a:stretch>
      </xdr:blipFill>
      <xdr:spPr>
        <a:xfrm>
          <a:off x="149679" y="24473807"/>
          <a:ext cx="170703" cy="221490"/>
        </a:xfrm>
        <a:prstGeom prst="rect">
          <a:avLst/>
        </a:prstGeom>
      </xdr:spPr>
    </xdr:pic>
    <xdr:clientData/>
  </xdr:twoCellAnchor>
  <xdr:twoCellAnchor editAs="oneCell">
    <xdr:from>
      <xdr:col>0</xdr:col>
      <xdr:colOff>163286</xdr:colOff>
      <xdr:row>50</xdr:row>
      <xdr:rowOff>122464</xdr:rowOff>
    </xdr:from>
    <xdr:to>
      <xdr:col>0</xdr:col>
      <xdr:colOff>327639</xdr:colOff>
      <xdr:row>51</xdr:row>
      <xdr:rowOff>143929</xdr:rowOff>
    </xdr:to>
    <xdr:pic>
      <xdr:nvPicPr>
        <xdr:cNvPr id="9" name="Picture 8">
          <a:extLst>
            <a:ext uri="{FF2B5EF4-FFF2-40B4-BE49-F238E27FC236}">
              <a16:creationId xmlns:a16="http://schemas.microsoft.com/office/drawing/2014/main" id="{DA77C048-E7CF-4DD6-9996-E19B7AD882F0}"/>
            </a:ext>
          </a:extLst>
        </xdr:cNvPr>
        <xdr:cNvPicPr>
          <a:picLocks noChangeAspect="1"/>
        </xdr:cNvPicPr>
      </xdr:nvPicPr>
      <xdr:blipFill>
        <a:blip xmlns:r="http://schemas.openxmlformats.org/officeDocument/2006/relationships" r:embed="rId3"/>
        <a:stretch>
          <a:fillRect/>
        </a:stretch>
      </xdr:blipFill>
      <xdr:spPr>
        <a:xfrm>
          <a:off x="163286" y="10238014"/>
          <a:ext cx="164353" cy="221490"/>
        </a:xfrm>
        <a:prstGeom prst="rect">
          <a:avLst/>
        </a:prstGeom>
      </xdr:spPr>
    </xdr:pic>
    <xdr:clientData/>
  </xdr:twoCellAnchor>
  <xdr:twoCellAnchor editAs="oneCell">
    <xdr:from>
      <xdr:col>17</xdr:col>
      <xdr:colOff>1129392</xdr:colOff>
      <xdr:row>50</xdr:row>
      <xdr:rowOff>54428</xdr:rowOff>
    </xdr:from>
    <xdr:to>
      <xdr:col>18</xdr:col>
      <xdr:colOff>761532</xdr:colOff>
      <xdr:row>51</xdr:row>
      <xdr:rowOff>149051</xdr:rowOff>
    </xdr:to>
    <xdr:pic>
      <xdr:nvPicPr>
        <xdr:cNvPr id="10" name="Picture 9">
          <a:extLst>
            <a:ext uri="{FF2B5EF4-FFF2-40B4-BE49-F238E27FC236}">
              <a16:creationId xmlns:a16="http://schemas.microsoft.com/office/drawing/2014/main" id="{8E4D6801-8104-4657-AEF3-F320FD856FCB}"/>
            </a:ext>
          </a:extLst>
        </xdr:cNvPr>
        <xdr:cNvPicPr>
          <a:picLocks noChangeAspect="1"/>
        </xdr:cNvPicPr>
      </xdr:nvPicPr>
      <xdr:blipFill>
        <a:blip xmlns:r="http://schemas.openxmlformats.org/officeDocument/2006/relationships" r:embed="rId4"/>
        <a:stretch>
          <a:fillRect/>
        </a:stretch>
      </xdr:blipFill>
      <xdr:spPr>
        <a:xfrm>
          <a:off x="19893642" y="10169978"/>
          <a:ext cx="889440" cy="294648"/>
        </a:xfrm>
        <a:prstGeom prst="rect">
          <a:avLst/>
        </a:prstGeom>
      </xdr:spPr>
    </xdr:pic>
    <xdr:clientData/>
  </xdr:twoCellAnchor>
  <xdr:twoCellAnchor editAs="oneCell">
    <xdr:from>
      <xdr:col>17</xdr:col>
      <xdr:colOff>1115785</xdr:colOff>
      <xdr:row>119</xdr:row>
      <xdr:rowOff>54428</xdr:rowOff>
    </xdr:from>
    <xdr:to>
      <xdr:col>18</xdr:col>
      <xdr:colOff>747925</xdr:colOff>
      <xdr:row>120</xdr:row>
      <xdr:rowOff>149051</xdr:rowOff>
    </xdr:to>
    <xdr:pic>
      <xdr:nvPicPr>
        <xdr:cNvPr id="11" name="Picture 10">
          <a:extLst>
            <a:ext uri="{FF2B5EF4-FFF2-40B4-BE49-F238E27FC236}">
              <a16:creationId xmlns:a16="http://schemas.microsoft.com/office/drawing/2014/main" id="{A93C02E6-98C6-4979-9D20-889873EB6279}"/>
            </a:ext>
          </a:extLst>
        </xdr:cNvPr>
        <xdr:cNvPicPr>
          <a:picLocks noChangeAspect="1"/>
        </xdr:cNvPicPr>
      </xdr:nvPicPr>
      <xdr:blipFill>
        <a:blip xmlns:r="http://schemas.openxmlformats.org/officeDocument/2006/relationships" r:embed="rId4"/>
        <a:stretch>
          <a:fillRect/>
        </a:stretch>
      </xdr:blipFill>
      <xdr:spPr>
        <a:xfrm>
          <a:off x="19880035" y="24419378"/>
          <a:ext cx="889440" cy="294648"/>
        </a:xfrm>
        <a:prstGeom prst="rect">
          <a:avLst/>
        </a:prstGeom>
      </xdr:spPr>
    </xdr:pic>
    <xdr:clientData/>
  </xdr:twoCellAnchor>
  <xdr:twoCellAnchor editAs="oneCell">
    <xdr:from>
      <xdr:col>17</xdr:col>
      <xdr:colOff>1170214</xdr:colOff>
      <xdr:row>188</xdr:row>
      <xdr:rowOff>40822</xdr:rowOff>
    </xdr:from>
    <xdr:to>
      <xdr:col>18</xdr:col>
      <xdr:colOff>802354</xdr:colOff>
      <xdr:row>189</xdr:row>
      <xdr:rowOff>135445</xdr:rowOff>
    </xdr:to>
    <xdr:pic>
      <xdr:nvPicPr>
        <xdr:cNvPr id="12" name="Picture 11">
          <a:extLst>
            <a:ext uri="{FF2B5EF4-FFF2-40B4-BE49-F238E27FC236}">
              <a16:creationId xmlns:a16="http://schemas.microsoft.com/office/drawing/2014/main" id="{D52AF74B-0C98-4B2F-8FB9-CAEEF68C1F9B}"/>
            </a:ext>
          </a:extLst>
        </xdr:cNvPr>
        <xdr:cNvPicPr>
          <a:picLocks noChangeAspect="1"/>
        </xdr:cNvPicPr>
      </xdr:nvPicPr>
      <xdr:blipFill>
        <a:blip xmlns:r="http://schemas.openxmlformats.org/officeDocument/2006/relationships" r:embed="rId4"/>
        <a:stretch>
          <a:fillRect/>
        </a:stretch>
      </xdr:blipFill>
      <xdr:spPr>
        <a:xfrm>
          <a:off x="19934464" y="38293222"/>
          <a:ext cx="889440" cy="294648"/>
        </a:xfrm>
        <a:prstGeom prst="rect">
          <a:avLst/>
        </a:prstGeom>
      </xdr:spPr>
    </xdr:pic>
    <xdr:clientData/>
  </xdr:twoCellAnchor>
  <xdr:twoCellAnchor editAs="oneCell">
    <xdr:from>
      <xdr:col>17</xdr:col>
      <xdr:colOff>1102179</xdr:colOff>
      <xdr:row>288</xdr:row>
      <xdr:rowOff>13607</xdr:rowOff>
    </xdr:from>
    <xdr:to>
      <xdr:col>18</xdr:col>
      <xdr:colOff>734319</xdr:colOff>
      <xdr:row>289</xdr:row>
      <xdr:rowOff>108230</xdr:rowOff>
    </xdr:to>
    <xdr:pic>
      <xdr:nvPicPr>
        <xdr:cNvPr id="13" name="Picture 12">
          <a:extLst>
            <a:ext uri="{FF2B5EF4-FFF2-40B4-BE49-F238E27FC236}">
              <a16:creationId xmlns:a16="http://schemas.microsoft.com/office/drawing/2014/main" id="{7DE854B6-EBA2-4C37-AB1A-992B6F210A51}"/>
            </a:ext>
          </a:extLst>
        </xdr:cNvPr>
        <xdr:cNvPicPr>
          <a:picLocks noChangeAspect="1"/>
        </xdr:cNvPicPr>
      </xdr:nvPicPr>
      <xdr:blipFill>
        <a:blip xmlns:r="http://schemas.openxmlformats.org/officeDocument/2006/relationships" r:embed="rId4"/>
        <a:stretch>
          <a:fillRect/>
        </a:stretch>
      </xdr:blipFill>
      <xdr:spPr>
        <a:xfrm>
          <a:off x="19866429" y="58392332"/>
          <a:ext cx="889440" cy="2946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1095375</xdr:colOff>
      <xdr:row>288</xdr:row>
      <xdr:rowOff>123825</xdr:rowOff>
    </xdr:from>
    <xdr:to>
      <xdr:col>18</xdr:col>
      <xdr:colOff>1895475</xdr:colOff>
      <xdr:row>289</xdr:row>
      <xdr:rowOff>152400</xdr:rowOff>
    </xdr:to>
    <xdr:pic>
      <xdr:nvPicPr>
        <xdr:cNvPr id="2" name="Picture 1" descr="C:\WINDOWS\TEMP\~0003946.gif">
          <a:extLst>
            <a:ext uri="{FF2B5EF4-FFF2-40B4-BE49-F238E27FC236}">
              <a16:creationId xmlns:a16="http://schemas.microsoft.com/office/drawing/2014/main" id="{32B03B7A-4A4D-4074-8313-FDD1CE24CEA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585025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3" name="Picture 2" descr="C:\WINDOWS\TEMP\~0003946.gif">
          <a:extLst>
            <a:ext uri="{FF2B5EF4-FFF2-40B4-BE49-F238E27FC236}">
              <a16:creationId xmlns:a16="http://schemas.microsoft.com/office/drawing/2014/main" id="{B82BD3B2-601E-4E23-A089-12791BF68ED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384048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4" name="Picture 3" descr="C:\WINDOWS\TEMP\~0003946.gif">
          <a:extLst>
            <a:ext uri="{FF2B5EF4-FFF2-40B4-BE49-F238E27FC236}">
              <a16:creationId xmlns:a16="http://schemas.microsoft.com/office/drawing/2014/main" id="{CA566B40-DB0D-442E-B575-F31603C0E71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4526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a16="http://schemas.microsoft.com/office/drawing/2014/main" id="{2C349974-B739-4DA9-AF06-EA4DBEFE47D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108857</xdr:colOff>
      <xdr:row>288</xdr:row>
      <xdr:rowOff>136072</xdr:rowOff>
    </xdr:from>
    <xdr:to>
      <xdr:col>0</xdr:col>
      <xdr:colOff>279560</xdr:colOff>
      <xdr:row>289</xdr:row>
      <xdr:rowOff>157537</xdr:rowOff>
    </xdr:to>
    <xdr:pic>
      <xdr:nvPicPr>
        <xdr:cNvPr id="6" name="Picture 5">
          <a:extLst>
            <a:ext uri="{FF2B5EF4-FFF2-40B4-BE49-F238E27FC236}">
              <a16:creationId xmlns:a16="http://schemas.microsoft.com/office/drawing/2014/main" id="{EBC45688-0650-4BFA-B377-750EC5BBEC48}"/>
            </a:ext>
          </a:extLst>
        </xdr:cNvPr>
        <xdr:cNvPicPr>
          <a:picLocks noChangeAspect="1"/>
        </xdr:cNvPicPr>
      </xdr:nvPicPr>
      <xdr:blipFill>
        <a:blip xmlns:r="http://schemas.openxmlformats.org/officeDocument/2006/relationships" r:embed="rId3"/>
        <a:stretch>
          <a:fillRect/>
        </a:stretch>
      </xdr:blipFill>
      <xdr:spPr>
        <a:xfrm>
          <a:off x="108857" y="58514797"/>
          <a:ext cx="170703" cy="221490"/>
        </a:xfrm>
        <a:prstGeom prst="rect">
          <a:avLst/>
        </a:prstGeom>
      </xdr:spPr>
    </xdr:pic>
    <xdr:clientData/>
  </xdr:twoCellAnchor>
  <xdr:twoCellAnchor editAs="oneCell">
    <xdr:from>
      <xdr:col>0</xdr:col>
      <xdr:colOff>176893</xdr:colOff>
      <xdr:row>188</xdr:row>
      <xdr:rowOff>122464</xdr:rowOff>
    </xdr:from>
    <xdr:to>
      <xdr:col>1</xdr:col>
      <xdr:colOff>7417</xdr:colOff>
      <xdr:row>189</xdr:row>
      <xdr:rowOff>143929</xdr:rowOff>
    </xdr:to>
    <xdr:pic>
      <xdr:nvPicPr>
        <xdr:cNvPr id="7" name="Picture 6">
          <a:extLst>
            <a:ext uri="{FF2B5EF4-FFF2-40B4-BE49-F238E27FC236}">
              <a16:creationId xmlns:a16="http://schemas.microsoft.com/office/drawing/2014/main" id="{FF1CFFB9-F73A-4400-A4D6-4204F8F80EA3}"/>
            </a:ext>
          </a:extLst>
        </xdr:cNvPr>
        <xdr:cNvPicPr>
          <a:picLocks noChangeAspect="1"/>
        </xdr:cNvPicPr>
      </xdr:nvPicPr>
      <xdr:blipFill>
        <a:blip xmlns:r="http://schemas.openxmlformats.org/officeDocument/2006/relationships" r:embed="rId3"/>
        <a:stretch>
          <a:fillRect/>
        </a:stretch>
      </xdr:blipFill>
      <xdr:spPr>
        <a:xfrm>
          <a:off x="176893" y="38374864"/>
          <a:ext cx="173424" cy="221490"/>
        </a:xfrm>
        <a:prstGeom prst="rect">
          <a:avLst/>
        </a:prstGeom>
      </xdr:spPr>
    </xdr:pic>
    <xdr:clientData/>
  </xdr:twoCellAnchor>
  <xdr:twoCellAnchor editAs="oneCell">
    <xdr:from>
      <xdr:col>0</xdr:col>
      <xdr:colOff>149679</xdr:colOff>
      <xdr:row>119</xdr:row>
      <xdr:rowOff>108857</xdr:rowOff>
    </xdr:from>
    <xdr:to>
      <xdr:col>0</xdr:col>
      <xdr:colOff>320382</xdr:colOff>
      <xdr:row>120</xdr:row>
      <xdr:rowOff>130322</xdr:rowOff>
    </xdr:to>
    <xdr:pic>
      <xdr:nvPicPr>
        <xdr:cNvPr id="8" name="Picture 7">
          <a:extLst>
            <a:ext uri="{FF2B5EF4-FFF2-40B4-BE49-F238E27FC236}">
              <a16:creationId xmlns:a16="http://schemas.microsoft.com/office/drawing/2014/main" id="{DFBEAA2F-F54D-4F12-B380-24967AFC9CF8}"/>
            </a:ext>
          </a:extLst>
        </xdr:cNvPr>
        <xdr:cNvPicPr>
          <a:picLocks noChangeAspect="1"/>
        </xdr:cNvPicPr>
      </xdr:nvPicPr>
      <xdr:blipFill>
        <a:blip xmlns:r="http://schemas.openxmlformats.org/officeDocument/2006/relationships" r:embed="rId3"/>
        <a:stretch>
          <a:fillRect/>
        </a:stretch>
      </xdr:blipFill>
      <xdr:spPr>
        <a:xfrm>
          <a:off x="149679" y="24473807"/>
          <a:ext cx="170703" cy="221490"/>
        </a:xfrm>
        <a:prstGeom prst="rect">
          <a:avLst/>
        </a:prstGeom>
      </xdr:spPr>
    </xdr:pic>
    <xdr:clientData/>
  </xdr:twoCellAnchor>
  <xdr:twoCellAnchor editAs="oneCell">
    <xdr:from>
      <xdr:col>0</xdr:col>
      <xdr:colOff>163286</xdr:colOff>
      <xdr:row>50</xdr:row>
      <xdr:rowOff>122464</xdr:rowOff>
    </xdr:from>
    <xdr:to>
      <xdr:col>0</xdr:col>
      <xdr:colOff>327639</xdr:colOff>
      <xdr:row>51</xdr:row>
      <xdr:rowOff>143929</xdr:rowOff>
    </xdr:to>
    <xdr:pic>
      <xdr:nvPicPr>
        <xdr:cNvPr id="9" name="Picture 8">
          <a:extLst>
            <a:ext uri="{FF2B5EF4-FFF2-40B4-BE49-F238E27FC236}">
              <a16:creationId xmlns:a16="http://schemas.microsoft.com/office/drawing/2014/main" id="{5CD951E6-1245-4E33-98BC-F27F77325A13}"/>
            </a:ext>
          </a:extLst>
        </xdr:cNvPr>
        <xdr:cNvPicPr>
          <a:picLocks noChangeAspect="1"/>
        </xdr:cNvPicPr>
      </xdr:nvPicPr>
      <xdr:blipFill>
        <a:blip xmlns:r="http://schemas.openxmlformats.org/officeDocument/2006/relationships" r:embed="rId3"/>
        <a:stretch>
          <a:fillRect/>
        </a:stretch>
      </xdr:blipFill>
      <xdr:spPr>
        <a:xfrm>
          <a:off x="163286" y="10238014"/>
          <a:ext cx="164353" cy="221490"/>
        </a:xfrm>
        <a:prstGeom prst="rect">
          <a:avLst/>
        </a:prstGeom>
      </xdr:spPr>
    </xdr:pic>
    <xdr:clientData/>
  </xdr:twoCellAnchor>
  <xdr:twoCellAnchor editAs="oneCell">
    <xdr:from>
      <xdr:col>17</xdr:col>
      <xdr:colOff>1129392</xdr:colOff>
      <xdr:row>50</xdr:row>
      <xdr:rowOff>54428</xdr:rowOff>
    </xdr:from>
    <xdr:to>
      <xdr:col>18</xdr:col>
      <xdr:colOff>761532</xdr:colOff>
      <xdr:row>51</xdr:row>
      <xdr:rowOff>149051</xdr:rowOff>
    </xdr:to>
    <xdr:pic>
      <xdr:nvPicPr>
        <xdr:cNvPr id="10" name="Picture 9">
          <a:extLst>
            <a:ext uri="{FF2B5EF4-FFF2-40B4-BE49-F238E27FC236}">
              <a16:creationId xmlns:a16="http://schemas.microsoft.com/office/drawing/2014/main" id="{2A72E9CD-06F5-427E-B013-B01625B879D2}"/>
            </a:ext>
          </a:extLst>
        </xdr:cNvPr>
        <xdr:cNvPicPr>
          <a:picLocks noChangeAspect="1"/>
        </xdr:cNvPicPr>
      </xdr:nvPicPr>
      <xdr:blipFill>
        <a:blip xmlns:r="http://schemas.openxmlformats.org/officeDocument/2006/relationships" r:embed="rId4"/>
        <a:stretch>
          <a:fillRect/>
        </a:stretch>
      </xdr:blipFill>
      <xdr:spPr>
        <a:xfrm>
          <a:off x="19893642" y="10169978"/>
          <a:ext cx="889440" cy="294648"/>
        </a:xfrm>
        <a:prstGeom prst="rect">
          <a:avLst/>
        </a:prstGeom>
      </xdr:spPr>
    </xdr:pic>
    <xdr:clientData/>
  </xdr:twoCellAnchor>
  <xdr:twoCellAnchor editAs="oneCell">
    <xdr:from>
      <xdr:col>17</xdr:col>
      <xdr:colOff>1115785</xdr:colOff>
      <xdr:row>119</xdr:row>
      <xdr:rowOff>54428</xdr:rowOff>
    </xdr:from>
    <xdr:to>
      <xdr:col>18</xdr:col>
      <xdr:colOff>747925</xdr:colOff>
      <xdr:row>120</xdr:row>
      <xdr:rowOff>149051</xdr:rowOff>
    </xdr:to>
    <xdr:pic>
      <xdr:nvPicPr>
        <xdr:cNvPr id="11" name="Picture 10">
          <a:extLst>
            <a:ext uri="{FF2B5EF4-FFF2-40B4-BE49-F238E27FC236}">
              <a16:creationId xmlns:a16="http://schemas.microsoft.com/office/drawing/2014/main" id="{EC7C263C-1FB7-4218-B827-8108D2404F08}"/>
            </a:ext>
          </a:extLst>
        </xdr:cNvPr>
        <xdr:cNvPicPr>
          <a:picLocks noChangeAspect="1"/>
        </xdr:cNvPicPr>
      </xdr:nvPicPr>
      <xdr:blipFill>
        <a:blip xmlns:r="http://schemas.openxmlformats.org/officeDocument/2006/relationships" r:embed="rId4"/>
        <a:stretch>
          <a:fillRect/>
        </a:stretch>
      </xdr:blipFill>
      <xdr:spPr>
        <a:xfrm>
          <a:off x="19880035" y="24419378"/>
          <a:ext cx="889440" cy="294648"/>
        </a:xfrm>
        <a:prstGeom prst="rect">
          <a:avLst/>
        </a:prstGeom>
      </xdr:spPr>
    </xdr:pic>
    <xdr:clientData/>
  </xdr:twoCellAnchor>
  <xdr:twoCellAnchor editAs="oneCell">
    <xdr:from>
      <xdr:col>17</xdr:col>
      <xdr:colOff>1170214</xdr:colOff>
      <xdr:row>188</xdr:row>
      <xdr:rowOff>40822</xdr:rowOff>
    </xdr:from>
    <xdr:to>
      <xdr:col>18</xdr:col>
      <xdr:colOff>802354</xdr:colOff>
      <xdr:row>189</xdr:row>
      <xdr:rowOff>135445</xdr:rowOff>
    </xdr:to>
    <xdr:pic>
      <xdr:nvPicPr>
        <xdr:cNvPr id="12" name="Picture 11">
          <a:extLst>
            <a:ext uri="{FF2B5EF4-FFF2-40B4-BE49-F238E27FC236}">
              <a16:creationId xmlns:a16="http://schemas.microsoft.com/office/drawing/2014/main" id="{BA87FDCD-4CD3-4FAA-9B7E-B320CB0A9522}"/>
            </a:ext>
          </a:extLst>
        </xdr:cNvPr>
        <xdr:cNvPicPr>
          <a:picLocks noChangeAspect="1"/>
        </xdr:cNvPicPr>
      </xdr:nvPicPr>
      <xdr:blipFill>
        <a:blip xmlns:r="http://schemas.openxmlformats.org/officeDocument/2006/relationships" r:embed="rId4"/>
        <a:stretch>
          <a:fillRect/>
        </a:stretch>
      </xdr:blipFill>
      <xdr:spPr>
        <a:xfrm>
          <a:off x="19934464" y="38293222"/>
          <a:ext cx="889440" cy="294648"/>
        </a:xfrm>
        <a:prstGeom prst="rect">
          <a:avLst/>
        </a:prstGeom>
      </xdr:spPr>
    </xdr:pic>
    <xdr:clientData/>
  </xdr:twoCellAnchor>
  <xdr:twoCellAnchor editAs="oneCell">
    <xdr:from>
      <xdr:col>17</xdr:col>
      <xdr:colOff>1102179</xdr:colOff>
      <xdr:row>288</xdr:row>
      <xdr:rowOff>13607</xdr:rowOff>
    </xdr:from>
    <xdr:to>
      <xdr:col>18</xdr:col>
      <xdr:colOff>734319</xdr:colOff>
      <xdr:row>289</xdr:row>
      <xdr:rowOff>108230</xdr:rowOff>
    </xdr:to>
    <xdr:pic>
      <xdr:nvPicPr>
        <xdr:cNvPr id="13" name="Picture 12">
          <a:extLst>
            <a:ext uri="{FF2B5EF4-FFF2-40B4-BE49-F238E27FC236}">
              <a16:creationId xmlns:a16="http://schemas.microsoft.com/office/drawing/2014/main" id="{FCBD8C90-42EB-4385-A7F7-F14B97E432B1}"/>
            </a:ext>
          </a:extLst>
        </xdr:cNvPr>
        <xdr:cNvPicPr>
          <a:picLocks noChangeAspect="1"/>
        </xdr:cNvPicPr>
      </xdr:nvPicPr>
      <xdr:blipFill>
        <a:blip xmlns:r="http://schemas.openxmlformats.org/officeDocument/2006/relationships" r:embed="rId4"/>
        <a:stretch>
          <a:fillRect/>
        </a:stretch>
      </xdr:blipFill>
      <xdr:spPr>
        <a:xfrm>
          <a:off x="19866429" y="58392332"/>
          <a:ext cx="889440" cy="2946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1095375</xdr:colOff>
      <xdr:row>290</xdr:row>
      <xdr:rowOff>123825</xdr:rowOff>
    </xdr:from>
    <xdr:to>
      <xdr:col>18</xdr:col>
      <xdr:colOff>1895475</xdr:colOff>
      <xdr:row>291</xdr:row>
      <xdr:rowOff>152400</xdr:rowOff>
    </xdr:to>
    <xdr:pic>
      <xdr:nvPicPr>
        <xdr:cNvPr id="2" name="Picture 1" descr="C:\WINDOWS\TEMP\~0003946.gif">
          <a:extLst>
            <a:ext uri="{FF2B5EF4-FFF2-40B4-BE49-F238E27FC236}">
              <a16:creationId xmlns:a16="http://schemas.microsoft.com/office/drawing/2014/main" id="{BD8C3049-1A61-41CE-8ED9-D8C62D22347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585025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190</xdr:row>
      <xdr:rowOff>152400</xdr:rowOff>
    </xdr:from>
    <xdr:to>
      <xdr:col>18</xdr:col>
      <xdr:colOff>1924050</xdr:colOff>
      <xdr:row>191</xdr:row>
      <xdr:rowOff>180975</xdr:rowOff>
    </xdr:to>
    <xdr:pic>
      <xdr:nvPicPr>
        <xdr:cNvPr id="3" name="Picture 2" descr="C:\WINDOWS\TEMP\~0003946.gif">
          <a:extLst>
            <a:ext uri="{FF2B5EF4-FFF2-40B4-BE49-F238E27FC236}">
              <a16:creationId xmlns:a16="http://schemas.microsoft.com/office/drawing/2014/main" id="{D43DC2EC-A65B-42DA-BE23-A7B66B726B5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384048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4" name="Picture 3" descr="C:\WINDOWS\TEMP\~0003946.gif">
          <a:extLst>
            <a:ext uri="{FF2B5EF4-FFF2-40B4-BE49-F238E27FC236}">
              <a16:creationId xmlns:a16="http://schemas.microsoft.com/office/drawing/2014/main" id="{28C43823-90E5-4B4C-AA88-2B8FE0C9E65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4526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a16="http://schemas.microsoft.com/office/drawing/2014/main" id="{4A5831CE-A491-4F43-B89D-A26EDE8F1FB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108857</xdr:colOff>
      <xdr:row>290</xdr:row>
      <xdr:rowOff>136072</xdr:rowOff>
    </xdr:from>
    <xdr:to>
      <xdr:col>0</xdr:col>
      <xdr:colOff>279560</xdr:colOff>
      <xdr:row>291</xdr:row>
      <xdr:rowOff>157539</xdr:rowOff>
    </xdr:to>
    <xdr:pic>
      <xdr:nvPicPr>
        <xdr:cNvPr id="6" name="Picture 5">
          <a:extLst>
            <a:ext uri="{FF2B5EF4-FFF2-40B4-BE49-F238E27FC236}">
              <a16:creationId xmlns:a16="http://schemas.microsoft.com/office/drawing/2014/main" id="{0C8DEBF7-79F4-470F-B700-E75BD9DD3530}"/>
            </a:ext>
          </a:extLst>
        </xdr:cNvPr>
        <xdr:cNvPicPr>
          <a:picLocks noChangeAspect="1"/>
        </xdr:cNvPicPr>
      </xdr:nvPicPr>
      <xdr:blipFill>
        <a:blip xmlns:r="http://schemas.openxmlformats.org/officeDocument/2006/relationships" r:embed="rId3"/>
        <a:stretch>
          <a:fillRect/>
        </a:stretch>
      </xdr:blipFill>
      <xdr:spPr>
        <a:xfrm>
          <a:off x="108857" y="58514797"/>
          <a:ext cx="170703" cy="221490"/>
        </a:xfrm>
        <a:prstGeom prst="rect">
          <a:avLst/>
        </a:prstGeom>
      </xdr:spPr>
    </xdr:pic>
    <xdr:clientData/>
  </xdr:twoCellAnchor>
  <xdr:twoCellAnchor editAs="oneCell">
    <xdr:from>
      <xdr:col>0</xdr:col>
      <xdr:colOff>176893</xdr:colOff>
      <xdr:row>190</xdr:row>
      <xdr:rowOff>122464</xdr:rowOff>
    </xdr:from>
    <xdr:to>
      <xdr:col>1</xdr:col>
      <xdr:colOff>7417</xdr:colOff>
      <xdr:row>191</xdr:row>
      <xdr:rowOff>143928</xdr:rowOff>
    </xdr:to>
    <xdr:pic>
      <xdr:nvPicPr>
        <xdr:cNvPr id="7" name="Picture 6">
          <a:extLst>
            <a:ext uri="{FF2B5EF4-FFF2-40B4-BE49-F238E27FC236}">
              <a16:creationId xmlns:a16="http://schemas.microsoft.com/office/drawing/2014/main" id="{9D03D95B-E093-4C0C-961F-191743387506}"/>
            </a:ext>
          </a:extLst>
        </xdr:cNvPr>
        <xdr:cNvPicPr>
          <a:picLocks noChangeAspect="1"/>
        </xdr:cNvPicPr>
      </xdr:nvPicPr>
      <xdr:blipFill>
        <a:blip xmlns:r="http://schemas.openxmlformats.org/officeDocument/2006/relationships" r:embed="rId3"/>
        <a:stretch>
          <a:fillRect/>
        </a:stretch>
      </xdr:blipFill>
      <xdr:spPr>
        <a:xfrm>
          <a:off x="176893" y="38374864"/>
          <a:ext cx="173424" cy="221490"/>
        </a:xfrm>
        <a:prstGeom prst="rect">
          <a:avLst/>
        </a:prstGeom>
      </xdr:spPr>
    </xdr:pic>
    <xdr:clientData/>
  </xdr:twoCellAnchor>
  <xdr:twoCellAnchor editAs="oneCell">
    <xdr:from>
      <xdr:col>0</xdr:col>
      <xdr:colOff>149679</xdr:colOff>
      <xdr:row>120</xdr:row>
      <xdr:rowOff>108857</xdr:rowOff>
    </xdr:from>
    <xdr:to>
      <xdr:col>0</xdr:col>
      <xdr:colOff>320382</xdr:colOff>
      <xdr:row>121</xdr:row>
      <xdr:rowOff>130322</xdr:rowOff>
    </xdr:to>
    <xdr:pic>
      <xdr:nvPicPr>
        <xdr:cNvPr id="8" name="Picture 7">
          <a:extLst>
            <a:ext uri="{FF2B5EF4-FFF2-40B4-BE49-F238E27FC236}">
              <a16:creationId xmlns:a16="http://schemas.microsoft.com/office/drawing/2014/main" id="{7B727ECF-2EDE-4E17-BB3B-6A582DDE6727}"/>
            </a:ext>
          </a:extLst>
        </xdr:cNvPr>
        <xdr:cNvPicPr>
          <a:picLocks noChangeAspect="1"/>
        </xdr:cNvPicPr>
      </xdr:nvPicPr>
      <xdr:blipFill>
        <a:blip xmlns:r="http://schemas.openxmlformats.org/officeDocument/2006/relationships" r:embed="rId3"/>
        <a:stretch>
          <a:fillRect/>
        </a:stretch>
      </xdr:blipFill>
      <xdr:spPr>
        <a:xfrm>
          <a:off x="149679" y="24473807"/>
          <a:ext cx="170703" cy="221490"/>
        </a:xfrm>
        <a:prstGeom prst="rect">
          <a:avLst/>
        </a:prstGeom>
      </xdr:spPr>
    </xdr:pic>
    <xdr:clientData/>
  </xdr:twoCellAnchor>
  <xdr:twoCellAnchor editAs="oneCell">
    <xdr:from>
      <xdr:col>0</xdr:col>
      <xdr:colOff>163286</xdr:colOff>
      <xdr:row>50</xdr:row>
      <xdr:rowOff>122464</xdr:rowOff>
    </xdr:from>
    <xdr:to>
      <xdr:col>1</xdr:col>
      <xdr:colOff>1068</xdr:colOff>
      <xdr:row>51</xdr:row>
      <xdr:rowOff>143929</xdr:rowOff>
    </xdr:to>
    <xdr:pic>
      <xdr:nvPicPr>
        <xdr:cNvPr id="9" name="Picture 8">
          <a:extLst>
            <a:ext uri="{FF2B5EF4-FFF2-40B4-BE49-F238E27FC236}">
              <a16:creationId xmlns:a16="http://schemas.microsoft.com/office/drawing/2014/main" id="{9C0F980C-B98F-40D2-80F6-312C450C5392}"/>
            </a:ext>
          </a:extLst>
        </xdr:cNvPr>
        <xdr:cNvPicPr>
          <a:picLocks noChangeAspect="1"/>
        </xdr:cNvPicPr>
      </xdr:nvPicPr>
      <xdr:blipFill>
        <a:blip xmlns:r="http://schemas.openxmlformats.org/officeDocument/2006/relationships" r:embed="rId3"/>
        <a:stretch>
          <a:fillRect/>
        </a:stretch>
      </xdr:blipFill>
      <xdr:spPr>
        <a:xfrm>
          <a:off x="163286" y="10238014"/>
          <a:ext cx="164353" cy="221490"/>
        </a:xfrm>
        <a:prstGeom prst="rect">
          <a:avLst/>
        </a:prstGeom>
      </xdr:spPr>
    </xdr:pic>
    <xdr:clientData/>
  </xdr:twoCellAnchor>
  <xdr:twoCellAnchor editAs="oneCell">
    <xdr:from>
      <xdr:col>17</xdr:col>
      <xdr:colOff>1129392</xdr:colOff>
      <xdr:row>50</xdr:row>
      <xdr:rowOff>54428</xdr:rowOff>
    </xdr:from>
    <xdr:to>
      <xdr:col>18</xdr:col>
      <xdr:colOff>761532</xdr:colOff>
      <xdr:row>51</xdr:row>
      <xdr:rowOff>149051</xdr:rowOff>
    </xdr:to>
    <xdr:pic>
      <xdr:nvPicPr>
        <xdr:cNvPr id="10" name="Picture 9">
          <a:extLst>
            <a:ext uri="{FF2B5EF4-FFF2-40B4-BE49-F238E27FC236}">
              <a16:creationId xmlns:a16="http://schemas.microsoft.com/office/drawing/2014/main" id="{DAEC348F-4F3D-4E8F-9813-9169F34D4591}"/>
            </a:ext>
          </a:extLst>
        </xdr:cNvPr>
        <xdr:cNvPicPr>
          <a:picLocks noChangeAspect="1"/>
        </xdr:cNvPicPr>
      </xdr:nvPicPr>
      <xdr:blipFill>
        <a:blip xmlns:r="http://schemas.openxmlformats.org/officeDocument/2006/relationships" r:embed="rId4"/>
        <a:stretch>
          <a:fillRect/>
        </a:stretch>
      </xdr:blipFill>
      <xdr:spPr>
        <a:xfrm>
          <a:off x="19893642" y="10169978"/>
          <a:ext cx="889440" cy="294648"/>
        </a:xfrm>
        <a:prstGeom prst="rect">
          <a:avLst/>
        </a:prstGeom>
      </xdr:spPr>
    </xdr:pic>
    <xdr:clientData/>
  </xdr:twoCellAnchor>
  <xdr:twoCellAnchor editAs="oneCell">
    <xdr:from>
      <xdr:col>17</xdr:col>
      <xdr:colOff>1115785</xdr:colOff>
      <xdr:row>120</xdr:row>
      <xdr:rowOff>54428</xdr:rowOff>
    </xdr:from>
    <xdr:to>
      <xdr:col>18</xdr:col>
      <xdr:colOff>747925</xdr:colOff>
      <xdr:row>121</xdr:row>
      <xdr:rowOff>149051</xdr:rowOff>
    </xdr:to>
    <xdr:pic>
      <xdr:nvPicPr>
        <xdr:cNvPr id="11" name="Picture 10">
          <a:extLst>
            <a:ext uri="{FF2B5EF4-FFF2-40B4-BE49-F238E27FC236}">
              <a16:creationId xmlns:a16="http://schemas.microsoft.com/office/drawing/2014/main" id="{4E761B55-0ACB-4626-B9AA-494E539C715B}"/>
            </a:ext>
          </a:extLst>
        </xdr:cNvPr>
        <xdr:cNvPicPr>
          <a:picLocks noChangeAspect="1"/>
        </xdr:cNvPicPr>
      </xdr:nvPicPr>
      <xdr:blipFill>
        <a:blip xmlns:r="http://schemas.openxmlformats.org/officeDocument/2006/relationships" r:embed="rId4"/>
        <a:stretch>
          <a:fillRect/>
        </a:stretch>
      </xdr:blipFill>
      <xdr:spPr>
        <a:xfrm>
          <a:off x="19880035" y="24419378"/>
          <a:ext cx="889440" cy="294648"/>
        </a:xfrm>
        <a:prstGeom prst="rect">
          <a:avLst/>
        </a:prstGeom>
      </xdr:spPr>
    </xdr:pic>
    <xdr:clientData/>
  </xdr:twoCellAnchor>
  <xdr:twoCellAnchor editAs="oneCell">
    <xdr:from>
      <xdr:col>17</xdr:col>
      <xdr:colOff>1170214</xdr:colOff>
      <xdr:row>190</xdr:row>
      <xdr:rowOff>40822</xdr:rowOff>
    </xdr:from>
    <xdr:to>
      <xdr:col>18</xdr:col>
      <xdr:colOff>802354</xdr:colOff>
      <xdr:row>191</xdr:row>
      <xdr:rowOff>135444</xdr:rowOff>
    </xdr:to>
    <xdr:pic>
      <xdr:nvPicPr>
        <xdr:cNvPr id="12" name="Picture 11">
          <a:extLst>
            <a:ext uri="{FF2B5EF4-FFF2-40B4-BE49-F238E27FC236}">
              <a16:creationId xmlns:a16="http://schemas.microsoft.com/office/drawing/2014/main" id="{4F0C09CA-5643-4046-AC88-E94B4849714B}"/>
            </a:ext>
          </a:extLst>
        </xdr:cNvPr>
        <xdr:cNvPicPr>
          <a:picLocks noChangeAspect="1"/>
        </xdr:cNvPicPr>
      </xdr:nvPicPr>
      <xdr:blipFill>
        <a:blip xmlns:r="http://schemas.openxmlformats.org/officeDocument/2006/relationships" r:embed="rId4"/>
        <a:stretch>
          <a:fillRect/>
        </a:stretch>
      </xdr:blipFill>
      <xdr:spPr>
        <a:xfrm>
          <a:off x="19934464" y="38293222"/>
          <a:ext cx="889440" cy="294648"/>
        </a:xfrm>
        <a:prstGeom prst="rect">
          <a:avLst/>
        </a:prstGeom>
      </xdr:spPr>
    </xdr:pic>
    <xdr:clientData/>
  </xdr:twoCellAnchor>
  <xdr:twoCellAnchor editAs="oneCell">
    <xdr:from>
      <xdr:col>17</xdr:col>
      <xdr:colOff>1102179</xdr:colOff>
      <xdr:row>290</xdr:row>
      <xdr:rowOff>13607</xdr:rowOff>
    </xdr:from>
    <xdr:to>
      <xdr:col>18</xdr:col>
      <xdr:colOff>734319</xdr:colOff>
      <xdr:row>291</xdr:row>
      <xdr:rowOff>108232</xdr:rowOff>
    </xdr:to>
    <xdr:pic>
      <xdr:nvPicPr>
        <xdr:cNvPr id="13" name="Picture 12">
          <a:extLst>
            <a:ext uri="{FF2B5EF4-FFF2-40B4-BE49-F238E27FC236}">
              <a16:creationId xmlns:a16="http://schemas.microsoft.com/office/drawing/2014/main" id="{56462C5F-8620-439B-80BE-5FE722C60454}"/>
            </a:ext>
          </a:extLst>
        </xdr:cNvPr>
        <xdr:cNvPicPr>
          <a:picLocks noChangeAspect="1"/>
        </xdr:cNvPicPr>
      </xdr:nvPicPr>
      <xdr:blipFill>
        <a:blip xmlns:r="http://schemas.openxmlformats.org/officeDocument/2006/relationships" r:embed="rId4"/>
        <a:stretch>
          <a:fillRect/>
        </a:stretch>
      </xdr:blipFill>
      <xdr:spPr>
        <a:xfrm>
          <a:off x="19866429" y="58392332"/>
          <a:ext cx="889440" cy="294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614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9311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8930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595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5476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874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614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9311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8930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595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5476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874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614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9311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8930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595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5476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874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119</xdr:row>
      <xdr:rowOff>161925</xdr:rowOff>
    </xdr:from>
    <xdr:to>
      <xdr:col>1</xdr:col>
      <xdr:colOff>28575</xdr:colOff>
      <xdr:row>120</xdr:row>
      <xdr:rowOff>200025</xdr:rowOff>
    </xdr:to>
    <xdr:pic>
      <xdr:nvPicPr>
        <xdr:cNvPr id="3" name="Picture 2" descr="C:\WINDOWS\TEMP\Symbol.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5173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289</xdr:row>
      <xdr:rowOff>161925</xdr:rowOff>
    </xdr:from>
    <xdr:to>
      <xdr:col>1</xdr:col>
      <xdr:colOff>19050</xdr:colOff>
      <xdr:row>290</xdr:row>
      <xdr:rowOff>200025</xdr:rowOff>
    </xdr:to>
    <xdr:pic>
      <xdr:nvPicPr>
        <xdr:cNvPr id="5" name="Picture 4" descr="C:\WINDOWS\TEMP\Symbol.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7311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289</xdr:row>
      <xdr:rowOff>123825</xdr:rowOff>
    </xdr:from>
    <xdr:to>
      <xdr:col>18</xdr:col>
      <xdr:colOff>1895475</xdr:colOff>
      <xdr:row>290</xdr:row>
      <xdr:rowOff>152400</xdr:rowOff>
    </xdr:to>
    <xdr:pic>
      <xdr:nvPicPr>
        <xdr:cNvPr id="6" name="Picture 5" descr="C:\WINDOWS\TEMP\~0003946.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6930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119</xdr:row>
      <xdr:rowOff>161925</xdr:rowOff>
    </xdr:from>
    <xdr:to>
      <xdr:col>18</xdr:col>
      <xdr:colOff>1952625</xdr:colOff>
      <xdr:row>120</xdr:row>
      <xdr:rowOff>190500</xdr:rowOff>
    </xdr:to>
    <xdr:pic>
      <xdr:nvPicPr>
        <xdr:cNvPr id="8" name="Picture 7" descr="C:\WINDOWS\TEMP\~0003946.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5173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119</xdr:row>
      <xdr:rowOff>123825</xdr:rowOff>
    </xdr:from>
    <xdr:to>
      <xdr:col>18</xdr:col>
      <xdr:colOff>895350</xdr:colOff>
      <xdr:row>120</xdr:row>
      <xdr:rowOff>152400</xdr:rowOff>
    </xdr:to>
    <xdr:pic>
      <xdr:nvPicPr>
        <xdr:cNvPr id="11" name="Picture 10" descr="C:\WINDOWS\TEMP\~0003946.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4792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289</xdr:row>
      <xdr:rowOff>104775</xdr:rowOff>
    </xdr:from>
    <xdr:to>
      <xdr:col>18</xdr:col>
      <xdr:colOff>895350</xdr:colOff>
      <xdr:row>290</xdr:row>
      <xdr:rowOff>133350</xdr:rowOff>
    </xdr:to>
    <xdr:pic>
      <xdr:nvPicPr>
        <xdr:cNvPr id="13" name="Picture 12" descr="C:\WINDOWS\TEMP\~0003946.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674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9CB31"/>
  </sheetPr>
  <dimension ref="A1:IR293"/>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0.9889</v>
      </c>
      <c r="P16" s="229" t="s">
        <v>239</v>
      </c>
      <c r="Q16" s="229">
        <v>1.11E-2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41964</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v>0</v>
      </c>
      <c r="E29" s="128"/>
      <c r="F29" s="201">
        <v>0</v>
      </c>
      <c r="G29" s="201"/>
      <c r="H29" s="201">
        <v>0</v>
      </c>
      <c r="I29" s="124"/>
      <c r="J29" s="201"/>
      <c r="K29" s="124"/>
      <c r="L29" s="128"/>
      <c r="M29" s="124"/>
      <c r="N29" s="128"/>
      <c r="O29" s="124"/>
      <c r="P29" s="124"/>
      <c r="Q29" s="125"/>
      <c r="R29" s="124">
        <f>SUM(D29:J29)</f>
        <v>0</v>
      </c>
      <c r="S29" s="126"/>
      <c r="T29" s="2"/>
    </row>
    <row r="30" spans="1:23" ht="15.75" x14ac:dyDescent="0.25">
      <c r="A30" s="120"/>
      <c r="B30" s="119" t="s">
        <v>108</v>
      </c>
      <c r="C30" s="123"/>
      <c r="D30" s="202">
        <f>D31*D28</f>
        <v>304368.26750000002</v>
      </c>
      <c r="E30" s="202"/>
      <c r="F30" s="202">
        <f t="shared" ref="F30" si="0">F31*F28</f>
        <v>24000</v>
      </c>
      <c r="G30" s="202"/>
      <c r="H30" s="202">
        <f t="shared" ref="H30" si="1">H31*H28</f>
        <v>7000</v>
      </c>
      <c r="I30" s="202"/>
      <c r="J30" s="202"/>
      <c r="K30" s="129"/>
      <c r="L30" s="131"/>
      <c r="M30" s="129"/>
      <c r="N30" s="131"/>
      <c r="O30" s="124"/>
      <c r="P30" s="124"/>
      <c r="Q30" s="125"/>
      <c r="R30" s="203">
        <f>SUM(D30:J30)</f>
        <v>335368.26750000002</v>
      </c>
      <c r="S30" s="126"/>
      <c r="T30" s="2"/>
    </row>
    <row r="31" spans="1:23" ht="15.75" x14ac:dyDescent="0.25">
      <c r="A31" s="110"/>
      <c r="B31" s="132" t="s">
        <v>104</v>
      </c>
      <c r="C31" s="133"/>
      <c r="D31" s="134">
        <v>0.95413250000000005</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1</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1.2892300000000001E-2</v>
      </c>
      <c r="E34" s="141"/>
      <c r="F34" s="141">
        <v>1.60923E-2</v>
      </c>
      <c r="G34" s="141"/>
      <c r="H34" s="141">
        <v>1.95923E-2</v>
      </c>
      <c r="I34" s="141"/>
      <c r="J34" s="141"/>
      <c r="K34" s="141"/>
      <c r="L34" s="141"/>
      <c r="M34" s="140"/>
      <c r="N34" s="141"/>
      <c r="O34" s="121"/>
      <c r="P34" s="121"/>
      <c r="Q34" s="113"/>
      <c r="R34" s="140">
        <f>SUMPRODUCT(D34:J34,D28:J28)/R28</f>
        <v>1.3245728571428571E-2</v>
      </c>
      <c r="S34" s="114"/>
      <c r="T34" s="2"/>
    </row>
    <row r="35" spans="1:21" ht="15.75" x14ac:dyDescent="0.25">
      <c r="A35" s="110"/>
      <c r="B35" s="111" t="s">
        <v>10</v>
      </c>
      <c r="C35" s="142"/>
      <c r="D35" s="141">
        <v>0</v>
      </c>
      <c r="E35" s="141"/>
      <c r="F35" s="141">
        <v>0</v>
      </c>
      <c r="G35" s="141"/>
      <c r="H35" s="141">
        <v>0</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0.1018503021179762</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41960</v>
      </c>
      <c r="S45" s="114"/>
      <c r="T45" s="2"/>
    </row>
    <row r="46" spans="1:21" ht="15.75" x14ac:dyDescent="0.25">
      <c r="A46" s="110"/>
      <c r="B46" s="111" t="s">
        <v>100</v>
      </c>
      <c r="C46" s="111"/>
      <c r="D46" s="148"/>
      <c r="E46" s="148"/>
      <c r="F46" s="148"/>
      <c r="G46" s="148"/>
      <c r="H46" s="148"/>
      <c r="I46" s="148"/>
      <c r="J46" s="148"/>
      <c r="K46" s="148"/>
      <c r="L46" s="148"/>
      <c r="M46" s="148"/>
      <c r="N46" s="111"/>
      <c r="O46" s="148"/>
      <c r="P46" s="149"/>
      <c r="Q46" s="150"/>
      <c r="R46" s="149"/>
      <c r="S46" s="114"/>
      <c r="T46" s="2"/>
    </row>
    <row r="47" spans="1:21" ht="15.75" x14ac:dyDescent="0.25">
      <c r="A47" s="110"/>
      <c r="B47" s="111" t="s">
        <v>101</v>
      </c>
      <c r="C47" s="111"/>
      <c r="D47" s="111"/>
      <c r="E47" s="111"/>
      <c r="F47" s="111"/>
      <c r="G47" s="111"/>
      <c r="H47" s="111"/>
      <c r="I47" s="111"/>
      <c r="J47" s="111"/>
      <c r="K47" s="111"/>
      <c r="L47" s="111"/>
      <c r="M47" s="111"/>
      <c r="N47" s="111">
        <f>+R47-P47+1</f>
        <v>123</v>
      </c>
      <c r="O47" s="111"/>
      <c r="P47" s="149">
        <v>41837</v>
      </c>
      <c r="Q47" s="150"/>
      <c r="R47" s="149">
        <v>41959</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41946</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211</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317450</v>
      </c>
      <c r="I56" s="153"/>
      <c r="J56" s="154">
        <f>5+347</f>
        <v>352</v>
      </c>
      <c r="K56" s="153"/>
      <c r="L56" s="153">
        <f>14233+108+1+186-1</f>
        <v>14527</v>
      </c>
      <c r="M56" s="153"/>
      <c r="N56" s="153">
        <f>27+279+29518</f>
        <v>29824</v>
      </c>
      <c r="O56" s="153"/>
      <c r="P56" s="153">
        <v>0</v>
      </c>
      <c r="Q56" s="153"/>
      <c r="R56" s="154">
        <f>F56-J56-L56+N56-P56</f>
        <v>332395</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317450</v>
      </c>
      <c r="I59" s="153"/>
      <c r="J59" s="153">
        <f>J56+J57</f>
        <v>352</v>
      </c>
      <c r="K59" s="153"/>
      <c r="L59" s="153">
        <f>SUM(L56:L58)</f>
        <v>14527</v>
      </c>
      <c r="M59" s="153"/>
      <c r="N59" s="153">
        <f>SUM(N56:N58)</f>
        <v>29824</v>
      </c>
      <c r="O59" s="153"/>
      <c r="P59" s="153">
        <f>SUM(P56:P58)</f>
        <v>0</v>
      </c>
      <c r="Q59" s="153"/>
      <c r="R59" s="153">
        <f>SUM(R56:R58)</f>
        <v>332395</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29550</v>
      </c>
      <c r="I69" s="153"/>
      <c r="J69" s="153">
        <v>-29518</v>
      </c>
      <c r="K69" s="153"/>
      <c r="L69" s="153">
        <v>32</v>
      </c>
      <c r="M69" s="153"/>
      <c r="N69" s="153"/>
      <c r="O69" s="153"/>
      <c r="P69" s="153"/>
      <c r="Q69" s="153"/>
      <c r="R69" s="153">
        <v>0</v>
      </c>
      <c r="S69" s="114"/>
      <c r="T69" s="2"/>
    </row>
    <row r="70" spans="1:20" ht="15.75" x14ac:dyDescent="0.25">
      <c r="A70" s="110"/>
      <c r="B70" s="111" t="s">
        <v>240</v>
      </c>
      <c r="C70" s="153"/>
      <c r="D70" s="153"/>
      <c r="E70" s="153"/>
      <c r="F70" s="153">
        <v>3000</v>
      </c>
      <c r="G70" s="153"/>
      <c r="H70" s="153">
        <v>3000</v>
      </c>
      <c r="I70" s="153"/>
      <c r="J70" s="153">
        <v>0</v>
      </c>
      <c r="K70" s="153"/>
      <c r="L70" s="153"/>
      <c r="M70" s="153"/>
      <c r="N70" s="153">
        <v>-27</v>
      </c>
      <c r="O70" s="153"/>
      <c r="P70" s="153"/>
      <c r="Q70" s="153"/>
      <c r="R70" s="153">
        <f>H70+N70</f>
        <v>2973</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350000</v>
      </c>
      <c r="I72" s="153"/>
      <c r="J72" s="153"/>
      <c r="K72" s="153"/>
      <c r="L72" s="153"/>
      <c r="M72" s="153"/>
      <c r="N72" s="153"/>
      <c r="O72" s="153"/>
      <c r="P72" s="153"/>
      <c r="Q72" s="153"/>
      <c r="R72" s="153">
        <f>SUM(R59:R71)</f>
        <v>335368</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v>41943</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177</v>
      </c>
      <c r="C77" s="133"/>
      <c r="D77" s="155"/>
      <c r="E77" s="155"/>
      <c r="F77" s="155"/>
      <c r="G77" s="156"/>
      <c r="H77" s="155"/>
      <c r="I77" s="133"/>
      <c r="J77" s="157"/>
      <c r="K77" s="133"/>
      <c r="L77" s="133"/>
      <c r="M77" s="133"/>
      <c r="N77" s="133"/>
      <c r="O77" s="133"/>
      <c r="P77" s="153">
        <v>32</v>
      </c>
      <c r="Q77" s="111"/>
      <c r="R77" s="154"/>
      <c r="S77" s="137"/>
      <c r="T77" s="2"/>
    </row>
    <row r="78" spans="1:20" ht="15.75" x14ac:dyDescent="0.25">
      <c r="A78" s="120"/>
      <c r="B78" s="111" t="s">
        <v>246</v>
      </c>
      <c r="C78" s="133"/>
      <c r="D78" s="155"/>
      <c r="E78" s="155"/>
      <c r="F78" s="155"/>
      <c r="G78" s="156"/>
      <c r="H78" s="155"/>
      <c r="I78" s="133"/>
      <c r="J78" s="157"/>
      <c r="K78" s="133"/>
      <c r="L78" s="133"/>
      <c r="M78" s="133"/>
      <c r="N78" s="133"/>
      <c r="O78" s="133"/>
      <c r="P78" s="153">
        <f>-N70</f>
        <v>27</v>
      </c>
      <c r="Q78" s="111"/>
      <c r="R78" s="154"/>
      <c r="S78" s="137"/>
      <c r="T78" s="2"/>
    </row>
    <row r="79" spans="1:20" ht="15.75" x14ac:dyDescent="0.25">
      <c r="A79" s="120"/>
      <c r="B79" s="111" t="s">
        <v>245</v>
      </c>
      <c r="C79" s="133"/>
      <c r="D79" s="155"/>
      <c r="E79" s="155"/>
      <c r="F79" s="155"/>
      <c r="G79" s="156"/>
      <c r="H79" s="155"/>
      <c r="I79" s="133"/>
      <c r="J79" s="157"/>
      <c r="K79" s="133"/>
      <c r="L79" s="133"/>
      <c r="M79" s="133"/>
      <c r="N79" s="133"/>
      <c r="O79" s="133"/>
      <c r="P79" s="153">
        <f>-P78</f>
        <v>-27</v>
      </c>
      <c r="Q79" s="111"/>
      <c r="R79" s="154"/>
      <c r="S79" s="137"/>
      <c r="T79" s="2"/>
    </row>
    <row r="80" spans="1:20" ht="15.75" x14ac:dyDescent="0.25">
      <c r="A80" s="120"/>
      <c r="B80" s="111" t="s">
        <v>24</v>
      </c>
      <c r="C80" s="133"/>
      <c r="D80" s="155"/>
      <c r="E80" s="155"/>
      <c r="F80" s="155"/>
      <c r="G80" s="156"/>
      <c r="H80" s="155"/>
      <c r="I80" s="133"/>
      <c r="J80" s="157"/>
      <c r="K80" s="133"/>
      <c r="L80" s="133"/>
      <c r="M80" s="133"/>
      <c r="N80" s="133"/>
      <c r="O80" s="133"/>
      <c r="P80" s="153">
        <f>+J56+L56</f>
        <v>14879</v>
      </c>
      <c r="Q80" s="111"/>
      <c r="R80" s="154"/>
      <c r="S80" s="137"/>
      <c r="T80" s="2"/>
    </row>
    <row r="81" spans="1:20" ht="15.75" x14ac:dyDescent="0.25">
      <c r="A81" s="120"/>
      <c r="B81" s="111" t="s">
        <v>138</v>
      </c>
      <c r="C81" s="133"/>
      <c r="D81" s="155"/>
      <c r="E81" s="155"/>
      <c r="F81" s="155"/>
      <c r="G81" s="156"/>
      <c r="H81" s="155"/>
      <c r="I81" s="133"/>
      <c r="J81" s="157"/>
      <c r="K81" s="133"/>
      <c r="L81" s="133"/>
      <c r="M81" s="133"/>
      <c r="N81" s="133"/>
      <c r="O81" s="133"/>
      <c r="P81" s="153"/>
      <c r="Q81" s="111"/>
      <c r="R81" s="154">
        <f>5236+34-533-6+9</f>
        <v>4740</v>
      </c>
      <c r="S81" s="137"/>
      <c r="T81" s="2"/>
    </row>
    <row r="82" spans="1:20" ht="15.75" x14ac:dyDescent="0.25">
      <c r="A82" s="120"/>
      <c r="B82" s="111" t="s">
        <v>136</v>
      </c>
      <c r="C82" s="133"/>
      <c r="D82" s="155"/>
      <c r="E82" s="155"/>
      <c r="F82" s="155"/>
      <c r="G82" s="156"/>
      <c r="H82" s="155"/>
      <c r="I82" s="133"/>
      <c r="J82" s="157"/>
      <c r="K82" s="133"/>
      <c r="L82" s="133"/>
      <c r="M82" s="133"/>
      <c r="N82" s="133"/>
      <c r="O82" s="133"/>
      <c r="P82" s="153"/>
      <c r="Q82" s="111"/>
      <c r="R82" s="154">
        <f>87+1</f>
        <v>88</v>
      </c>
      <c r="S82" s="137"/>
      <c r="T82" s="2"/>
    </row>
    <row r="83" spans="1:20" ht="15.75" x14ac:dyDescent="0.25">
      <c r="A83" s="120"/>
      <c r="B83" s="111" t="s">
        <v>137</v>
      </c>
      <c r="C83" s="133"/>
      <c r="D83" s="155"/>
      <c r="E83" s="155"/>
      <c r="F83" s="155"/>
      <c r="G83" s="156"/>
      <c r="H83" s="155"/>
      <c r="I83" s="133"/>
      <c r="J83" s="157"/>
      <c r="K83" s="133"/>
      <c r="L83" s="133"/>
      <c r="M83" s="133"/>
      <c r="N83" s="133"/>
      <c r="O83" s="133"/>
      <c r="P83" s="153"/>
      <c r="Q83" s="111"/>
      <c r="R83" s="154">
        <v>51</v>
      </c>
      <c r="S83" s="137"/>
      <c r="T83" s="2"/>
    </row>
    <row r="84" spans="1:20" ht="15.75" x14ac:dyDescent="0.25">
      <c r="A84" s="120"/>
      <c r="B84" s="111" t="s">
        <v>146</v>
      </c>
      <c r="C84" s="133"/>
      <c r="D84" s="155"/>
      <c r="E84" s="155"/>
      <c r="F84" s="155"/>
      <c r="G84" s="156"/>
      <c r="H84" s="155"/>
      <c r="I84" s="133"/>
      <c r="J84" s="157"/>
      <c r="K84" s="133"/>
      <c r="L84" s="133"/>
      <c r="M84" s="133"/>
      <c r="N84" s="133"/>
      <c r="O84" s="133"/>
      <c r="P84" s="153"/>
      <c r="Q84" s="111"/>
      <c r="R84" s="154">
        <v>0</v>
      </c>
      <c r="S84" s="137"/>
      <c r="T84" s="2"/>
    </row>
    <row r="85" spans="1:20" ht="15.75" x14ac:dyDescent="0.25">
      <c r="A85" s="120"/>
      <c r="B85" s="111" t="s">
        <v>148</v>
      </c>
      <c r="C85" s="133"/>
      <c r="D85" s="155"/>
      <c r="E85" s="155"/>
      <c r="F85" s="155"/>
      <c r="G85" s="156"/>
      <c r="H85" s="155"/>
      <c r="I85" s="133"/>
      <c r="J85" s="157"/>
      <c r="K85" s="133"/>
      <c r="L85" s="133"/>
      <c r="M85" s="133"/>
      <c r="N85" s="133"/>
      <c r="O85" s="133"/>
      <c r="P85" s="153"/>
      <c r="Q85" s="111"/>
      <c r="R85" s="154">
        <v>298</v>
      </c>
      <c r="S85" s="137"/>
      <c r="T85" s="2"/>
    </row>
    <row r="86" spans="1:20" ht="15.75" x14ac:dyDescent="0.25">
      <c r="A86" s="120"/>
      <c r="B86" s="111" t="s">
        <v>170</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171</v>
      </c>
      <c r="C87" s="133"/>
      <c r="D87" s="155"/>
      <c r="E87" s="155"/>
      <c r="F87" s="155"/>
      <c r="G87" s="156"/>
      <c r="H87" s="155"/>
      <c r="I87" s="133"/>
      <c r="J87" s="157"/>
      <c r="K87" s="133"/>
      <c r="L87" s="133"/>
      <c r="M87" s="133"/>
      <c r="N87" s="133"/>
      <c r="O87" s="133"/>
      <c r="P87" s="153"/>
      <c r="Q87" s="111"/>
      <c r="R87" s="154">
        <v>0</v>
      </c>
      <c r="S87" s="137"/>
      <c r="T87" s="2"/>
    </row>
    <row r="88" spans="1:20" ht="15.75" x14ac:dyDescent="0.25">
      <c r="A88" s="120"/>
      <c r="B88" s="111" t="s">
        <v>172</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218</v>
      </c>
      <c r="C89" s="133"/>
      <c r="D89" s="133"/>
      <c r="E89" s="133"/>
      <c r="F89" s="133"/>
      <c r="G89" s="133"/>
      <c r="H89" s="133"/>
      <c r="I89" s="133"/>
      <c r="J89" s="133"/>
      <c r="K89" s="133"/>
      <c r="L89" s="133"/>
      <c r="M89" s="133"/>
      <c r="N89" s="133"/>
      <c r="O89" s="133"/>
      <c r="P89" s="153"/>
      <c r="Q89" s="111"/>
      <c r="R89" s="154">
        <v>0</v>
      </c>
      <c r="S89" s="137"/>
      <c r="T89" s="2"/>
    </row>
    <row r="90" spans="1:20" ht="15.75" x14ac:dyDescent="0.25">
      <c r="A90" s="120"/>
      <c r="B90" s="111" t="s">
        <v>25</v>
      </c>
      <c r="C90" s="133"/>
      <c r="D90" s="133"/>
      <c r="E90" s="133"/>
      <c r="F90" s="133"/>
      <c r="G90" s="133"/>
      <c r="H90" s="133"/>
      <c r="I90" s="133"/>
      <c r="J90" s="133"/>
      <c r="K90" s="133"/>
      <c r="L90" s="133"/>
      <c r="M90" s="133"/>
      <c r="N90" s="133"/>
      <c r="O90" s="133"/>
      <c r="P90" s="153">
        <f>SUM(P76:P89)</f>
        <v>14911</v>
      </c>
      <c r="Q90" s="111"/>
      <c r="R90" s="153">
        <f>SUM(R76:R89)</f>
        <v>5177</v>
      </c>
      <c r="S90" s="137"/>
      <c r="T90" s="2"/>
    </row>
    <row r="91" spans="1:20" ht="15.75" x14ac:dyDescent="0.25">
      <c r="A91" s="120"/>
      <c r="B91" s="111" t="s">
        <v>26</v>
      </c>
      <c r="C91" s="133"/>
      <c r="D91" s="133"/>
      <c r="E91" s="133"/>
      <c r="F91" s="133"/>
      <c r="G91" s="133"/>
      <c r="H91" s="133"/>
      <c r="I91" s="133"/>
      <c r="J91" s="133"/>
      <c r="K91" s="133"/>
      <c r="L91" s="133"/>
      <c r="M91" s="133"/>
      <c r="N91" s="133"/>
      <c r="O91" s="133"/>
      <c r="P91" s="153">
        <f>-R91</f>
        <v>0</v>
      </c>
      <c r="Q91" s="111"/>
      <c r="R91" s="154">
        <v>0</v>
      </c>
      <c r="S91" s="137"/>
      <c r="T91" s="2"/>
    </row>
    <row r="92" spans="1:20" ht="15.75" x14ac:dyDescent="0.25">
      <c r="A92" s="120"/>
      <c r="B92" s="111" t="s">
        <v>153</v>
      </c>
      <c r="C92" s="133"/>
      <c r="D92" s="133"/>
      <c r="E92" s="133"/>
      <c r="F92" s="133"/>
      <c r="G92" s="133"/>
      <c r="H92" s="133"/>
      <c r="I92" s="133"/>
      <c r="J92" s="133"/>
      <c r="K92" s="133"/>
      <c r="L92" s="133"/>
      <c r="M92" s="133"/>
      <c r="N92" s="133"/>
      <c r="O92" s="133"/>
      <c r="P92" s="153"/>
      <c r="Q92" s="111"/>
      <c r="R92" s="154">
        <v>0</v>
      </c>
      <c r="S92" s="137"/>
      <c r="T92" s="2"/>
    </row>
    <row r="93" spans="1:20" ht="15.75" x14ac:dyDescent="0.25">
      <c r="A93" s="120"/>
      <c r="B93" s="111" t="s">
        <v>27</v>
      </c>
      <c r="C93" s="133"/>
      <c r="D93" s="133"/>
      <c r="E93" s="133"/>
      <c r="F93" s="133"/>
      <c r="G93" s="133"/>
      <c r="H93" s="133"/>
      <c r="I93" s="133"/>
      <c r="J93" s="133"/>
      <c r="K93" s="133"/>
      <c r="L93" s="133"/>
      <c r="M93" s="133"/>
      <c r="N93" s="133"/>
      <c r="O93" s="133"/>
      <c r="P93" s="153">
        <f>P90+P91</f>
        <v>14911</v>
      </c>
      <c r="Q93" s="111"/>
      <c r="R93" s="153">
        <f>R90+R91+R92</f>
        <v>5177</v>
      </c>
      <c r="S93" s="137"/>
      <c r="T93" s="2"/>
    </row>
    <row r="94" spans="1:20" ht="15.75" x14ac:dyDescent="0.25">
      <c r="A94" s="110"/>
      <c r="B94" s="158" t="s">
        <v>28</v>
      </c>
      <c r="C94" s="133"/>
      <c r="D94" s="133"/>
      <c r="E94" s="133"/>
      <c r="F94" s="133"/>
      <c r="G94" s="133"/>
      <c r="H94" s="133"/>
      <c r="I94" s="133"/>
      <c r="J94" s="133"/>
      <c r="K94" s="133"/>
      <c r="L94" s="133"/>
      <c r="M94" s="133"/>
      <c r="N94" s="133"/>
      <c r="O94" s="133"/>
      <c r="P94" s="153"/>
      <c r="Q94" s="111"/>
      <c r="R94" s="154"/>
      <c r="S94" s="137"/>
      <c r="T94" s="2"/>
    </row>
    <row r="95" spans="1:20" ht="15.75" x14ac:dyDescent="0.25">
      <c r="A95" s="120">
        <v>1</v>
      </c>
      <c r="B95" s="111" t="s">
        <v>182</v>
      </c>
      <c r="C95" s="133"/>
      <c r="D95" s="133"/>
      <c r="E95" s="133"/>
      <c r="F95" s="133"/>
      <c r="G95" s="133"/>
      <c r="H95" s="133"/>
      <c r="I95" s="133"/>
      <c r="J95" s="133"/>
      <c r="K95" s="133"/>
      <c r="L95" s="133"/>
      <c r="M95" s="133"/>
      <c r="N95" s="133"/>
      <c r="O95" s="133"/>
      <c r="P95" s="153"/>
      <c r="Q95" s="111"/>
      <c r="R95" s="154">
        <v>-694</v>
      </c>
      <c r="S95" s="137"/>
      <c r="T95" s="2"/>
    </row>
    <row r="96" spans="1:20" ht="15.75" x14ac:dyDescent="0.25">
      <c r="A96" s="120">
        <v>2</v>
      </c>
      <c r="B96" s="111" t="s">
        <v>230</v>
      </c>
      <c r="C96" s="111"/>
      <c r="D96" s="133"/>
      <c r="E96" s="133"/>
      <c r="F96" s="133"/>
      <c r="G96" s="133"/>
      <c r="H96" s="133"/>
      <c r="I96" s="133"/>
      <c r="J96" s="133"/>
      <c r="K96" s="133"/>
      <c r="L96" s="133"/>
      <c r="M96" s="133"/>
      <c r="N96" s="133"/>
      <c r="O96" s="133"/>
      <c r="P96" s="111"/>
      <c r="Q96" s="111"/>
      <c r="R96" s="154">
        <v>-3</v>
      </c>
      <c r="S96" s="137"/>
      <c r="T96" s="2"/>
    </row>
    <row r="97" spans="1:21" ht="15.75" x14ac:dyDescent="0.25">
      <c r="A97" s="120">
        <v>3</v>
      </c>
      <c r="B97" s="111" t="s">
        <v>236</v>
      </c>
      <c r="C97" s="111"/>
      <c r="D97" s="133"/>
      <c r="E97" s="133"/>
      <c r="F97" s="133"/>
      <c r="G97" s="133"/>
      <c r="H97" s="133"/>
      <c r="I97" s="133"/>
      <c r="J97" s="133"/>
      <c r="K97" s="133"/>
      <c r="L97" s="133"/>
      <c r="M97" s="133"/>
      <c r="N97" s="133"/>
      <c r="O97" s="133"/>
      <c r="P97" s="111"/>
      <c r="Q97" s="111"/>
      <c r="R97" s="154">
        <f>-140-8-4</f>
        <v>-152</v>
      </c>
      <c r="S97" s="137"/>
      <c r="T97" s="2"/>
    </row>
    <row r="98" spans="1:21" ht="15.75" x14ac:dyDescent="0.25">
      <c r="A98" s="120">
        <v>4</v>
      </c>
      <c r="B98" s="111" t="s">
        <v>97</v>
      </c>
      <c r="C98" s="111"/>
      <c r="D98" s="133"/>
      <c r="E98" s="133"/>
      <c r="F98" s="133"/>
      <c r="G98" s="133"/>
      <c r="H98" s="133"/>
      <c r="I98" s="133"/>
      <c r="J98" s="133"/>
      <c r="K98" s="133"/>
      <c r="L98" s="133"/>
      <c r="M98" s="133"/>
      <c r="N98" s="133"/>
      <c r="O98" s="133"/>
      <c r="P98" s="111"/>
      <c r="Q98" s="111"/>
      <c r="R98" s="154">
        <v>-208</v>
      </c>
      <c r="S98" s="137"/>
      <c r="T98" s="2"/>
    </row>
    <row r="99" spans="1:21" ht="15.75" x14ac:dyDescent="0.25">
      <c r="A99" s="120">
        <v>5</v>
      </c>
      <c r="B99" s="111" t="s">
        <v>160</v>
      </c>
      <c r="C99" s="111"/>
      <c r="D99" s="133"/>
      <c r="E99" s="133"/>
      <c r="F99" s="133"/>
      <c r="G99" s="133"/>
      <c r="H99" s="133"/>
      <c r="I99" s="133"/>
      <c r="J99" s="133"/>
      <c r="K99" s="133"/>
      <c r="L99" s="133"/>
      <c r="M99" s="133"/>
      <c r="N99" s="133"/>
      <c r="O99" s="133"/>
      <c r="P99" s="111"/>
      <c r="Q99" s="111"/>
      <c r="R99" s="154">
        <v>-1386</v>
      </c>
      <c r="S99" s="137"/>
      <c r="T99" s="2"/>
      <c r="U99" s="4"/>
    </row>
    <row r="100" spans="1:21" ht="15.75" x14ac:dyDescent="0.25">
      <c r="A100" s="120">
        <v>6</v>
      </c>
      <c r="B100" s="111" t="s">
        <v>195</v>
      </c>
      <c r="C100" s="111"/>
      <c r="D100" s="133"/>
      <c r="E100" s="133"/>
      <c r="F100" s="133"/>
      <c r="G100" s="133"/>
      <c r="H100" s="133"/>
      <c r="I100" s="133"/>
      <c r="J100" s="133"/>
      <c r="K100" s="133"/>
      <c r="L100" s="133"/>
      <c r="M100" s="133"/>
      <c r="N100" s="133"/>
      <c r="O100" s="133"/>
      <c r="P100" s="111"/>
      <c r="Q100" s="111"/>
      <c r="R100" s="154">
        <v>-130</v>
      </c>
      <c r="S100" s="137"/>
      <c r="T100" s="2"/>
      <c r="U100" s="4"/>
    </row>
    <row r="101" spans="1:21" ht="15.75" x14ac:dyDescent="0.25">
      <c r="A101" s="120">
        <v>8</v>
      </c>
      <c r="B101" s="111" t="s">
        <v>161</v>
      </c>
      <c r="C101" s="111"/>
      <c r="D101" s="133"/>
      <c r="E101" s="133"/>
      <c r="F101" s="133"/>
      <c r="G101" s="133"/>
      <c r="H101" s="133"/>
      <c r="I101" s="133"/>
      <c r="J101" s="133"/>
      <c r="K101" s="133"/>
      <c r="L101" s="133"/>
      <c r="M101" s="133"/>
      <c r="N101" s="133"/>
      <c r="O101" s="133"/>
      <c r="P101" s="111"/>
      <c r="Q101" s="111"/>
      <c r="R101" s="154">
        <v>-1</v>
      </c>
      <c r="S101" s="137"/>
      <c r="T101" s="2"/>
      <c r="U101" s="4"/>
    </row>
    <row r="102" spans="1:21" ht="15.75" x14ac:dyDescent="0.25">
      <c r="A102" s="120">
        <v>9</v>
      </c>
      <c r="B102" s="111" t="s">
        <v>37</v>
      </c>
      <c r="C102" s="111"/>
      <c r="D102" s="133"/>
      <c r="E102" s="133"/>
      <c r="F102" s="133"/>
      <c r="G102" s="133"/>
      <c r="H102" s="133"/>
      <c r="I102" s="133"/>
      <c r="J102" s="133"/>
      <c r="K102" s="133"/>
      <c r="L102" s="133"/>
      <c r="M102" s="133"/>
      <c r="N102" s="133"/>
      <c r="O102" s="133"/>
      <c r="P102" s="153">
        <f>-R102</f>
        <v>0</v>
      </c>
      <c r="Q102" s="111"/>
      <c r="R102" s="154">
        <v>0</v>
      </c>
      <c r="S102" s="137"/>
      <c r="T102" s="2"/>
    </row>
    <row r="103" spans="1:21" ht="15.75" x14ac:dyDescent="0.25">
      <c r="A103" s="120">
        <v>10</v>
      </c>
      <c r="B103" s="111" t="s">
        <v>102</v>
      </c>
      <c r="C103" s="111"/>
      <c r="D103" s="133"/>
      <c r="E103" s="133"/>
      <c r="F103" s="133"/>
      <c r="G103" s="133"/>
      <c r="H103" s="133"/>
      <c r="I103" s="133"/>
      <c r="J103" s="133"/>
      <c r="K103" s="133"/>
      <c r="L103" s="133"/>
      <c r="M103" s="133"/>
      <c r="N103" s="133"/>
      <c r="O103" s="133"/>
      <c r="P103" s="111"/>
      <c r="Q103" s="111"/>
      <c r="R103" s="154">
        <v>0</v>
      </c>
      <c r="S103" s="137"/>
      <c r="T103" s="2"/>
    </row>
    <row r="104" spans="1:21" ht="15.75" x14ac:dyDescent="0.25">
      <c r="A104" s="120">
        <v>11</v>
      </c>
      <c r="B104" s="111" t="s">
        <v>29</v>
      </c>
      <c r="C104" s="111"/>
      <c r="D104" s="133"/>
      <c r="E104" s="133"/>
      <c r="F104" s="133"/>
      <c r="G104" s="133"/>
      <c r="H104" s="133"/>
      <c r="I104" s="133"/>
      <c r="J104" s="133"/>
      <c r="K104" s="133"/>
      <c r="L104" s="133"/>
      <c r="M104" s="133"/>
      <c r="N104" s="133"/>
      <c r="O104" s="133"/>
      <c r="P104" s="111"/>
      <c r="Q104" s="111"/>
      <c r="R104" s="154">
        <v>-25</v>
      </c>
      <c r="S104" s="137"/>
      <c r="T104" s="2"/>
    </row>
    <row r="105" spans="1:21" ht="15.75" x14ac:dyDescent="0.25">
      <c r="A105" s="120">
        <v>12</v>
      </c>
      <c r="B105" s="111" t="s">
        <v>141</v>
      </c>
      <c r="C105" s="111"/>
      <c r="D105" s="133"/>
      <c r="E105" s="133"/>
      <c r="F105" s="133"/>
      <c r="G105" s="133"/>
      <c r="H105" s="133"/>
      <c r="I105" s="133"/>
      <c r="J105" s="133"/>
      <c r="K105" s="133"/>
      <c r="L105" s="133"/>
      <c r="M105" s="133"/>
      <c r="N105" s="133"/>
      <c r="O105" s="133"/>
      <c r="P105" s="111"/>
      <c r="Q105" s="111"/>
      <c r="R105" s="154">
        <v>0</v>
      </c>
      <c r="S105" s="137"/>
      <c r="T105" s="2"/>
    </row>
    <row r="106" spans="1:21" ht="15.75" x14ac:dyDescent="0.25">
      <c r="A106" s="120">
        <v>13</v>
      </c>
      <c r="B106" s="111" t="s">
        <v>196</v>
      </c>
      <c r="C106" s="111"/>
      <c r="D106" s="133"/>
      <c r="E106" s="133"/>
      <c r="F106" s="133"/>
      <c r="G106" s="133"/>
      <c r="H106" s="133"/>
      <c r="I106" s="133"/>
      <c r="J106" s="133"/>
      <c r="K106" s="133"/>
      <c r="L106" s="133"/>
      <c r="M106" s="133"/>
      <c r="N106" s="133"/>
      <c r="O106" s="133"/>
      <c r="P106" s="111"/>
      <c r="Q106" s="111"/>
      <c r="R106" s="154">
        <v>-46</v>
      </c>
      <c r="S106" s="137"/>
      <c r="T106" s="2"/>
    </row>
    <row r="107" spans="1:21" ht="15.75" x14ac:dyDescent="0.25">
      <c r="A107" s="120">
        <v>14</v>
      </c>
      <c r="B107" s="111" t="s">
        <v>162</v>
      </c>
      <c r="C107" s="111"/>
      <c r="D107" s="133"/>
      <c r="E107" s="133"/>
      <c r="F107" s="133"/>
      <c r="G107" s="133"/>
      <c r="H107" s="133"/>
      <c r="I107" s="133"/>
      <c r="J107" s="133"/>
      <c r="K107" s="133"/>
      <c r="L107" s="133"/>
      <c r="M107" s="133"/>
      <c r="N107" s="133"/>
      <c r="O107" s="133"/>
      <c r="P107" s="111"/>
      <c r="Q107" s="111"/>
      <c r="R107" s="154">
        <v>0</v>
      </c>
      <c r="S107" s="137"/>
      <c r="T107" s="2"/>
    </row>
    <row r="108" spans="1:21" ht="15.75" x14ac:dyDescent="0.25">
      <c r="A108" s="120">
        <v>15</v>
      </c>
      <c r="B108" s="111" t="s">
        <v>222</v>
      </c>
      <c r="C108" s="111"/>
      <c r="D108" s="133"/>
      <c r="E108" s="133"/>
      <c r="F108" s="133"/>
      <c r="G108" s="133"/>
      <c r="H108" s="133"/>
      <c r="I108" s="133"/>
      <c r="J108" s="133"/>
      <c r="K108" s="133"/>
      <c r="L108" s="133"/>
      <c r="M108" s="133"/>
      <c r="N108" s="133"/>
      <c r="O108" s="133"/>
      <c r="P108" s="111"/>
      <c r="Q108" s="111"/>
      <c r="R108" s="154">
        <v>-140</v>
      </c>
      <c r="S108" s="137"/>
      <c r="T108" s="2"/>
    </row>
    <row r="109" spans="1:21" ht="15.75" x14ac:dyDescent="0.25">
      <c r="A109" s="120">
        <v>16</v>
      </c>
      <c r="B109" s="111" t="s">
        <v>173</v>
      </c>
      <c r="C109" s="111"/>
      <c r="D109" s="133"/>
      <c r="E109" s="133"/>
      <c r="F109" s="133"/>
      <c r="G109" s="133"/>
      <c r="H109" s="133"/>
      <c r="I109" s="133"/>
      <c r="J109" s="133"/>
      <c r="K109" s="133"/>
      <c r="L109" s="133"/>
      <c r="M109" s="133"/>
      <c r="N109" s="133"/>
      <c r="O109" s="133"/>
      <c r="P109" s="111"/>
      <c r="Q109" s="111"/>
      <c r="R109" s="154">
        <f>-50-256</f>
        <v>-306</v>
      </c>
      <c r="S109" s="137"/>
      <c r="T109" s="2"/>
    </row>
    <row r="110" spans="1:21" ht="15.75" x14ac:dyDescent="0.25">
      <c r="A110" s="120">
        <v>17</v>
      </c>
      <c r="B110" s="111" t="s">
        <v>178</v>
      </c>
      <c r="C110" s="111"/>
      <c r="D110" s="133"/>
      <c r="E110" s="133"/>
      <c r="F110" s="133"/>
      <c r="G110" s="133"/>
      <c r="H110" s="133"/>
      <c r="I110" s="133"/>
      <c r="J110" s="133"/>
      <c r="K110" s="133"/>
      <c r="L110" s="133"/>
      <c r="M110" s="133"/>
      <c r="N110" s="133"/>
      <c r="O110" s="133"/>
      <c r="P110" s="111"/>
      <c r="Q110" s="111"/>
      <c r="R110" s="154">
        <f>-R93-SUM(R95:R109)</f>
        <v>-2086</v>
      </c>
      <c r="S110" s="137"/>
      <c r="T110" s="2"/>
    </row>
    <row r="111" spans="1:21" ht="15.75" x14ac:dyDescent="0.25">
      <c r="A111" s="120">
        <v>18</v>
      </c>
      <c r="B111" s="111" t="s">
        <v>179</v>
      </c>
      <c r="C111" s="111"/>
      <c r="D111" s="133"/>
      <c r="E111" s="133"/>
      <c r="F111" s="133"/>
      <c r="G111" s="133"/>
      <c r="H111" s="133"/>
      <c r="I111" s="133"/>
      <c r="J111" s="133"/>
      <c r="K111" s="133"/>
      <c r="L111" s="133"/>
      <c r="M111" s="133"/>
      <c r="N111" s="133"/>
      <c r="O111" s="133"/>
      <c r="P111" s="153">
        <f>-R111</f>
        <v>0</v>
      </c>
      <c r="Q111" s="111"/>
      <c r="R111" s="154">
        <v>0</v>
      </c>
      <c r="S111" s="137"/>
      <c r="T111" s="2"/>
    </row>
    <row r="112" spans="1:21" ht="15.75" x14ac:dyDescent="0.25">
      <c r="A112" s="110"/>
      <c r="B112" s="158" t="s">
        <v>30</v>
      </c>
      <c r="C112" s="133"/>
      <c r="D112" s="133"/>
      <c r="E112" s="133"/>
      <c r="F112" s="133"/>
      <c r="G112" s="133"/>
      <c r="H112" s="133"/>
      <c r="I112" s="133"/>
      <c r="J112" s="133"/>
      <c r="K112" s="133"/>
      <c r="L112" s="133"/>
      <c r="M112" s="133"/>
      <c r="N112" s="133"/>
      <c r="O112" s="133"/>
      <c r="P112" s="111"/>
      <c r="Q112" s="111"/>
      <c r="R112" s="159"/>
      <c r="S112" s="137"/>
      <c r="T112" s="2"/>
    </row>
    <row r="113" spans="1:20" ht="15.75" x14ac:dyDescent="0.25">
      <c r="A113" s="110"/>
      <c r="B113" s="111" t="s">
        <v>223</v>
      </c>
      <c r="C113" s="133"/>
      <c r="D113" s="133"/>
      <c r="E113" s="133"/>
      <c r="F113" s="133"/>
      <c r="G113" s="133"/>
      <c r="H113" s="133"/>
      <c r="I113" s="133"/>
      <c r="J113" s="133"/>
      <c r="K113" s="133"/>
      <c r="L113" s="133"/>
      <c r="M113" s="133"/>
      <c r="N113" s="133"/>
      <c r="O113" s="133"/>
      <c r="P113" s="153">
        <f>-P176</f>
        <v>-279</v>
      </c>
      <c r="Q113" s="153"/>
      <c r="R113" s="154"/>
      <c r="S113" s="137"/>
      <c r="T113" s="2"/>
    </row>
    <row r="114" spans="1:20" ht="15.75" x14ac:dyDescent="0.25">
      <c r="A114" s="110"/>
      <c r="B114" s="111" t="s">
        <v>224</v>
      </c>
      <c r="C114" s="133"/>
      <c r="D114" s="133"/>
      <c r="E114" s="133"/>
      <c r="F114" s="133"/>
      <c r="G114" s="133"/>
      <c r="H114" s="133"/>
      <c r="I114" s="133"/>
      <c r="J114" s="133"/>
      <c r="K114" s="133"/>
      <c r="L114" s="133"/>
      <c r="M114" s="133"/>
      <c r="N114" s="133"/>
      <c r="O114" s="133"/>
      <c r="P114" s="153">
        <v>0</v>
      </c>
      <c r="Q114" s="153"/>
      <c r="R114" s="154"/>
      <c r="S114" s="137"/>
      <c r="T114" s="2"/>
    </row>
    <row r="115" spans="1:20" ht="15.75" x14ac:dyDescent="0.25">
      <c r="A115" s="110"/>
      <c r="B115" s="111" t="s">
        <v>163</v>
      </c>
      <c r="C115" s="133"/>
      <c r="D115" s="133"/>
      <c r="E115" s="133"/>
      <c r="F115" s="133"/>
      <c r="G115" s="133"/>
      <c r="H115" s="133"/>
      <c r="I115" s="133"/>
      <c r="J115" s="133"/>
      <c r="K115" s="133"/>
      <c r="L115" s="133"/>
      <c r="M115" s="133"/>
      <c r="N115" s="133"/>
      <c r="O115" s="133"/>
      <c r="P115" s="153">
        <v>-14632</v>
      </c>
      <c r="Q115" s="153"/>
      <c r="R115" s="154"/>
      <c r="S115" s="137"/>
      <c r="T115" s="2"/>
    </row>
    <row r="116" spans="1:20" ht="15.75" x14ac:dyDescent="0.25">
      <c r="A116" s="110"/>
      <c r="B116" s="111" t="s">
        <v>187</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188</v>
      </c>
      <c r="C117" s="133"/>
      <c r="D117" s="133"/>
      <c r="E117" s="133"/>
      <c r="F117" s="133"/>
      <c r="G117" s="133"/>
      <c r="H117" s="133"/>
      <c r="I117" s="133"/>
      <c r="J117" s="133"/>
      <c r="K117" s="133"/>
      <c r="L117" s="133"/>
      <c r="M117" s="133"/>
      <c r="N117" s="133"/>
      <c r="O117" s="133"/>
      <c r="P117" s="153">
        <v>0</v>
      </c>
      <c r="Q117" s="153"/>
      <c r="R117" s="154"/>
      <c r="S117" s="137"/>
      <c r="T117" s="2"/>
    </row>
    <row r="118" spans="1:20" ht="15.75" x14ac:dyDescent="0.25">
      <c r="A118" s="110"/>
      <c r="B118" s="111" t="s">
        <v>31</v>
      </c>
      <c r="C118" s="133"/>
      <c r="D118" s="133"/>
      <c r="E118" s="133"/>
      <c r="F118" s="133"/>
      <c r="G118" s="133"/>
      <c r="H118" s="133"/>
      <c r="I118" s="133"/>
      <c r="J118" s="133"/>
      <c r="K118" s="133"/>
      <c r="L118" s="133"/>
      <c r="M118" s="133"/>
      <c r="N118" s="133"/>
      <c r="O118" s="133"/>
      <c r="P118" s="153">
        <f>SUM(P113:P117)</f>
        <v>-14911</v>
      </c>
      <c r="Q118" s="153"/>
      <c r="R118" s="153">
        <f>SUM(R94:R117)</f>
        <v>-5177</v>
      </c>
      <c r="S118" s="137"/>
      <c r="T118" s="2"/>
    </row>
    <row r="119" spans="1:20" ht="15.75" x14ac:dyDescent="0.25">
      <c r="A119" s="110"/>
      <c r="B119" s="111" t="s">
        <v>32</v>
      </c>
      <c r="C119" s="133"/>
      <c r="D119" s="133"/>
      <c r="E119" s="133"/>
      <c r="F119" s="133"/>
      <c r="G119" s="133"/>
      <c r="H119" s="133"/>
      <c r="I119" s="133"/>
      <c r="J119" s="133"/>
      <c r="K119" s="133"/>
      <c r="L119" s="133"/>
      <c r="M119" s="133"/>
      <c r="N119" s="133"/>
      <c r="O119" s="133"/>
      <c r="P119" s="153">
        <f>P93+P118+P102+P111</f>
        <v>0</v>
      </c>
      <c r="Q119" s="153"/>
      <c r="R119" s="153">
        <f>R93+R118</f>
        <v>0</v>
      </c>
      <c r="S119" s="137"/>
      <c r="T119" s="2"/>
    </row>
    <row r="120" spans="1:20" ht="15.75" x14ac:dyDescent="0.25">
      <c r="A120" s="12"/>
      <c r="B120" s="43"/>
      <c r="C120" s="43"/>
      <c r="D120" s="43"/>
      <c r="E120" s="43"/>
      <c r="F120" s="43"/>
      <c r="G120" s="43"/>
      <c r="H120" s="43"/>
      <c r="I120" s="43"/>
      <c r="J120" s="43"/>
      <c r="K120" s="43"/>
      <c r="L120" s="43"/>
      <c r="M120" s="43"/>
      <c r="N120" s="43"/>
      <c r="O120" s="43"/>
      <c r="P120" s="151"/>
      <c r="Q120" s="151"/>
      <c r="R120" s="151"/>
      <c r="S120" s="216"/>
      <c r="T120" s="2"/>
    </row>
    <row r="121" spans="1:20" ht="15.75" x14ac:dyDescent="0.25">
      <c r="A121" s="12"/>
      <c r="B121" s="14"/>
      <c r="C121" s="14"/>
      <c r="D121" s="14"/>
      <c r="E121" s="14"/>
      <c r="F121" s="14"/>
      <c r="G121" s="14"/>
      <c r="H121" s="14"/>
      <c r="I121" s="14"/>
      <c r="J121" s="14"/>
      <c r="K121" s="14"/>
      <c r="L121" s="14"/>
      <c r="M121" s="14"/>
      <c r="N121" s="14"/>
      <c r="O121" s="14"/>
      <c r="P121" s="14"/>
      <c r="Q121" s="14"/>
      <c r="R121" s="33"/>
      <c r="S121" s="216"/>
      <c r="T121" s="2"/>
    </row>
    <row r="122" spans="1:20" ht="19.5" thickBot="1" x14ac:dyDescent="0.35">
      <c r="A122" s="28"/>
      <c r="B122" s="97" t="str">
        <f>B52</f>
        <v>PM20 INVESTOR REPORT QUARTER ENDING OCTOBER 2014</v>
      </c>
      <c r="C122" s="29"/>
      <c r="D122" s="29"/>
      <c r="E122" s="29"/>
      <c r="F122" s="29"/>
      <c r="G122" s="29"/>
      <c r="H122" s="29"/>
      <c r="I122" s="29"/>
      <c r="J122" s="29"/>
      <c r="K122" s="29"/>
      <c r="L122" s="29"/>
      <c r="M122" s="29"/>
      <c r="N122" s="29"/>
      <c r="O122" s="29"/>
      <c r="P122" s="29"/>
      <c r="Q122" s="29"/>
      <c r="R122" s="40"/>
      <c r="S122" s="31"/>
      <c r="T122" s="2"/>
    </row>
    <row r="123" spans="1:20" ht="15.75" x14ac:dyDescent="0.25">
      <c r="A123" s="65"/>
      <c r="B123" s="66" t="s">
        <v>33</v>
      </c>
      <c r="C123" s="67"/>
      <c r="D123" s="67"/>
      <c r="E123" s="67"/>
      <c r="F123" s="67"/>
      <c r="G123" s="67"/>
      <c r="H123" s="67"/>
      <c r="I123" s="67"/>
      <c r="J123" s="67"/>
      <c r="K123" s="67"/>
      <c r="L123" s="67"/>
      <c r="M123" s="67"/>
      <c r="N123" s="67"/>
      <c r="O123" s="67"/>
      <c r="P123" s="67"/>
      <c r="Q123" s="67"/>
      <c r="R123" s="68"/>
      <c r="S123" s="222"/>
      <c r="T123" s="2"/>
    </row>
    <row r="124" spans="1:20" ht="15.75" x14ac:dyDescent="0.25">
      <c r="A124" s="12"/>
      <c r="B124" s="22"/>
      <c r="C124" s="14"/>
      <c r="D124" s="14"/>
      <c r="E124" s="14"/>
      <c r="F124" s="14"/>
      <c r="G124" s="14"/>
      <c r="H124" s="14"/>
      <c r="I124" s="14"/>
      <c r="J124" s="14"/>
      <c r="K124" s="14"/>
      <c r="L124" s="14"/>
      <c r="M124" s="14"/>
      <c r="N124" s="14"/>
      <c r="O124" s="14"/>
      <c r="P124" s="14"/>
      <c r="Q124" s="14"/>
      <c r="R124" s="33"/>
      <c r="S124" s="216"/>
      <c r="T124" s="2"/>
    </row>
    <row r="125" spans="1:20" ht="15.75" x14ac:dyDescent="0.25">
      <c r="A125" s="12"/>
      <c r="B125" s="41" t="s">
        <v>34</v>
      </c>
      <c r="C125" s="14"/>
      <c r="D125" s="14"/>
      <c r="E125" s="14"/>
      <c r="F125" s="14"/>
      <c r="G125" s="14"/>
      <c r="H125" s="14"/>
      <c r="I125" s="14"/>
      <c r="J125" s="14"/>
      <c r="K125" s="14"/>
      <c r="L125" s="14"/>
      <c r="M125" s="14"/>
      <c r="N125" s="14"/>
      <c r="O125" s="14"/>
      <c r="P125" s="14"/>
      <c r="Q125" s="14"/>
      <c r="R125" s="33"/>
      <c r="S125" s="216"/>
      <c r="T125" s="2"/>
    </row>
    <row r="126" spans="1:20" ht="15.75" x14ac:dyDescent="0.25">
      <c r="A126" s="110"/>
      <c r="B126" s="111" t="s">
        <v>35</v>
      </c>
      <c r="C126" s="111"/>
      <c r="D126" s="111"/>
      <c r="E126" s="111"/>
      <c r="F126" s="111"/>
      <c r="G126" s="111"/>
      <c r="H126" s="111"/>
      <c r="I126" s="111"/>
      <c r="J126" s="111"/>
      <c r="K126" s="111"/>
      <c r="L126" s="111"/>
      <c r="M126" s="111"/>
      <c r="N126" s="111"/>
      <c r="O126" s="111"/>
      <c r="P126" s="111"/>
      <c r="Q126" s="111"/>
      <c r="R126" s="154">
        <f>+R28*0.03</f>
        <v>10500</v>
      </c>
      <c r="S126" s="114"/>
      <c r="T126" s="2"/>
    </row>
    <row r="127" spans="1:20" ht="15.75" x14ac:dyDescent="0.25">
      <c r="A127" s="110"/>
      <c r="B127" s="111" t="s">
        <v>36</v>
      </c>
      <c r="C127" s="111"/>
      <c r="D127" s="111"/>
      <c r="E127" s="111"/>
      <c r="F127" s="111"/>
      <c r="G127" s="111"/>
      <c r="H127" s="111"/>
      <c r="I127" s="111"/>
      <c r="J127" s="111"/>
      <c r="K127" s="111"/>
      <c r="L127" s="111"/>
      <c r="M127" s="111"/>
      <c r="N127" s="111"/>
      <c r="O127" s="111"/>
      <c r="P127" s="111"/>
      <c r="Q127" s="111"/>
      <c r="R127" s="154">
        <v>0</v>
      </c>
      <c r="S127" s="114"/>
      <c r="T127" s="2"/>
    </row>
    <row r="128" spans="1:20" ht="15.75" x14ac:dyDescent="0.25">
      <c r="A128" s="110"/>
      <c r="B128" s="111" t="s">
        <v>175</v>
      </c>
      <c r="C128" s="111"/>
      <c r="D128" s="111"/>
      <c r="E128" s="111"/>
      <c r="F128" s="111"/>
      <c r="G128" s="111"/>
      <c r="H128" s="111"/>
      <c r="I128" s="111"/>
      <c r="J128" s="111"/>
      <c r="K128" s="111"/>
      <c r="L128" s="111"/>
      <c r="M128" s="111"/>
      <c r="N128" s="111"/>
      <c r="O128" s="111"/>
      <c r="P128" s="111"/>
      <c r="Q128" s="111"/>
      <c r="R128" s="154">
        <f>R126-R129</f>
        <v>648.95197499999995</v>
      </c>
      <c r="S128" s="114"/>
      <c r="T128" s="2"/>
    </row>
    <row r="129" spans="1:21" ht="15.75" x14ac:dyDescent="0.25">
      <c r="A129" s="110"/>
      <c r="B129" s="111" t="s">
        <v>235</v>
      </c>
      <c r="C129" s="111"/>
      <c r="D129" s="111"/>
      <c r="E129" s="111"/>
      <c r="F129" s="111"/>
      <c r="G129" s="111"/>
      <c r="H129" s="111"/>
      <c r="I129" s="111"/>
      <c r="J129" s="111"/>
      <c r="K129" s="111"/>
      <c r="L129" s="111"/>
      <c r="M129" s="111"/>
      <c r="N129" s="111"/>
      <c r="O129" s="111"/>
      <c r="P129" s="111"/>
      <c r="Q129" s="111"/>
      <c r="R129" s="154">
        <f>SUM(D30:F30)*0.03</f>
        <v>9851.0480250000001</v>
      </c>
      <c r="S129" s="114"/>
      <c r="T129" s="2"/>
    </row>
    <row r="130" spans="1:21" ht="15.75" x14ac:dyDescent="0.25">
      <c r="A130" s="110"/>
      <c r="B130" s="111" t="s">
        <v>109</v>
      </c>
      <c r="C130" s="111"/>
      <c r="D130" s="111"/>
      <c r="E130" s="111"/>
      <c r="F130" s="111"/>
      <c r="G130" s="111"/>
      <c r="H130" s="111"/>
      <c r="I130" s="111"/>
      <c r="J130" s="111"/>
      <c r="K130" s="111"/>
      <c r="L130" s="111"/>
      <c r="M130" s="111"/>
      <c r="N130" s="111"/>
      <c r="O130" s="111"/>
      <c r="P130" s="111"/>
      <c r="Q130" s="111"/>
      <c r="R130" s="154"/>
      <c r="S130" s="114"/>
      <c r="T130" s="2"/>
    </row>
    <row r="131" spans="1:21" ht="15.75" x14ac:dyDescent="0.25">
      <c r="A131" s="110"/>
      <c r="B131" s="111" t="s">
        <v>160</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195</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37</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103</v>
      </c>
      <c r="C134" s="111"/>
      <c r="D134" s="111"/>
      <c r="E134" s="111"/>
      <c r="F134" s="111"/>
      <c r="G134" s="111"/>
      <c r="H134" s="111"/>
      <c r="I134" s="111"/>
      <c r="J134" s="111"/>
      <c r="K134" s="111"/>
      <c r="L134" s="111"/>
      <c r="M134" s="111"/>
      <c r="N134" s="111"/>
      <c r="O134" s="111"/>
      <c r="P134" s="111"/>
      <c r="Q134" s="111"/>
      <c r="R134" s="154">
        <v>0</v>
      </c>
      <c r="S134" s="114"/>
      <c r="T134" s="2"/>
    </row>
    <row r="135" spans="1:21" ht="15.75" x14ac:dyDescent="0.25">
      <c r="A135" s="110"/>
      <c r="B135" s="111" t="s">
        <v>225</v>
      </c>
      <c r="C135" s="111"/>
      <c r="D135" s="111"/>
      <c r="E135" s="111"/>
      <c r="F135" s="111"/>
      <c r="G135" s="111"/>
      <c r="H135" s="111"/>
      <c r="I135" s="111"/>
      <c r="J135" s="111"/>
      <c r="K135" s="111"/>
      <c r="L135" s="111"/>
      <c r="M135" s="111"/>
      <c r="N135" s="111"/>
      <c r="O135" s="111"/>
      <c r="P135" s="111"/>
      <c r="Q135" s="111"/>
      <c r="R135" s="154">
        <v>0</v>
      </c>
      <c r="S135" s="114"/>
      <c r="T135" s="2"/>
      <c r="U135" s="4"/>
    </row>
    <row r="136" spans="1:21" ht="15.75" x14ac:dyDescent="0.25">
      <c r="A136" s="110"/>
      <c r="B136" s="111" t="s">
        <v>38</v>
      </c>
      <c r="C136" s="111"/>
      <c r="D136" s="111"/>
      <c r="E136" s="111"/>
      <c r="F136" s="111"/>
      <c r="G136" s="111"/>
      <c r="H136" s="111"/>
      <c r="I136" s="111"/>
      <c r="J136" s="111"/>
      <c r="K136" s="111"/>
      <c r="L136" s="111"/>
      <c r="M136" s="111"/>
      <c r="N136" s="111"/>
      <c r="O136" s="111"/>
      <c r="P136" s="111"/>
      <c r="Q136" s="111"/>
      <c r="R136" s="154">
        <f>SUM(R127:R135)</f>
        <v>10500</v>
      </c>
      <c r="S136" s="114"/>
      <c r="T136" s="2"/>
    </row>
    <row r="137" spans="1:21" ht="15.75" x14ac:dyDescent="0.25">
      <c r="A137" s="12"/>
      <c r="B137" s="43"/>
      <c r="C137" s="43"/>
      <c r="D137" s="43"/>
      <c r="E137" s="43"/>
      <c r="F137" s="43"/>
      <c r="G137" s="43"/>
      <c r="H137" s="43"/>
      <c r="I137" s="43"/>
      <c r="J137" s="43"/>
      <c r="K137" s="43"/>
      <c r="L137" s="43"/>
      <c r="M137" s="43"/>
      <c r="N137" s="43"/>
      <c r="O137" s="43"/>
      <c r="P137" s="43"/>
      <c r="Q137" s="43"/>
      <c r="R137" s="160"/>
      <c r="S137" s="216"/>
      <c r="T137" s="2"/>
    </row>
    <row r="138" spans="1:21" ht="15.75" x14ac:dyDescent="0.25">
      <c r="A138" s="12"/>
      <c r="B138" s="41" t="s">
        <v>206</v>
      </c>
      <c r="C138" s="14"/>
      <c r="D138" s="14"/>
      <c r="E138" s="14"/>
      <c r="F138" s="14"/>
      <c r="G138" s="14"/>
      <c r="H138" s="14"/>
      <c r="I138" s="14"/>
      <c r="J138" s="14"/>
      <c r="K138" s="14"/>
      <c r="L138" s="14"/>
      <c r="M138" s="14"/>
      <c r="N138" s="14"/>
      <c r="O138" s="14"/>
      <c r="P138" s="14"/>
      <c r="Q138" s="14"/>
      <c r="R138" s="33"/>
      <c r="S138" s="216"/>
      <c r="T138" s="2"/>
    </row>
    <row r="139" spans="1:21" ht="15.75" x14ac:dyDescent="0.25">
      <c r="A139" s="110"/>
      <c r="B139" s="111" t="s">
        <v>174</v>
      </c>
      <c r="C139" s="111"/>
      <c r="D139" s="111"/>
      <c r="E139" s="111"/>
      <c r="F139" s="111"/>
      <c r="G139" s="111"/>
      <c r="H139" s="111"/>
      <c r="I139" s="111"/>
      <c r="J139" s="111"/>
      <c r="K139" s="111"/>
      <c r="L139" s="111"/>
      <c r="M139" s="111"/>
      <c r="N139" s="111"/>
      <c r="O139" s="111"/>
      <c r="P139" s="111"/>
      <c r="Q139" s="111"/>
      <c r="R139" s="154">
        <f>+F69</f>
        <v>29550</v>
      </c>
      <c r="S139" s="137"/>
      <c r="T139" s="2"/>
    </row>
    <row r="140" spans="1:21" ht="15.75" x14ac:dyDescent="0.25">
      <c r="A140" s="110"/>
      <c r="B140" s="111" t="s">
        <v>197</v>
      </c>
      <c r="C140" s="113"/>
      <c r="D140" s="113"/>
      <c r="E140" s="113"/>
      <c r="F140" s="113"/>
      <c r="G140" s="113"/>
      <c r="H140" s="113"/>
      <c r="I140" s="113"/>
      <c r="J140" s="113"/>
      <c r="K140" s="113"/>
      <c r="L140" s="113"/>
      <c r="M140" s="113"/>
      <c r="N140" s="113"/>
      <c r="O140" s="113"/>
      <c r="P140" s="113"/>
      <c r="Q140" s="113"/>
      <c r="R140" s="154">
        <f>+J69</f>
        <v>-29518</v>
      </c>
      <c r="S140" s="137"/>
      <c r="T140" s="2"/>
    </row>
    <row r="141" spans="1:21" ht="15.75" x14ac:dyDescent="0.25">
      <c r="A141" s="110"/>
      <c r="B141" s="111" t="s">
        <v>233</v>
      </c>
      <c r="C141" s="111"/>
      <c r="D141" s="111"/>
      <c r="E141" s="111"/>
      <c r="F141" s="111"/>
      <c r="G141" s="111"/>
      <c r="H141" s="111"/>
      <c r="I141" s="111"/>
      <c r="J141" s="111"/>
      <c r="K141" s="111"/>
      <c r="L141" s="111"/>
      <c r="M141" s="111"/>
      <c r="N141" s="111"/>
      <c r="O141" s="111"/>
      <c r="P141" s="111"/>
      <c r="Q141" s="111"/>
      <c r="R141" s="154">
        <f>R139+R140</f>
        <v>32</v>
      </c>
      <c r="S141" s="137"/>
      <c r="T141" s="2"/>
    </row>
    <row r="142" spans="1:21" ht="15.75" x14ac:dyDescent="0.25">
      <c r="A142" s="12"/>
      <c r="B142" s="161"/>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12"/>
      <c r="B143" s="41" t="s">
        <v>234</v>
      </c>
      <c r="C143" s="161"/>
      <c r="D143" s="161"/>
      <c r="E143" s="161"/>
      <c r="F143" s="161"/>
      <c r="G143" s="161"/>
      <c r="H143" s="161"/>
      <c r="I143" s="161"/>
      <c r="J143" s="161"/>
      <c r="K143" s="161"/>
      <c r="L143" s="161"/>
      <c r="M143" s="161"/>
      <c r="N143" s="161"/>
      <c r="O143" s="161"/>
      <c r="P143" s="161"/>
      <c r="Q143" s="161"/>
      <c r="R143" s="194"/>
      <c r="S143" s="216"/>
      <c r="T143" s="2"/>
    </row>
    <row r="144" spans="1:21" ht="15.75" x14ac:dyDescent="0.25">
      <c r="A144" s="230"/>
      <c r="B144" s="231" t="s">
        <v>231</v>
      </c>
      <c r="C144" s="231"/>
      <c r="D144" s="231"/>
      <c r="E144" s="231"/>
      <c r="F144" s="231"/>
      <c r="G144" s="231"/>
      <c r="H144" s="231"/>
      <c r="I144" s="231"/>
      <c r="J144" s="231"/>
      <c r="K144" s="231"/>
      <c r="L144" s="231"/>
      <c r="M144" s="231"/>
      <c r="N144" s="231"/>
      <c r="O144" s="231"/>
      <c r="P144" s="231"/>
      <c r="Q144" s="231"/>
      <c r="R144" s="232">
        <v>3000</v>
      </c>
      <c r="S144" s="233"/>
      <c r="T144" s="2"/>
    </row>
    <row r="145" spans="1:252" ht="15.75" x14ac:dyDescent="0.25">
      <c r="A145" s="230"/>
      <c r="B145" s="231" t="s">
        <v>232</v>
      </c>
      <c r="C145" s="231"/>
      <c r="D145" s="231"/>
      <c r="E145" s="231"/>
      <c r="F145" s="231"/>
      <c r="G145" s="231"/>
      <c r="H145" s="231"/>
      <c r="I145" s="231"/>
      <c r="J145" s="231"/>
      <c r="K145" s="231"/>
      <c r="L145" s="231"/>
      <c r="M145" s="231"/>
      <c r="N145" s="231"/>
      <c r="O145" s="231"/>
      <c r="P145" s="231"/>
      <c r="Q145" s="231"/>
      <c r="R145" s="232">
        <f>N70</f>
        <v>-27</v>
      </c>
      <c r="S145" s="233"/>
      <c r="T145" s="2"/>
    </row>
    <row r="146" spans="1:252" ht="15.75" x14ac:dyDescent="0.25">
      <c r="A146" s="234"/>
      <c r="B146" s="111" t="s">
        <v>238</v>
      </c>
      <c r="C146" s="235"/>
      <c r="D146" s="235"/>
      <c r="E146" s="235"/>
      <c r="F146" s="235"/>
      <c r="G146" s="235"/>
      <c r="H146" s="235"/>
      <c r="I146" s="235"/>
      <c r="J146" s="235"/>
      <c r="K146" s="235"/>
      <c r="L146" s="235"/>
      <c r="M146" s="235"/>
      <c r="N146" s="235"/>
      <c r="O146" s="235"/>
      <c r="P146" s="235"/>
      <c r="Q146" s="235"/>
      <c r="R146" s="236">
        <v>0</v>
      </c>
      <c r="S146" s="237"/>
      <c r="T146" s="2"/>
    </row>
    <row r="147" spans="1:252" ht="15.75" x14ac:dyDescent="0.25">
      <c r="A147" s="234"/>
      <c r="B147" s="111" t="s">
        <v>237</v>
      </c>
      <c r="C147" s="235"/>
      <c r="D147" s="235"/>
      <c r="E147" s="235"/>
      <c r="F147" s="235"/>
      <c r="G147" s="235"/>
      <c r="H147" s="235"/>
      <c r="I147" s="235"/>
      <c r="J147" s="235"/>
      <c r="K147" s="235"/>
      <c r="L147" s="235"/>
      <c r="M147" s="235"/>
      <c r="N147" s="235"/>
      <c r="O147" s="235"/>
      <c r="P147" s="235"/>
      <c r="Q147" s="235"/>
      <c r="R147" s="236">
        <f>R144+R145+R146</f>
        <v>2973</v>
      </c>
      <c r="S147" s="237"/>
      <c r="T147" s="2"/>
    </row>
    <row r="148" spans="1:252" ht="15.75" x14ac:dyDescent="0.25">
      <c r="A148" s="12"/>
      <c r="B148" s="43"/>
      <c r="C148" s="43"/>
      <c r="D148" s="43"/>
      <c r="E148" s="43"/>
      <c r="F148" s="43"/>
      <c r="G148" s="43"/>
      <c r="H148" s="43"/>
      <c r="I148" s="43"/>
      <c r="J148" s="43"/>
      <c r="K148" s="43"/>
      <c r="L148" s="43"/>
      <c r="M148" s="43"/>
      <c r="N148" s="43"/>
      <c r="O148" s="43"/>
      <c r="P148" s="43"/>
      <c r="Q148" s="43"/>
      <c r="R148" s="160"/>
      <c r="S148" s="216"/>
      <c r="T148" s="2"/>
    </row>
    <row r="149" spans="1:252" ht="15.75" x14ac:dyDescent="0.25">
      <c r="A149" s="12"/>
      <c r="B149" s="41" t="s">
        <v>39</v>
      </c>
      <c r="C149" s="14"/>
      <c r="D149" s="14"/>
      <c r="E149" s="14"/>
      <c r="F149" s="14"/>
      <c r="G149" s="14"/>
      <c r="H149" s="14"/>
      <c r="I149" s="14"/>
      <c r="J149" s="14"/>
      <c r="K149" s="14"/>
      <c r="L149" s="14"/>
      <c r="M149" s="14"/>
      <c r="N149" s="14"/>
      <c r="O149" s="14"/>
      <c r="P149" s="14"/>
      <c r="Q149" s="14"/>
      <c r="R149" s="42"/>
      <c r="S149" s="216"/>
      <c r="T149" s="2"/>
    </row>
    <row r="150" spans="1:252" ht="15.75" x14ac:dyDescent="0.25">
      <c r="A150" s="110"/>
      <c r="B150" s="111" t="s">
        <v>40</v>
      </c>
      <c r="C150" s="111"/>
      <c r="D150" s="111"/>
      <c r="E150" s="111"/>
      <c r="F150" s="111"/>
      <c r="G150" s="111"/>
      <c r="H150" s="111"/>
      <c r="I150" s="111"/>
      <c r="J150" s="111"/>
      <c r="K150" s="111"/>
      <c r="L150" s="111"/>
      <c r="M150" s="111"/>
      <c r="N150" s="111"/>
      <c r="O150" s="111"/>
      <c r="P150" s="111"/>
      <c r="Q150" s="111"/>
      <c r="R150" s="154">
        <v>0</v>
      </c>
      <c r="S150" s="114"/>
      <c r="T150" s="2"/>
    </row>
    <row r="151" spans="1:252" ht="15.75" x14ac:dyDescent="0.25">
      <c r="A151" s="110"/>
      <c r="B151" s="111" t="s">
        <v>41</v>
      </c>
      <c r="C151" s="111"/>
      <c r="D151" s="111"/>
      <c r="E151" s="111"/>
      <c r="F151" s="111"/>
      <c r="G151" s="111"/>
      <c r="H151" s="111"/>
      <c r="I151" s="111"/>
      <c r="J151" s="111"/>
      <c r="K151" s="111"/>
      <c r="L151" s="111"/>
      <c r="M151" s="111"/>
      <c r="N151" s="111"/>
      <c r="O151" s="111"/>
      <c r="P151" s="111"/>
      <c r="Q151" s="111"/>
      <c r="R151" s="154">
        <v>0</v>
      </c>
      <c r="S151" s="114"/>
      <c r="T151" s="2"/>
    </row>
    <row r="152" spans="1:252" ht="15.75" x14ac:dyDescent="0.25">
      <c r="A152" s="110"/>
      <c r="B152" s="111" t="s">
        <v>42</v>
      </c>
      <c r="C152" s="111"/>
      <c r="D152" s="111"/>
      <c r="E152" s="111"/>
      <c r="F152" s="111"/>
      <c r="G152" s="111"/>
      <c r="H152" s="111"/>
      <c r="I152" s="111"/>
      <c r="J152" s="111"/>
      <c r="K152" s="111"/>
      <c r="L152" s="111"/>
      <c r="M152" s="111"/>
      <c r="N152" s="111"/>
      <c r="O152" s="111"/>
      <c r="P152" s="111"/>
      <c r="Q152" s="111"/>
      <c r="R152" s="154">
        <f>R151+R150</f>
        <v>0</v>
      </c>
      <c r="S152" s="114"/>
      <c r="T152" s="2"/>
    </row>
    <row r="153" spans="1:252" ht="15.75" x14ac:dyDescent="0.25">
      <c r="A153" s="110"/>
      <c r="B153" s="111" t="s">
        <v>253</v>
      </c>
      <c r="C153" s="111"/>
      <c r="D153" s="111"/>
      <c r="E153" s="111"/>
      <c r="F153" s="111"/>
      <c r="G153" s="111"/>
      <c r="H153" s="111"/>
      <c r="I153" s="111"/>
      <c r="J153" s="111"/>
      <c r="K153" s="111"/>
      <c r="L153" s="111"/>
      <c r="M153" s="111"/>
      <c r="N153" s="111"/>
      <c r="O153" s="111"/>
      <c r="P153" s="111"/>
      <c r="Q153" s="111"/>
      <c r="R153" s="154">
        <f>R102</f>
        <v>0</v>
      </c>
      <c r="S153" s="114"/>
      <c r="T153" s="2"/>
    </row>
    <row r="154" spans="1:252" ht="15.75" x14ac:dyDescent="0.25">
      <c r="A154" s="110"/>
      <c r="B154" s="111" t="s">
        <v>43</v>
      </c>
      <c r="C154" s="111"/>
      <c r="D154" s="111"/>
      <c r="E154" s="111"/>
      <c r="F154" s="111"/>
      <c r="G154" s="111"/>
      <c r="H154" s="111"/>
      <c r="I154" s="111"/>
      <c r="J154" s="111"/>
      <c r="K154" s="111"/>
      <c r="L154" s="111"/>
      <c r="M154" s="111"/>
      <c r="N154" s="111"/>
      <c r="O154" s="111"/>
      <c r="P154" s="111"/>
      <c r="Q154" s="111"/>
      <c r="R154" s="154">
        <f>R152+R153</f>
        <v>0</v>
      </c>
      <c r="S154" s="114"/>
      <c r="T154" s="2"/>
    </row>
    <row r="155" spans="1:252" ht="15.75" x14ac:dyDescent="0.25">
      <c r="A155" s="110"/>
      <c r="B155" s="111" t="s">
        <v>153</v>
      </c>
      <c r="C155" s="111"/>
      <c r="D155" s="111"/>
      <c r="E155" s="111"/>
      <c r="F155" s="111"/>
      <c r="G155" s="111"/>
      <c r="H155" s="111"/>
      <c r="I155" s="111"/>
      <c r="J155" s="111"/>
      <c r="K155" s="111"/>
      <c r="L155" s="111"/>
      <c r="M155" s="111"/>
      <c r="N155" s="111"/>
      <c r="O155" s="111"/>
      <c r="P155" s="111"/>
      <c r="Q155" s="111"/>
      <c r="R155" s="154">
        <f>-R92</f>
        <v>0</v>
      </c>
      <c r="S155" s="114"/>
      <c r="T155" s="2"/>
    </row>
    <row r="156" spans="1:252" ht="16.5" thickBot="1" x14ac:dyDescent="0.3">
      <c r="A156" s="12"/>
      <c r="B156" s="43"/>
      <c r="C156" s="43"/>
      <c r="D156" s="43"/>
      <c r="E156" s="43"/>
      <c r="F156" s="43"/>
      <c r="G156" s="43"/>
      <c r="H156" s="43"/>
      <c r="I156" s="43"/>
      <c r="J156" s="43"/>
      <c r="K156" s="43"/>
      <c r="L156" s="43"/>
      <c r="M156" s="43"/>
      <c r="N156" s="43"/>
      <c r="O156" s="43"/>
      <c r="P156" s="43"/>
      <c r="Q156" s="43"/>
      <c r="R156" s="160"/>
      <c r="S156" s="216"/>
      <c r="T156" s="2"/>
    </row>
    <row r="157" spans="1:252" ht="15.75" x14ac:dyDescent="0.25">
      <c r="A157" s="10"/>
      <c r="B157" s="11"/>
      <c r="C157" s="11"/>
      <c r="D157" s="11"/>
      <c r="E157" s="11"/>
      <c r="F157" s="11"/>
      <c r="G157" s="11"/>
      <c r="H157" s="11"/>
      <c r="I157" s="11"/>
      <c r="J157" s="11"/>
      <c r="K157" s="11"/>
      <c r="L157" s="11"/>
      <c r="M157" s="11"/>
      <c r="N157" s="11"/>
      <c r="O157" s="11"/>
      <c r="P157" s="11"/>
      <c r="Q157" s="11"/>
      <c r="R157" s="32"/>
      <c r="S157" s="215"/>
      <c r="T157" s="2"/>
    </row>
    <row r="158" spans="1:252" s="6" customFormat="1" ht="15.75" x14ac:dyDescent="0.25">
      <c r="A158" s="12"/>
      <c r="B158" s="41" t="s">
        <v>207</v>
      </c>
      <c r="C158" s="43"/>
      <c r="D158" s="43"/>
      <c r="E158" s="43"/>
      <c r="F158" s="43"/>
      <c r="G158" s="43"/>
      <c r="H158" s="43"/>
      <c r="I158" s="43"/>
      <c r="J158" s="43"/>
      <c r="K158" s="43"/>
      <c r="L158" s="43"/>
      <c r="M158" s="43"/>
      <c r="N158" s="43"/>
      <c r="O158" s="43"/>
      <c r="P158" s="43"/>
      <c r="Q158" s="43"/>
      <c r="R158" s="44"/>
      <c r="S158" s="2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144</v>
      </c>
      <c r="C159" s="111"/>
      <c r="D159" s="111"/>
      <c r="E159" s="111"/>
      <c r="F159" s="111"/>
      <c r="G159" s="111"/>
      <c r="H159" s="111"/>
      <c r="I159" s="111"/>
      <c r="J159" s="111"/>
      <c r="K159" s="111"/>
      <c r="L159" s="111"/>
      <c r="M159" s="111"/>
      <c r="N159" s="111"/>
      <c r="O159" s="111"/>
      <c r="P159" s="111"/>
      <c r="Q159" s="111"/>
      <c r="R159" s="154">
        <f>733+11</f>
        <v>744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147</v>
      </c>
      <c r="C160" s="111"/>
      <c r="D160" s="111"/>
      <c r="E160" s="111"/>
      <c r="F160" s="111"/>
      <c r="G160" s="111"/>
      <c r="H160" s="111"/>
      <c r="I160" s="111"/>
      <c r="J160" s="111"/>
      <c r="K160" s="111"/>
      <c r="L160" s="111"/>
      <c r="M160" s="111"/>
      <c r="N160" s="111"/>
      <c r="O160" s="111"/>
      <c r="P160" s="111"/>
      <c r="Q160" s="111"/>
      <c r="R160" s="154">
        <f>+R85</f>
        <v>298</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0"/>
      <c r="B161" s="111" t="s">
        <v>145</v>
      </c>
      <c r="C161" s="111"/>
      <c r="D161" s="111"/>
      <c r="E161" s="111"/>
      <c r="F161" s="111"/>
      <c r="G161" s="111"/>
      <c r="H161" s="111"/>
      <c r="I161" s="111"/>
      <c r="J161" s="111"/>
      <c r="K161" s="111"/>
      <c r="L161" s="111"/>
      <c r="M161" s="111"/>
      <c r="N161" s="111"/>
      <c r="O161" s="111"/>
      <c r="P161" s="111"/>
      <c r="Q161" s="111"/>
      <c r="R161" s="154">
        <f>+R159-R160</f>
        <v>446</v>
      </c>
      <c r="S161" s="114"/>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8" customFormat="1" ht="16.5" thickBot="1" x14ac:dyDescent="0.3">
      <c r="A162" s="28"/>
      <c r="B162" s="43"/>
      <c r="C162" s="43"/>
      <c r="D162" s="43"/>
      <c r="E162" s="43"/>
      <c r="F162" s="43"/>
      <c r="G162" s="43"/>
      <c r="H162" s="43"/>
      <c r="I162" s="43"/>
      <c r="J162" s="43"/>
      <c r="K162" s="43"/>
      <c r="L162" s="43"/>
      <c r="M162" s="43"/>
      <c r="N162" s="43"/>
      <c r="O162" s="43"/>
      <c r="P162" s="43"/>
      <c r="Q162" s="43"/>
      <c r="R162" s="160"/>
      <c r="S162" s="2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9" customFormat="1" ht="15.75" x14ac:dyDescent="0.25">
      <c r="A163" s="10"/>
      <c r="B163" s="11"/>
      <c r="C163" s="11"/>
      <c r="D163" s="11"/>
      <c r="E163" s="11"/>
      <c r="F163" s="11"/>
      <c r="G163" s="11"/>
      <c r="H163" s="11"/>
      <c r="I163" s="11"/>
      <c r="J163" s="11"/>
      <c r="K163" s="11"/>
      <c r="L163" s="11"/>
      <c r="M163" s="11"/>
      <c r="N163" s="11"/>
      <c r="O163" s="11"/>
      <c r="P163" s="11"/>
      <c r="Q163" s="11"/>
      <c r="R163" s="32"/>
      <c r="S163" s="215"/>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ht="15.75" x14ac:dyDescent="0.25">
      <c r="A164" s="12"/>
      <c r="B164" s="41" t="s">
        <v>44</v>
      </c>
      <c r="C164" s="14"/>
      <c r="D164" s="14"/>
      <c r="E164" s="14"/>
      <c r="F164" s="14"/>
      <c r="G164" s="14"/>
      <c r="H164" s="14"/>
      <c r="I164" s="14"/>
      <c r="J164" s="14"/>
      <c r="K164" s="14"/>
      <c r="L164" s="14"/>
      <c r="M164" s="14"/>
      <c r="N164" s="14"/>
      <c r="O164" s="14"/>
      <c r="P164" s="14"/>
      <c r="Q164" s="14"/>
      <c r="R164" s="33"/>
      <c r="S164" s="216"/>
      <c r="T164" s="2"/>
    </row>
    <row r="165" spans="1:252" ht="15.75" x14ac:dyDescent="0.25">
      <c r="A165" s="12"/>
      <c r="B165" s="22"/>
      <c r="C165" s="14"/>
      <c r="D165" s="14"/>
      <c r="E165" s="14"/>
      <c r="F165" s="14"/>
      <c r="G165" s="14"/>
      <c r="H165" s="14"/>
      <c r="I165" s="14"/>
      <c r="J165" s="14"/>
      <c r="K165" s="14"/>
      <c r="L165" s="14"/>
      <c r="M165" s="14"/>
      <c r="N165" s="14"/>
      <c r="O165" s="14"/>
      <c r="P165" s="14"/>
      <c r="Q165" s="14"/>
      <c r="R165" s="33"/>
      <c r="S165" s="216"/>
      <c r="T165" s="2"/>
    </row>
    <row r="166" spans="1:252" ht="15.75" x14ac:dyDescent="0.25">
      <c r="A166" s="110"/>
      <c r="B166" s="111" t="s">
        <v>180</v>
      </c>
      <c r="C166" s="111"/>
      <c r="D166" s="111"/>
      <c r="E166" s="111"/>
      <c r="F166" s="111"/>
      <c r="G166" s="111"/>
      <c r="H166" s="111"/>
      <c r="I166" s="111"/>
      <c r="J166" s="111"/>
      <c r="K166" s="111"/>
      <c r="L166" s="111"/>
      <c r="M166" s="111"/>
      <c r="N166" s="111"/>
      <c r="O166" s="111"/>
      <c r="P166" s="111"/>
      <c r="Q166" s="111"/>
      <c r="R166" s="154">
        <f>+R59</f>
        <v>332395</v>
      </c>
      <c r="S166" s="114"/>
      <c r="T166" s="2"/>
    </row>
    <row r="167" spans="1:252" ht="15.75" x14ac:dyDescent="0.25">
      <c r="A167" s="110"/>
      <c r="B167" s="111" t="s">
        <v>181</v>
      </c>
      <c r="C167" s="111"/>
      <c r="D167" s="111"/>
      <c r="E167" s="111"/>
      <c r="F167" s="111"/>
      <c r="G167" s="111"/>
      <c r="H167" s="111"/>
      <c r="I167" s="111"/>
      <c r="J167" s="111"/>
      <c r="K167" s="111"/>
      <c r="L167" s="111"/>
      <c r="M167" s="111"/>
      <c r="N167" s="111"/>
      <c r="O167" s="111"/>
      <c r="P167" s="111"/>
      <c r="Q167" s="111"/>
      <c r="R167" s="154">
        <f>+R69</f>
        <v>0</v>
      </c>
      <c r="S167" s="114"/>
      <c r="T167" s="2"/>
    </row>
    <row r="168" spans="1:252" ht="15.75" x14ac:dyDescent="0.25">
      <c r="A168" s="110"/>
      <c r="B168" s="111" t="s">
        <v>242</v>
      </c>
      <c r="C168" s="111"/>
      <c r="D168" s="111"/>
      <c r="E168" s="111"/>
      <c r="F168" s="111"/>
      <c r="G168" s="111"/>
      <c r="H168" s="111"/>
      <c r="I168" s="111"/>
      <c r="J168" s="111"/>
      <c r="K168" s="111"/>
      <c r="L168" s="111"/>
      <c r="M168" s="111"/>
      <c r="N168" s="111"/>
      <c r="O168" s="111"/>
      <c r="P168" s="111"/>
      <c r="Q168" s="111"/>
      <c r="R168" s="154">
        <f>+R70</f>
        <v>2973</v>
      </c>
      <c r="S168" s="114"/>
      <c r="T168" s="2"/>
    </row>
    <row r="169" spans="1:252" ht="15.75" x14ac:dyDescent="0.25">
      <c r="A169" s="110"/>
      <c r="B169" s="111" t="s">
        <v>127</v>
      </c>
      <c r="C169" s="111"/>
      <c r="D169" s="111"/>
      <c r="E169" s="111"/>
      <c r="F169" s="111"/>
      <c r="G169" s="111"/>
      <c r="H169" s="111"/>
      <c r="I169" s="111"/>
      <c r="J169" s="111"/>
      <c r="K169" s="111"/>
      <c r="L169" s="111"/>
      <c r="M169" s="111"/>
      <c r="N169" s="111"/>
      <c r="O169" s="111"/>
      <c r="P169" s="111"/>
      <c r="Q169" s="111"/>
      <c r="R169" s="154">
        <f>+R166+R167+R168</f>
        <v>335368</v>
      </c>
      <c r="S169" s="114"/>
      <c r="T169" s="2"/>
      <c r="U169" s="4"/>
    </row>
    <row r="170" spans="1:252" ht="15.75" x14ac:dyDescent="0.25">
      <c r="A170" s="110"/>
      <c r="B170" s="111" t="s">
        <v>45</v>
      </c>
      <c r="C170" s="111"/>
      <c r="D170" s="111"/>
      <c r="E170" s="111"/>
      <c r="F170" s="111"/>
      <c r="G170" s="111"/>
      <c r="H170" s="111"/>
      <c r="I170" s="111"/>
      <c r="J170" s="111"/>
      <c r="K170" s="111"/>
      <c r="L170" s="111"/>
      <c r="M170" s="111"/>
      <c r="N170" s="111"/>
      <c r="O170" s="111"/>
      <c r="P170" s="111"/>
      <c r="Q170" s="111"/>
      <c r="R170" s="154">
        <f>R72</f>
        <v>335368</v>
      </c>
      <c r="S170" s="114"/>
      <c r="T170" s="2"/>
    </row>
    <row r="171" spans="1:252" ht="16.5" thickBot="1" x14ac:dyDescent="0.3">
      <c r="A171" s="12"/>
      <c r="B171" s="43"/>
      <c r="C171" s="43"/>
      <c r="D171" s="43"/>
      <c r="E171" s="43"/>
      <c r="F171" s="43"/>
      <c r="G171" s="43"/>
      <c r="H171" s="43"/>
      <c r="I171" s="43"/>
      <c r="J171" s="43"/>
      <c r="K171" s="43"/>
      <c r="L171" s="43"/>
      <c r="M171" s="43"/>
      <c r="N171" s="43"/>
      <c r="O171" s="43"/>
      <c r="P171" s="43"/>
      <c r="Q171" s="43"/>
      <c r="R171" s="160"/>
      <c r="S171" s="216"/>
      <c r="T171" s="2"/>
    </row>
    <row r="172" spans="1:252" ht="15.75" x14ac:dyDescent="0.25">
      <c r="A172" s="10"/>
      <c r="B172" s="11"/>
      <c r="C172" s="11"/>
      <c r="D172" s="11"/>
      <c r="E172" s="11"/>
      <c r="F172" s="11"/>
      <c r="G172" s="11"/>
      <c r="H172" s="11"/>
      <c r="I172" s="11"/>
      <c r="J172" s="11"/>
      <c r="K172" s="11"/>
      <c r="L172" s="11"/>
      <c r="M172" s="11"/>
      <c r="N172" s="11"/>
      <c r="O172" s="11"/>
      <c r="P172" s="11"/>
      <c r="Q172" s="11"/>
      <c r="R172" s="32"/>
      <c r="S172" s="215"/>
      <c r="T172" s="2"/>
    </row>
    <row r="173" spans="1:252" ht="15.75" x14ac:dyDescent="0.25">
      <c r="A173" s="12"/>
      <c r="B173" s="41" t="s">
        <v>46</v>
      </c>
      <c r="C173" s="37"/>
      <c r="D173" s="45"/>
      <c r="E173" s="45"/>
      <c r="F173" s="45"/>
      <c r="G173" s="45"/>
      <c r="H173" s="45"/>
      <c r="I173" s="45"/>
      <c r="J173" s="45"/>
      <c r="K173" s="45"/>
      <c r="L173" s="45"/>
      <c r="M173" s="45"/>
      <c r="N173" s="45"/>
      <c r="O173" s="45" t="s">
        <v>83</v>
      </c>
      <c r="P173" s="45" t="s">
        <v>176</v>
      </c>
      <c r="Q173" s="16"/>
      <c r="R173" s="46" t="s">
        <v>95</v>
      </c>
      <c r="S173" s="223"/>
      <c r="T173" s="2"/>
    </row>
    <row r="174" spans="1:252" ht="15.75" x14ac:dyDescent="0.25">
      <c r="A174" s="110"/>
      <c r="B174" s="111" t="s">
        <v>47</v>
      </c>
      <c r="C174" s="111"/>
      <c r="D174" s="111"/>
      <c r="E174" s="111"/>
      <c r="F174" s="111"/>
      <c r="G174" s="111"/>
      <c r="H174" s="111"/>
      <c r="I174" s="111"/>
      <c r="J174" s="111"/>
      <c r="K174" s="111"/>
      <c r="L174" s="111"/>
      <c r="M174" s="111"/>
      <c r="N174" s="111"/>
      <c r="O174" s="154">
        <f>+R28*0.08</f>
        <v>28000</v>
      </c>
      <c r="P174" s="143"/>
      <c r="Q174" s="111"/>
      <c r="R174" s="154"/>
      <c r="S174" s="114"/>
      <c r="T174" s="2"/>
    </row>
    <row r="175" spans="1:252" ht="15.75" x14ac:dyDescent="0.25">
      <c r="A175" s="110"/>
      <c r="B175" s="111" t="s">
        <v>48</v>
      </c>
      <c r="C175" s="111"/>
      <c r="D175" s="111"/>
      <c r="E175" s="111"/>
      <c r="F175" s="111"/>
      <c r="G175" s="111"/>
      <c r="H175" s="111"/>
      <c r="I175" s="111"/>
      <c r="J175" s="111"/>
      <c r="K175" s="111"/>
      <c r="L175" s="111"/>
      <c r="M175" s="111"/>
      <c r="N175" s="111"/>
      <c r="O175" s="154">
        <v>0</v>
      </c>
      <c r="P175" s="154">
        <v>0</v>
      </c>
      <c r="Q175" s="111"/>
      <c r="R175" s="154">
        <f>O175+P175</f>
        <v>0</v>
      </c>
      <c r="S175" s="114"/>
      <c r="T175" s="2"/>
    </row>
    <row r="176" spans="1:252" ht="15.75" x14ac:dyDescent="0.25">
      <c r="A176" s="110"/>
      <c r="B176" s="111" t="s">
        <v>49</v>
      </c>
      <c r="C176" s="111"/>
      <c r="D176" s="111"/>
      <c r="E176" s="111"/>
      <c r="F176" s="111"/>
      <c r="G176" s="111"/>
      <c r="H176" s="111"/>
      <c r="I176" s="111"/>
      <c r="J176" s="111"/>
      <c r="K176" s="111"/>
      <c r="L176" s="111"/>
      <c r="M176" s="111"/>
      <c r="N176" s="111"/>
      <c r="O176" s="153">
        <v>27</v>
      </c>
      <c r="P176" s="153">
        <v>279</v>
      </c>
      <c r="Q176" s="111"/>
      <c r="R176" s="154">
        <f>O176+P176</f>
        <v>306</v>
      </c>
      <c r="S176" s="114"/>
      <c r="T176" s="2"/>
    </row>
    <row r="177" spans="1:20" ht="15.75" x14ac:dyDescent="0.25">
      <c r="A177" s="110"/>
      <c r="B177" s="111" t="s">
        <v>50</v>
      </c>
      <c r="C177" s="111"/>
      <c r="D177" s="111"/>
      <c r="E177" s="111"/>
      <c r="F177" s="111"/>
      <c r="G177" s="111"/>
      <c r="H177" s="111"/>
      <c r="I177" s="111"/>
      <c r="J177" s="111"/>
      <c r="K177" s="111"/>
      <c r="L177" s="111"/>
      <c r="M177" s="111"/>
      <c r="N177" s="111"/>
      <c r="O177" s="154">
        <f>O175+O176</f>
        <v>27</v>
      </c>
      <c r="P177" s="154">
        <f>P176+P175</f>
        <v>279</v>
      </c>
      <c r="Q177" s="111"/>
      <c r="R177" s="154">
        <f>O177+P177</f>
        <v>306</v>
      </c>
      <c r="S177" s="114"/>
      <c r="T177" s="2"/>
    </row>
    <row r="178" spans="1:20" ht="15.75" x14ac:dyDescent="0.25">
      <c r="A178" s="110"/>
      <c r="B178" s="111" t="s">
        <v>51</v>
      </c>
      <c r="C178" s="111"/>
      <c r="D178" s="111"/>
      <c r="E178" s="111"/>
      <c r="F178" s="111"/>
      <c r="G178" s="111"/>
      <c r="H178" s="111"/>
      <c r="I178" s="111"/>
      <c r="J178" s="111"/>
      <c r="K178" s="111"/>
      <c r="L178" s="111"/>
      <c r="M178" s="111"/>
      <c r="N178" s="111"/>
      <c r="O178" s="154">
        <f>O174-O177-P177</f>
        <v>27694</v>
      </c>
      <c r="P178" s="143"/>
      <c r="Q178" s="111"/>
      <c r="R178" s="154"/>
      <c r="S178" s="114"/>
      <c r="T178" s="2"/>
    </row>
    <row r="179" spans="1:20" ht="16.5" thickBot="1" x14ac:dyDescent="0.3">
      <c r="A179" s="12"/>
      <c r="B179" s="43"/>
      <c r="C179" s="43"/>
      <c r="D179" s="43"/>
      <c r="E179" s="43"/>
      <c r="F179" s="43"/>
      <c r="G179" s="43"/>
      <c r="H179" s="43"/>
      <c r="I179" s="43"/>
      <c r="J179" s="43"/>
      <c r="K179" s="43"/>
      <c r="L179" s="43"/>
      <c r="M179" s="43"/>
      <c r="N179" s="43"/>
      <c r="O179" s="43"/>
      <c r="P179" s="43"/>
      <c r="Q179" s="43"/>
      <c r="R179" s="160"/>
      <c r="S179" s="216"/>
      <c r="T179" s="2"/>
    </row>
    <row r="180" spans="1:20" ht="15.75" x14ac:dyDescent="0.25">
      <c r="A180" s="10"/>
      <c r="B180" s="11"/>
      <c r="C180" s="11"/>
      <c r="D180" s="11"/>
      <c r="E180" s="11"/>
      <c r="F180" s="11"/>
      <c r="G180" s="11"/>
      <c r="H180" s="11"/>
      <c r="I180" s="11"/>
      <c r="J180" s="11"/>
      <c r="K180" s="11"/>
      <c r="L180" s="11"/>
      <c r="M180" s="11"/>
      <c r="N180" s="11"/>
      <c r="O180" s="11"/>
      <c r="P180" s="11"/>
      <c r="Q180" s="11"/>
      <c r="R180" s="32"/>
      <c r="S180" s="215"/>
      <c r="T180" s="2"/>
    </row>
    <row r="181" spans="1:20" ht="15.75" x14ac:dyDescent="0.25">
      <c r="A181" s="12"/>
      <c r="B181" s="41" t="s">
        <v>52</v>
      </c>
      <c r="C181" s="14"/>
      <c r="D181" s="14"/>
      <c r="E181" s="14"/>
      <c r="F181" s="14"/>
      <c r="G181" s="14"/>
      <c r="H181" s="14"/>
      <c r="I181" s="14"/>
      <c r="J181" s="14"/>
      <c r="K181" s="14"/>
      <c r="L181" s="14"/>
      <c r="M181" s="14"/>
      <c r="N181" s="14"/>
      <c r="O181" s="14"/>
      <c r="P181" s="14"/>
      <c r="Q181" s="14"/>
      <c r="R181" s="47"/>
      <c r="S181" s="216"/>
      <c r="T181" s="2"/>
    </row>
    <row r="182" spans="1:20" ht="15.75" x14ac:dyDescent="0.25">
      <c r="A182" s="110"/>
      <c r="B182" s="111" t="s">
        <v>53</v>
      </c>
      <c r="C182" s="111"/>
      <c r="D182" s="111"/>
      <c r="E182" s="111"/>
      <c r="F182" s="111"/>
      <c r="G182" s="111"/>
      <c r="H182" s="111"/>
      <c r="I182" s="111"/>
      <c r="J182" s="111"/>
      <c r="K182" s="111"/>
      <c r="L182" s="111"/>
      <c r="M182" s="111"/>
      <c r="N182" s="111"/>
      <c r="O182" s="111"/>
      <c r="P182" s="111"/>
      <c r="Q182" s="111"/>
      <c r="R182" s="159">
        <f>(R93+R95+R96+R97+R98)/-(R99)</f>
        <v>2.9725829725829724</v>
      </c>
      <c r="S182" s="114" t="s">
        <v>96</v>
      </c>
      <c r="T182" s="2"/>
    </row>
    <row r="183" spans="1:20" ht="15.75" x14ac:dyDescent="0.25">
      <c r="A183" s="110"/>
      <c r="B183" s="111" t="s">
        <v>54</v>
      </c>
      <c r="C183" s="111"/>
      <c r="D183" s="111"/>
      <c r="E183" s="111"/>
      <c r="F183" s="111"/>
      <c r="G183" s="111"/>
      <c r="H183" s="111"/>
      <c r="I183" s="111"/>
      <c r="J183" s="111"/>
      <c r="K183" s="111"/>
      <c r="L183" s="111"/>
      <c r="M183" s="111"/>
      <c r="N183" s="111"/>
      <c r="O183" s="111"/>
      <c r="P183" s="111"/>
      <c r="Q183" s="111"/>
      <c r="R183" s="162">
        <v>2.97</v>
      </c>
      <c r="S183" s="114" t="s">
        <v>96</v>
      </c>
      <c r="T183" s="2"/>
    </row>
    <row r="184" spans="1:20" ht="15.75" x14ac:dyDescent="0.25">
      <c r="A184" s="110"/>
      <c r="B184" s="111" t="s">
        <v>189</v>
      </c>
      <c r="C184" s="111"/>
      <c r="D184" s="111"/>
      <c r="E184" s="111"/>
      <c r="F184" s="111"/>
      <c r="G184" s="111"/>
      <c r="H184" s="111"/>
      <c r="I184" s="111"/>
      <c r="J184" s="111"/>
      <c r="K184" s="111"/>
      <c r="L184" s="111"/>
      <c r="M184" s="111"/>
      <c r="N184" s="111"/>
      <c r="O184" s="111"/>
      <c r="P184" s="111"/>
      <c r="Q184" s="111"/>
      <c r="R184" s="159">
        <f>(R93+R95+R96+R97+R98+R99)/-(R100)</f>
        <v>21.030769230769231</v>
      </c>
      <c r="S184" s="114" t="s">
        <v>96</v>
      </c>
      <c r="T184" s="2"/>
    </row>
    <row r="185" spans="1:20" ht="15.75" x14ac:dyDescent="0.25">
      <c r="A185" s="110"/>
      <c r="B185" s="111" t="s">
        <v>190</v>
      </c>
      <c r="C185" s="111"/>
      <c r="D185" s="111"/>
      <c r="E185" s="111"/>
      <c r="F185" s="111"/>
      <c r="G185" s="111"/>
      <c r="H185" s="111"/>
      <c r="I185" s="111"/>
      <c r="J185" s="111"/>
      <c r="K185" s="111"/>
      <c r="L185" s="111"/>
      <c r="M185" s="111"/>
      <c r="N185" s="111"/>
      <c r="O185" s="111"/>
      <c r="P185" s="111"/>
      <c r="Q185" s="111"/>
      <c r="R185" s="162">
        <v>21.03</v>
      </c>
      <c r="S185" s="114" t="s">
        <v>96</v>
      </c>
      <c r="T185" s="2"/>
    </row>
    <row r="186" spans="1:20" ht="15.75" x14ac:dyDescent="0.25">
      <c r="A186" s="110"/>
      <c r="B186" s="111" t="s">
        <v>191</v>
      </c>
      <c r="C186" s="111"/>
      <c r="D186" s="111"/>
      <c r="E186" s="111"/>
      <c r="F186" s="111"/>
      <c r="G186" s="111"/>
      <c r="H186" s="111"/>
      <c r="I186" s="111"/>
      <c r="J186" s="111"/>
      <c r="K186" s="111"/>
      <c r="L186" s="111"/>
      <c r="M186" s="111"/>
      <c r="N186" s="111"/>
      <c r="O186" s="111"/>
      <c r="P186" s="111"/>
      <c r="Q186" s="111"/>
      <c r="R186" s="159">
        <f>(R93+R95+R96+R97+R98+R99+R100+R101+R102+R103+R104+R105)/-(R106)</f>
        <v>56.043478260869563</v>
      </c>
      <c r="S186" s="114" t="s">
        <v>96</v>
      </c>
      <c r="T186" s="2"/>
    </row>
    <row r="187" spans="1:20" ht="15.75" x14ac:dyDescent="0.25">
      <c r="A187" s="110"/>
      <c r="B187" s="111" t="s">
        <v>192</v>
      </c>
      <c r="C187" s="111"/>
      <c r="D187" s="111"/>
      <c r="E187" s="111"/>
      <c r="F187" s="111"/>
      <c r="G187" s="111"/>
      <c r="H187" s="111"/>
      <c r="I187" s="111"/>
      <c r="J187" s="111"/>
      <c r="K187" s="111"/>
      <c r="L187" s="111"/>
      <c r="M187" s="111"/>
      <c r="N187" s="111"/>
      <c r="O187" s="111"/>
      <c r="P187" s="111"/>
      <c r="Q187" s="111"/>
      <c r="R187" s="162">
        <v>56.04</v>
      </c>
      <c r="S187" s="114" t="s">
        <v>96</v>
      </c>
      <c r="T187" s="2"/>
    </row>
    <row r="188" spans="1:20" ht="15.75" x14ac:dyDescent="0.25">
      <c r="A188" s="110"/>
      <c r="B188" s="111"/>
      <c r="C188" s="111"/>
      <c r="D188" s="111"/>
      <c r="E188" s="111"/>
      <c r="F188" s="111"/>
      <c r="G188" s="111"/>
      <c r="H188" s="111"/>
      <c r="I188" s="111"/>
      <c r="J188" s="111"/>
      <c r="K188" s="111"/>
      <c r="L188" s="111"/>
      <c r="M188" s="111"/>
      <c r="N188" s="111"/>
      <c r="O188" s="111"/>
      <c r="P188" s="111"/>
      <c r="Q188" s="111"/>
      <c r="R188" s="111"/>
      <c r="S188" s="114"/>
      <c r="T188" s="2"/>
    </row>
    <row r="189" spans="1:20" ht="15.75" x14ac:dyDescent="0.25">
      <c r="A189" s="12"/>
      <c r="B189" s="161"/>
      <c r="C189" s="161"/>
      <c r="D189" s="161"/>
      <c r="E189" s="161"/>
      <c r="F189" s="161"/>
      <c r="G189" s="161"/>
      <c r="H189" s="161"/>
      <c r="I189" s="161"/>
      <c r="J189" s="161"/>
      <c r="K189" s="161"/>
      <c r="L189" s="161"/>
      <c r="M189" s="161"/>
      <c r="N189" s="161"/>
      <c r="O189" s="161"/>
      <c r="P189" s="161"/>
      <c r="Q189" s="161"/>
      <c r="R189" s="161"/>
      <c r="S189" s="217"/>
      <c r="T189" s="2"/>
    </row>
    <row r="190" spans="1:20" ht="15.75" x14ac:dyDescent="0.25">
      <c r="A190" s="12"/>
      <c r="B190" s="84"/>
      <c r="C190" s="84"/>
      <c r="D190" s="84"/>
      <c r="E190" s="84"/>
      <c r="F190" s="84"/>
      <c r="G190" s="84"/>
      <c r="H190" s="84"/>
      <c r="I190" s="84"/>
      <c r="J190" s="84"/>
      <c r="K190" s="84"/>
      <c r="L190" s="84"/>
      <c r="M190" s="84"/>
      <c r="N190" s="84"/>
      <c r="O190" s="84"/>
      <c r="P190" s="84"/>
      <c r="Q190" s="84"/>
      <c r="R190" s="84"/>
      <c r="S190" s="217"/>
      <c r="T190" s="2"/>
    </row>
    <row r="191" spans="1:20" ht="19.5" thickBot="1" x14ac:dyDescent="0.35">
      <c r="A191" s="28"/>
      <c r="B191" s="97" t="str">
        <f>B122</f>
        <v>PM20 INVESTOR REPORT QUARTER ENDING OCTOBER 2014</v>
      </c>
      <c r="C191" s="98"/>
      <c r="D191" s="98"/>
      <c r="E191" s="98"/>
      <c r="F191" s="98"/>
      <c r="G191" s="98"/>
      <c r="H191" s="98"/>
      <c r="I191" s="98"/>
      <c r="J191" s="98"/>
      <c r="K191" s="98"/>
      <c r="L191" s="98"/>
      <c r="M191" s="98"/>
      <c r="N191" s="98"/>
      <c r="O191" s="98"/>
      <c r="P191" s="98"/>
      <c r="Q191" s="98"/>
      <c r="R191" s="98"/>
      <c r="S191" s="99"/>
      <c r="T191" s="2"/>
    </row>
    <row r="192" spans="1:20" ht="15.75" x14ac:dyDescent="0.25">
      <c r="A192" s="65"/>
      <c r="B192" s="66" t="s">
        <v>55</v>
      </c>
      <c r="C192" s="69"/>
      <c r="D192" s="70"/>
      <c r="E192" s="70"/>
      <c r="F192" s="70"/>
      <c r="G192" s="70"/>
      <c r="H192" s="70"/>
      <c r="I192" s="70"/>
      <c r="J192" s="70"/>
      <c r="K192" s="70"/>
      <c r="L192" s="70"/>
      <c r="M192" s="70"/>
      <c r="N192" s="70"/>
      <c r="O192" s="70"/>
      <c r="P192" s="70">
        <f>+J75</f>
        <v>41943</v>
      </c>
      <c r="Q192" s="67"/>
      <c r="R192" s="67"/>
      <c r="S192" s="222"/>
      <c r="T192" s="2"/>
    </row>
    <row r="193" spans="1:20" ht="15.75" x14ac:dyDescent="0.25">
      <c r="A193" s="48"/>
      <c r="B193" s="49"/>
      <c r="C193" s="50"/>
      <c r="D193" s="51"/>
      <c r="E193" s="51"/>
      <c r="F193" s="51"/>
      <c r="G193" s="51"/>
      <c r="H193" s="51"/>
      <c r="I193" s="51"/>
      <c r="J193" s="51"/>
      <c r="K193" s="51"/>
      <c r="L193" s="51"/>
      <c r="M193" s="51"/>
      <c r="N193" s="51"/>
      <c r="O193" s="51"/>
      <c r="P193" s="51"/>
      <c r="Q193" s="14"/>
      <c r="R193" s="14"/>
      <c r="S193" s="216"/>
      <c r="T193" s="2"/>
    </row>
    <row r="194" spans="1:20" ht="15.75" x14ac:dyDescent="0.25">
      <c r="A194" s="165"/>
      <c r="B194" s="111" t="s">
        <v>56</v>
      </c>
      <c r="C194" s="166"/>
      <c r="D194" s="146"/>
      <c r="E194" s="146"/>
      <c r="F194" s="146"/>
      <c r="G194" s="146"/>
      <c r="H194" s="146"/>
      <c r="I194" s="146"/>
      <c r="J194" s="146"/>
      <c r="K194" s="146"/>
      <c r="L194" s="146"/>
      <c r="M194" s="146"/>
      <c r="N194" s="146"/>
      <c r="O194" s="146"/>
      <c r="P194" s="140">
        <v>4.5449999999999997E-2</v>
      </c>
      <c r="Q194" s="111"/>
      <c r="R194" s="111"/>
      <c r="S194" s="114"/>
      <c r="T194" s="2"/>
    </row>
    <row r="195" spans="1:20" ht="15.75" x14ac:dyDescent="0.25">
      <c r="A195" s="165"/>
      <c r="B195" s="111" t="s">
        <v>164</v>
      </c>
      <c r="C195" s="166"/>
      <c r="D195" s="146"/>
      <c r="E195" s="146"/>
      <c r="F195" s="146"/>
      <c r="G195" s="146"/>
      <c r="H195" s="146"/>
      <c r="I195" s="146"/>
      <c r="J195" s="146"/>
      <c r="K195" s="146"/>
      <c r="L195" s="146"/>
      <c r="M195" s="146"/>
      <c r="N195" s="146"/>
      <c r="O195" s="146"/>
      <c r="P195" s="140">
        <f>+R34</f>
        <v>1.3245728571428571E-2</v>
      </c>
      <c r="Q195" s="111"/>
      <c r="R195" s="111"/>
      <c r="S195" s="114"/>
      <c r="T195" s="2"/>
    </row>
    <row r="196" spans="1:20" ht="15.75" x14ac:dyDescent="0.25">
      <c r="A196" s="165"/>
      <c r="B196" s="111" t="s">
        <v>57</v>
      </c>
      <c r="C196" s="166"/>
      <c r="D196" s="146"/>
      <c r="E196" s="146"/>
      <c r="F196" s="146"/>
      <c r="G196" s="146"/>
      <c r="H196" s="146"/>
      <c r="I196" s="146"/>
      <c r="J196" s="146"/>
      <c r="K196" s="146"/>
      <c r="L196" s="146"/>
      <c r="M196" s="146"/>
      <c r="N196" s="146"/>
      <c r="O196" s="146"/>
      <c r="P196" s="210">
        <f>P194-P195</f>
        <v>3.2204271428571428E-2</v>
      </c>
      <c r="Q196" s="111"/>
      <c r="R196" s="111"/>
      <c r="S196" s="114"/>
      <c r="T196" s="2"/>
    </row>
    <row r="197" spans="1:20" ht="15.75" x14ac:dyDescent="0.25">
      <c r="A197" s="165"/>
      <c r="B197" s="111" t="s">
        <v>167</v>
      </c>
      <c r="C197" s="166"/>
      <c r="D197" s="146"/>
      <c r="E197" s="146"/>
      <c r="F197" s="146"/>
      <c r="G197" s="146"/>
      <c r="H197" s="146"/>
      <c r="I197" s="146"/>
      <c r="J197" s="146"/>
      <c r="K197" s="146"/>
      <c r="L197" s="146"/>
      <c r="M197" s="146"/>
      <c r="N197" s="146"/>
      <c r="O197" s="146"/>
      <c r="P197" s="210">
        <v>4.6092300000000003E-2</v>
      </c>
      <c r="Q197" s="111"/>
      <c r="R197" s="111"/>
      <c r="S197" s="114"/>
      <c r="T197" s="2"/>
    </row>
    <row r="198" spans="1:20" ht="15.75" x14ac:dyDescent="0.25">
      <c r="A198" s="165"/>
      <c r="B198" s="111" t="s">
        <v>58</v>
      </c>
      <c r="C198" s="166"/>
      <c r="D198" s="146"/>
      <c r="E198" s="146"/>
      <c r="F198" s="146"/>
      <c r="G198" s="146"/>
      <c r="H198" s="146"/>
      <c r="I198" s="146"/>
      <c r="J198" s="146"/>
      <c r="K198" s="146"/>
      <c r="L198" s="146"/>
      <c r="M198" s="146"/>
      <c r="N198" s="146"/>
      <c r="O198" s="146"/>
      <c r="P198" s="208">
        <v>4.5379999999999997E-2</v>
      </c>
      <c r="Q198" s="111"/>
      <c r="R198" s="111"/>
      <c r="S198" s="114"/>
      <c r="T198" s="2"/>
    </row>
    <row r="199" spans="1:20" ht="15.75" x14ac:dyDescent="0.25">
      <c r="A199" s="165"/>
      <c r="B199" s="111" t="s">
        <v>165</v>
      </c>
      <c r="C199" s="166"/>
      <c r="D199" s="146"/>
      <c r="E199" s="146"/>
      <c r="F199" s="146"/>
      <c r="G199" s="146"/>
      <c r="H199" s="146"/>
      <c r="I199" s="146"/>
      <c r="J199" s="146"/>
      <c r="K199" s="146"/>
      <c r="L199" s="146"/>
      <c r="M199" s="146"/>
      <c r="N199" s="146"/>
      <c r="O199" s="146"/>
      <c r="P199" s="140">
        <f>R34</f>
        <v>1.3245728571428571E-2</v>
      </c>
      <c r="Q199" s="111"/>
      <c r="R199" s="111"/>
      <c r="S199" s="114"/>
      <c r="T199" s="2"/>
    </row>
    <row r="200" spans="1:20" ht="15.75" x14ac:dyDescent="0.25">
      <c r="A200" s="165"/>
      <c r="B200" s="111" t="s">
        <v>59</v>
      </c>
      <c r="C200" s="166"/>
      <c r="D200" s="146"/>
      <c r="E200" s="146"/>
      <c r="F200" s="146"/>
      <c r="G200" s="146"/>
      <c r="H200" s="146"/>
      <c r="I200" s="146"/>
      <c r="J200" s="146"/>
      <c r="K200" s="146"/>
      <c r="L200" s="146"/>
      <c r="M200" s="146"/>
      <c r="N200" s="146"/>
      <c r="O200" s="146"/>
      <c r="P200" s="140">
        <f>P198-P199</f>
        <v>3.2134271428571427E-2</v>
      </c>
      <c r="Q200" s="111"/>
      <c r="R200" s="111"/>
      <c r="S200" s="114"/>
      <c r="T200" s="2"/>
    </row>
    <row r="201" spans="1:20" ht="15.75" x14ac:dyDescent="0.25">
      <c r="A201" s="165"/>
      <c r="B201" s="111" t="s">
        <v>142</v>
      </c>
      <c r="C201" s="166"/>
      <c r="D201" s="146"/>
      <c r="E201" s="146"/>
      <c r="F201" s="146"/>
      <c r="G201" s="146"/>
      <c r="H201" s="146"/>
      <c r="I201" s="146"/>
      <c r="J201" s="146"/>
      <c r="K201" s="146"/>
      <c r="L201" s="146"/>
      <c r="M201" s="146"/>
      <c r="N201" s="146"/>
      <c r="O201" s="146"/>
      <c r="P201" s="140">
        <f>(+R93+R95)/H72</f>
        <v>1.2808571428571428E-2</v>
      </c>
      <c r="Q201" s="111"/>
      <c r="R201" s="111"/>
      <c r="S201" s="114"/>
      <c r="T201" s="2"/>
    </row>
    <row r="202" spans="1:20" ht="15.75" x14ac:dyDescent="0.25">
      <c r="A202" s="165"/>
      <c r="B202" s="111" t="s">
        <v>135</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193</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194</v>
      </c>
      <c r="C204" s="166"/>
      <c r="D204" s="146"/>
      <c r="E204" s="146"/>
      <c r="F204" s="146"/>
      <c r="G204" s="146"/>
      <c r="H204" s="146"/>
      <c r="I204" s="146"/>
      <c r="J204" s="146"/>
      <c r="K204" s="146"/>
      <c r="L204" s="146"/>
      <c r="M204" s="146"/>
      <c r="N204" s="146"/>
      <c r="O204" s="146"/>
      <c r="P204" s="167">
        <v>51820</v>
      </c>
      <c r="Q204" s="111"/>
      <c r="R204" s="111"/>
      <c r="S204" s="114"/>
      <c r="T204" s="2"/>
    </row>
    <row r="205" spans="1:20" ht="15.75" x14ac:dyDescent="0.25">
      <c r="A205" s="165"/>
      <c r="B205" s="111" t="s">
        <v>60</v>
      </c>
      <c r="C205" s="166"/>
      <c r="D205" s="146"/>
      <c r="E205" s="146"/>
      <c r="F205" s="146"/>
      <c r="G205" s="146"/>
      <c r="H205" s="146"/>
      <c r="I205" s="146"/>
      <c r="J205" s="146"/>
      <c r="K205" s="146"/>
      <c r="L205" s="146"/>
      <c r="M205" s="146"/>
      <c r="N205" s="146"/>
      <c r="O205" s="146"/>
      <c r="P205" s="144">
        <v>18.95</v>
      </c>
      <c r="Q205" s="111" t="s">
        <v>91</v>
      </c>
      <c r="R205" s="111"/>
      <c r="S205" s="114"/>
      <c r="T205" s="2"/>
    </row>
    <row r="206" spans="1:20" ht="15.75" x14ac:dyDescent="0.25">
      <c r="A206" s="165"/>
      <c r="B206" s="111" t="s">
        <v>61</v>
      </c>
      <c r="C206" s="166"/>
      <c r="D206" s="146"/>
      <c r="E206" s="146"/>
      <c r="F206" s="146"/>
      <c r="G206" s="146"/>
      <c r="H206" s="146"/>
      <c r="I206" s="146"/>
      <c r="J206" s="146"/>
      <c r="K206" s="146"/>
      <c r="L206" s="146"/>
      <c r="M206" s="146"/>
      <c r="N206" s="146"/>
      <c r="O206" s="146"/>
      <c r="P206" s="209">
        <v>18.78</v>
      </c>
      <c r="Q206" s="111" t="s">
        <v>91</v>
      </c>
      <c r="R206" s="111"/>
      <c r="S206" s="114"/>
      <c r="T206" s="2"/>
    </row>
    <row r="207" spans="1:20" ht="15.75" x14ac:dyDescent="0.25">
      <c r="A207" s="165"/>
      <c r="B207" s="111" t="s">
        <v>62</v>
      </c>
      <c r="C207" s="166"/>
      <c r="D207" s="146"/>
      <c r="E207" s="146"/>
      <c r="F207" s="146"/>
      <c r="G207" s="146"/>
      <c r="H207" s="146"/>
      <c r="I207" s="146"/>
      <c r="J207" s="146"/>
      <c r="K207" s="146"/>
      <c r="L207" s="146"/>
      <c r="M207" s="146"/>
      <c r="N207" s="146"/>
      <c r="O207" s="146"/>
      <c r="P207" s="140">
        <f>(+J56+L56)/H56</f>
        <v>4.6870373287131832E-2</v>
      </c>
      <c r="Q207" s="111"/>
      <c r="R207" s="111"/>
      <c r="S207" s="114"/>
      <c r="T207" s="2"/>
    </row>
    <row r="208" spans="1:20" ht="15.75" x14ac:dyDescent="0.25">
      <c r="A208" s="165"/>
      <c r="B208" s="111" t="s">
        <v>63</v>
      </c>
      <c r="C208" s="166"/>
      <c r="D208" s="146"/>
      <c r="E208" s="146"/>
      <c r="F208" s="146"/>
      <c r="G208" s="146"/>
      <c r="H208" s="146"/>
      <c r="I208" s="146"/>
      <c r="J208" s="146"/>
      <c r="K208" s="146"/>
      <c r="L208" s="146"/>
      <c r="M208" s="146"/>
      <c r="N208" s="146"/>
      <c r="O208" s="146"/>
      <c r="P208" s="210">
        <v>0.13919999999999999</v>
      </c>
      <c r="Q208" s="111"/>
      <c r="R208" s="111"/>
      <c r="S208" s="114"/>
      <c r="T208" s="2"/>
    </row>
    <row r="209" spans="1:20" ht="15.75" x14ac:dyDescent="0.25">
      <c r="A209" s="48"/>
      <c r="B209" s="163"/>
      <c r="C209" s="163"/>
      <c r="D209" s="43"/>
      <c r="E209" s="43"/>
      <c r="F209" s="43"/>
      <c r="G209" s="43"/>
      <c r="H209" s="43"/>
      <c r="I209" s="43"/>
      <c r="J209" s="43"/>
      <c r="K209" s="43"/>
      <c r="L209" s="43"/>
      <c r="M209" s="43"/>
      <c r="N209" s="43"/>
      <c r="O209" s="43"/>
      <c r="P209" s="160"/>
      <c r="Q209" s="43"/>
      <c r="R209" s="164"/>
      <c r="S209" s="216"/>
      <c r="T209" s="2"/>
    </row>
    <row r="210" spans="1:20" ht="15.75" x14ac:dyDescent="0.25">
      <c r="A210" s="71"/>
      <c r="B210" s="61" t="s">
        <v>64</v>
      </c>
      <c r="C210" s="62"/>
      <c r="D210" s="62"/>
      <c r="E210" s="62"/>
      <c r="F210" s="62"/>
      <c r="G210" s="62"/>
      <c r="H210" s="62"/>
      <c r="I210" s="62"/>
      <c r="J210" s="62"/>
      <c r="K210" s="62"/>
      <c r="L210" s="62"/>
      <c r="M210" s="62"/>
      <c r="N210" s="62"/>
      <c r="O210" s="62" t="s">
        <v>84</v>
      </c>
      <c r="P210" s="72" t="s">
        <v>89</v>
      </c>
      <c r="Q210" s="54"/>
      <c r="R210" s="54"/>
      <c r="S210" s="218"/>
      <c r="T210" s="2"/>
    </row>
    <row r="211" spans="1:20" ht="15.75" x14ac:dyDescent="0.25">
      <c r="A211" s="52"/>
      <c r="B211" s="79" t="s">
        <v>65</v>
      </c>
      <c r="C211" s="78"/>
      <c r="D211" s="95"/>
      <c r="E211" s="95"/>
      <c r="F211" s="95"/>
      <c r="G211" s="95"/>
      <c r="H211" s="95"/>
      <c r="I211" s="95"/>
      <c r="J211" s="95"/>
      <c r="K211" s="95"/>
      <c r="L211" s="95"/>
      <c r="M211" s="95"/>
      <c r="N211" s="95"/>
      <c r="O211" s="95">
        <v>0</v>
      </c>
      <c r="P211" s="96">
        <v>0</v>
      </c>
      <c r="Q211" s="79"/>
      <c r="R211" s="94"/>
      <c r="S211" s="224"/>
      <c r="T211" s="2"/>
    </row>
    <row r="212" spans="1:20" ht="15.75" x14ac:dyDescent="0.25">
      <c r="A212" s="171"/>
      <c r="B212" s="111" t="s">
        <v>114</v>
      </c>
      <c r="C212" s="153"/>
      <c r="D212" s="121"/>
      <c r="E212" s="121"/>
      <c r="F212" s="121"/>
      <c r="G212" s="121"/>
      <c r="H212" s="121"/>
      <c r="I212" s="121"/>
      <c r="J212" s="121"/>
      <c r="K212" s="121"/>
      <c r="L212" s="121"/>
      <c r="M212" s="121"/>
      <c r="N212" s="121"/>
      <c r="O212" s="172">
        <f>+N264</f>
        <v>1</v>
      </c>
      <c r="P212" s="173">
        <f>+P264</f>
        <v>153</v>
      </c>
      <c r="Q212" s="111"/>
      <c r="R212" s="174"/>
      <c r="S212" s="175"/>
      <c r="T212" s="2"/>
    </row>
    <row r="213" spans="1:20" ht="15.75" x14ac:dyDescent="0.25">
      <c r="A213" s="171"/>
      <c r="B213" s="111" t="s">
        <v>66</v>
      </c>
      <c r="C213" s="153"/>
      <c r="D213" s="121"/>
      <c r="E213" s="121"/>
      <c r="F213" s="121"/>
      <c r="G213" s="121"/>
      <c r="H213" s="121"/>
      <c r="I213" s="121"/>
      <c r="J213" s="121"/>
      <c r="K213" s="121"/>
      <c r="L213" s="121"/>
      <c r="M213" s="121"/>
      <c r="N213" s="121"/>
      <c r="O213" s="172">
        <f>+N276</f>
        <v>0</v>
      </c>
      <c r="P213" s="173">
        <f>+P276</f>
        <v>0</v>
      </c>
      <c r="Q213" s="111"/>
      <c r="R213" s="174"/>
      <c r="S213" s="175"/>
      <c r="T213" s="2"/>
    </row>
    <row r="214" spans="1:20" ht="15.75" x14ac:dyDescent="0.25">
      <c r="A214" s="171"/>
      <c r="B214" s="132" t="s">
        <v>67</v>
      </c>
      <c r="C214" s="176"/>
      <c r="D214" s="133"/>
      <c r="E214" s="133"/>
      <c r="F214" s="133"/>
      <c r="G214" s="133"/>
      <c r="H214" s="133"/>
      <c r="I214" s="133"/>
      <c r="J214" s="133"/>
      <c r="K214" s="133"/>
      <c r="L214" s="133"/>
      <c r="M214" s="133"/>
      <c r="N214" s="133"/>
      <c r="O214" s="111"/>
      <c r="P214" s="173">
        <v>0</v>
      </c>
      <c r="Q214" s="133"/>
      <c r="R214" s="177"/>
      <c r="S214" s="175"/>
      <c r="T214" s="2"/>
    </row>
    <row r="215" spans="1:20" ht="15.75" x14ac:dyDescent="0.25">
      <c r="A215" s="171"/>
      <c r="B215" s="132" t="s">
        <v>143</v>
      </c>
      <c r="C215" s="176"/>
      <c r="D215" s="133"/>
      <c r="E215" s="133"/>
      <c r="F215" s="133"/>
      <c r="G215" s="133"/>
      <c r="H215" s="133"/>
      <c r="I215" s="133"/>
      <c r="J215" s="133"/>
      <c r="K215" s="133"/>
      <c r="L215" s="133"/>
      <c r="M215" s="133"/>
      <c r="N215" s="133"/>
      <c r="O215" s="111"/>
      <c r="P215" s="173">
        <f>-J69</f>
        <v>29518</v>
      </c>
      <c r="Q215" s="133"/>
      <c r="R215" s="177"/>
      <c r="S215" s="175"/>
      <c r="T215" s="2"/>
    </row>
    <row r="216" spans="1:20" ht="15.75" x14ac:dyDescent="0.25">
      <c r="A216" s="178"/>
      <c r="B216" s="132" t="s">
        <v>68</v>
      </c>
      <c r="C216" s="179"/>
      <c r="D216" s="133"/>
      <c r="E216" s="133"/>
      <c r="F216" s="133"/>
      <c r="G216" s="133"/>
      <c r="H216" s="133"/>
      <c r="I216" s="133"/>
      <c r="J216" s="133"/>
      <c r="K216" s="133"/>
      <c r="L216" s="133"/>
      <c r="M216" s="133"/>
      <c r="N216" s="133"/>
      <c r="O216" s="111"/>
      <c r="P216" s="173"/>
      <c r="Q216" s="133"/>
      <c r="R216" s="177"/>
      <c r="S216" s="180"/>
      <c r="T216" s="2"/>
    </row>
    <row r="217" spans="1:20" ht="15.75" x14ac:dyDescent="0.25">
      <c r="A217" s="178"/>
      <c r="B217" s="116" t="s">
        <v>69</v>
      </c>
      <c r="C217" s="179"/>
      <c r="D217" s="133"/>
      <c r="E217" s="133"/>
      <c r="F217" s="133"/>
      <c r="G217" s="133"/>
      <c r="H217" s="133"/>
      <c r="I217" s="133"/>
      <c r="J217" s="133"/>
      <c r="K217" s="133"/>
      <c r="L217" s="133"/>
      <c r="M217" s="133"/>
      <c r="N217" s="133"/>
      <c r="O217" s="121"/>
      <c r="P217" s="173">
        <f>R151</f>
        <v>0</v>
      </c>
      <c r="Q217" s="133"/>
      <c r="R217" s="177"/>
      <c r="S217" s="180"/>
      <c r="T217" s="2"/>
    </row>
    <row r="218" spans="1:20" ht="15.75" x14ac:dyDescent="0.25">
      <c r="A218" s="171"/>
      <c r="B218" s="111" t="s">
        <v>70</v>
      </c>
      <c r="C218" s="176"/>
      <c r="D218" s="133"/>
      <c r="E218" s="133"/>
      <c r="F218" s="133"/>
      <c r="G218" s="133"/>
      <c r="H218" s="133"/>
      <c r="I218" s="133"/>
      <c r="J218" s="133"/>
      <c r="K218" s="133"/>
      <c r="L218" s="133"/>
      <c r="M218" s="133"/>
      <c r="N218" s="133"/>
      <c r="O218" s="121"/>
      <c r="P218" s="173">
        <f>+P217</f>
        <v>0</v>
      </c>
      <c r="Q218" s="133"/>
      <c r="R218" s="177"/>
      <c r="S218" s="180"/>
      <c r="T218" s="2"/>
    </row>
    <row r="219" spans="1:20" ht="15.75" x14ac:dyDescent="0.25">
      <c r="A219" s="178"/>
      <c r="B219" s="132" t="s">
        <v>154</v>
      </c>
      <c r="C219" s="179"/>
      <c r="D219" s="133"/>
      <c r="E219" s="133"/>
      <c r="F219" s="133"/>
      <c r="G219" s="133"/>
      <c r="H219" s="133"/>
      <c r="I219" s="133"/>
      <c r="J219" s="133"/>
      <c r="K219" s="133"/>
      <c r="L219" s="133"/>
      <c r="M219" s="133"/>
      <c r="N219" s="133"/>
      <c r="O219" s="121"/>
      <c r="P219" s="173"/>
      <c r="Q219" s="133"/>
      <c r="R219" s="177"/>
      <c r="S219" s="180"/>
      <c r="T219" s="2"/>
    </row>
    <row r="220" spans="1:20" ht="15.75" x14ac:dyDescent="0.25">
      <c r="A220" s="178"/>
      <c r="B220" s="111" t="s">
        <v>166</v>
      </c>
      <c r="C220" s="179"/>
      <c r="D220" s="133"/>
      <c r="E220" s="133"/>
      <c r="F220" s="133"/>
      <c r="G220" s="133"/>
      <c r="H220" s="133"/>
      <c r="I220" s="133"/>
      <c r="J220" s="133"/>
      <c r="K220" s="133"/>
      <c r="L220" s="133"/>
      <c r="M220" s="133"/>
      <c r="N220" s="133"/>
      <c r="O220" s="121">
        <v>0</v>
      </c>
      <c r="P220" s="173">
        <v>0</v>
      </c>
      <c r="Q220" s="133"/>
      <c r="R220" s="177"/>
      <c r="S220" s="180"/>
      <c r="T220" s="2"/>
    </row>
    <row r="221" spans="1:20" ht="15.75" x14ac:dyDescent="0.25">
      <c r="A221" s="171"/>
      <c r="B221" s="111" t="s">
        <v>71</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11" t="s">
        <v>72</v>
      </c>
      <c r="C222" s="181"/>
      <c r="D222" s="133"/>
      <c r="E222" s="133"/>
      <c r="F222" s="133"/>
      <c r="G222" s="133"/>
      <c r="H222" s="133"/>
      <c r="I222" s="133"/>
      <c r="J222" s="133"/>
      <c r="K222" s="133"/>
      <c r="L222" s="133"/>
      <c r="M222" s="133"/>
      <c r="N222" s="133"/>
      <c r="O222" s="111"/>
      <c r="P222" s="182">
        <v>0</v>
      </c>
      <c r="Q222" s="133"/>
      <c r="R222" s="177"/>
      <c r="S222" s="180"/>
      <c r="T222" s="2"/>
    </row>
    <row r="223" spans="1:20" ht="15.75" x14ac:dyDescent="0.25">
      <c r="A223" s="171"/>
      <c r="B223" s="132" t="s">
        <v>139</v>
      </c>
      <c r="C223" s="181"/>
      <c r="D223" s="133"/>
      <c r="E223" s="133"/>
      <c r="F223" s="133"/>
      <c r="G223" s="133"/>
      <c r="H223" s="133"/>
      <c r="I223" s="133"/>
      <c r="J223" s="133"/>
      <c r="K223" s="133"/>
      <c r="L223" s="133"/>
      <c r="M223" s="133"/>
      <c r="N223" s="133"/>
      <c r="O223" s="111"/>
      <c r="P223" s="183"/>
      <c r="Q223" s="133"/>
      <c r="R223" s="177"/>
      <c r="S223" s="180"/>
      <c r="T223" s="2"/>
    </row>
    <row r="224" spans="1:20" ht="15.75" x14ac:dyDescent="0.25">
      <c r="A224" s="171"/>
      <c r="B224" s="111" t="s">
        <v>166</v>
      </c>
      <c r="C224" s="181"/>
      <c r="D224" s="133"/>
      <c r="E224" s="133"/>
      <c r="F224" s="133"/>
      <c r="G224" s="133"/>
      <c r="H224" s="133"/>
      <c r="I224" s="133"/>
      <c r="J224" s="133"/>
      <c r="K224" s="133"/>
      <c r="L224" s="133"/>
      <c r="M224" s="133"/>
      <c r="N224" s="133"/>
      <c r="O224" s="121">
        <v>0</v>
      </c>
      <c r="P224" s="173">
        <v>0</v>
      </c>
      <c r="Q224" s="133"/>
      <c r="R224" s="177"/>
      <c r="S224" s="180"/>
      <c r="T224" s="2"/>
    </row>
    <row r="225" spans="1:20" ht="15.75" x14ac:dyDescent="0.25">
      <c r="A225" s="171"/>
      <c r="B225" s="111" t="s">
        <v>140</v>
      </c>
      <c r="C225" s="181"/>
      <c r="D225" s="133"/>
      <c r="E225" s="133"/>
      <c r="F225" s="133"/>
      <c r="G225" s="133"/>
      <c r="H225" s="133"/>
      <c r="I225" s="133"/>
      <c r="J225" s="133"/>
      <c r="K225" s="133"/>
      <c r="L225" s="133"/>
      <c r="M225" s="133"/>
      <c r="N225" s="133"/>
      <c r="O225" s="111"/>
      <c r="P225" s="182">
        <v>0</v>
      </c>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11"/>
      <c r="P226" s="183"/>
      <c r="Q226" s="133"/>
      <c r="R226" s="177"/>
      <c r="S226" s="180"/>
      <c r="T226" s="2"/>
    </row>
    <row r="227" spans="1:20" ht="15.75" x14ac:dyDescent="0.25">
      <c r="A227" s="171"/>
      <c r="B227" s="179"/>
      <c r="C227" s="181"/>
      <c r="D227" s="133"/>
      <c r="E227" s="133"/>
      <c r="F227" s="133"/>
      <c r="G227" s="133"/>
      <c r="H227" s="133"/>
      <c r="I227" s="133"/>
      <c r="J227" s="133"/>
      <c r="K227" s="133"/>
      <c r="L227" s="133"/>
      <c r="M227" s="133"/>
      <c r="N227" s="133"/>
      <c r="O227" s="133"/>
      <c r="P227" s="184"/>
      <c r="Q227" s="133"/>
      <c r="R227" s="177"/>
      <c r="S227" s="180"/>
      <c r="T227" s="2"/>
    </row>
    <row r="228" spans="1:20" ht="18.75" x14ac:dyDescent="0.3">
      <c r="A228" s="171"/>
      <c r="B228" s="185" t="s">
        <v>130</v>
      </c>
      <c r="C228" s="181"/>
      <c r="D228" s="133"/>
      <c r="E228" s="133"/>
      <c r="F228" s="133"/>
      <c r="G228" s="133"/>
      <c r="H228" s="133"/>
      <c r="I228" s="133"/>
      <c r="J228" s="133"/>
      <c r="K228" s="133"/>
      <c r="L228" s="186"/>
      <c r="M228" s="133"/>
      <c r="N228" s="186" t="s">
        <v>129</v>
      </c>
      <c r="O228" s="186"/>
      <c r="P228" s="184"/>
      <c r="Q228" s="133"/>
      <c r="R228" s="177"/>
      <c r="S228" s="180"/>
      <c r="T228" s="2"/>
    </row>
    <row r="229" spans="1:20" ht="18.75" x14ac:dyDescent="0.3">
      <c r="A229" s="168"/>
      <c r="B229" s="199"/>
      <c r="C229" s="169"/>
      <c r="D229" s="43"/>
      <c r="E229" s="43"/>
      <c r="F229" s="43"/>
      <c r="G229" s="43"/>
      <c r="H229" s="43"/>
      <c r="I229" s="43"/>
      <c r="J229" s="43"/>
      <c r="K229" s="43"/>
      <c r="L229" s="200"/>
      <c r="M229" s="43"/>
      <c r="N229" s="43"/>
      <c r="O229" s="43"/>
      <c r="P229" s="170"/>
      <c r="Q229" s="43"/>
      <c r="R229" s="164"/>
      <c r="S229" s="225"/>
      <c r="T229" s="2"/>
    </row>
    <row r="230" spans="1:20" ht="15.75" x14ac:dyDescent="0.25">
      <c r="A230" s="53"/>
      <c r="B230" s="61" t="s">
        <v>156</v>
      </c>
      <c r="C230" s="62"/>
      <c r="D230" s="62"/>
      <c r="E230" s="62"/>
      <c r="F230" s="62"/>
      <c r="G230" s="62"/>
      <c r="H230" s="62"/>
      <c r="I230" s="62"/>
      <c r="J230" s="62"/>
      <c r="K230" s="62"/>
      <c r="L230" s="62"/>
      <c r="M230" s="62"/>
      <c r="N230" s="72" t="s">
        <v>84</v>
      </c>
      <c r="O230" s="62" t="s">
        <v>85</v>
      </c>
      <c r="P230" s="72" t="s">
        <v>90</v>
      </c>
      <c r="Q230" s="62" t="s">
        <v>85</v>
      </c>
      <c r="R230" s="54"/>
      <c r="S230" s="226"/>
      <c r="T230" s="2"/>
    </row>
    <row r="231" spans="1:20" ht="15.75" x14ac:dyDescent="0.25">
      <c r="A231" s="24"/>
      <c r="B231" s="78" t="s">
        <v>73</v>
      </c>
      <c r="C231" s="93"/>
      <c r="D231" s="93"/>
      <c r="E231" s="93"/>
      <c r="F231" s="93"/>
      <c r="G231" s="93"/>
      <c r="H231" s="93"/>
      <c r="I231" s="93"/>
      <c r="J231" s="93"/>
      <c r="K231" s="93"/>
      <c r="L231" s="93"/>
      <c r="M231" s="93"/>
      <c r="N231" s="78">
        <f>+N243+N255+N267</f>
        <v>2308</v>
      </c>
      <c r="O231" s="81">
        <f>N231/$N$240</f>
        <v>0.99956691208315285</v>
      </c>
      <c r="P231" s="82">
        <f>+P243+P255+P267</f>
        <v>332242</v>
      </c>
      <c r="Q231" s="81">
        <f t="shared" ref="Q231:Q238" si="2">P231/$P$240</f>
        <v>0.99953970426751304</v>
      </c>
      <c r="R231" s="94"/>
      <c r="S231" s="227"/>
      <c r="T231" s="2"/>
    </row>
    <row r="232" spans="1:20" ht="15.75" x14ac:dyDescent="0.25">
      <c r="A232" s="110"/>
      <c r="B232" s="153" t="s">
        <v>74</v>
      </c>
      <c r="C232" s="190"/>
      <c r="D232" s="190"/>
      <c r="E232" s="190"/>
      <c r="F232" s="190"/>
      <c r="G232" s="190"/>
      <c r="H232" s="190"/>
      <c r="I232" s="190"/>
      <c r="J232" s="190"/>
      <c r="K232" s="190"/>
      <c r="L232" s="190"/>
      <c r="M232" s="190"/>
      <c r="N232" s="153">
        <f>+N244+N256+N268</f>
        <v>0</v>
      </c>
      <c r="O232" s="191">
        <f t="shared" ref="O232:O238" si="3">N232/$N$240</f>
        <v>0</v>
      </c>
      <c r="P232" s="154">
        <f>+P244+P256+P268</f>
        <v>0</v>
      </c>
      <c r="Q232" s="191">
        <f t="shared" si="2"/>
        <v>0</v>
      </c>
      <c r="R232" s="174"/>
      <c r="S232" s="192"/>
      <c r="T232" s="2"/>
    </row>
    <row r="233" spans="1:20" ht="15.75" x14ac:dyDescent="0.25">
      <c r="A233" s="110"/>
      <c r="B233" s="153" t="s">
        <v>75</v>
      </c>
      <c r="C233" s="190"/>
      <c r="D233" s="190"/>
      <c r="E233" s="190"/>
      <c r="F233" s="190"/>
      <c r="G233" s="190"/>
      <c r="H233" s="190"/>
      <c r="I233" s="190"/>
      <c r="J233" s="190"/>
      <c r="K233" s="190"/>
      <c r="L233" s="190"/>
      <c r="M233" s="190"/>
      <c r="N233" s="153">
        <f t="shared" ref="N233:N238" si="4">+N245+N257+N269</f>
        <v>0</v>
      </c>
      <c r="O233" s="191">
        <f t="shared" si="3"/>
        <v>0</v>
      </c>
      <c r="P233" s="154">
        <f t="shared" ref="P233:P238" si="5">+P245+P257+P269</f>
        <v>0</v>
      </c>
      <c r="Q233" s="191">
        <f t="shared" si="2"/>
        <v>0</v>
      </c>
      <c r="R233" s="174"/>
      <c r="S233" s="192"/>
      <c r="T233" s="2"/>
    </row>
    <row r="234" spans="1:20" ht="15.75" x14ac:dyDescent="0.25">
      <c r="A234" s="110"/>
      <c r="B234" s="153" t="s">
        <v>120</v>
      </c>
      <c r="C234" s="190"/>
      <c r="D234" s="190"/>
      <c r="E234" s="190"/>
      <c r="F234" s="190"/>
      <c r="G234" s="190"/>
      <c r="H234" s="190"/>
      <c r="I234" s="190"/>
      <c r="J234" s="190"/>
      <c r="K234" s="190"/>
      <c r="L234" s="190"/>
      <c r="M234" s="190"/>
      <c r="N234" s="153">
        <f t="shared" si="4"/>
        <v>1</v>
      </c>
      <c r="O234" s="191">
        <f t="shared" si="3"/>
        <v>4.3308791684711995E-4</v>
      </c>
      <c r="P234" s="154">
        <f t="shared" si="5"/>
        <v>153</v>
      </c>
      <c r="Q234" s="191">
        <f t="shared" si="2"/>
        <v>4.6029573248695076E-4</v>
      </c>
      <c r="R234" s="174"/>
      <c r="S234" s="192"/>
      <c r="T234" s="2"/>
    </row>
    <row r="235" spans="1:20" ht="15.75" x14ac:dyDescent="0.25">
      <c r="A235" s="110"/>
      <c r="B235" s="153" t="s">
        <v>121</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122</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123</v>
      </c>
      <c r="C237" s="190"/>
      <c r="D237" s="190"/>
      <c r="E237" s="190"/>
      <c r="F237" s="190"/>
      <c r="G237" s="190"/>
      <c r="H237" s="190"/>
      <c r="I237" s="190"/>
      <c r="J237" s="190"/>
      <c r="K237" s="190"/>
      <c r="L237" s="190"/>
      <c r="M237" s="190"/>
      <c r="N237" s="153">
        <f t="shared" si="4"/>
        <v>0</v>
      </c>
      <c r="O237" s="191">
        <f t="shared" si="3"/>
        <v>0</v>
      </c>
      <c r="P237" s="154">
        <f t="shared" si="5"/>
        <v>0</v>
      </c>
      <c r="Q237" s="191">
        <f t="shared" si="2"/>
        <v>0</v>
      </c>
      <c r="R237" s="174"/>
      <c r="S237" s="192"/>
      <c r="T237" s="2"/>
    </row>
    <row r="238" spans="1:20" ht="15.75" x14ac:dyDescent="0.25">
      <c r="A238" s="110"/>
      <c r="B238" s="153" t="s">
        <v>124</v>
      </c>
      <c r="C238" s="190"/>
      <c r="D238" s="190"/>
      <c r="E238" s="190"/>
      <c r="F238" s="190"/>
      <c r="G238" s="190"/>
      <c r="H238" s="190"/>
      <c r="I238" s="190"/>
      <c r="J238" s="190"/>
      <c r="K238" s="190"/>
      <c r="L238" s="190"/>
      <c r="M238" s="190"/>
      <c r="N238" s="197">
        <f t="shared" si="4"/>
        <v>0</v>
      </c>
      <c r="O238" s="191">
        <f t="shared" si="3"/>
        <v>0</v>
      </c>
      <c r="P238" s="194">
        <f t="shared" si="5"/>
        <v>0</v>
      </c>
      <c r="Q238" s="191">
        <f t="shared" si="2"/>
        <v>0</v>
      </c>
      <c r="R238" s="174"/>
      <c r="S238" s="192"/>
      <c r="T238" s="2"/>
    </row>
    <row r="239" spans="1:20" ht="15.75" x14ac:dyDescent="0.25">
      <c r="A239" s="110"/>
      <c r="B239" s="153"/>
      <c r="C239" s="190"/>
      <c r="D239" s="190"/>
      <c r="E239" s="190"/>
      <c r="F239" s="190"/>
      <c r="G239" s="190"/>
      <c r="H239" s="190"/>
      <c r="I239" s="190"/>
      <c r="J239" s="190"/>
      <c r="K239" s="190"/>
      <c r="L239" s="190"/>
      <c r="M239" s="190"/>
      <c r="N239" s="153"/>
      <c r="O239" s="191"/>
      <c r="P239" s="154"/>
      <c r="Q239" s="191"/>
      <c r="R239" s="174"/>
      <c r="S239" s="192"/>
      <c r="T239" s="2"/>
    </row>
    <row r="240" spans="1:20" ht="15.75" x14ac:dyDescent="0.25">
      <c r="A240" s="110"/>
      <c r="B240" s="111" t="s">
        <v>95</v>
      </c>
      <c r="C240" s="111"/>
      <c r="D240" s="193"/>
      <c r="E240" s="193"/>
      <c r="F240" s="193"/>
      <c r="G240" s="193"/>
      <c r="H240" s="193"/>
      <c r="I240" s="193"/>
      <c r="J240" s="193"/>
      <c r="K240" s="193"/>
      <c r="L240" s="193"/>
      <c r="M240" s="193"/>
      <c r="N240" s="153">
        <f>SUM(N231:N239)</f>
        <v>2309</v>
      </c>
      <c r="O240" s="191">
        <f>SUM(O231:O239)</f>
        <v>1</v>
      </c>
      <c r="P240" s="154">
        <f>SUM(P231:P239)</f>
        <v>332395</v>
      </c>
      <c r="Q240" s="191">
        <f>SUM(Q231:Q239)</f>
        <v>1</v>
      </c>
      <c r="R240" s="111"/>
      <c r="S240" s="114"/>
      <c r="T240" s="2"/>
    </row>
    <row r="241" spans="1:21" ht="15.75" x14ac:dyDescent="0.25">
      <c r="A241" s="12"/>
      <c r="B241" s="163"/>
      <c r="C241" s="169"/>
      <c r="D241" s="43"/>
      <c r="E241" s="43"/>
      <c r="F241" s="43"/>
      <c r="G241" s="43"/>
      <c r="H241" s="43"/>
      <c r="I241" s="43"/>
      <c r="J241" s="43"/>
      <c r="K241" s="43"/>
      <c r="L241" s="43"/>
      <c r="M241" s="43"/>
      <c r="N241" s="43"/>
      <c r="O241" s="43"/>
      <c r="P241" s="170"/>
      <c r="Q241" s="43"/>
      <c r="R241" s="43"/>
      <c r="S241" s="216"/>
      <c r="T241" s="2"/>
    </row>
    <row r="242" spans="1:21" ht="15.75" x14ac:dyDescent="0.25">
      <c r="A242" s="53"/>
      <c r="B242" s="61" t="s">
        <v>125</v>
      </c>
      <c r="C242" s="62"/>
      <c r="D242" s="62"/>
      <c r="E242" s="62"/>
      <c r="F242" s="62"/>
      <c r="G242" s="62"/>
      <c r="H242" s="62"/>
      <c r="I242" s="62"/>
      <c r="J242" s="62"/>
      <c r="K242" s="62"/>
      <c r="L242" s="62"/>
      <c r="M242" s="62"/>
      <c r="N242" s="72" t="s">
        <v>84</v>
      </c>
      <c r="O242" s="62" t="s">
        <v>85</v>
      </c>
      <c r="P242" s="72" t="s">
        <v>90</v>
      </c>
      <c r="Q242" s="62" t="s">
        <v>85</v>
      </c>
      <c r="R242" s="54"/>
      <c r="S242" s="226"/>
      <c r="T242" s="2"/>
    </row>
    <row r="243" spans="1:21" ht="15.75" x14ac:dyDescent="0.25">
      <c r="A243" s="24"/>
      <c r="B243" s="78" t="s">
        <v>73</v>
      </c>
      <c r="C243" s="93"/>
      <c r="D243" s="93"/>
      <c r="E243" s="93"/>
      <c r="F243" s="93"/>
      <c r="G243" s="93"/>
      <c r="H243" s="93"/>
      <c r="I243" s="93"/>
      <c r="J243" s="93"/>
      <c r="K243" s="93"/>
      <c r="L243" s="93"/>
      <c r="M243" s="93"/>
      <c r="N243" s="78">
        <v>2308</v>
      </c>
      <c r="O243" s="81">
        <f>N243/$N$252</f>
        <v>1</v>
      </c>
      <c r="P243" s="82">
        <v>332242</v>
      </c>
      <c r="Q243" s="81">
        <f t="shared" ref="Q243:Q250" si="6">P243/$P$252</f>
        <v>1</v>
      </c>
      <c r="R243" s="94"/>
      <c r="S243" s="227"/>
      <c r="T243" s="2"/>
    </row>
    <row r="244" spans="1:21" ht="15.75" x14ac:dyDescent="0.25">
      <c r="A244" s="110"/>
      <c r="B244" s="153" t="s">
        <v>74</v>
      </c>
      <c r="C244" s="190"/>
      <c r="D244" s="190"/>
      <c r="E244" s="190"/>
      <c r="F244" s="190"/>
      <c r="G244" s="190"/>
      <c r="H244" s="190"/>
      <c r="I244" s="190"/>
      <c r="J244" s="190"/>
      <c r="K244" s="190"/>
      <c r="L244" s="190"/>
      <c r="M244" s="190"/>
      <c r="N244" s="153">
        <v>0</v>
      </c>
      <c r="O244" s="191">
        <f t="shared" ref="O244:O250" si="7">N244/$N$252</f>
        <v>0</v>
      </c>
      <c r="P244" s="154">
        <v>0</v>
      </c>
      <c r="Q244" s="191">
        <f t="shared" si="6"/>
        <v>0</v>
      </c>
      <c r="R244" s="174"/>
      <c r="S244" s="192"/>
      <c r="T244" s="2"/>
      <c r="U244" s="4"/>
    </row>
    <row r="245" spans="1:21" ht="15.75" x14ac:dyDescent="0.25">
      <c r="A245" s="110"/>
      <c r="B245" s="153" t="s">
        <v>75</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row>
    <row r="246" spans="1:21" ht="15.75" x14ac:dyDescent="0.25">
      <c r="A246" s="110"/>
      <c r="B246" s="153" t="s">
        <v>120</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c r="U246" s="4"/>
    </row>
    <row r="247" spans="1:21" ht="15.75" x14ac:dyDescent="0.25">
      <c r="A247" s="110"/>
      <c r="B247" s="153" t="s">
        <v>121</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row>
    <row r="248" spans="1:21" ht="15.75" x14ac:dyDescent="0.25">
      <c r="A248" s="110"/>
      <c r="B248" s="153" t="s">
        <v>122</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c r="U248" s="4"/>
    </row>
    <row r="249" spans="1:21" ht="15.75" x14ac:dyDescent="0.25">
      <c r="A249" s="110"/>
      <c r="B249" s="153" t="s">
        <v>123</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row>
    <row r="250" spans="1:21" ht="15.75" x14ac:dyDescent="0.25">
      <c r="A250" s="110"/>
      <c r="B250" s="153" t="s">
        <v>124</v>
      </c>
      <c r="C250" s="190"/>
      <c r="D250" s="190"/>
      <c r="E250" s="190"/>
      <c r="F250" s="190"/>
      <c r="G250" s="190"/>
      <c r="H250" s="190"/>
      <c r="I250" s="190"/>
      <c r="J250" s="190"/>
      <c r="K250" s="190"/>
      <c r="L250" s="190"/>
      <c r="M250" s="190"/>
      <c r="N250" s="153">
        <v>0</v>
      </c>
      <c r="O250" s="191">
        <f t="shared" si="7"/>
        <v>0</v>
      </c>
      <c r="P250" s="154">
        <v>0</v>
      </c>
      <c r="Q250" s="191">
        <f t="shared" si="6"/>
        <v>0</v>
      </c>
      <c r="R250" s="174"/>
      <c r="S250" s="192"/>
      <c r="T250" s="2"/>
      <c r="U250" s="4"/>
    </row>
    <row r="251" spans="1:21" ht="15.75" x14ac:dyDescent="0.25">
      <c r="A251" s="110"/>
      <c r="B251" s="153"/>
      <c r="C251" s="190"/>
      <c r="D251" s="190"/>
      <c r="E251" s="190"/>
      <c r="F251" s="190"/>
      <c r="G251" s="190"/>
      <c r="H251" s="190"/>
      <c r="I251" s="190"/>
      <c r="J251" s="190"/>
      <c r="K251" s="190"/>
      <c r="L251" s="190"/>
      <c r="M251" s="190"/>
      <c r="N251" s="153"/>
      <c r="O251" s="191"/>
      <c r="P251" s="154"/>
      <c r="Q251" s="191"/>
      <c r="R251" s="174"/>
      <c r="S251" s="192"/>
      <c r="T251" s="2"/>
    </row>
    <row r="252" spans="1:21" ht="15.75" x14ac:dyDescent="0.25">
      <c r="A252" s="110"/>
      <c r="B252" s="111" t="s">
        <v>95</v>
      </c>
      <c r="C252" s="111"/>
      <c r="D252" s="193"/>
      <c r="E252" s="193"/>
      <c r="F252" s="193"/>
      <c r="G252" s="193"/>
      <c r="H252" s="193"/>
      <c r="I252" s="193"/>
      <c r="J252" s="193"/>
      <c r="K252" s="193"/>
      <c r="L252" s="193"/>
      <c r="M252" s="193"/>
      <c r="N252" s="153">
        <f>SUM(N243:N251)</f>
        <v>2308</v>
      </c>
      <c r="O252" s="191">
        <f>SUM(O243:O251)</f>
        <v>1</v>
      </c>
      <c r="P252" s="154">
        <f>SUM(P243:P251)</f>
        <v>332242</v>
      </c>
      <c r="Q252" s="191">
        <f>SUM(Q243:Q251)</f>
        <v>1</v>
      </c>
      <c r="R252" s="111"/>
      <c r="S252" s="114"/>
      <c r="T252" s="2"/>
    </row>
    <row r="253" spans="1:21" ht="15.75" x14ac:dyDescent="0.25">
      <c r="A253" s="12"/>
      <c r="B253" s="43"/>
      <c r="C253" s="43"/>
      <c r="D253" s="187"/>
      <c r="E253" s="187"/>
      <c r="F253" s="187"/>
      <c r="G253" s="187"/>
      <c r="H253" s="187"/>
      <c r="I253" s="187"/>
      <c r="J253" s="187"/>
      <c r="K253" s="187"/>
      <c r="L253" s="187"/>
      <c r="M253" s="187"/>
      <c r="N253" s="151"/>
      <c r="O253" s="188"/>
      <c r="P253" s="189"/>
      <c r="Q253" s="188"/>
      <c r="R253" s="43"/>
      <c r="S253" s="216"/>
      <c r="T253" s="2"/>
    </row>
    <row r="254" spans="1:21" ht="15.75" x14ac:dyDescent="0.25">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75" x14ac:dyDescent="0.25">
      <c r="A255" s="24"/>
      <c r="B255" s="78" t="s">
        <v>73</v>
      </c>
      <c r="C255" s="93"/>
      <c r="D255" s="93"/>
      <c r="E255" s="93"/>
      <c r="F255" s="93"/>
      <c r="G255" s="93"/>
      <c r="H255" s="93"/>
      <c r="I255" s="93"/>
      <c r="J255" s="93"/>
      <c r="K255" s="93"/>
      <c r="L255" s="93"/>
      <c r="M255" s="93"/>
      <c r="N255" s="78">
        <v>0</v>
      </c>
      <c r="O255" s="81">
        <v>0</v>
      </c>
      <c r="P255" s="82">
        <v>0</v>
      </c>
      <c r="Q255" s="81">
        <v>0</v>
      </c>
      <c r="R255" s="79"/>
      <c r="S255" s="219"/>
      <c r="T255" s="2"/>
    </row>
    <row r="256" spans="1:21" ht="15.75" x14ac:dyDescent="0.25">
      <c r="A256" s="110"/>
      <c r="B256" s="153" t="s">
        <v>74</v>
      </c>
      <c r="C256" s="190"/>
      <c r="D256" s="190"/>
      <c r="E256" s="190"/>
      <c r="F256" s="190"/>
      <c r="G256" s="190"/>
      <c r="H256" s="190"/>
      <c r="I256" s="190"/>
      <c r="J256" s="190"/>
      <c r="K256" s="190"/>
      <c r="L256" s="190"/>
      <c r="M256" s="190"/>
      <c r="N256" s="153">
        <v>0</v>
      </c>
      <c r="O256" s="191">
        <v>0</v>
      </c>
      <c r="P256" s="154">
        <v>0</v>
      </c>
      <c r="Q256" s="191">
        <v>0</v>
      </c>
      <c r="R256" s="111"/>
      <c r="S256" s="114"/>
      <c r="T256" s="2"/>
    </row>
    <row r="257" spans="1:20" ht="15.75" x14ac:dyDescent="0.25">
      <c r="A257" s="110"/>
      <c r="B257" s="153" t="s">
        <v>75</v>
      </c>
      <c r="C257" s="190"/>
      <c r="D257" s="190"/>
      <c r="E257" s="190"/>
      <c r="F257" s="190"/>
      <c r="G257" s="190"/>
      <c r="H257" s="190"/>
      <c r="I257" s="190"/>
      <c r="J257" s="190"/>
      <c r="K257" s="190"/>
      <c r="L257" s="190"/>
      <c r="M257" s="190"/>
      <c r="N257" s="153">
        <v>0</v>
      </c>
      <c r="O257" s="191">
        <v>0</v>
      </c>
      <c r="P257" s="154">
        <v>0</v>
      </c>
      <c r="Q257" s="191">
        <v>0</v>
      </c>
      <c r="R257" s="111"/>
      <c r="S257" s="114"/>
      <c r="T257" s="2"/>
    </row>
    <row r="258" spans="1:20" ht="15.75" x14ac:dyDescent="0.25">
      <c r="A258" s="110"/>
      <c r="B258" s="153" t="s">
        <v>120</v>
      </c>
      <c r="C258" s="190"/>
      <c r="D258" s="190"/>
      <c r="E258" s="190"/>
      <c r="F258" s="190"/>
      <c r="G258" s="190"/>
      <c r="H258" s="190"/>
      <c r="I258" s="190"/>
      <c r="J258" s="190"/>
      <c r="K258" s="190"/>
      <c r="L258" s="190"/>
      <c r="M258" s="190"/>
      <c r="N258" s="153">
        <v>1</v>
      </c>
      <c r="O258" s="191">
        <v>1</v>
      </c>
      <c r="P258" s="154">
        <v>153</v>
      </c>
      <c r="Q258" s="191">
        <v>1</v>
      </c>
      <c r="R258" s="111"/>
      <c r="S258" s="114"/>
      <c r="T258" s="2"/>
    </row>
    <row r="259" spans="1:20" ht="15.75" x14ac:dyDescent="0.25">
      <c r="A259" s="110"/>
      <c r="B259" s="153" t="s">
        <v>121</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122</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123</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t="s">
        <v>124</v>
      </c>
      <c r="C262" s="190"/>
      <c r="D262" s="190"/>
      <c r="E262" s="190"/>
      <c r="F262" s="190"/>
      <c r="G262" s="190"/>
      <c r="H262" s="190"/>
      <c r="I262" s="190"/>
      <c r="J262" s="190"/>
      <c r="K262" s="190"/>
      <c r="L262" s="190"/>
      <c r="M262" s="190"/>
      <c r="N262" s="153">
        <v>0</v>
      </c>
      <c r="O262" s="191">
        <v>0</v>
      </c>
      <c r="P262" s="154">
        <v>0</v>
      </c>
      <c r="Q262" s="191">
        <v>0</v>
      </c>
      <c r="R262" s="111"/>
      <c r="S262" s="114"/>
      <c r="T262" s="2"/>
    </row>
    <row r="263" spans="1:20" ht="15.75" x14ac:dyDescent="0.25">
      <c r="A263" s="110"/>
      <c r="B263" s="153"/>
      <c r="C263" s="190"/>
      <c r="D263" s="190"/>
      <c r="E263" s="190"/>
      <c r="F263" s="190"/>
      <c r="G263" s="190"/>
      <c r="H263" s="190"/>
      <c r="I263" s="190"/>
      <c r="J263" s="190"/>
      <c r="K263" s="190"/>
      <c r="L263" s="190"/>
      <c r="M263" s="190"/>
      <c r="N263" s="153"/>
      <c r="O263" s="191"/>
      <c r="P263" s="154"/>
      <c r="Q263" s="191"/>
      <c r="R263" s="111"/>
      <c r="S263" s="114"/>
      <c r="T263" s="2"/>
    </row>
    <row r="264" spans="1:20" ht="15.75" x14ac:dyDescent="0.25">
      <c r="A264" s="110"/>
      <c r="B264" s="111" t="s">
        <v>95</v>
      </c>
      <c r="C264" s="111"/>
      <c r="D264" s="193"/>
      <c r="E264" s="193"/>
      <c r="F264" s="193"/>
      <c r="G264" s="193"/>
      <c r="H264" s="193"/>
      <c r="I264" s="193"/>
      <c r="J264" s="193"/>
      <c r="K264" s="193"/>
      <c r="L264" s="193"/>
      <c r="M264" s="193"/>
      <c r="N264" s="153">
        <f>SUM(N255:N263)</f>
        <v>1</v>
      </c>
      <c r="O264" s="191">
        <f>SUM(O255:O263)</f>
        <v>1</v>
      </c>
      <c r="P264" s="154">
        <f>SUM(P255:P263)</f>
        <v>153</v>
      </c>
      <c r="Q264" s="191">
        <f>SUM(Q255:Q263)</f>
        <v>1</v>
      </c>
      <c r="R264" s="111"/>
      <c r="S264" s="114"/>
      <c r="T264" s="2"/>
    </row>
    <row r="265" spans="1:20" ht="15.75" x14ac:dyDescent="0.25">
      <c r="A265" s="12"/>
      <c r="B265" s="43"/>
      <c r="C265" s="43"/>
      <c r="D265" s="187"/>
      <c r="E265" s="187"/>
      <c r="F265" s="187"/>
      <c r="G265" s="187"/>
      <c r="H265" s="187"/>
      <c r="I265" s="187"/>
      <c r="J265" s="187"/>
      <c r="K265" s="187"/>
      <c r="L265" s="187"/>
      <c r="M265" s="187"/>
      <c r="N265" s="151"/>
      <c r="O265" s="188"/>
      <c r="P265" s="189"/>
      <c r="Q265" s="188"/>
      <c r="R265" s="43"/>
      <c r="S265" s="216"/>
      <c r="T265" s="2"/>
    </row>
    <row r="266" spans="1:20" ht="15.75" x14ac:dyDescent="0.25">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75" x14ac:dyDescent="0.25">
      <c r="A267" s="77"/>
      <c r="B267" s="78" t="s">
        <v>73</v>
      </c>
      <c r="C267" s="79"/>
      <c r="D267" s="80"/>
      <c r="E267" s="80"/>
      <c r="F267" s="80"/>
      <c r="G267" s="80"/>
      <c r="H267" s="80"/>
      <c r="I267" s="80"/>
      <c r="J267" s="80"/>
      <c r="K267" s="80"/>
      <c r="L267" s="80"/>
      <c r="M267" s="80"/>
      <c r="N267" s="78">
        <v>0</v>
      </c>
      <c r="O267" s="81">
        <v>0</v>
      </c>
      <c r="P267" s="82">
        <v>0</v>
      </c>
      <c r="Q267" s="81">
        <v>0</v>
      </c>
      <c r="R267" s="79"/>
      <c r="S267" s="219"/>
      <c r="T267" s="2"/>
    </row>
    <row r="268" spans="1:20" ht="15.75" x14ac:dyDescent="0.25">
      <c r="A268" s="120"/>
      <c r="B268" s="153" t="s">
        <v>74</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75</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120</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121</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122</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123</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t="s">
        <v>124</v>
      </c>
      <c r="C274" s="111"/>
      <c r="D274" s="193"/>
      <c r="E274" s="193"/>
      <c r="F274" s="193"/>
      <c r="G274" s="193"/>
      <c r="H274" s="193"/>
      <c r="I274" s="193"/>
      <c r="J274" s="193"/>
      <c r="K274" s="193"/>
      <c r="L274" s="193"/>
      <c r="M274" s="193"/>
      <c r="N274" s="153">
        <v>0</v>
      </c>
      <c r="O274" s="191">
        <v>0</v>
      </c>
      <c r="P274" s="154">
        <v>0</v>
      </c>
      <c r="Q274" s="191">
        <v>0</v>
      </c>
      <c r="R274" s="111"/>
      <c r="S274" s="114"/>
      <c r="T274" s="2"/>
    </row>
    <row r="275" spans="1:20" ht="15.75" x14ac:dyDescent="0.25">
      <c r="A275" s="120"/>
      <c r="B275" s="153"/>
      <c r="C275" s="111"/>
      <c r="D275" s="193"/>
      <c r="E275" s="193"/>
      <c r="F275" s="193"/>
      <c r="G275" s="193"/>
      <c r="H275" s="193"/>
      <c r="I275" s="193"/>
      <c r="J275" s="193"/>
      <c r="K275" s="193"/>
      <c r="L275" s="193"/>
      <c r="M275" s="193"/>
      <c r="N275" s="153"/>
      <c r="O275" s="191"/>
      <c r="P275" s="154"/>
      <c r="Q275" s="191"/>
      <c r="R275" s="111"/>
      <c r="S275" s="114"/>
      <c r="T275" s="2"/>
    </row>
    <row r="276" spans="1:20" ht="15.75" x14ac:dyDescent="0.25">
      <c r="A276" s="120"/>
      <c r="B276" s="111" t="s">
        <v>95</v>
      </c>
      <c r="C276" s="111"/>
      <c r="D276" s="193"/>
      <c r="E276" s="193"/>
      <c r="F276" s="193"/>
      <c r="G276" s="193"/>
      <c r="H276" s="193"/>
      <c r="I276" s="193"/>
      <c r="J276" s="193"/>
      <c r="K276" s="193"/>
      <c r="L276" s="193"/>
      <c r="M276" s="193"/>
      <c r="N276" s="153">
        <f>SUM(N267:N274)</f>
        <v>0</v>
      </c>
      <c r="O276" s="191">
        <f>SUM(O267:O274)</f>
        <v>0</v>
      </c>
      <c r="P276" s="154">
        <f>SUM(P267:P274)</f>
        <v>0</v>
      </c>
      <c r="Q276" s="191">
        <f>SUM(Q267:Q274)</f>
        <v>0</v>
      </c>
      <c r="R276" s="111"/>
      <c r="S276" s="114"/>
      <c r="T276" s="2"/>
    </row>
    <row r="277" spans="1:20" ht="15.75" x14ac:dyDescent="0.25">
      <c r="A277" s="120"/>
      <c r="B277" s="111"/>
      <c r="C277" s="111"/>
      <c r="D277" s="193"/>
      <c r="E277" s="193"/>
      <c r="F277" s="193"/>
      <c r="G277" s="193"/>
      <c r="H277" s="193"/>
      <c r="I277" s="193"/>
      <c r="J277" s="193"/>
      <c r="K277" s="193"/>
      <c r="L277" s="193"/>
      <c r="M277" s="193"/>
      <c r="N277" s="153"/>
      <c r="O277" s="191"/>
      <c r="P277" s="154"/>
      <c r="Q277" s="191"/>
      <c r="R277" s="111"/>
      <c r="S277" s="114"/>
      <c r="T277" s="2"/>
    </row>
    <row r="278" spans="1:20" ht="15.75" x14ac:dyDescent="0.25">
      <c r="A278" s="120"/>
      <c r="B278" s="122" t="s">
        <v>184</v>
      </c>
      <c r="C278" s="111"/>
      <c r="D278" s="193"/>
      <c r="E278" s="193"/>
      <c r="F278" s="193"/>
      <c r="G278" s="193"/>
      <c r="H278" s="193"/>
      <c r="I278" s="193"/>
      <c r="J278" s="193"/>
      <c r="K278" s="193"/>
      <c r="L278" s="193"/>
      <c r="M278" s="193"/>
      <c r="N278" s="195">
        <f>N276+N264+N252</f>
        <v>2309</v>
      </c>
      <c r="O278" s="191"/>
      <c r="P278" s="196">
        <f>+P276+P264+P252</f>
        <v>332395</v>
      </c>
      <c r="Q278" s="191"/>
      <c r="R278" s="111"/>
      <c r="S278" s="114"/>
      <c r="T278" s="2"/>
    </row>
    <row r="279" spans="1:20" ht="15.75" x14ac:dyDescent="0.25">
      <c r="A279" s="120"/>
      <c r="B279" s="122" t="s">
        <v>241</v>
      </c>
      <c r="C279" s="122"/>
      <c r="D279" s="205"/>
      <c r="E279" s="205"/>
      <c r="F279" s="205"/>
      <c r="G279" s="205"/>
      <c r="H279" s="205"/>
      <c r="I279" s="205"/>
      <c r="J279" s="205"/>
      <c r="K279" s="205"/>
      <c r="L279" s="205"/>
      <c r="M279" s="205"/>
      <c r="N279" s="195"/>
      <c r="O279" s="206"/>
      <c r="P279" s="207">
        <f>+R167+R147</f>
        <v>2973</v>
      </c>
      <c r="Q279" s="191"/>
      <c r="R279" s="111"/>
      <c r="S279" s="114"/>
      <c r="T279" s="2"/>
    </row>
    <row r="280" spans="1:20" ht="15.75" x14ac:dyDescent="0.25">
      <c r="A280" s="120"/>
      <c r="B280" s="122" t="s">
        <v>127</v>
      </c>
      <c r="C280" s="122"/>
      <c r="D280" s="205"/>
      <c r="E280" s="205"/>
      <c r="F280" s="205"/>
      <c r="G280" s="205"/>
      <c r="H280" s="205"/>
      <c r="I280" s="205"/>
      <c r="J280" s="205"/>
      <c r="K280" s="205"/>
      <c r="L280" s="205"/>
      <c r="M280" s="205"/>
      <c r="N280" s="195"/>
      <c r="O280" s="206"/>
      <c r="P280" s="207">
        <f>+P278+P279</f>
        <v>335368</v>
      </c>
      <c r="Q280" s="191"/>
      <c r="R280" s="111"/>
      <c r="S280" s="114"/>
      <c r="T280" s="2"/>
    </row>
    <row r="281" spans="1:20" ht="15.75" x14ac:dyDescent="0.25">
      <c r="A281" s="120"/>
      <c r="B281" s="122" t="s">
        <v>183</v>
      </c>
      <c r="C281" s="111"/>
      <c r="D281" s="193"/>
      <c r="E281" s="193"/>
      <c r="F281" s="193"/>
      <c r="G281" s="193"/>
      <c r="H281" s="193"/>
      <c r="I281" s="193"/>
      <c r="J281" s="193"/>
      <c r="K281" s="193"/>
      <c r="L281" s="193"/>
      <c r="M281" s="193"/>
      <c r="N281" s="195"/>
      <c r="O281" s="191"/>
      <c r="P281" s="196">
        <f>+R72</f>
        <v>335368</v>
      </c>
      <c r="Q281" s="191"/>
      <c r="R281" s="111"/>
      <c r="S281" s="114"/>
      <c r="T281" s="2"/>
    </row>
    <row r="282" spans="1:20" ht="15.75" x14ac:dyDescent="0.25">
      <c r="A282" s="120"/>
      <c r="B282" s="122"/>
      <c r="C282" s="111"/>
      <c r="D282" s="193"/>
      <c r="E282" s="193"/>
      <c r="F282" s="193"/>
      <c r="G282" s="193"/>
      <c r="H282" s="193"/>
      <c r="I282" s="193"/>
      <c r="J282" s="193"/>
      <c r="K282" s="193"/>
      <c r="L282" s="193"/>
      <c r="M282" s="193"/>
      <c r="N282" s="195"/>
      <c r="O282" s="191"/>
      <c r="P282" s="196"/>
      <c r="Q282" s="191"/>
      <c r="R282" s="111"/>
      <c r="S282" s="114"/>
      <c r="T282" s="2"/>
    </row>
    <row r="283" spans="1:20" ht="15.75" x14ac:dyDescent="0.25">
      <c r="A283" s="120"/>
      <c r="B283" s="122" t="s">
        <v>205</v>
      </c>
      <c r="C283" s="111"/>
      <c r="D283" s="193"/>
      <c r="E283" s="193"/>
      <c r="F283" s="193"/>
      <c r="G283" s="193"/>
      <c r="H283" s="193"/>
      <c r="I283" s="193"/>
      <c r="J283" s="193"/>
      <c r="K283" s="193"/>
      <c r="L283" s="193"/>
      <c r="M283" s="193"/>
      <c r="N283" s="195"/>
      <c r="O283" s="191"/>
      <c r="P283" s="214">
        <f>(H30+R136)/R30</f>
        <v>5.2181442598769424E-2</v>
      </c>
      <c r="Q283" s="191"/>
      <c r="R283" s="111"/>
      <c r="S283" s="114"/>
      <c r="T283" s="2"/>
    </row>
    <row r="284" spans="1:20" ht="15.75" x14ac:dyDescent="0.25">
      <c r="A284" s="83"/>
      <c r="B284" s="84"/>
      <c r="C284" s="84"/>
      <c r="D284" s="85"/>
      <c r="E284" s="85"/>
      <c r="F284" s="85"/>
      <c r="G284" s="85"/>
      <c r="H284" s="85"/>
      <c r="I284" s="85"/>
      <c r="J284" s="85"/>
      <c r="K284" s="85"/>
      <c r="L284" s="85"/>
      <c r="M284" s="85"/>
      <c r="N284" s="85"/>
      <c r="O284" s="85"/>
      <c r="P284" s="86"/>
      <c r="Q284" s="85"/>
      <c r="R284" s="84"/>
      <c r="S284" s="217"/>
      <c r="T284" s="2"/>
    </row>
    <row r="285" spans="1:20" ht="15.75" x14ac:dyDescent="0.25">
      <c r="A285" s="87"/>
      <c r="B285" s="88" t="s">
        <v>76</v>
      </c>
      <c r="C285" s="84"/>
      <c r="D285" s="89" t="s">
        <v>80</v>
      </c>
      <c r="E285" s="88"/>
      <c r="F285" s="88" t="s">
        <v>81</v>
      </c>
      <c r="G285" s="84"/>
      <c r="H285" s="88"/>
      <c r="I285" s="90"/>
      <c r="J285" s="90"/>
      <c r="K285" s="90"/>
      <c r="L285" s="90"/>
      <c r="M285" s="90"/>
      <c r="N285" s="90"/>
      <c r="O285" s="90"/>
      <c r="P285" s="90"/>
      <c r="Q285" s="90"/>
      <c r="R285" s="90"/>
      <c r="S285" s="228"/>
      <c r="T285" s="2"/>
    </row>
    <row r="286" spans="1:20" ht="15.75" x14ac:dyDescent="0.25">
      <c r="A286" s="87"/>
      <c r="B286" s="90"/>
      <c r="C286" s="84"/>
      <c r="D286" s="84"/>
      <c r="E286" s="84"/>
      <c r="F286" s="84"/>
      <c r="G286" s="84"/>
      <c r="H286" s="84"/>
      <c r="I286" s="90"/>
      <c r="J286" s="90"/>
      <c r="K286" s="90"/>
      <c r="L286" s="90"/>
      <c r="M286" s="90"/>
      <c r="N286" s="90"/>
      <c r="O286" s="90"/>
      <c r="P286" s="90"/>
      <c r="Q286" s="90"/>
      <c r="R286" s="90"/>
      <c r="S286" s="228"/>
      <c r="T286" s="2"/>
    </row>
    <row r="287" spans="1:20" ht="15.75" x14ac:dyDescent="0.25">
      <c r="A287" s="87"/>
      <c r="B287" s="213" t="s">
        <v>198</v>
      </c>
      <c r="C287" s="88"/>
      <c r="D287" s="91" t="s">
        <v>116</v>
      </c>
      <c r="E287" s="88"/>
      <c r="F287" s="88" t="s">
        <v>117</v>
      </c>
      <c r="G287" s="88"/>
      <c r="H287" s="88"/>
      <c r="I287" s="90"/>
      <c r="J287" s="90"/>
      <c r="K287" s="90"/>
      <c r="L287" s="90"/>
      <c r="M287" s="90"/>
      <c r="N287" s="90"/>
      <c r="O287" s="90"/>
      <c r="P287" s="90"/>
      <c r="Q287" s="90"/>
      <c r="R287" s="90"/>
      <c r="S287" s="228"/>
      <c r="T287" s="2"/>
    </row>
    <row r="288" spans="1:20" ht="15.75" x14ac:dyDescent="0.25">
      <c r="A288" s="87"/>
      <c r="B288" s="213" t="s">
        <v>199</v>
      </c>
      <c r="C288" s="88"/>
      <c r="D288" s="91" t="s">
        <v>150</v>
      </c>
      <c r="E288" s="88"/>
      <c r="F288" s="88" t="s">
        <v>151</v>
      </c>
      <c r="G288" s="88"/>
      <c r="H288" s="88"/>
      <c r="I288" s="90"/>
      <c r="J288" s="90"/>
      <c r="K288" s="90"/>
      <c r="L288" s="90"/>
      <c r="M288" s="90"/>
      <c r="N288" s="90"/>
      <c r="O288" s="90"/>
      <c r="P288" s="90"/>
      <c r="Q288" s="90"/>
      <c r="R288" s="90"/>
      <c r="S288" s="228"/>
      <c r="T288" s="2"/>
    </row>
    <row r="289" spans="1:20" ht="15.75" x14ac:dyDescent="0.25">
      <c r="A289" s="87"/>
      <c r="B289" s="213" t="s">
        <v>200</v>
      </c>
      <c r="C289" s="88"/>
      <c r="D289" s="91" t="s">
        <v>115</v>
      </c>
      <c r="E289" s="88"/>
      <c r="F289" s="88" t="s">
        <v>118</v>
      </c>
      <c r="G289" s="88"/>
      <c r="H289" s="88"/>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5.75" x14ac:dyDescent="0.25">
      <c r="A291" s="87"/>
      <c r="B291" s="88"/>
      <c r="C291" s="88"/>
      <c r="D291" s="90"/>
      <c r="E291" s="90"/>
      <c r="F291" s="90"/>
      <c r="G291" s="90"/>
      <c r="H291" s="90"/>
      <c r="I291" s="90"/>
      <c r="J291" s="90"/>
      <c r="K291" s="90"/>
      <c r="L291" s="90"/>
      <c r="M291" s="90"/>
      <c r="N291" s="90"/>
      <c r="O291" s="90"/>
      <c r="P291" s="90"/>
      <c r="Q291" s="90"/>
      <c r="R291" s="90"/>
      <c r="S291" s="228"/>
      <c r="T291" s="2"/>
    </row>
    <row r="292" spans="1:20" ht="19.5" thickBot="1" x14ac:dyDescent="0.35">
      <c r="A292" s="87"/>
      <c r="B292" s="92" t="str">
        <f>B191</f>
        <v>PM20 INVESTOR REPORT QUARTER ENDING OCTOBER 2014</v>
      </c>
      <c r="C292" s="88"/>
      <c r="D292" s="90"/>
      <c r="E292" s="90"/>
      <c r="F292" s="90"/>
      <c r="G292" s="90"/>
      <c r="H292" s="90"/>
      <c r="I292" s="90"/>
      <c r="J292" s="90"/>
      <c r="K292" s="90"/>
      <c r="L292" s="90"/>
      <c r="M292" s="90"/>
      <c r="N292" s="90"/>
      <c r="O292" s="90"/>
      <c r="P292" s="90"/>
      <c r="Q292" s="90"/>
      <c r="R292" s="90"/>
      <c r="S292" s="99"/>
      <c r="T292" s="2"/>
    </row>
    <row r="293" spans="1:20" x14ac:dyDescent="0.2">
      <c r="A293" s="3"/>
      <c r="B293" s="3"/>
      <c r="C293" s="3"/>
      <c r="D293" s="3"/>
      <c r="E293" s="3"/>
      <c r="F293" s="3"/>
      <c r="G293" s="3"/>
      <c r="H293" s="3"/>
      <c r="I293" s="3"/>
      <c r="J293" s="3"/>
      <c r="K293" s="3"/>
      <c r="L293" s="3"/>
      <c r="M293" s="3"/>
      <c r="N293" s="3"/>
      <c r="O293" s="3"/>
      <c r="P293" s="3"/>
      <c r="Q293" s="3"/>
      <c r="R293" s="3"/>
      <c r="S293" s="3"/>
    </row>
  </sheetData>
  <phoneticPr fontId="0" type="noConversion"/>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1"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1"/>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0.97650000000000003</v>
      </c>
      <c r="P16" s="229" t="s">
        <v>239</v>
      </c>
      <c r="Q16" s="229">
        <v>2.35E-2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42782</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138325.64130000002</v>
      </c>
      <c r="E29" s="128"/>
      <c r="F29" s="201">
        <f>F28*F32</f>
        <v>24000</v>
      </c>
      <c r="G29" s="201"/>
      <c r="H29" s="201">
        <f>H28*H32</f>
        <v>7000</v>
      </c>
      <c r="I29" s="124"/>
      <c r="J29" s="201"/>
      <c r="K29" s="124"/>
      <c r="L29" s="128"/>
      <c r="M29" s="124"/>
      <c r="N29" s="128"/>
      <c r="O29" s="124"/>
      <c r="P29" s="124"/>
      <c r="Q29" s="125"/>
      <c r="R29" s="124">
        <f>SUM(D29:J29)</f>
        <v>169325.64130000002</v>
      </c>
      <c r="S29" s="126"/>
      <c r="T29" s="2"/>
    </row>
    <row r="30" spans="1:23" ht="15.75" x14ac:dyDescent="0.25">
      <c r="A30" s="120"/>
      <c r="B30" s="119" t="s">
        <v>108</v>
      </c>
      <c r="C30" s="123"/>
      <c r="D30" s="202">
        <f>D31*D28</f>
        <v>116673.4206</v>
      </c>
      <c r="E30" s="202"/>
      <c r="F30" s="202">
        <f t="shared" ref="F30" si="0">F31*F28</f>
        <v>24000</v>
      </c>
      <c r="G30" s="202"/>
      <c r="H30" s="202">
        <f t="shared" ref="H30" si="1">H31*H28</f>
        <v>7000</v>
      </c>
      <c r="I30" s="202"/>
      <c r="J30" s="202"/>
      <c r="K30" s="129"/>
      <c r="L30" s="131"/>
      <c r="M30" s="129"/>
      <c r="N30" s="131"/>
      <c r="O30" s="124"/>
      <c r="P30" s="124"/>
      <c r="Q30" s="125"/>
      <c r="R30" s="203">
        <f>SUM(D30:J30)</f>
        <v>147673.42060000001</v>
      </c>
      <c r="S30" s="126"/>
      <c r="T30" s="2"/>
    </row>
    <row r="31" spans="1:23" ht="15.75" x14ac:dyDescent="0.25">
      <c r="A31" s="110"/>
      <c r="B31" s="132" t="s">
        <v>104</v>
      </c>
      <c r="C31" s="133"/>
      <c r="D31" s="134">
        <v>0.3657474</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0.43362270000000003</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1.0775E-2</v>
      </c>
      <c r="E34" s="141"/>
      <c r="F34" s="141">
        <v>1.39775E-2</v>
      </c>
      <c r="G34" s="141"/>
      <c r="H34" s="141">
        <v>1.74775E-2</v>
      </c>
      <c r="I34" s="141"/>
      <c r="J34" s="141"/>
      <c r="K34" s="141"/>
      <c r="L34" s="141"/>
      <c r="M34" s="140"/>
      <c r="N34" s="141"/>
      <c r="O34" s="121"/>
      <c r="P34" s="121"/>
      <c r="Q34" s="113"/>
      <c r="R34" s="140">
        <f>SUMPRODUCT(D34:J34,D29:J29)/R29</f>
        <v>1.150600269427416E-2</v>
      </c>
      <c r="S34" s="114"/>
      <c r="T34" s="2"/>
    </row>
    <row r="35" spans="1:21" ht="15.75" x14ac:dyDescent="0.25">
      <c r="A35" s="110"/>
      <c r="B35" s="111" t="s">
        <v>10</v>
      </c>
      <c r="C35" s="142"/>
      <c r="D35" s="141">
        <v>1.06563E-2</v>
      </c>
      <c r="E35" s="141"/>
      <c r="F35" s="141">
        <v>1.38563E-2</v>
      </c>
      <c r="G35" s="141"/>
      <c r="H35" s="141">
        <v>1.7356300000000002E-2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0.265698904176981</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42781</v>
      </c>
      <c r="S45" s="114"/>
      <c r="T45" s="2"/>
    </row>
    <row r="46" spans="1:21" ht="15.75" x14ac:dyDescent="0.25">
      <c r="A46" s="110"/>
      <c r="B46" s="111" t="s">
        <v>100</v>
      </c>
      <c r="C46" s="111"/>
      <c r="D46" s="148"/>
      <c r="E46" s="148"/>
      <c r="F46" s="148"/>
      <c r="G46" s="148"/>
      <c r="H46" s="148"/>
      <c r="I46" s="148"/>
      <c r="J46" s="148"/>
      <c r="K46" s="148"/>
      <c r="L46" s="148"/>
      <c r="M46" s="148"/>
      <c r="N46" s="111">
        <f>+R46-P46+1</f>
        <v>92</v>
      </c>
      <c r="O46" s="111"/>
      <c r="P46" s="149">
        <v>42597</v>
      </c>
      <c r="Q46" s="150"/>
      <c r="R46" s="149">
        <v>42688</v>
      </c>
      <c r="S46" s="114"/>
      <c r="T46" s="2"/>
    </row>
    <row r="47" spans="1:21" ht="15.75" x14ac:dyDescent="0.25">
      <c r="A47" s="110"/>
      <c r="B47" s="111" t="s">
        <v>101</v>
      </c>
      <c r="C47" s="111"/>
      <c r="D47" s="111"/>
      <c r="E47" s="111"/>
      <c r="F47" s="111"/>
      <c r="G47" s="111"/>
      <c r="H47" s="111"/>
      <c r="I47" s="111"/>
      <c r="J47" s="111"/>
      <c r="K47" s="111"/>
      <c r="L47" s="111"/>
      <c r="M47" s="111"/>
      <c r="N47" s="111">
        <f>+R47-P47+1</f>
        <v>92</v>
      </c>
      <c r="O47" s="111"/>
      <c r="P47" s="149">
        <v>42689</v>
      </c>
      <c r="Q47" s="150"/>
      <c r="R47" s="149">
        <v>42780</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42767</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256</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169326</v>
      </c>
      <c r="I56" s="153"/>
      <c r="J56" s="154">
        <f>6+158</f>
        <v>164</v>
      </c>
      <c r="K56" s="153"/>
      <c r="L56" s="153">
        <v>15337</v>
      </c>
      <c r="M56" s="153"/>
      <c r="N56" s="153">
        <v>5</v>
      </c>
      <c r="O56" s="153"/>
      <c r="P56" s="153">
        <v>6157</v>
      </c>
      <c r="Q56" s="153"/>
      <c r="R56" s="154">
        <f>H56-J56-L56+N56-P56</f>
        <v>147673</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169326</v>
      </c>
      <c r="I59" s="153"/>
      <c r="J59" s="153">
        <f>J56+J57</f>
        <v>164</v>
      </c>
      <c r="K59" s="153"/>
      <c r="L59" s="153">
        <f>SUM(L56:L58)</f>
        <v>15337</v>
      </c>
      <c r="M59" s="153"/>
      <c r="N59" s="153">
        <f>SUM(N56:N58)</f>
        <v>5</v>
      </c>
      <c r="O59" s="153"/>
      <c r="P59" s="153">
        <f>SUM(P56:P58)</f>
        <v>6157</v>
      </c>
      <c r="Q59" s="153"/>
      <c r="R59" s="153">
        <f>SUM(R56:R58)</f>
        <v>147673</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0</v>
      </c>
      <c r="I70" s="153"/>
      <c r="J70" s="153">
        <v>0</v>
      </c>
      <c r="K70" s="153"/>
      <c r="L70" s="153"/>
      <c r="M70" s="153"/>
      <c r="N70" s="153">
        <v>0</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169326</v>
      </c>
      <c r="I72" s="153"/>
      <c r="J72" s="153"/>
      <c r="K72" s="153"/>
      <c r="L72" s="153"/>
      <c r="M72" s="153"/>
      <c r="N72" s="153"/>
      <c r="O72" s="153"/>
      <c r="P72" s="153"/>
      <c r="Q72" s="153"/>
      <c r="R72" s="153">
        <f>SUM(R59:R71)</f>
        <v>147673</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42766</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0</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f>
        <v>21658</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2985+25-966-8+9</f>
        <v>2045</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66</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15</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34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21658</v>
      </c>
      <c r="Q89" s="111"/>
      <c r="R89" s="153">
        <f>SUM(R76:R88)</f>
        <v>2160</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21658</v>
      </c>
      <c r="Q92" s="111"/>
      <c r="R92" s="153">
        <f>R89+R90+R91</f>
        <v>2160</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-64-72-3</f>
        <v>-139</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-20</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-376</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-85</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0</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-31</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-64</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-13-164</f>
        <v>-177</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-1240</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-5</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f>-O175</f>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-21653</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-21658</v>
      </c>
      <c r="Q117" s="153"/>
      <c r="R117" s="153">
        <f>SUM(R93:R116)</f>
        <v>-2160</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JANUARY 2017</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6279.7973819999997</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4220.2026180000003</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+'July 16'!R146</f>
        <v>0</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+'October 16'!R160</f>
        <v>236</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34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202</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147673</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147673</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147673</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+'October 16'!O176</f>
        <v>1947</v>
      </c>
      <c r="P174" s="154">
        <f>+'October 16'!P176</f>
        <v>628</v>
      </c>
      <c r="Q174" s="111"/>
      <c r="R174" s="154">
        <f>O174+P174</f>
        <v>2575</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0</v>
      </c>
      <c r="P175" s="153">
        <v>5</v>
      </c>
      <c r="Q175" s="111"/>
      <c r="R175" s="154">
        <f>O175+P175</f>
        <v>5</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1947</v>
      </c>
      <c r="P176" s="154">
        <f>P175+P174</f>
        <v>633</v>
      </c>
      <c r="Q176" s="111"/>
      <c r="R176" s="154">
        <f>O176+P176</f>
        <v>2580</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25420</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5.3138297872340425</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3.81</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19.08235294117647</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24.46</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48.774193548387096</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64.53</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JANUARY 2017</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42766</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4.3977500000000003E-2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5.1920000000000001E-2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1.150600269427416E-2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4.0413997305725841E-2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1.2756457956840651E-2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16.14</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0.12790711408761796</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0.28799999999999998</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2</v>
      </c>
      <c r="P211" s="173">
        <f>+P263</f>
        <v>852</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6157</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'October 16'!P217+P216</f>
        <v>15</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999</v>
      </c>
      <c r="O230" s="81">
        <f>N230/$N$239</f>
        <v>0.9950199203187251</v>
      </c>
      <c r="P230" s="82">
        <f>+P242+P254+P266</f>
        <v>146592</v>
      </c>
      <c r="Q230" s="81">
        <f t="shared" ref="Q230:Q237" si="2">P230/$P$239</f>
        <v>0.99267977219938652</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9.9601593625498006E-4</v>
      </c>
      <c r="P231" s="154">
        <f>+P243+P255+P267</f>
        <v>63</v>
      </c>
      <c r="Q231" s="191">
        <f t="shared" si="2"/>
        <v>4.2661827145111156E-4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3</v>
      </c>
      <c r="O232" s="191">
        <f t="shared" si="3"/>
        <v>2.9880478087649402E-3</v>
      </c>
      <c r="P232" s="154">
        <f t="shared" ref="P232:P237" si="5">+P244+P256+P268</f>
        <v>259</v>
      </c>
      <c r="Q232" s="191">
        <f t="shared" si="2"/>
        <v>1.7538751159656809E-3</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1</v>
      </c>
      <c r="O237" s="191">
        <f t="shared" si="3"/>
        <v>9.9601593625498006E-4</v>
      </c>
      <c r="P237" s="194">
        <f t="shared" si="5"/>
        <v>759</v>
      </c>
      <c r="Q237" s="191">
        <f t="shared" si="2"/>
        <v>5.1397344131967251E-3</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1004</v>
      </c>
      <c r="O239" s="191">
        <f>SUM(O230:O238)</f>
        <v>1</v>
      </c>
      <c r="P239" s="154">
        <f>SUM(P230:P238)</f>
        <v>147673</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999</v>
      </c>
      <c r="O242" s="81">
        <f>N242/$N$251</f>
        <v>0.99700598802395213</v>
      </c>
      <c r="P242" s="82">
        <v>146592</v>
      </c>
      <c r="Q242" s="81">
        <f t="shared" ref="Q242:Q249" si="6">P242/$P$251</f>
        <v>0.99844027761696219</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1</v>
      </c>
      <c r="O243" s="191">
        <f t="shared" ref="O243:O249" si="7">N243/$N$251</f>
        <v>9.9800399201596798E-4</v>
      </c>
      <c r="P243" s="154">
        <v>63</v>
      </c>
      <c r="Q243" s="191">
        <f t="shared" si="6"/>
        <v>4.2909393070473568E-4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2</v>
      </c>
      <c r="O244" s="191">
        <f t="shared" si="7"/>
        <v>1.996007984031936E-3</v>
      </c>
      <c r="P244" s="154">
        <v>166</v>
      </c>
      <c r="Q244" s="191">
        <f t="shared" si="6"/>
        <v>1.1306284523331131E-3</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1002</v>
      </c>
      <c r="O251" s="191">
        <f>SUM(O242:O250)</f>
        <v>1</v>
      </c>
      <c r="P251" s="154">
        <f>SUM(P242:P250)</f>
        <v>146821</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1</v>
      </c>
      <c r="O256" s="191">
        <f>N256/N263</f>
        <v>0.5</v>
      </c>
      <c r="P256" s="154">
        <v>93</v>
      </c>
      <c r="Q256" s="191">
        <f>P256/P263</f>
        <v>0.10915492957746478</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1</v>
      </c>
      <c r="O261" s="191">
        <f>N261/N263</f>
        <v>0.5</v>
      </c>
      <c r="P261" s="154">
        <v>759</v>
      </c>
      <c r="Q261" s="191">
        <f>P261/P263</f>
        <v>0.89084507042253525</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2</v>
      </c>
      <c r="O263" s="191">
        <f>SUM(O254:O262)</f>
        <v>1</v>
      </c>
      <c r="P263" s="154">
        <f>SUM(P254:P262)</f>
        <v>852</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1004</v>
      </c>
      <c r="O277" s="191"/>
      <c r="P277" s="196">
        <f>+P275+P263+P251</f>
        <v>147673</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147673</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147673</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0.11850473787968854</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199</v>
      </c>
      <c r="C286" s="88"/>
      <c r="D286" s="91" t="s">
        <v>150</v>
      </c>
      <c r="E286" s="88"/>
      <c r="F286" s="88" t="s">
        <v>151</v>
      </c>
      <c r="G286" s="88"/>
      <c r="H286" s="88"/>
      <c r="I286" s="90"/>
      <c r="J286" s="90"/>
      <c r="K286" s="90"/>
      <c r="L286" s="90"/>
      <c r="M286" s="90"/>
      <c r="N286" s="90"/>
      <c r="O286" s="90"/>
      <c r="P286" s="90"/>
      <c r="Q286" s="90"/>
      <c r="R286" s="90"/>
      <c r="S286" s="228"/>
      <c r="T286" s="2"/>
    </row>
    <row r="287" spans="1:20" ht="15.75" x14ac:dyDescent="0.25">
      <c r="A287" s="87"/>
      <c r="B287" s="213" t="s">
        <v>200</v>
      </c>
      <c r="C287" s="88"/>
      <c r="D287" s="91" t="s">
        <v>115</v>
      </c>
      <c r="E287" s="88"/>
      <c r="F287" s="88" t="s">
        <v>118</v>
      </c>
      <c r="G287" s="88"/>
      <c r="H287" s="88"/>
      <c r="I287" s="90"/>
      <c r="J287" s="90"/>
      <c r="K287" s="90"/>
      <c r="L287" s="90"/>
      <c r="M287" s="90"/>
      <c r="N287" s="90"/>
      <c r="O287" s="90"/>
      <c r="P287" s="90"/>
      <c r="Q287" s="90"/>
      <c r="R287" s="90"/>
      <c r="S287" s="228"/>
      <c r="T287" s="2"/>
    </row>
    <row r="288" spans="1:20" ht="15.75" x14ac:dyDescent="0.25">
      <c r="A288" s="87"/>
      <c r="B288" s="88"/>
      <c r="C288" s="88"/>
      <c r="D288" s="90"/>
      <c r="E288" s="90"/>
      <c r="F288" s="90"/>
      <c r="G288" s="90"/>
      <c r="H288" s="90"/>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9.5" thickBot="1" x14ac:dyDescent="0.35">
      <c r="A290" s="87"/>
      <c r="B290" s="92" t="str">
        <f>B190</f>
        <v>PM20 INVESTOR REPORT QUARTER ENDING JANUARY 2017</v>
      </c>
      <c r="C290" s="88"/>
      <c r="D290" s="90"/>
      <c r="E290" s="90"/>
      <c r="F290" s="90"/>
      <c r="G290" s="90"/>
      <c r="H290" s="90"/>
      <c r="I290" s="90"/>
      <c r="J290" s="90"/>
      <c r="K290" s="90"/>
      <c r="L290" s="90"/>
      <c r="M290" s="90"/>
      <c r="N290" s="90"/>
      <c r="O290" s="90"/>
      <c r="P290" s="90"/>
      <c r="Q290" s="90"/>
      <c r="R290" s="90"/>
      <c r="S290" s="99"/>
      <c r="T290" s="2"/>
    </row>
    <row r="291" spans="1:20" x14ac:dyDescent="0.2">
      <c r="A291" s="3"/>
      <c r="B291" s="3"/>
      <c r="C291" s="3"/>
      <c r="D291" s="3"/>
      <c r="E291" s="3"/>
      <c r="F291" s="3"/>
      <c r="G291" s="3"/>
      <c r="H291" s="3"/>
      <c r="I291" s="3"/>
      <c r="J291" s="3"/>
      <c r="K291" s="3"/>
      <c r="L291" s="3"/>
      <c r="M291" s="3"/>
      <c r="N291" s="3"/>
      <c r="O291" s="3"/>
      <c r="P291" s="3"/>
      <c r="Q291" s="3"/>
      <c r="R291" s="3"/>
      <c r="S291"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1"/>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0.97430000000000005</v>
      </c>
      <c r="P16" s="229" t="s">
        <v>239</v>
      </c>
      <c r="Q16" s="229">
        <v>2.5700000000000001E-2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42873</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258</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116673.4206</v>
      </c>
      <c r="E29" s="128"/>
      <c r="F29" s="201">
        <f>F28*F32</f>
        <v>24000</v>
      </c>
      <c r="G29" s="201"/>
      <c r="H29" s="201">
        <f>H28*H32</f>
        <v>7000</v>
      </c>
      <c r="I29" s="124"/>
      <c r="J29" s="201"/>
      <c r="K29" s="124"/>
      <c r="L29" s="128"/>
      <c r="M29" s="124"/>
      <c r="N29" s="128"/>
      <c r="O29" s="124"/>
      <c r="P29" s="124"/>
      <c r="Q29" s="125"/>
      <c r="R29" s="124">
        <f>SUM(D29:J29)</f>
        <v>147673.42060000001</v>
      </c>
      <c r="S29" s="126"/>
      <c r="T29" s="2"/>
    </row>
    <row r="30" spans="1:23" ht="15.75" x14ac:dyDescent="0.25">
      <c r="A30" s="120"/>
      <c r="B30" s="119" t="s">
        <v>108</v>
      </c>
      <c r="C30" s="123"/>
      <c r="D30" s="202">
        <f>D31*D28</f>
        <v>103569.7938</v>
      </c>
      <c r="E30" s="202"/>
      <c r="F30" s="202">
        <f t="shared" ref="F30" si="0">F31*F28</f>
        <v>24000</v>
      </c>
      <c r="G30" s="202"/>
      <c r="H30" s="202">
        <f t="shared" ref="H30" si="1">H31*H28</f>
        <v>7000</v>
      </c>
      <c r="I30" s="202"/>
      <c r="J30" s="202"/>
      <c r="K30" s="129"/>
      <c r="L30" s="131"/>
      <c r="M30" s="129"/>
      <c r="N30" s="131"/>
      <c r="O30" s="124"/>
      <c r="P30" s="124"/>
      <c r="Q30" s="125"/>
      <c r="R30" s="203">
        <f>SUM(D30:J30)</f>
        <v>134569.79379999998</v>
      </c>
      <c r="S30" s="126"/>
      <c r="T30" s="2"/>
    </row>
    <row r="31" spans="1:23" ht="15.75" x14ac:dyDescent="0.25">
      <c r="A31" s="110"/>
      <c r="B31" s="132" t="s">
        <v>104</v>
      </c>
      <c r="C31" s="133"/>
      <c r="D31" s="134">
        <v>0.32467020000000002</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0.3657474</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1.03806E-2</v>
      </c>
      <c r="E34" s="141"/>
      <c r="F34" s="141">
        <v>1.35806E-2</v>
      </c>
      <c r="G34" s="141"/>
      <c r="H34" s="141">
        <v>1.7080600000000001E-2</v>
      </c>
      <c r="I34" s="141"/>
      <c r="J34" s="141"/>
      <c r="K34" s="141"/>
      <c r="L34" s="141"/>
      <c r="M34" s="140"/>
      <c r="N34" s="141"/>
      <c r="O34" s="121"/>
      <c r="P34" s="121"/>
      <c r="Q34" s="113"/>
      <c r="R34" s="140">
        <f>SUMPRODUCT(D34:J34,D29:J29)/R29</f>
        <v>1.1218259204326711E-2</v>
      </c>
      <c r="S34" s="114"/>
      <c r="T34" s="2"/>
    </row>
    <row r="35" spans="1:21" ht="15.75" x14ac:dyDescent="0.25">
      <c r="A35" s="110"/>
      <c r="B35" s="111" t="s">
        <v>10</v>
      </c>
      <c r="C35" s="142"/>
      <c r="D35" s="141">
        <v>1.0775E-2</v>
      </c>
      <c r="E35" s="141"/>
      <c r="F35" s="141">
        <v>1.39775E-2</v>
      </c>
      <c r="G35" s="141"/>
      <c r="H35" s="141">
        <v>1.74775E-2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0.2993150692166387</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42870</v>
      </c>
      <c r="S45" s="114"/>
      <c r="T45" s="2"/>
    </row>
    <row r="46" spans="1:21" ht="15.75" x14ac:dyDescent="0.25">
      <c r="A46" s="110"/>
      <c r="B46" s="111" t="s">
        <v>100</v>
      </c>
      <c r="C46" s="111"/>
      <c r="D46" s="148"/>
      <c r="E46" s="148"/>
      <c r="F46" s="148"/>
      <c r="G46" s="148"/>
      <c r="H46" s="148"/>
      <c r="I46" s="148"/>
      <c r="J46" s="148"/>
      <c r="K46" s="148"/>
      <c r="L46" s="148"/>
      <c r="M46" s="148"/>
      <c r="N46" s="111">
        <f>+R46-P46+1</f>
        <v>92</v>
      </c>
      <c r="O46" s="111"/>
      <c r="P46" s="149">
        <v>42689</v>
      </c>
      <c r="Q46" s="150"/>
      <c r="R46" s="149">
        <v>42780</v>
      </c>
      <c r="S46" s="114"/>
      <c r="T46" s="2"/>
    </row>
    <row r="47" spans="1:21" ht="15.75" x14ac:dyDescent="0.25">
      <c r="A47" s="110"/>
      <c r="B47" s="111" t="s">
        <v>101</v>
      </c>
      <c r="C47" s="111"/>
      <c r="D47" s="111"/>
      <c r="E47" s="111"/>
      <c r="F47" s="111"/>
      <c r="G47" s="111"/>
      <c r="H47" s="111"/>
      <c r="I47" s="111"/>
      <c r="J47" s="111"/>
      <c r="K47" s="111"/>
      <c r="L47" s="111"/>
      <c r="M47" s="111"/>
      <c r="N47" s="111">
        <f>+R47-P47+1</f>
        <v>89</v>
      </c>
      <c r="O47" s="111"/>
      <c r="P47" s="149">
        <v>42781</v>
      </c>
      <c r="Q47" s="150"/>
      <c r="R47" s="149">
        <v>42869</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42857</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257</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147673</v>
      </c>
      <c r="I56" s="153"/>
      <c r="J56" s="154">
        <f>150+6</f>
        <v>156</v>
      </c>
      <c r="K56" s="153"/>
      <c r="L56" s="153">
        <v>10014</v>
      </c>
      <c r="M56" s="153"/>
      <c r="N56" s="153">
        <v>0</v>
      </c>
      <c r="O56" s="153"/>
      <c r="P56" s="153">
        <f>1206+590+1137</f>
        <v>2933</v>
      </c>
      <c r="Q56" s="153"/>
      <c r="R56" s="154">
        <f>H56-J56-L56+N56-P56</f>
        <v>134570</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147673</v>
      </c>
      <c r="I59" s="153"/>
      <c r="J59" s="153">
        <f>J56+J57</f>
        <v>156</v>
      </c>
      <c r="K59" s="153"/>
      <c r="L59" s="153">
        <f>SUM(L56:L58)</f>
        <v>10014</v>
      </c>
      <c r="M59" s="153"/>
      <c r="N59" s="153">
        <f>SUM(N56:N58)</f>
        <v>0</v>
      </c>
      <c r="O59" s="153"/>
      <c r="P59" s="153">
        <f>SUM(P56:P58)</f>
        <v>2933</v>
      </c>
      <c r="Q59" s="153"/>
      <c r="R59" s="153">
        <f>SUM(R56:R58)</f>
        <v>134570</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0</v>
      </c>
      <c r="I70" s="153"/>
      <c r="J70" s="153">
        <v>0</v>
      </c>
      <c r="K70" s="153"/>
      <c r="L70" s="153"/>
      <c r="M70" s="153"/>
      <c r="N70" s="153">
        <v>0</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147673</v>
      </c>
      <c r="I72" s="153"/>
      <c r="J72" s="153"/>
      <c r="K72" s="153"/>
      <c r="L72" s="153"/>
      <c r="M72" s="153"/>
      <c r="N72" s="153"/>
      <c r="O72" s="153"/>
      <c r="P72" s="153"/>
      <c r="Q72" s="153"/>
      <c r="R72" s="153">
        <f>SUM(R59:R71)</f>
        <v>134570</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42853</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0</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f>
        <v>13103</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2413+24-636-8+9</f>
        <v>1802</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45</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14</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33</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13103</v>
      </c>
      <c r="Q89" s="111"/>
      <c r="R89" s="153">
        <f>SUM(R76:R88)</f>
        <v>1894</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13103</v>
      </c>
      <c r="Q92" s="111"/>
      <c r="R92" s="153">
        <f>R89+R90+R91</f>
        <v>1894</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259</v>
      </c>
      <c r="C96" s="111"/>
      <c r="D96" s="133"/>
      <c r="E96" s="133"/>
      <c r="F96" s="133"/>
      <c r="G96" s="133"/>
      <c r="H96" s="133"/>
      <c r="I96" s="133"/>
      <c r="J96" s="133"/>
      <c r="K96" s="133"/>
      <c r="L96" s="133"/>
      <c r="M96" s="133"/>
      <c r="N96" s="133"/>
      <c r="O96" s="133"/>
      <c r="P96" s="111"/>
      <c r="Q96" s="111"/>
      <c r="R96" s="154">
        <f>-54-19-3</f>
        <v>-76</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-20</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-295</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-79</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0</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-29</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-54</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-11-164</f>
        <v>-175</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-1138</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0</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f>-O175</f>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-13103</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-13103</v>
      </c>
      <c r="Q117" s="153"/>
      <c r="R117" s="153">
        <f>SUM(R93:R116)</f>
        <v>-1894</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APRIL 2017</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6672.9061860000002</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3827.0938139999998</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+'July 16'!R146</f>
        <v>0</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+'January 17'!R160</f>
        <v>202</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33</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169</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134570</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134570</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134570</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+'January 17'!O176</f>
        <v>1947</v>
      </c>
      <c r="P174" s="154">
        <f>+'January 17'!P176</f>
        <v>633</v>
      </c>
      <c r="Q174" s="111"/>
      <c r="R174" s="154">
        <f>O174+P174</f>
        <v>2580</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0</v>
      </c>
      <c r="P175" s="153">
        <v>0</v>
      </c>
      <c r="Q175" s="111"/>
      <c r="R175" s="154">
        <f>O175+P175</f>
        <v>0</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1947</v>
      </c>
      <c r="P176" s="154">
        <f>P175+P174</f>
        <v>633</v>
      </c>
      <c r="Q176" s="111"/>
      <c r="R176" s="154">
        <f>O176+P176</f>
        <v>2580</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25420</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6.0847457627118642</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3.88</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18.9873417721519</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24.04</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48.137931034482762</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63.26</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APRIL 2017</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42853</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4.3580599999999997E-2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5.1979999999999998E-2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1.1218259204326711E-2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4.0761740795673289E-2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1.2825635017911195E-2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15.83</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8.8729828743236747E-2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0.28999999999999998</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3</v>
      </c>
      <c r="P211" s="173">
        <f>+P263</f>
        <v>910</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2933</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'January 17'!P217+P216</f>
        <v>15</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898</v>
      </c>
      <c r="O230" s="81">
        <f>N230/$N$239</f>
        <v>0.99336283185840712</v>
      </c>
      <c r="P230" s="82">
        <f>+P242+P254+P266</f>
        <v>133196</v>
      </c>
      <c r="Q230" s="81">
        <f t="shared" ref="Q230:Q237" si="2">P230/$P$239</f>
        <v>0.9897897005276064</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1.1061946902654867E-3</v>
      </c>
      <c r="P231" s="154">
        <f>+P243+P255+P267</f>
        <v>62</v>
      </c>
      <c r="Q231" s="191">
        <f t="shared" si="2"/>
        <v>4.6072675930742364E-4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3</v>
      </c>
      <c r="O232" s="191">
        <f t="shared" si="3"/>
        <v>3.3185840707964601E-3</v>
      </c>
      <c r="P232" s="154">
        <f t="shared" ref="P232:P237" si="5">+P244+P256+P268</f>
        <v>459</v>
      </c>
      <c r="Q232" s="191">
        <f t="shared" si="2"/>
        <v>3.4108642342275397E-3</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1</v>
      </c>
      <c r="O235" s="191">
        <f t="shared" si="3"/>
        <v>1.1061946902654867E-3</v>
      </c>
      <c r="P235" s="154">
        <f t="shared" si="5"/>
        <v>93</v>
      </c>
      <c r="Q235" s="191">
        <f t="shared" si="2"/>
        <v>6.9109013896113546E-4</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1</v>
      </c>
      <c r="O237" s="191">
        <f t="shared" si="3"/>
        <v>1.1061946902654867E-3</v>
      </c>
      <c r="P237" s="194">
        <f t="shared" si="5"/>
        <v>760</v>
      </c>
      <c r="Q237" s="191">
        <f t="shared" si="2"/>
        <v>5.6476183398974514E-3</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904</v>
      </c>
      <c r="O239" s="191">
        <f>SUM(O230:O238)</f>
        <v>1</v>
      </c>
      <c r="P239" s="154">
        <f>SUM(P230:P238)</f>
        <v>134570</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898</v>
      </c>
      <c r="O242" s="81">
        <f>N242/$N$251</f>
        <v>0.99667036625971139</v>
      </c>
      <c r="P242" s="82">
        <v>133196</v>
      </c>
      <c r="Q242" s="81">
        <f t="shared" ref="Q242:Q249" si="6">P242/$P$251</f>
        <v>0.99652850516235225</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1</v>
      </c>
      <c r="O243" s="191">
        <f t="shared" ref="O243:O249" si="7">N243/$N$251</f>
        <v>1.1098779134295228E-3</v>
      </c>
      <c r="P243" s="154">
        <v>62</v>
      </c>
      <c r="Q243" s="191">
        <f t="shared" si="6"/>
        <v>4.6386353434086486E-4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2</v>
      </c>
      <c r="O244" s="191">
        <f t="shared" si="7"/>
        <v>2.2197558268590455E-3</v>
      </c>
      <c r="P244" s="154">
        <v>402</v>
      </c>
      <c r="Q244" s="191">
        <f t="shared" si="6"/>
        <v>3.007631303306898E-3</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901</v>
      </c>
      <c r="O251" s="191">
        <f>SUM(O242:O250)</f>
        <v>1</v>
      </c>
      <c r="P251" s="154">
        <f>SUM(P242:P250)</f>
        <v>133660</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1</v>
      </c>
      <c r="O256" s="191">
        <f>N256/N263</f>
        <v>0.33333333333333331</v>
      </c>
      <c r="P256" s="154">
        <v>57</v>
      </c>
      <c r="Q256" s="191">
        <f>P256/P263</f>
        <v>6.2637362637362637E-2</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1</v>
      </c>
      <c r="O259" s="191">
        <f>N259/N263</f>
        <v>0.33333333333333331</v>
      </c>
      <c r="P259" s="154">
        <v>93</v>
      </c>
      <c r="Q259" s="191">
        <f>P259/P263</f>
        <v>0.1021978021978022</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1</v>
      </c>
      <c r="O261" s="191">
        <f>N261/N263</f>
        <v>0.33333333333333331</v>
      </c>
      <c r="P261" s="154">
        <v>760</v>
      </c>
      <c r="Q261" s="191">
        <f>P261/P263</f>
        <v>0.8351648351648352</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3</v>
      </c>
      <c r="O263" s="191">
        <f>SUM(O254:O262)</f>
        <v>1</v>
      </c>
      <c r="P263" s="154">
        <f>SUM(P254:P262)</f>
        <v>910</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904</v>
      </c>
      <c r="O277" s="191"/>
      <c r="P277" s="196">
        <f>+P275+P263+P251</f>
        <v>134570</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134570</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134570</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0.13004404261783153</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199</v>
      </c>
      <c r="C286" s="88"/>
      <c r="D286" s="91" t="s">
        <v>150</v>
      </c>
      <c r="E286" s="88"/>
      <c r="F286" s="88" t="s">
        <v>151</v>
      </c>
      <c r="G286" s="88"/>
      <c r="H286" s="88"/>
      <c r="I286" s="90"/>
      <c r="J286" s="90"/>
      <c r="K286" s="90"/>
      <c r="L286" s="90"/>
      <c r="M286" s="90"/>
      <c r="N286" s="90"/>
      <c r="O286" s="90"/>
      <c r="P286" s="90"/>
      <c r="Q286" s="90"/>
      <c r="R286" s="90"/>
      <c r="S286" s="228"/>
      <c r="T286" s="2"/>
    </row>
    <row r="287" spans="1:20" ht="15.75" x14ac:dyDescent="0.25">
      <c r="A287" s="87"/>
      <c r="B287" s="213" t="s">
        <v>200</v>
      </c>
      <c r="C287" s="88"/>
      <c r="D287" s="91" t="s">
        <v>115</v>
      </c>
      <c r="E287" s="88"/>
      <c r="F287" s="88" t="s">
        <v>118</v>
      </c>
      <c r="G287" s="88"/>
      <c r="H287" s="88"/>
      <c r="I287" s="90"/>
      <c r="J287" s="90"/>
      <c r="K287" s="90"/>
      <c r="L287" s="90"/>
      <c r="M287" s="90"/>
      <c r="N287" s="90"/>
      <c r="O287" s="90"/>
      <c r="P287" s="90"/>
      <c r="Q287" s="90"/>
      <c r="R287" s="90"/>
      <c r="S287" s="228"/>
      <c r="T287" s="2"/>
    </row>
    <row r="288" spans="1:20" ht="15.75" x14ac:dyDescent="0.25">
      <c r="A288" s="87"/>
      <c r="B288" s="88"/>
      <c r="C288" s="88"/>
      <c r="D288" s="90"/>
      <c r="E288" s="90"/>
      <c r="F288" s="90"/>
      <c r="G288" s="90"/>
      <c r="H288" s="90"/>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9.5" thickBot="1" x14ac:dyDescent="0.35">
      <c r="A290" s="87"/>
      <c r="B290" s="92" t="str">
        <f>B190</f>
        <v>PM20 INVESTOR REPORT QUARTER ENDING APRIL 2017</v>
      </c>
      <c r="C290" s="88"/>
      <c r="D290" s="90"/>
      <c r="E290" s="90"/>
      <c r="F290" s="90"/>
      <c r="G290" s="90"/>
      <c r="H290" s="90"/>
      <c r="I290" s="90"/>
      <c r="J290" s="90"/>
      <c r="K290" s="90"/>
      <c r="L290" s="90"/>
      <c r="M290" s="90"/>
      <c r="N290" s="90"/>
      <c r="O290" s="90"/>
      <c r="P290" s="90"/>
      <c r="Q290" s="90"/>
      <c r="R290" s="90"/>
      <c r="S290" s="99"/>
      <c r="T290" s="2"/>
    </row>
    <row r="291" spans="1:20" x14ac:dyDescent="0.2">
      <c r="A291" s="3"/>
      <c r="B291" s="3"/>
      <c r="C291" s="3"/>
      <c r="D291" s="3"/>
      <c r="E291" s="3"/>
      <c r="F291" s="3"/>
      <c r="G291" s="3"/>
      <c r="H291" s="3"/>
      <c r="I291" s="3"/>
      <c r="J291" s="3"/>
      <c r="K291" s="3"/>
      <c r="L291" s="3"/>
      <c r="M291" s="3"/>
      <c r="N291" s="3"/>
      <c r="O291" s="3"/>
      <c r="P291" s="3"/>
      <c r="Q291" s="3"/>
      <c r="R291" s="3"/>
      <c r="S291"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1"/>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0.97099999999999997</v>
      </c>
      <c r="P16" s="229" t="s">
        <v>239</v>
      </c>
      <c r="Q16" s="229">
        <v>2.9000000000000001E-2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42965</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258</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103569.7938</v>
      </c>
      <c r="E29" s="128"/>
      <c r="F29" s="201">
        <f>F28*F32</f>
        <v>24000</v>
      </c>
      <c r="G29" s="201"/>
      <c r="H29" s="201">
        <f>H28*H32</f>
        <v>7000</v>
      </c>
      <c r="I29" s="124"/>
      <c r="J29" s="201"/>
      <c r="K29" s="124"/>
      <c r="L29" s="128"/>
      <c r="M29" s="124"/>
      <c r="N29" s="128"/>
      <c r="O29" s="124"/>
      <c r="P29" s="124"/>
      <c r="Q29" s="125"/>
      <c r="R29" s="124">
        <f>SUM(D29:J29)</f>
        <v>134569.79379999998</v>
      </c>
      <c r="S29" s="126"/>
      <c r="T29" s="2"/>
    </row>
    <row r="30" spans="1:23" ht="15.75" x14ac:dyDescent="0.25">
      <c r="A30" s="120"/>
      <c r="B30" s="119" t="s">
        <v>108</v>
      </c>
      <c r="C30" s="123"/>
      <c r="D30" s="202">
        <f>D31*D28</f>
        <v>86084.574399999998</v>
      </c>
      <c r="E30" s="202"/>
      <c r="F30" s="202">
        <f t="shared" ref="F30" si="0">F31*F28</f>
        <v>24000</v>
      </c>
      <c r="G30" s="202"/>
      <c r="H30" s="202">
        <f t="shared" ref="H30" si="1">H31*H28</f>
        <v>7000</v>
      </c>
      <c r="I30" s="202"/>
      <c r="J30" s="202"/>
      <c r="K30" s="129"/>
      <c r="L30" s="131"/>
      <c r="M30" s="129"/>
      <c r="N30" s="131"/>
      <c r="O30" s="124"/>
      <c r="P30" s="124"/>
      <c r="Q30" s="125"/>
      <c r="R30" s="203">
        <f>SUM(D30:J30)</f>
        <v>117084.5744</v>
      </c>
      <c r="S30" s="126"/>
      <c r="T30" s="2"/>
    </row>
    <row r="31" spans="1:23" ht="15.75" x14ac:dyDescent="0.25">
      <c r="A31" s="110"/>
      <c r="B31" s="132" t="s">
        <v>104</v>
      </c>
      <c r="C31" s="133"/>
      <c r="D31" s="134">
        <v>0.26985759999999998</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0.32467020000000002</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9.9524999999999995E-3</v>
      </c>
      <c r="E34" s="141"/>
      <c r="F34" s="141">
        <v>1.3152499999999999E-2</v>
      </c>
      <c r="G34" s="141"/>
      <c r="H34" s="141">
        <v>1.6652500000000001E-2</v>
      </c>
      <c r="I34" s="141"/>
      <c r="J34" s="141"/>
      <c r="K34" s="141"/>
      <c r="L34" s="141"/>
      <c r="M34" s="140"/>
      <c r="N34" s="141"/>
      <c r="O34" s="121"/>
      <c r="P34" s="121"/>
      <c r="Q34" s="113"/>
      <c r="R34" s="140">
        <f>SUMPRODUCT(D34:J34,D29:J29)/R29</f>
        <v>1.0871725604104331E-2</v>
      </c>
      <c r="S34" s="114"/>
      <c r="T34" s="2"/>
    </row>
    <row r="35" spans="1:21" ht="15.75" x14ac:dyDescent="0.25">
      <c r="A35" s="110"/>
      <c r="B35" s="111" t="s">
        <v>10</v>
      </c>
      <c r="C35" s="142"/>
      <c r="D35" s="141">
        <v>1.03806E-2</v>
      </c>
      <c r="E35" s="141"/>
      <c r="F35" s="141">
        <v>1.35806E-2</v>
      </c>
      <c r="G35" s="141"/>
      <c r="H35" s="141">
        <v>1.7080600000000001E-2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0.36011097477180537</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42962</v>
      </c>
      <c r="S45" s="114"/>
      <c r="T45" s="2"/>
    </row>
    <row r="46" spans="1:21" ht="15.75" x14ac:dyDescent="0.25">
      <c r="A46" s="110"/>
      <c r="B46" s="111" t="s">
        <v>100</v>
      </c>
      <c r="C46" s="111"/>
      <c r="D46" s="148"/>
      <c r="E46" s="148"/>
      <c r="F46" s="148"/>
      <c r="G46" s="148"/>
      <c r="H46" s="148"/>
      <c r="I46" s="148"/>
      <c r="J46" s="148"/>
      <c r="K46" s="148"/>
      <c r="L46" s="148"/>
      <c r="M46" s="148"/>
      <c r="N46" s="111">
        <f>+R46-P46+1</f>
        <v>89</v>
      </c>
      <c r="O46" s="111"/>
      <c r="P46" s="149">
        <v>42781</v>
      </c>
      <c r="Q46" s="150"/>
      <c r="R46" s="149">
        <v>42869</v>
      </c>
      <c r="S46" s="114"/>
      <c r="T46" s="2"/>
    </row>
    <row r="47" spans="1:21" ht="15.75" x14ac:dyDescent="0.25">
      <c r="A47" s="110"/>
      <c r="B47" s="111" t="s">
        <v>101</v>
      </c>
      <c r="C47" s="111"/>
      <c r="D47" s="111"/>
      <c r="E47" s="111"/>
      <c r="F47" s="111"/>
      <c r="G47" s="111"/>
      <c r="H47" s="111"/>
      <c r="I47" s="111"/>
      <c r="J47" s="111"/>
      <c r="K47" s="111"/>
      <c r="L47" s="111"/>
      <c r="M47" s="111"/>
      <c r="N47" s="111">
        <f>+R47-P47+1</f>
        <v>92</v>
      </c>
      <c r="O47" s="111"/>
      <c r="P47" s="149">
        <v>42870</v>
      </c>
      <c r="Q47" s="150"/>
      <c r="R47" s="149">
        <v>42961</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42948</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260</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134570</v>
      </c>
      <c r="I56" s="153"/>
      <c r="J56" s="154">
        <f>140+6</f>
        <v>146</v>
      </c>
      <c r="K56" s="153"/>
      <c r="L56" s="153">
        <v>9127</v>
      </c>
      <c r="M56" s="153"/>
      <c r="N56" s="153">
        <v>0</v>
      </c>
      <c r="O56" s="153"/>
      <c r="P56" s="153">
        <f>3043+1464+3705</f>
        <v>8212</v>
      </c>
      <c r="Q56" s="153"/>
      <c r="R56" s="154">
        <f>H56-J56-L56+N56-P56</f>
        <v>117085</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134570</v>
      </c>
      <c r="I59" s="153"/>
      <c r="J59" s="153">
        <f>J56+J57</f>
        <v>146</v>
      </c>
      <c r="K59" s="153"/>
      <c r="L59" s="153">
        <f>SUM(L56:L58)</f>
        <v>9127</v>
      </c>
      <c r="M59" s="153"/>
      <c r="N59" s="153">
        <f>SUM(N56:N58)</f>
        <v>0</v>
      </c>
      <c r="O59" s="153"/>
      <c r="P59" s="153">
        <f>SUM(P56:P58)</f>
        <v>8212</v>
      </c>
      <c r="Q59" s="153"/>
      <c r="R59" s="153">
        <f>SUM(R56:R58)</f>
        <v>117085</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0</v>
      </c>
      <c r="I70" s="153"/>
      <c r="J70" s="153">
        <v>0</v>
      </c>
      <c r="K70" s="153"/>
      <c r="L70" s="153"/>
      <c r="M70" s="153"/>
      <c r="N70" s="153">
        <v>0</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134570</v>
      </c>
      <c r="I72" s="153"/>
      <c r="J72" s="153"/>
      <c r="K72" s="153"/>
      <c r="L72" s="153"/>
      <c r="M72" s="153"/>
      <c r="N72" s="153"/>
      <c r="O72" s="153"/>
      <c r="P72" s="153"/>
      <c r="Q72" s="153"/>
      <c r="R72" s="153">
        <f>SUM(R59:R71)</f>
        <v>117085</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42947</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0</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+J56+L56+P56-461</f>
        <v>17024</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1881+24+9-276-7</f>
        <v>1631</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277</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11</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34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17024</v>
      </c>
      <c r="Q89" s="111"/>
      <c r="R89" s="153">
        <f>SUM(R76:R88)</f>
        <v>1953</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17024</v>
      </c>
      <c r="Q92" s="111"/>
      <c r="R92" s="153">
        <f>R89+R90+R91</f>
        <v>1953</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259</v>
      </c>
      <c r="C96" s="111"/>
      <c r="D96" s="133"/>
      <c r="E96" s="133"/>
      <c r="F96" s="133"/>
      <c r="G96" s="133"/>
      <c r="H96" s="133"/>
      <c r="I96" s="133"/>
      <c r="J96" s="133"/>
      <c r="K96" s="133"/>
      <c r="L96" s="133"/>
      <c r="M96" s="133"/>
      <c r="N96" s="133"/>
      <c r="O96" s="133"/>
      <c r="P96" s="111"/>
      <c r="Q96" s="111"/>
      <c r="R96" s="154">
        <f>-51-50-3</f>
        <v>-104</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-19</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-260</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-80</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0</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461</v>
      </c>
      <c r="Q101" s="111"/>
      <c r="R101" s="154">
        <v>-461</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-29</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-51</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-10-164</f>
        <v>-174</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-747</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0</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f>-O175</f>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-17485</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-17485</v>
      </c>
      <c r="Q117" s="153"/>
      <c r="R117" s="153">
        <f>SUM(R93:R116)</f>
        <v>-1953</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JULY 2017</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7197.4627680000003</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3302.5372319999997</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+'July 16'!R146</f>
        <v>0</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461</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461</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-461</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'April 17'!R160</f>
        <v>169</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34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135</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117085</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117085</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117085</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+'April 17'!O176</f>
        <v>1947</v>
      </c>
      <c r="P174" s="154">
        <f>+'April 17'!P176</f>
        <v>633</v>
      </c>
      <c r="Q174" s="111"/>
      <c r="R174" s="154">
        <f>O174+P174</f>
        <v>2580</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0</v>
      </c>
      <c r="P175" s="153">
        <v>0</v>
      </c>
      <c r="Q175" s="111"/>
      <c r="R175" s="154">
        <f>O175+P175</f>
        <v>0</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1947</v>
      </c>
      <c r="P176" s="154">
        <f>P175+P174</f>
        <v>633</v>
      </c>
      <c r="Q176" s="111"/>
      <c r="R176" s="154">
        <f>O176+P176</f>
        <v>2580</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25420</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7.0269230769230768</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3.98</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19.587499999999999</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23.72</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34.517241379310342</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61.18</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JULY 2017</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42947</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4.3152500000000003E-2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5.1909999999999998E-2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1.0871725604104331E-2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4.1038274395895663E-2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1.4512892918183844E-2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15.54</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0.12993237720145648</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0.3024</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93</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8212</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461</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'April 17'!P217+P216</f>
        <v>476</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2</v>
      </c>
      <c r="P223" s="173">
        <v>1057</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8.39</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799</v>
      </c>
      <c r="O230" s="81">
        <f>N230/$N$239</f>
        <v>0.99254658385093164</v>
      </c>
      <c r="P230" s="82">
        <f>+P242+P254+P266</f>
        <v>116625</v>
      </c>
      <c r="Q230" s="81">
        <f t="shared" ref="Q230:Q237" si="2">P230/$P$239</f>
        <v>0.99607123030277145</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4</v>
      </c>
      <c r="O231" s="191">
        <f t="shared" ref="O231:O237" si="3">N231/$N$239</f>
        <v>4.9689440993788822E-3</v>
      </c>
      <c r="P231" s="154">
        <f>+P243+P255+P267</f>
        <v>258</v>
      </c>
      <c r="Q231" s="191">
        <f t="shared" si="2"/>
        <v>2.2035273519238159E-3</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1.2422360248447205E-3</v>
      </c>
      <c r="P232" s="154">
        <f t="shared" ref="P232:P237" si="5">+P244+P256+P268</f>
        <v>109</v>
      </c>
      <c r="Q232" s="191">
        <f t="shared" si="2"/>
        <v>9.3094760216936418E-4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1</v>
      </c>
      <c r="O236" s="191">
        <f t="shared" si="3"/>
        <v>1.2422360248447205E-3</v>
      </c>
      <c r="P236" s="154">
        <f t="shared" si="5"/>
        <v>93</v>
      </c>
      <c r="Q236" s="191">
        <f t="shared" si="2"/>
        <v>7.9429474313532907E-4</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805</v>
      </c>
      <c r="O239" s="191">
        <f>SUM(O230:O238)</f>
        <v>1</v>
      </c>
      <c r="P239" s="154">
        <f>SUM(P230:P238)</f>
        <v>117085</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799</v>
      </c>
      <c r="O242" s="81">
        <f>N242/$N$251</f>
        <v>0.99378109452736318</v>
      </c>
      <c r="P242" s="82">
        <v>116625</v>
      </c>
      <c r="Q242" s="81">
        <f t="shared" ref="Q242:Q249" si="6">P242/$P$251</f>
        <v>0.99686303336980309</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4</v>
      </c>
      <c r="O243" s="191">
        <f t="shared" ref="O243:O249" si="7">N243/$N$251</f>
        <v>4.9751243781094526E-3</v>
      </c>
      <c r="P243" s="154">
        <v>258</v>
      </c>
      <c r="Q243" s="191">
        <f t="shared" si="6"/>
        <v>2.2052789934354487E-3</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1.2437810945273632E-3</v>
      </c>
      <c r="P244" s="154">
        <v>109</v>
      </c>
      <c r="Q244" s="191">
        <f t="shared" si="6"/>
        <v>9.3168763676148799E-4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804</v>
      </c>
      <c r="O251" s="191">
        <f>SUM(O242:O250)</f>
        <v>1</v>
      </c>
      <c r="P251" s="154">
        <f>SUM(P242:P250)</f>
        <v>116992</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f>N259/N263</f>
        <v>0</v>
      </c>
      <c r="P259" s="154">
        <v>0</v>
      </c>
      <c r="Q259" s="191">
        <f>P259/P263</f>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1</v>
      </c>
      <c r="O260" s="191">
        <f>N260/N263</f>
        <v>1</v>
      </c>
      <c r="P260" s="154">
        <v>93</v>
      </c>
      <c r="Q260" s="191">
        <f>P260/P263</f>
        <v>1</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f>N261/N263</f>
        <v>0</v>
      </c>
      <c r="P261" s="154">
        <v>0</v>
      </c>
      <c r="Q261" s="191">
        <f>P261/P263</f>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93</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805</v>
      </c>
      <c r="O277" s="191"/>
      <c r="P277" s="196">
        <f>+P275+P263+P251</f>
        <v>117085</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117085</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117085</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0.14946460786725121</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199</v>
      </c>
      <c r="C286" s="88"/>
      <c r="D286" s="91" t="s">
        <v>150</v>
      </c>
      <c r="E286" s="88"/>
      <c r="F286" s="88" t="s">
        <v>151</v>
      </c>
      <c r="G286" s="88"/>
      <c r="H286" s="88"/>
      <c r="I286" s="90"/>
      <c r="J286" s="90"/>
      <c r="K286" s="90"/>
      <c r="L286" s="90"/>
      <c r="M286" s="90"/>
      <c r="N286" s="90"/>
      <c r="O286" s="90"/>
      <c r="P286" s="90"/>
      <c r="Q286" s="90"/>
      <c r="R286" s="90"/>
      <c r="S286" s="228"/>
      <c r="T286" s="2"/>
    </row>
    <row r="287" spans="1:20" ht="15.75" x14ac:dyDescent="0.25">
      <c r="A287" s="87"/>
      <c r="B287" s="213" t="s">
        <v>200</v>
      </c>
      <c r="C287" s="88"/>
      <c r="D287" s="91" t="s">
        <v>115</v>
      </c>
      <c r="E287" s="88"/>
      <c r="F287" s="88" t="s">
        <v>118</v>
      </c>
      <c r="G287" s="88"/>
      <c r="H287" s="88"/>
      <c r="I287" s="90"/>
      <c r="J287" s="90"/>
      <c r="K287" s="90"/>
      <c r="L287" s="90"/>
      <c r="M287" s="90"/>
      <c r="N287" s="90"/>
      <c r="O287" s="90"/>
      <c r="P287" s="90"/>
      <c r="Q287" s="90"/>
      <c r="R287" s="90"/>
      <c r="S287" s="228"/>
      <c r="T287" s="2"/>
    </row>
    <row r="288" spans="1:20" ht="15.75" x14ac:dyDescent="0.25">
      <c r="A288" s="87"/>
      <c r="B288" s="88"/>
      <c r="C288" s="88"/>
      <c r="D288" s="90"/>
      <c r="E288" s="90"/>
      <c r="F288" s="90"/>
      <c r="G288" s="90"/>
      <c r="H288" s="90"/>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9.5" thickBot="1" x14ac:dyDescent="0.35">
      <c r="A290" s="87"/>
      <c r="B290" s="92" t="str">
        <f>B190</f>
        <v>PM20 INVESTOR REPORT QUARTER ENDING JULY 2017</v>
      </c>
      <c r="C290" s="88"/>
      <c r="D290" s="90"/>
      <c r="E290" s="90"/>
      <c r="F290" s="90"/>
      <c r="G290" s="90"/>
      <c r="H290" s="90"/>
      <c r="I290" s="90"/>
      <c r="J290" s="90"/>
      <c r="K290" s="90"/>
      <c r="L290" s="90"/>
      <c r="M290" s="90"/>
      <c r="N290" s="90"/>
      <c r="O290" s="90"/>
      <c r="P290" s="90"/>
      <c r="Q290" s="90"/>
      <c r="R290" s="90"/>
      <c r="S290" s="99"/>
      <c r="T290" s="2"/>
    </row>
    <row r="291" spans="1:20" x14ac:dyDescent="0.2">
      <c r="A291" s="3"/>
      <c r="B291" s="3"/>
      <c r="C291" s="3"/>
      <c r="D291" s="3"/>
      <c r="E291" s="3"/>
      <c r="F291" s="3"/>
      <c r="G291" s="3"/>
      <c r="H291" s="3"/>
      <c r="I291" s="3"/>
      <c r="J291" s="3"/>
      <c r="K291" s="3"/>
      <c r="L291" s="3"/>
      <c r="M291" s="3"/>
      <c r="N291" s="3"/>
      <c r="O291" s="3"/>
      <c r="P291" s="3"/>
      <c r="Q291" s="3"/>
      <c r="R291" s="3"/>
      <c r="S291"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1"/>
  <sheetViews>
    <sheetView showGridLines="0" showOutlineSymbols="0" zoomScale="70" zoomScaleNormal="70" workbookViewId="0"/>
  </sheetViews>
  <sheetFormatPr defaultColWidth="9.6640625" defaultRowHeight="15.75" x14ac:dyDescent="0.25"/>
  <cols>
    <col min="1" max="1" width="4" style="245" customWidth="1"/>
    <col min="2" max="2" width="71.21875" style="245" customWidth="1"/>
    <col min="3" max="3" width="2.21875" style="245" customWidth="1"/>
    <col min="4" max="4" width="16.21875" style="245" customWidth="1"/>
    <col min="5" max="5" width="2.88671875" style="245" customWidth="1"/>
    <col min="6" max="6" width="16.21875" style="245" customWidth="1"/>
    <col min="7" max="7" width="2.21875" style="245" customWidth="1"/>
    <col min="8" max="8" width="17.88671875" style="245" customWidth="1"/>
    <col min="9" max="9" width="2.33203125" style="245" customWidth="1"/>
    <col min="10" max="10" width="14.88671875" style="245" customWidth="1"/>
    <col min="11" max="11" width="2.33203125" style="245" customWidth="1"/>
    <col min="12" max="12" width="15.5546875" style="245" customWidth="1"/>
    <col min="13" max="13" width="2.21875" style="245" customWidth="1"/>
    <col min="14" max="14" width="15.5546875" style="245" customWidth="1"/>
    <col min="15" max="16" width="12.6640625" style="245" customWidth="1"/>
    <col min="17" max="17" width="7.77734375" style="245" customWidth="1"/>
    <col min="18" max="18" width="14.6640625" style="245" customWidth="1"/>
    <col min="19" max="19" width="11.77734375" style="245" customWidth="1"/>
    <col min="20" max="16384" width="9.6640625" style="245"/>
  </cols>
  <sheetData>
    <row r="1" spans="1:20" ht="21" x14ac:dyDescent="0.35">
      <c r="A1" s="240"/>
      <c r="B1" s="241" t="s">
        <v>208</v>
      </c>
      <c r="C1" s="242"/>
      <c r="D1" s="242"/>
      <c r="E1" s="242"/>
      <c r="F1" s="242"/>
      <c r="G1" s="242"/>
      <c r="H1" s="242"/>
      <c r="I1" s="242"/>
      <c r="J1" s="242"/>
      <c r="K1" s="242"/>
      <c r="L1" s="242"/>
      <c r="M1" s="242"/>
      <c r="N1" s="242"/>
      <c r="O1" s="242"/>
      <c r="P1" s="242"/>
      <c r="Q1" s="242"/>
      <c r="R1" s="242"/>
      <c r="S1" s="243"/>
      <c r="T1" s="244"/>
    </row>
    <row r="2" spans="1:20" x14ac:dyDescent="0.25">
      <c r="A2" s="246"/>
      <c r="B2" s="247"/>
      <c r="C2" s="248"/>
      <c r="D2" s="248"/>
      <c r="E2" s="248"/>
      <c r="F2" s="248"/>
      <c r="G2" s="248"/>
      <c r="H2" s="248"/>
      <c r="I2" s="248"/>
      <c r="J2" s="248"/>
      <c r="K2" s="248"/>
      <c r="L2" s="248"/>
      <c r="M2" s="248"/>
      <c r="N2" s="248"/>
      <c r="O2" s="248"/>
      <c r="P2" s="248"/>
      <c r="Q2" s="248"/>
      <c r="R2" s="248"/>
      <c r="S2" s="249"/>
      <c r="T2" s="244"/>
    </row>
    <row r="3" spans="1:20" x14ac:dyDescent="0.25">
      <c r="A3" s="250"/>
      <c r="B3" s="251" t="s">
        <v>209</v>
      </c>
      <c r="C3" s="248"/>
      <c r="D3" s="248"/>
      <c r="E3" s="248"/>
      <c r="F3" s="248"/>
      <c r="G3" s="248"/>
      <c r="H3" s="248"/>
      <c r="I3" s="248"/>
      <c r="J3" s="248"/>
      <c r="K3" s="248"/>
      <c r="L3" s="248"/>
      <c r="M3" s="248"/>
      <c r="N3" s="248"/>
      <c r="O3" s="248"/>
      <c r="P3" s="248"/>
      <c r="Q3" s="248"/>
      <c r="R3" s="248"/>
      <c r="S3" s="249"/>
      <c r="T3" s="244"/>
    </row>
    <row r="4" spans="1:20" x14ac:dyDescent="0.25">
      <c r="A4" s="246"/>
      <c r="B4" s="247"/>
      <c r="C4" s="248"/>
      <c r="D4" s="248"/>
      <c r="E4" s="248"/>
      <c r="F4" s="248"/>
      <c r="G4" s="248"/>
      <c r="H4" s="248"/>
      <c r="I4" s="248"/>
      <c r="J4" s="248"/>
      <c r="K4" s="248"/>
      <c r="L4" s="248"/>
      <c r="M4" s="248"/>
      <c r="N4" s="248"/>
      <c r="O4" s="248"/>
      <c r="P4" s="248"/>
      <c r="Q4" s="248"/>
      <c r="R4" s="248"/>
      <c r="S4" s="249"/>
      <c r="T4" s="244"/>
    </row>
    <row r="5" spans="1:20" x14ac:dyDescent="0.25">
      <c r="A5" s="246"/>
      <c r="B5" s="252" t="s">
        <v>110</v>
      </c>
      <c r="C5" s="248"/>
      <c r="D5" s="248"/>
      <c r="E5" s="248"/>
      <c r="F5" s="248"/>
      <c r="G5" s="248"/>
      <c r="H5" s="248"/>
      <c r="I5" s="248"/>
      <c r="J5" s="248"/>
      <c r="K5" s="248"/>
      <c r="L5" s="248"/>
      <c r="M5" s="248"/>
      <c r="N5" s="248"/>
      <c r="O5" s="248"/>
      <c r="P5" s="248"/>
      <c r="Q5" s="248"/>
      <c r="R5" s="248"/>
      <c r="S5" s="249"/>
      <c r="T5" s="244"/>
    </row>
    <row r="6" spans="1:20" x14ac:dyDescent="0.25">
      <c r="A6" s="246"/>
      <c r="B6" s="252" t="s">
        <v>112</v>
      </c>
      <c r="C6" s="248"/>
      <c r="D6" s="248"/>
      <c r="E6" s="248"/>
      <c r="F6" s="248"/>
      <c r="G6" s="248"/>
      <c r="H6" s="248"/>
      <c r="I6" s="248"/>
      <c r="J6" s="248"/>
      <c r="K6" s="248"/>
      <c r="L6" s="248"/>
      <c r="M6" s="248"/>
      <c r="N6" s="248"/>
      <c r="O6" s="248"/>
      <c r="P6" s="248"/>
      <c r="Q6" s="248"/>
      <c r="R6" s="248"/>
      <c r="S6" s="249"/>
      <c r="T6" s="244"/>
    </row>
    <row r="7" spans="1:20" x14ac:dyDescent="0.25">
      <c r="A7" s="246"/>
      <c r="B7" s="252" t="s">
        <v>111</v>
      </c>
      <c r="C7" s="248"/>
      <c r="D7" s="248"/>
      <c r="E7" s="248"/>
      <c r="F7" s="248"/>
      <c r="G7" s="248"/>
      <c r="H7" s="248"/>
      <c r="I7" s="248"/>
      <c r="J7" s="248"/>
      <c r="K7" s="248"/>
      <c r="L7" s="248"/>
      <c r="M7" s="248"/>
      <c r="N7" s="248"/>
      <c r="O7" s="248"/>
      <c r="P7" s="248"/>
      <c r="Q7" s="248"/>
      <c r="R7" s="248"/>
      <c r="S7" s="249"/>
      <c r="T7" s="244"/>
    </row>
    <row r="8" spans="1:20" x14ac:dyDescent="0.25">
      <c r="A8" s="246"/>
      <c r="B8" s="253"/>
      <c r="C8" s="248"/>
      <c r="D8" s="248"/>
      <c r="E8" s="248"/>
      <c r="F8" s="248"/>
      <c r="G8" s="248"/>
      <c r="H8" s="248"/>
      <c r="I8" s="248"/>
      <c r="J8" s="248"/>
      <c r="K8" s="248"/>
      <c r="L8" s="248"/>
      <c r="M8" s="248"/>
      <c r="N8" s="248"/>
      <c r="O8" s="248"/>
      <c r="P8" s="248"/>
      <c r="Q8" s="248"/>
      <c r="R8" s="248"/>
      <c r="S8" s="249"/>
      <c r="T8" s="244"/>
    </row>
    <row r="9" spans="1:20" ht="18.75" x14ac:dyDescent="0.3">
      <c r="A9" s="246"/>
      <c r="B9" s="254" t="s">
        <v>128</v>
      </c>
      <c r="C9" s="248"/>
      <c r="D9" s="248"/>
      <c r="E9" s="255"/>
      <c r="F9" s="248"/>
      <c r="G9" s="248"/>
      <c r="H9" s="255"/>
      <c r="I9" s="248"/>
      <c r="J9" s="255"/>
      <c r="K9" s="238" t="s">
        <v>261</v>
      </c>
      <c r="L9" s="255"/>
      <c r="M9" s="248"/>
      <c r="N9" s="248"/>
      <c r="O9" s="248"/>
      <c r="P9" s="248"/>
      <c r="Q9" s="248"/>
      <c r="R9" s="248"/>
      <c r="S9" s="249"/>
      <c r="T9" s="244"/>
    </row>
    <row r="10" spans="1:20" x14ac:dyDescent="0.25">
      <c r="A10" s="246"/>
      <c r="B10" s="253"/>
      <c r="C10" s="256"/>
      <c r="D10" s="248"/>
      <c r="E10" s="248"/>
      <c r="F10" s="248"/>
      <c r="G10" s="248"/>
      <c r="H10" s="248"/>
      <c r="I10" s="248"/>
      <c r="J10" s="248"/>
      <c r="K10" s="248"/>
      <c r="L10" s="248"/>
      <c r="M10" s="248"/>
      <c r="N10" s="248"/>
      <c r="O10" s="248"/>
      <c r="P10" s="248"/>
      <c r="Q10" s="248"/>
      <c r="R10" s="248"/>
      <c r="S10" s="249"/>
      <c r="T10" s="244"/>
    </row>
    <row r="11" spans="1:20" x14ac:dyDescent="0.25">
      <c r="A11" s="246"/>
      <c r="B11" s="257" t="s">
        <v>0</v>
      </c>
      <c r="C11" s="248"/>
      <c r="D11" s="248"/>
      <c r="E11" s="248"/>
      <c r="F11" s="248"/>
      <c r="G11" s="248"/>
      <c r="H11" s="248"/>
      <c r="I11" s="248"/>
      <c r="J11" s="248"/>
      <c r="K11" s="248"/>
      <c r="L11" s="248"/>
      <c r="M11" s="248"/>
      <c r="N11" s="248"/>
      <c r="O11" s="248"/>
      <c r="P11" s="248"/>
      <c r="Q11" s="248"/>
      <c r="R11" s="248"/>
      <c r="S11" s="249"/>
      <c r="T11" s="244"/>
    </row>
    <row r="12" spans="1:20" ht="16.5" thickBot="1" x14ac:dyDescent="0.3">
      <c r="A12" s="246"/>
      <c r="B12" s="256"/>
      <c r="C12" s="248"/>
      <c r="D12" s="248"/>
      <c r="E12" s="248"/>
      <c r="F12" s="248"/>
      <c r="G12" s="248"/>
      <c r="H12" s="248"/>
      <c r="I12" s="248"/>
      <c r="J12" s="248"/>
      <c r="K12" s="248"/>
      <c r="L12" s="248"/>
      <c r="M12" s="248"/>
      <c r="N12" s="248"/>
      <c r="O12" s="248"/>
      <c r="P12" s="248"/>
      <c r="Q12" s="248"/>
      <c r="R12" s="248"/>
      <c r="S12" s="249"/>
      <c r="T12" s="244"/>
    </row>
    <row r="13" spans="1:20" x14ac:dyDescent="0.25">
      <c r="A13" s="240"/>
      <c r="B13" s="242"/>
      <c r="C13" s="242"/>
      <c r="D13" s="242"/>
      <c r="E13" s="242"/>
      <c r="F13" s="242"/>
      <c r="G13" s="242"/>
      <c r="H13" s="242"/>
      <c r="I13" s="242"/>
      <c r="J13" s="242"/>
      <c r="K13" s="242"/>
      <c r="L13" s="242"/>
      <c r="M13" s="242"/>
      <c r="N13" s="242"/>
      <c r="O13" s="242"/>
      <c r="P13" s="242"/>
      <c r="Q13" s="242"/>
      <c r="R13" s="242"/>
      <c r="S13" s="243"/>
      <c r="T13" s="244"/>
    </row>
    <row r="14" spans="1:20" s="263" customFormat="1" x14ac:dyDescent="0.25">
      <c r="A14" s="258"/>
      <c r="B14" s="257" t="s">
        <v>1</v>
      </c>
      <c r="C14" s="259"/>
      <c r="D14" s="259"/>
      <c r="E14" s="259"/>
      <c r="F14" s="259"/>
      <c r="G14" s="259"/>
      <c r="H14" s="259"/>
      <c r="I14" s="259"/>
      <c r="J14" s="259"/>
      <c r="K14" s="259"/>
      <c r="L14" s="259"/>
      <c r="M14" s="259"/>
      <c r="N14" s="259"/>
      <c r="O14" s="259"/>
      <c r="P14" s="259"/>
      <c r="Q14" s="259"/>
      <c r="R14" s="260" t="s">
        <v>210</v>
      </c>
      <c r="S14" s="261"/>
      <c r="T14" s="262"/>
    </row>
    <row r="15" spans="1:20" s="263" customFormat="1" x14ac:dyDescent="0.25">
      <c r="A15" s="258"/>
      <c r="B15" s="257" t="s">
        <v>2</v>
      </c>
      <c r="C15" s="259"/>
      <c r="D15" s="264"/>
      <c r="E15" s="264"/>
      <c r="F15" s="264"/>
      <c r="G15" s="264"/>
      <c r="H15" s="264"/>
      <c r="I15" s="264"/>
      <c r="J15" s="264"/>
      <c r="K15" s="264"/>
      <c r="L15" s="264"/>
      <c r="M15" s="264"/>
      <c r="N15" s="265" t="s">
        <v>159</v>
      </c>
      <c r="O15" s="265">
        <v>0.98799999999999999</v>
      </c>
      <c r="P15" s="265" t="s">
        <v>239</v>
      </c>
      <c r="Q15" s="265">
        <v>1.2E-2</v>
      </c>
      <c r="R15" s="260"/>
      <c r="S15" s="261"/>
      <c r="T15" s="262"/>
    </row>
    <row r="16" spans="1:20" s="263" customFormat="1" x14ac:dyDescent="0.25">
      <c r="A16" s="258"/>
      <c r="B16" s="257" t="s">
        <v>3</v>
      </c>
      <c r="C16" s="259"/>
      <c r="D16" s="264"/>
      <c r="E16" s="264"/>
      <c r="F16" s="264"/>
      <c r="G16" s="264"/>
      <c r="H16" s="264"/>
      <c r="I16" s="264"/>
      <c r="J16" s="264"/>
      <c r="K16" s="264"/>
      <c r="L16" s="264"/>
      <c r="M16" s="264"/>
      <c r="N16" s="265" t="s">
        <v>159</v>
      </c>
      <c r="O16" s="265">
        <v>0.96899999999999997</v>
      </c>
      <c r="P16" s="265" t="s">
        <v>239</v>
      </c>
      <c r="Q16" s="265">
        <v>3.1E-2</v>
      </c>
      <c r="R16" s="260"/>
      <c r="S16" s="261"/>
      <c r="T16" s="262"/>
    </row>
    <row r="17" spans="1:23" s="263" customFormat="1" x14ac:dyDescent="0.25">
      <c r="A17" s="258"/>
      <c r="B17" s="257" t="s">
        <v>4</v>
      </c>
      <c r="C17" s="259"/>
      <c r="D17" s="259"/>
      <c r="E17" s="259"/>
      <c r="F17" s="259"/>
      <c r="G17" s="259"/>
      <c r="H17" s="259"/>
      <c r="I17" s="259"/>
      <c r="J17" s="259"/>
      <c r="K17" s="259"/>
      <c r="L17" s="259"/>
      <c r="M17" s="259"/>
      <c r="N17" s="259"/>
      <c r="O17" s="259"/>
      <c r="P17" s="259"/>
      <c r="Q17" s="259"/>
      <c r="R17" s="266">
        <v>41837</v>
      </c>
      <c r="S17" s="261"/>
      <c r="T17" s="262"/>
    </row>
    <row r="18" spans="1:23" s="263" customFormat="1" x14ac:dyDescent="0.25">
      <c r="A18" s="258"/>
      <c r="B18" s="257" t="s">
        <v>5</v>
      </c>
      <c r="C18" s="259"/>
      <c r="D18" s="259"/>
      <c r="E18" s="259"/>
      <c r="F18" s="259"/>
      <c r="G18" s="259"/>
      <c r="H18" s="259"/>
      <c r="I18" s="259"/>
      <c r="J18" s="259"/>
      <c r="K18" s="259"/>
      <c r="L18" s="259"/>
      <c r="M18" s="259"/>
      <c r="N18" s="259"/>
      <c r="O18" s="259"/>
      <c r="P18" s="259"/>
      <c r="Q18" s="259"/>
      <c r="R18" s="266">
        <v>43055</v>
      </c>
      <c r="S18" s="261"/>
      <c r="T18" s="262"/>
    </row>
    <row r="19" spans="1:23" s="263" customFormat="1" x14ac:dyDescent="0.25">
      <c r="A19" s="258"/>
      <c r="B19" s="259"/>
      <c r="C19" s="259"/>
      <c r="D19" s="259"/>
      <c r="E19" s="259"/>
      <c r="F19" s="259"/>
      <c r="G19" s="259"/>
      <c r="H19" s="259"/>
      <c r="I19" s="259"/>
      <c r="J19" s="259"/>
      <c r="K19" s="259"/>
      <c r="L19" s="259"/>
      <c r="M19" s="259"/>
      <c r="N19" s="259"/>
      <c r="O19" s="259"/>
      <c r="P19" s="259"/>
      <c r="Q19" s="259"/>
      <c r="R19" s="267"/>
      <c r="S19" s="261"/>
      <c r="T19" s="262"/>
    </row>
    <row r="20" spans="1:23" s="263" customFormat="1" x14ac:dyDescent="0.25">
      <c r="A20" s="258"/>
      <c r="B20" s="268" t="s">
        <v>6</v>
      </c>
      <c r="C20" s="259"/>
      <c r="D20" s="259"/>
      <c r="E20" s="259"/>
      <c r="F20" s="259"/>
      <c r="G20" s="259"/>
      <c r="H20" s="259"/>
      <c r="I20" s="259"/>
      <c r="J20" s="259"/>
      <c r="K20" s="259"/>
      <c r="L20" s="259"/>
      <c r="M20" s="259"/>
      <c r="N20" s="259"/>
      <c r="O20" s="259"/>
      <c r="P20" s="267" t="s">
        <v>86</v>
      </c>
      <c r="Q20" s="259"/>
      <c r="R20" s="259"/>
      <c r="S20" s="261"/>
      <c r="T20" s="262"/>
    </row>
    <row r="21" spans="1:23" x14ac:dyDescent="0.25">
      <c r="A21" s="246"/>
      <c r="B21" s="248"/>
      <c r="C21" s="248"/>
      <c r="D21" s="248"/>
      <c r="E21" s="248"/>
      <c r="F21" s="248"/>
      <c r="G21" s="248"/>
      <c r="H21" s="248"/>
      <c r="I21" s="248"/>
      <c r="J21" s="248"/>
      <c r="K21" s="248"/>
      <c r="L21" s="248"/>
      <c r="M21" s="248"/>
      <c r="N21" s="248"/>
      <c r="O21" s="248"/>
      <c r="P21" s="248"/>
      <c r="Q21" s="248"/>
      <c r="R21" s="269"/>
      <c r="S21" s="249"/>
      <c r="T21" s="244"/>
    </row>
    <row r="22" spans="1:23" x14ac:dyDescent="0.25">
      <c r="A22" s="432"/>
      <c r="B22" s="440"/>
      <c r="C22" s="441"/>
      <c r="D22" s="441" t="s">
        <v>155</v>
      </c>
      <c r="E22" s="441"/>
      <c r="F22" s="441" t="s">
        <v>185</v>
      </c>
      <c r="G22" s="441"/>
      <c r="H22" s="441" t="s">
        <v>186</v>
      </c>
      <c r="I22" s="441"/>
      <c r="J22" s="441"/>
      <c r="K22" s="441"/>
      <c r="L22" s="441"/>
      <c r="M22" s="441"/>
      <c r="N22" s="441"/>
      <c r="O22" s="442"/>
      <c r="P22" s="442"/>
      <c r="Q22" s="440"/>
      <c r="R22" s="440"/>
      <c r="S22" s="434"/>
      <c r="T22" s="244"/>
    </row>
    <row r="23" spans="1:23" s="263" customFormat="1" x14ac:dyDescent="0.25">
      <c r="A23" s="435"/>
      <c r="B23" s="436" t="s">
        <v>131</v>
      </c>
      <c r="C23" s="437"/>
      <c r="D23" s="438" t="s">
        <v>113</v>
      </c>
      <c r="E23" s="438"/>
      <c r="F23" s="438" t="s">
        <v>226</v>
      </c>
      <c r="G23" s="438"/>
      <c r="H23" s="438" t="s">
        <v>157</v>
      </c>
      <c r="I23" s="438"/>
      <c r="J23" s="438"/>
      <c r="K23" s="438"/>
      <c r="L23" s="438"/>
      <c r="M23" s="438"/>
      <c r="N23" s="438"/>
      <c r="O23" s="437"/>
      <c r="P23" s="438"/>
      <c r="Q23" s="436"/>
      <c r="R23" s="436"/>
      <c r="S23" s="439"/>
      <c r="T23" s="262"/>
    </row>
    <row r="24" spans="1:23" s="263" customFormat="1" x14ac:dyDescent="0.25">
      <c r="A24" s="270"/>
      <c r="B24" s="271" t="s">
        <v>202</v>
      </c>
      <c r="C24" s="272"/>
      <c r="D24" s="273" t="s">
        <v>204</v>
      </c>
      <c r="E24" s="273"/>
      <c r="F24" s="273" t="s">
        <v>227</v>
      </c>
      <c r="G24" s="273"/>
      <c r="H24" s="273" t="s">
        <v>157</v>
      </c>
      <c r="I24" s="273"/>
      <c r="J24" s="273"/>
      <c r="K24" s="273"/>
      <c r="L24" s="273"/>
      <c r="M24" s="273"/>
      <c r="N24" s="273"/>
      <c r="O24" s="272"/>
      <c r="P24" s="273"/>
      <c r="Q24" s="271"/>
      <c r="R24" s="271"/>
      <c r="S24" s="274"/>
      <c r="T24" s="262"/>
    </row>
    <row r="25" spans="1:23" s="263" customFormat="1" x14ac:dyDescent="0.25">
      <c r="A25" s="275"/>
      <c r="B25" s="276" t="s">
        <v>132</v>
      </c>
      <c r="C25" s="273"/>
      <c r="D25" s="272" t="s">
        <v>113</v>
      </c>
      <c r="E25" s="272"/>
      <c r="F25" s="272" t="s">
        <v>258</v>
      </c>
      <c r="G25" s="272"/>
      <c r="H25" s="272" t="s">
        <v>157</v>
      </c>
      <c r="I25" s="272"/>
      <c r="J25" s="272"/>
      <c r="K25" s="272"/>
      <c r="L25" s="272"/>
      <c r="M25" s="272"/>
      <c r="N25" s="272"/>
      <c r="O25" s="273"/>
      <c r="P25" s="277"/>
      <c r="Q25" s="271"/>
      <c r="R25" s="271"/>
      <c r="S25" s="274"/>
      <c r="T25" s="262"/>
      <c r="U25" s="278"/>
      <c r="W25" s="279"/>
    </row>
    <row r="26" spans="1:23" s="263" customFormat="1" x14ac:dyDescent="0.25">
      <c r="A26" s="275"/>
      <c r="B26" s="276" t="s">
        <v>203</v>
      </c>
      <c r="C26" s="273"/>
      <c r="D26" s="272" t="s">
        <v>204</v>
      </c>
      <c r="E26" s="272"/>
      <c r="F26" s="272" t="s">
        <v>227</v>
      </c>
      <c r="G26" s="272"/>
      <c r="H26" s="272" t="s">
        <v>157</v>
      </c>
      <c r="I26" s="272"/>
      <c r="J26" s="272"/>
      <c r="K26" s="272"/>
      <c r="L26" s="272"/>
      <c r="M26" s="272"/>
      <c r="N26" s="272"/>
      <c r="O26" s="273"/>
      <c r="P26" s="277"/>
      <c r="Q26" s="271"/>
      <c r="R26" s="271"/>
      <c r="S26" s="274"/>
      <c r="T26" s="262"/>
      <c r="U26" s="278"/>
      <c r="W26" s="279"/>
    </row>
    <row r="27" spans="1:23" s="263" customFormat="1" x14ac:dyDescent="0.25">
      <c r="A27" s="275"/>
      <c r="B27" s="271" t="s">
        <v>7</v>
      </c>
      <c r="C27" s="280"/>
      <c r="D27" s="273" t="s">
        <v>212</v>
      </c>
      <c r="E27" s="273"/>
      <c r="F27" s="273" t="s">
        <v>213</v>
      </c>
      <c r="G27" s="273"/>
      <c r="H27" s="273" t="s">
        <v>214</v>
      </c>
      <c r="I27" s="273"/>
      <c r="J27" s="273"/>
      <c r="K27" s="273"/>
      <c r="L27" s="273"/>
      <c r="M27" s="273"/>
      <c r="N27" s="273"/>
      <c r="O27" s="281"/>
      <c r="P27" s="281"/>
      <c r="Q27" s="280"/>
      <c r="R27" s="281"/>
      <c r="S27" s="282"/>
      <c r="T27" s="262"/>
      <c r="U27" s="278"/>
      <c r="W27" s="279"/>
    </row>
    <row r="28" spans="1:23" s="263" customFormat="1" x14ac:dyDescent="0.25">
      <c r="A28" s="270"/>
      <c r="B28" s="271" t="s">
        <v>107</v>
      </c>
      <c r="C28" s="283"/>
      <c r="D28" s="284">
        <v>319000</v>
      </c>
      <c r="E28" s="285"/>
      <c r="F28" s="284">
        <v>24000</v>
      </c>
      <c r="G28" s="286"/>
      <c r="H28" s="284">
        <v>7000</v>
      </c>
      <c r="I28" s="281"/>
      <c r="J28" s="284"/>
      <c r="K28" s="281"/>
      <c r="L28" s="285"/>
      <c r="M28" s="281"/>
      <c r="N28" s="285"/>
      <c r="O28" s="287"/>
      <c r="P28" s="287"/>
      <c r="Q28" s="283"/>
      <c r="R28" s="281">
        <f>SUM(D28:J28)</f>
        <v>350000</v>
      </c>
      <c r="S28" s="282"/>
      <c r="T28" s="262"/>
    </row>
    <row r="29" spans="1:23" s="263" customFormat="1" x14ac:dyDescent="0.25">
      <c r="A29" s="275"/>
      <c r="B29" s="271" t="s">
        <v>106</v>
      </c>
      <c r="C29" s="280"/>
      <c r="D29" s="284">
        <f>D28*D32</f>
        <v>86084.574399999998</v>
      </c>
      <c r="E29" s="285"/>
      <c r="F29" s="284">
        <f>F28*F32</f>
        <v>24000</v>
      </c>
      <c r="G29" s="284"/>
      <c r="H29" s="284">
        <f>H28*H32</f>
        <v>7000</v>
      </c>
      <c r="I29" s="281"/>
      <c r="J29" s="284"/>
      <c r="K29" s="281"/>
      <c r="L29" s="285"/>
      <c r="M29" s="281"/>
      <c r="N29" s="285"/>
      <c r="O29" s="281"/>
      <c r="P29" s="281"/>
      <c r="Q29" s="280"/>
      <c r="R29" s="281">
        <f>SUM(D29:J29)</f>
        <v>117084.5744</v>
      </c>
      <c r="S29" s="282"/>
      <c r="T29" s="262"/>
    </row>
    <row r="30" spans="1:23" s="263" customFormat="1" x14ac:dyDescent="0.25">
      <c r="A30" s="275"/>
      <c r="B30" s="276" t="s">
        <v>108</v>
      </c>
      <c r="C30" s="280"/>
      <c r="D30" s="288">
        <f>D31*D28</f>
        <v>76327.002399999998</v>
      </c>
      <c r="E30" s="288"/>
      <c r="F30" s="288">
        <f t="shared" ref="F30" si="0">F31*F28</f>
        <v>24000</v>
      </c>
      <c r="G30" s="288"/>
      <c r="H30" s="288">
        <f t="shared" ref="H30" si="1">H31*H28</f>
        <v>7000</v>
      </c>
      <c r="I30" s="288"/>
      <c r="J30" s="288"/>
      <c r="K30" s="287"/>
      <c r="L30" s="289"/>
      <c r="M30" s="287"/>
      <c r="N30" s="289"/>
      <c r="O30" s="281"/>
      <c r="P30" s="281"/>
      <c r="Q30" s="280"/>
      <c r="R30" s="287">
        <f>SUM(D30:J30)</f>
        <v>107327.0024</v>
      </c>
      <c r="S30" s="282"/>
      <c r="T30" s="262"/>
    </row>
    <row r="31" spans="1:23" x14ac:dyDescent="0.25">
      <c r="A31" s="290"/>
      <c r="B31" s="291" t="s">
        <v>104</v>
      </c>
      <c r="C31" s="292"/>
      <c r="D31" s="293">
        <v>0.2392696</v>
      </c>
      <c r="E31" s="293"/>
      <c r="F31" s="293">
        <v>1</v>
      </c>
      <c r="G31" s="293"/>
      <c r="H31" s="293">
        <v>1</v>
      </c>
      <c r="I31" s="294"/>
      <c r="J31" s="294"/>
      <c r="K31" s="294"/>
      <c r="L31" s="294"/>
      <c r="M31" s="294"/>
      <c r="N31" s="294"/>
      <c r="O31" s="295"/>
      <c r="P31" s="295"/>
      <c r="Q31" s="296"/>
      <c r="R31" s="297"/>
      <c r="S31" s="298"/>
      <c r="T31" s="244"/>
    </row>
    <row r="32" spans="1:23" x14ac:dyDescent="0.25">
      <c r="A32" s="290"/>
      <c r="B32" s="291" t="s">
        <v>105</v>
      </c>
      <c r="C32" s="292"/>
      <c r="D32" s="293">
        <v>0.26985759999999998</v>
      </c>
      <c r="E32" s="293"/>
      <c r="F32" s="293">
        <v>1</v>
      </c>
      <c r="G32" s="293"/>
      <c r="H32" s="293">
        <v>1</v>
      </c>
      <c r="I32" s="294"/>
      <c r="J32" s="294"/>
      <c r="K32" s="294"/>
      <c r="L32" s="294"/>
      <c r="M32" s="294"/>
      <c r="N32" s="294"/>
      <c r="O32" s="299"/>
      <c r="P32" s="300"/>
      <c r="Q32" s="296"/>
      <c r="R32" s="299"/>
      <c r="S32" s="298"/>
      <c r="T32" s="244"/>
    </row>
    <row r="33" spans="1:21" s="263" customFormat="1" x14ac:dyDescent="0.25">
      <c r="A33" s="275"/>
      <c r="B33" s="271" t="s">
        <v>8</v>
      </c>
      <c r="C33" s="271"/>
      <c r="D33" s="277" t="s">
        <v>215</v>
      </c>
      <c r="E33" s="277"/>
      <c r="F33" s="277" t="s">
        <v>216</v>
      </c>
      <c r="G33" s="277"/>
      <c r="H33" s="277" t="s">
        <v>217</v>
      </c>
      <c r="I33" s="277"/>
      <c r="J33" s="277"/>
      <c r="K33" s="277"/>
      <c r="L33" s="277"/>
      <c r="M33" s="277"/>
      <c r="N33" s="277"/>
      <c r="O33" s="301"/>
      <c r="P33" s="302"/>
      <c r="Q33" s="271"/>
      <c r="R33" s="271"/>
      <c r="S33" s="274"/>
      <c r="T33" s="262"/>
    </row>
    <row r="34" spans="1:21" s="263" customFormat="1" x14ac:dyDescent="0.25">
      <c r="A34" s="275"/>
      <c r="B34" s="271" t="s">
        <v>9</v>
      </c>
      <c r="C34" s="303"/>
      <c r="D34" s="302">
        <v>9.5963000000000003E-3</v>
      </c>
      <c r="E34" s="302"/>
      <c r="F34" s="302">
        <v>1.27963E-2</v>
      </c>
      <c r="G34" s="302"/>
      <c r="H34" s="302">
        <v>1.62963E-2</v>
      </c>
      <c r="I34" s="302"/>
      <c r="J34" s="302"/>
      <c r="K34" s="302"/>
      <c r="L34" s="302"/>
      <c r="M34" s="301"/>
      <c r="N34" s="302"/>
      <c r="O34" s="277"/>
      <c r="P34" s="277"/>
      <c r="Q34" s="271"/>
      <c r="R34" s="301">
        <f>SUMPRODUCT(D34:J34,D29:J29)/R29</f>
        <v>1.0652801256753086E-2</v>
      </c>
      <c r="S34" s="274"/>
      <c r="T34" s="262"/>
    </row>
    <row r="35" spans="1:21" s="263" customFormat="1" x14ac:dyDescent="0.25">
      <c r="A35" s="275"/>
      <c r="B35" s="271" t="s">
        <v>10</v>
      </c>
      <c r="C35" s="303"/>
      <c r="D35" s="302">
        <v>9.9524999999999995E-3</v>
      </c>
      <c r="E35" s="302"/>
      <c r="F35" s="302">
        <v>1.3152499999999999E-2</v>
      </c>
      <c r="G35" s="302"/>
      <c r="H35" s="302">
        <v>1.6652500000000001E-2</v>
      </c>
      <c r="I35" s="302"/>
      <c r="J35" s="302"/>
      <c r="K35" s="302"/>
      <c r="L35" s="302"/>
      <c r="M35" s="301"/>
      <c r="N35" s="302"/>
      <c r="O35" s="277"/>
      <c r="P35" s="277"/>
      <c r="Q35" s="271"/>
      <c r="R35" s="271"/>
      <c r="S35" s="274"/>
      <c r="T35" s="262"/>
    </row>
    <row r="36" spans="1:21" s="263" customFormat="1" x14ac:dyDescent="0.25">
      <c r="A36" s="275"/>
      <c r="B36" s="271" t="s">
        <v>158</v>
      </c>
      <c r="C36" s="271"/>
      <c r="D36" s="303">
        <v>43327</v>
      </c>
      <c r="E36" s="303"/>
      <c r="F36" s="303">
        <v>43327</v>
      </c>
      <c r="G36" s="303"/>
      <c r="H36" s="303">
        <v>43327</v>
      </c>
      <c r="I36" s="303"/>
      <c r="J36" s="303"/>
      <c r="K36" s="303"/>
      <c r="L36" s="303"/>
      <c r="M36" s="303"/>
      <c r="N36" s="303"/>
      <c r="O36" s="277"/>
      <c r="P36" s="277"/>
      <c r="Q36" s="271"/>
      <c r="R36" s="271"/>
      <c r="S36" s="274"/>
      <c r="T36" s="262"/>
    </row>
    <row r="37" spans="1:21" s="263" customFormat="1" x14ac:dyDescent="0.25">
      <c r="A37" s="275"/>
      <c r="B37" s="271" t="s">
        <v>11</v>
      </c>
      <c r="C37" s="271"/>
      <c r="D37" s="303" t="s">
        <v>98</v>
      </c>
      <c r="E37" s="303"/>
      <c r="F37" s="303" t="s">
        <v>98</v>
      </c>
      <c r="G37" s="277"/>
      <c r="H37" s="303" t="s">
        <v>98</v>
      </c>
      <c r="I37" s="277"/>
      <c r="J37" s="303"/>
      <c r="K37" s="277"/>
      <c r="L37" s="303"/>
      <c r="M37" s="277"/>
      <c r="N37" s="303"/>
      <c r="O37" s="277"/>
      <c r="P37" s="277"/>
      <c r="Q37" s="271"/>
      <c r="R37" s="271"/>
      <c r="S37" s="274"/>
      <c r="T37" s="262"/>
    </row>
    <row r="38" spans="1:21" s="263" customFormat="1" x14ac:dyDescent="0.25">
      <c r="A38" s="275"/>
      <c r="B38" s="271" t="s">
        <v>99</v>
      </c>
      <c r="C38" s="271"/>
      <c r="D38" s="277" t="s">
        <v>98</v>
      </c>
      <c r="E38" s="277"/>
      <c r="F38" s="277" t="s">
        <v>98</v>
      </c>
      <c r="G38" s="277"/>
      <c r="H38" s="277" t="s">
        <v>98</v>
      </c>
      <c r="I38" s="277"/>
      <c r="J38" s="277"/>
      <c r="K38" s="277"/>
      <c r="L38" s="277"/>
      <c r="M38" s="277"/>
      <c r="N38" s="277"/>
      <c r="O38" s="304"/>
      <c r="P38" s="304"/>
      <c r="Q38" s="304"/>
      <c r="R38" s="304"/>
      <c r="S38" s="274"/>
      <c r="T38" s="262"/>
    </row>
    <row r="39" spans="1:21" s="263" customFormat="1" x14ac:dyDescent="0.25">
      <c r="A39" s="275"/>
      <c r="B39" s="271"/>
      <c r="C39" s="271"/>
      <c r="D39" s="277"/>
      <c r="E39" s="277"/>
      <c r="F39" s="277"/>
      <c r="G39" s="277"/>
      <c r="H39" s="277"/>
      <c r="I39" s="277"/>
      <c r="J39" s="277"/>
      <c r="K39" s="277"/>
      <c r="L39" s="277"/>
      <c r="M39" s="277"/>
      <c r="N39" s="277"/>
      <c r="O39" s="271"/>
      <c r="P39" s="271"/>
      <c r="Q39" s="271"/>
      <c r="R39" s="301" t="s">
        <v>133</v>
      </c>
      <c r="S39" s="274"/>
      <c r="T39" s="262"/>
    </row>
    <row r="40" spans="1:21" s="263" customFormat="1" x14ac:dyDescent="0.25">
      <c r="A40" s="275"/>
      <c r="B40" s="271" t="s">
        <v>219</v>
      </c>
      <c r="C40" s="271"/>
      <c r="D40" s="277"/>
      <c r="E40" s="277"/>
      <c r="F40" s="277"/>
      <c r="G40" s="277"/>
      <c r="H40" s="277"/>
      <c r="I40" s="277"/>
      <c r="J40" s="277"/>
      <c r="K40" s="277"/>
      <c r="L40" s="277"/>
      <c r="M40" s="277"/>
      <c r="N40" s="277"/>
      <c r="O40" s="271"/>
      <c r="P40" s="271"/>
      <c r="Q40" s="271"/>
      <c r="R40" s="301">
        <f>SUM(F28:I28)/D28</f>
        <v>9.7178683385579931E-2</v>
      </c>
      <c r="S40" s="274"/>
      <c r="T40" s="262"/>
    </row>
    <row r="41" spans="1:21" s="263" customFormat="1" x14ac:dyDescent="0.25">
      <c r="A41" s="275"/>
      <c r="B41" s="271" t="s">
        <v>220</v>
      </c>
      <c r="C41" s="271"/>
      <c r="D41" s="271"/>
      <c r="E41" s="271"/>
      <c r="F41" s="271"/>
      <c r="G41" s="271"/>
      <c r="H41" s="271"/>
      <c r="I41" s="271"/>
      <c r="J41" s="271"/>
      <c r="K41" s="271"/>
      <c r="L41" s="271"/>
      <c r="M41" s="271"/>
      <c r="N41" s="271"/>
      <c r="O41" s="271"/>
      <c r="P41" s="271"/>
      <c r="Q41" s="271"/>
      <c r="R41" s="301">
        <f>SUM(F30:I30)/D30</f>
        <v>0.40614722215266769</v>
      </c>
      <c r="S41" s="274"/>
      <c r="T41" s="262"/>
    </row>
    <row r="42" spans="1:21" s="263" customFormat="1" x14ac:dyDescent="0.25">
      <c r="A42" s="275"/>
      <c r="B42" s="271" t="s">
        <v>221</v>
      </c>
      <c r="C42" s="271"/>
      <c r="D42" s="271"/>
      <c r="E42" s="271"/>
      <c r="F42" s="271"/>
      <c r="G42" s="271"/>
      <c r="H42" s="271"/>
      <c r="I42" s="271"/>
      <c r="J42" s="271"/>
      <c r="K42" s="271"/>
      <c r="L42" s="271"/>
      <c r="M42" s="271"/>
      <c r="N42" s="271"/>
      <c r="O42" s="271"/>
      <c r="P42" s="277"/>
      <c r="Q42" s="277"/>
      <c r="R42" s="281" t="s">
        <v>152</v>
      </c>
      <c r="S42" s="274"/>
      <c r="T42" s="262"/>
    </row>
    <row r="43" spans="1:21" s="263" customFormat="1" x14ac:dyDescent="0.25">
      <c r="A43" s="275"/>
      <c r="B43" s="271"/>
      <c r="C43" s="271"/>
      <c r="D43" s="271"/>
      <c r="E43" s="271"/>
      <c r="F43" s="271"/>
      <c r="G43" s="271"/>
      <c r="H43" s="271"/>
      <c r="I43" s="271"/>
      <c r="J43" s="271"/>
      <c r="K43" s="271"/>
      <c r="L43" s="271"/>
      <c r="M43" s="271"/>
      <c r="N43" s="271"/>
      <c r="O43" s="271"/>
      <c r="P43" s="271"/>
      <c r="Q43" s="271"/>
      <c r="R43" s="305"/>
      <c r="S43" s="274"/>
      <c r="T43" s="262"/>
    </row>
    <row r="44" spans="1:21" s="263" customFormat="1" x14ac:dyDescent="0.25">
      <c r="A44" s="275"/>
      <c r="B44" s="271" t="s">
        <v>229</v>
      </c>
      <c r="C44" s="271"/>
      <c r="D44" s="271"/>
      <c r="E44" s="271"/>
      <c r="F44" s="271"/>
      <c r="G44" s="271"/>
      <c r="H44" s="271"/>
      <c r="I44" s="271"/>
      <c r="J44" s="271"/>
      <c r="K44" s="271"/>
      <c r="L44" s="271"/>
      <c r="M44" s="271"/>
      <c r="N44" s="271"/>
      <c r="O44" s="271"/>
      <c r="P44" s="271"/>
      <c r="Q44" s="271"/>
      <c r="R44" s="306" t="s">
        <v>92</v>
      </c>
      <c r="S44" s="274"/>
      <c r="T44" s="262"/>
    </row>
    <row r="45" spans="1:21" s="263" customFormat="1" x14ac:dyDescent="0.25">
      <c r="A45" s="275"/>
      <c r="B45" s="276" t="s">
        <v>134</v>
      </c>
      <c r="C45" s="276"/>
      <c r="D45" s="276"/>
      <c r="E45" s="276"/>
      <c r="F45" s="276"/>
      <c r="G45" s="276"/>
      <c r="H45" s="276"/>
      <c r="I45" s="276"/>
      <c r="J45" s="276"/>
      <c r="K45" s="276"/>
      <c r="L45" s="276"/>
      <c r="M45" s="276"/>
      <c r="N45" s="276"/>
      <c r="O45" s="276"/>
      <c r="P45" s="307"/>
      <c r="Q45" s="307"/>
      <c r="R45" s="308">
        <v>43054</v>
      </c>
      <c r="S45" s="274"/>
      <c r="T45" s="262"/>
    </row>
    <row r="46" spans="1:21" s="263" customFormat="1" x14ac:dyDescent="0.25">
      <c r="A46" s="275"/>
      <c r="B46" s="271" t="s">
        <v>100</v>
      </c>
      <c r="C46" s="271"/>
      <c r="D46" s="309"/>
      <c r="E46" s="309"/>
      <c r="F46" s="309"/>
      <c r="G46" s="309"/>
      <c r="H46" s="309"/>
      <c r="I46" s="309"/>
      <c r="J46" s="309"/>
      <c r="K46" s="309"/>
      <c r="L46" s="309"/>
      <c r="M46" s="309"/>
      <c r="N46" s="271">
        <f>+R46-P46+1</f>
        <v>92</v>
      </c>
      <c r="O46" s="271"/>
      <c r="P46" s="310">
        <v>42870</v>
      </c>
      <c r="Q46" s="311"/>
      <c r="R46" s="310">
        <v>42961</v>
      </c>
      <c r="S46" s="274"/>
      <c r="T46" s="262"/>
    </row>
    <row r="47" spans="1:21" s="263" customFormat="1" x14ac:dyDescent="0.25">
      <c r="A47" s="275"/>
      <c r="B47" s="271" t="s">
        <v>101</v>
      </c>
      <c r="C47" s="271"/>
      <c r="D47" s="271"/>
      <c r="E47" s="271"/>
      <c r="F47" s="271"/>
      <c r="G47" s="271"/>
      <c r="H47" s="271"/>
      <c r="I47" s="271"/>
      <c r="J47" s="271"/>
      <c r="K47" s="271"/>
      <c r="L47" s="271"/>
      <c r="M47" s="271"/>
      <c r="N47" s="271">
        <f>+R47-P47+1</f>
        <v>92</v>
      </c>
      <c r="O47" s="271"/>
      <c r="P47" s="310">
        <v>42962</v>
      </c>
      <c r="Q47" s="311"/>
      <c r="R47" s="310">
        <v>43053</v>
      </c>
      <c r="S47" s="274"/>
      <c r="T47" s="262"/>
    </row>
    <row r="48" spans="1:21" s="263" customFormat="1" x14ac:dyDescent="0.25">
      <c r="A48" s="275"/>
      <c r="B48" s="271" t="s">
        <v>228</v>
      </c>
      <c r="C48" s="271"/>
      <c r="D48" s="271"/>
      <c r="E48" s="271"/>
      <c r="F48" s="271"/>
      <c r="G48" s="271"/>
      <c r="H48" s="271"/>
      <c r="I48" s="271"/>
      <c r="J48" s="271"/>
      <c r="K48" s="271"/>
      <c r="L48" s="271"/>
      <c r="M48" s="271"/>
      <c r="N48" s="271"/>
      <c r="O48" s="271"/>
      <c r="P48" s="310"/>
      <c r="Q48" s="311"/>
      <c r="R48" s="310" t="s">
        <v>119</v>
      </c>
      <c r="S48" s="274"/>
      <c r="T48" s="262"/>
      <c r="U48" s="312"/>
    </row>
    <row r="49" spans="1:20" s="263" customFormat="1" x14ac:dyDescent="0.25">
      <c r="A49" s="275"/>
      <c r="B49" s="271" t="s">
        <v>12</v>
      </c>
      <c r="C49" s="271"/>
      <c r="D49" s="271"/>
      <c r="E49" s="271"/>
      <c r="F49" s="271"/>
      <c r="G49" s="271"/>
      <c r="H49" s="271"/>
      <c r="I49" s="271"/>
      <c r="J49" s="271"/>
      <c r="K49" s="271"/>
      <c r="L49" s="271"/>
      <c r="M49" s="271"/>
      <c r="N49" s="271"/>
      <c r="O49" s="271"/>
      <c r="P49" s="310"/>
      <c r="Q49" s="311"/>
      <c r="R49" s="310">
        <v>43040</v>
      </c>
      <c r="S49" s="274"/>
      <c r="T49" s="262"/>
    </row>
    <row r="50" spans="1:20" s="263" customFormat="1" x14ac:dyDescent="0.25">
      <c r="A50" s="258"/>
      <c r="B50" s="313"/>
      <c r="C50" s="313"/>
      <c r="D50" s="313"/>
      <c r="E50" s="313"/>
      <c r="F50" s="313"/>
      <c r="G50" s="313"/>
      <c r="H50" s="313"/>
      <c r="I50" s="313"/>
      <c r="J50" s="313"/>
      <c r="K50" s="313"/>
      <c r="L50" s="313"/>
      <c r="M50" s="313"/>
      <c r="N50" s="313"/>
      <c r="O50" s="313"/>
      <c r="P50" s="314"/>
      <c r="Q50" s="315"/>
      <c r="R50" s="314"/>
      <c r="S50" s="261"/>
      <c r="T50" s="262"/>
    </row>
    <row r="51" spans="1:20" s="263" customFormat="1" x14ac:dyDescent="0.25">
      <c r="A51" s="258"/>
      <c r="B51" s="259"/>
      <c r="C51" s="259"/>
      <c r="D51" s="259"/>
      <c r="E51" s="259"/>
      <c r="F51" s="259"/>
      <c r="G51" s="259"/>
      <c r="H51" s="259"/>
      <c r="I51" s="259"/>
      <c r="J51" s="259"/>
      <c r="K51" s="259"/>
      <c r="L51" s="259"/>
      <c r="M51" s="259"/>
      <c r="N51" s="259"/>
      <c r="O51" s="259"/>
      <c r="P51" s="316"/>
      <c r="Q51" s="317"/>
      <c r="R51" s="316"/>
      <c r="S51" s="261"/>
      <c r="T51" s="262"/>
    </row>
    <row r="52" spans="1:20" s="263" customFormat="1" ht="19.5" thickBot="1" x14ac:dyDescent="0.35">
      <c r="A52" s="318"/>
      <c r="B52" s="319" t="s">
        <v>264</v>
      </c>
      <c r="C52" s="320"/>
      <c r="D52" s="320"/>
      <c r="E52" s="320"/>
      <c r="F52" s="320"/>
      <c r="G52" s="320"/>
      <c r="H52" s="320"/>
      <c r="I52" s="320"/>
      <c r="J52" s="320"/>
      <c r="K52" s="320"/>
      <c r="L52" s="320"/>
      <c r="M52" s="320"/>
      <c r="N52" s="320"/>
      <c r="O52" s="320"/>
      <c r="P52" s="320"/>
      <c r="Q52" s="320"/>
      <c r="R52" s="321"/>
      <c r="S52" s="322"/>
      <c r="T52" s="262"/>
    </row>
    <row r="53" spans="1:20" x14ac:dyDescent="0.25">
      <c r="A53" s="432"/>
      <c r="B53" s="443" t="s">
        <v>13</v>
      </c>
      <c r="C53" s="433"/>
      <c r="D53" s="433"/>
      <c r="E53" s="433"/>
      <c r="F53" s="433"/>
      <c r="G53" s="433"/>
      <c r="H53" s="433"/>
      <c r="I53" s="433"/>
      <c r="J53" s="433"/>
      <c r="K53" s="433"/>
      <c r="L53" s="433"/>
      <c r="M53" s="433"/>
      <c r="N53" s="433"/>
      <c r="O53" s="433"/>
      <c r="P53" s="433"/>
      <c r="Q53" s="433"/>
      <c r="R53" s="444"/>
      <c r="S53" s="433"/>
      <c r="T53" s="244"/>
    </row>
    <row r="54" spans="1:20" x14ac:dyDescent="0.25">
      <c r="A54" s="246"/>
      <c r="B54" s="256"/>
      <c r="C54" s="248"/>
      <c r="D54" s="248"/>
      <c r="E54" s="248"/>
      <c r="F54" s="248"/>
      <c r="G54" s="248"/>
      <c r="H54" s="248"/>
      <c r="I54" s="248"/>
      <c r="J54" s="248"/>
      <c r="K54" s="248"/>
      <c r="L54" s="248"/>
      <c r="M54" s="248"/>
      <c r="N54" s="248"/>
      <c r="O54" s="248"/>
      <c r="P54" s="248"/>
      <c r="Q54" s="248"/>
      <c r="R54" s="323"/>
      <c r="S54" s="249"/>
      <c r="T54" s="244"/>
    </row>
    <row r="55" spans="1:20" s="330" customFormat="1" ht="47.25" x14ac:dyDescent="0.25">
      <c r="A55" s="324"/>
      <c r="B55" s="325" t="s">
        <v>14</v>
      </c>
      <c r="C55" s="326"/>
      <c r="D55" s="326"/>
      <c r="E55" s="326"/>
      <c r="F55" s="326" t="s">
        <v>77</v>
      </c>
      <c r="G55" s="326"/>
      <c r="H55" s="326" t="s">
        <v>79</v>
      </c>
      <c r="I55" s="326"/>
      <c r="J55" s="326" t="s">
        <v>168</v>
      </c>
      <c r="K55" s="326"/>
      <c r="L55" s="326" t="s">
        <v>169</v>
      </c>
      <c r="M55" s="326"/>
      <c r="N55" s="326" t="s">
        <v>82</v>
      </c>
      <c r="O55" s="326"/>
      <c r="P55" s="326" t="s">
        <v>87</v>
      </c>
      <c r="Q55" s="326"/>
      <c r="R55" s="327" t="s">
        <v>93</v>
      </c>
      <c r="S55" s="328"/>
      <c r="T55" s="329"/>
    </row>
    <row r="56" spans="1:20" s="263" customFormat="1" x14ac:dyDescent="0.25">
      <c r="A56" s="275"/>
      <c r="B56" s="271" t="s">
        <v>15</v>
      </c>
      <c r="C56" s="331"/>
      <c r="D56" s="331"/>
      <c r="E56" s="331"/>
      <c r="F56" s="331">
        <v>317450</v>
      </c>
      <c r="G56" s="331"/>
      <c r="H56" s="331">
        <v>117085</v>
      </c>
      <c r="I56" s="331"/>
      <c r="J56" s="332">
        <f>130+6</f>
        <v>136</v>
      </c>
      <c r="K56" s="331"/>
      <c r="L56" s="331">
        <v>5499</v>
      </c>
      <c r="M56" s="331"/>
      <c r="N56" s="331">
        <v>89</v>
      </c>
      <c r="O56" s="331"/>
      <c r="P56" s="331">
        <f>3075+533+604</f>
        <v>4212</v>
      </c>
      <c r="Q56" s="331"/>
      <c r="R56" s="332">
        <f>H56-J56-L56+N56-P56</f>
        <v>107327</v>
      </c>
      <c r="S56" s="274"/>
      <c r="T56" s="262"/>
    </row>
    <row r="57" spans="1:20" s="263" customFormat="1" x14ac:dyDescent="0.25">
      <c r="A57" s="275"/>
      <c r="B57" s="271" t="s">
        <v>16</v>
      </c>
      <c r="C57" s="331"/>
      <c r="D57" s="331"/>
      <c r="E57" s="331"/>
      <c r="F57" s="331">
        <v>0</v>
      </c>
      <c r="G57" s="331"/>
      <c r="H57" s="332">
        <v>0</v>
      </c>
      <c r="I57" s="331"/>
      <c r="J57" s="332">
        <v>0</v>
      </c>
      <c r="K57" s="331"/>
      <c r="L57" s="331">
        <v>0</v>
      </c>
      <c r="M57" s="331"/>
      <c r="N57" s="331">
        <v>0</v>
      </c>
      <c r="O57" s="331"/>
      <c r="P57" s="331">
        <v>0</v>
      </c>
      <c r="Q57" s="331"/>
      <c r="R57" s="332">
        <f>F57-J57-L57</f>
        <v>0</v>
      </c>
      <c r="S57" s="274"/>
      <c r="T57" s="262"/>
    </row>
    <row r="58" spans="1:20" s="263" customFormat="1" x14ac:dyDescent="0.25">
      <c r="A58" s="275"/>
      <c r="B58" s="271"/>
      <c r="C58" s="331"/>
      <c r="D58" s="331"/>
      <c r="E58" s="331"/>
      <c r="F58" s="331"/>
      <c r="G58" s="331"/>
      <c r="H58" s="332"/>
      <c r="I58" s="331"/>
      <c r="J58" s="332"/>
      <c r="K58" s="331"/>
      <c r="L58" s="331"/>
      <c r="M58" s="331"/>
      <c r="N58" s="331"/>
      <c r="O58" s="331"/>
      <c r="P58" s="331"/>
      <c r="Q58" s="331"/>
      <c r="R58" s="332"/>
      <c r="S58" s="274"/>
      <c r="T58" s="262"/>
    </row>
    <row r="59" spans="1:20" s="263" customFormat="1" x14ac:dyDescent="0.25">
      <c r="A59" s="275"/>
      <c r="B59" s="271" t="s">
        <v>17</v>
      </c>
      <c r="C59" s="331"/>
      <c r="D59" s="331"/>
      <c r="E59" s="331"/>
      <c r="F59" s="331">
        <f>SUM(F56:F58)</f>
        <v>317450</v>
      </c>
      <c r="G59" s="331"/>
      <c r="H59" s="331">
        <f>H56+H57</f>
        <v>117085</v>
      </c>
      <c r="I59" s="331"/>
      <c r="J59" s="331">
        <f>J56+J57</f>
        <v>136</v>
      </c>
      <c r="K59" s="331"/>
      <c r="L59" s="331">
        <f>SUM(L56:L58)</f>
        <v>5499</v>
      </c>
      <c r="M59" s="331"/>
      <c r="N59" s="331">
        <f>SUM(N56:N58)</f>
        <v>89</v>
      </c>
      <c r="O59" s="331"/>
      <c r="P59" s="331">
        <f>SUM(P56:P58)</f>
        <v>4212</v>
      </c>
      <c r="Q59" s="331"/>
      <c r="R59" s="331">
        <f>SUM(R56:R58)</f>
        <v>107327</v>
      </c>
      <c r="S59" s="274"/>
      <c r="T59" s="262"/>
    </row>
    <row r="60" spans="1:20" x14ac:dyDescent="0.25">
      <c r="A60" s="246"/>
      <c r="B60" s="333"/>
      <c r="C60" s="334"/>
      <c r="D60" s="334"/>
      <c r="E60" s="334"/>
      <c r="F60" s="334"/>
      <c r="G60" s="334"/>
      <c r="H60" s="334"/>
      <c r="I60" s="334"/>
      <c r="J60" s="334"/>
      <c r="K60" s="334"/>
      <c r="L60" s="334"/>
      <c r="M60" s="334"/>
      <c r="N60" s="334"/>
      <c r="O60" s="334"/>
      <c r="P60" s="334"/>
      <c r="Q60" s="334"/>
      <c r="R60" s="335"/>
      <c r="S60" s="249"/>
      <c r="T60" s="244"/>
    </row>
    <row r="61" spans="1:20" x14ac:dyDescent="0.25">
      <c r="A61" s="246"/>
      <c r="B61" s="251" t="s">
        <v>18</v>
      </c>
      <c r="C61" s="336"/>
      <c r="D61" s="336"/>
      <c r="E61" s="336"/>
      <c r="F61" s="336"/>
      <c r="G61" s="336"/>
      <c r="H61" s="336"/>
      <c r="I61" s="336"/>
      <c r="J61" s="336"/>
      <c r="K61" s="336"/>
      <c r="L61" s="336"/>
      <c r="M61" s="336"/>
      <c r="N61" s="336"/>
      <c r="O61" s="336"/>
      <c r="P61" s="336"/>
      <c r="Q61" s="336"/>
      <c r="R61" s="337"/>
      <c r="S61" s="249"/>
      <c r="T61" s="244"/>
    </row>
    <row r="62" spans="1:20" x14ac:dyDescent="0.25">
      <c r="A62" s="246"/>
      <c r="B62" s="248"/>
      <c r="C62" s="336"/>
      <c r="D62" s="336"/>
      <c r="E62" s="336"/>
      <c r="F62" s="336"/>
      <c r="G62" s="336"/>
      <c r="H62" s="336"/>
      <c r="I62" s="336"/>
      <c r="J62" s="336"/>
      <c r="K62" s="336"/>
      <c r="L62" s="336"/>
      <c r="M62" s="336"/>
      <c r="N62" s="336"/>
      <c r="O62" s="336"/>
      <c r="P62" s="336"/>
      <c r="Q62" s="336"/>
      <c r="R62" s="337"/>
      <c r="S62" s="249"/>
      <c r="T62" s="244"/>
    </row>
    <row r="63" spans="1:20" s="263" customFormat="1" x14ac:dyDescent="0.25">
      <c r="A63" s="275"/>
      <c r="B63" s="271" t="s">
        <v>15</v>
      </c>
      <c r="C63" s="331"/>
      <c r="D63" s="331"/>
      <c r="E63" s="331"/>
      <c r="F63" s="331"/>
      <c r="G63" s="331"/>
      <c r="H63" s="331"/>
      <c r="I63" s="331"/>
      <c r="J63" s="331"/>
      <c r="K63" s="331"/>
      <c r="L63" s="331"/>
      <c r="M63" s="331"/>
      <c r="N63" s="331"/>
      <c r="O63" s="331"/>
      <c r="P63" s="331"/>
      <c r="Q63" s="331"/>
      <c r="R63" s="331"/>
      <c r="S63" s="274"/>
      <c r="T63" s="262"/>
    </row>
    <row r="64" spans="1:20" s="263" customFormat="1" x14ac:dyDescent="0.25">
      <c r="A64" s="275"/>
      <c r="B64" s="271" t="s">
        <v>16</v>
      </c>
      <c r="C64" s="331"/>
      <c r="D64" s="331"/>
      <c r="E64" s="331"/>
      <c r="F64" s="331"/>
      <c r="G64" s="331"/>
      <c r="H64" s="331"/>
      <c r="I64" s="331"/>
      <c r="J64" s="331"/>
      <c r="K64" s="331"/>
      <c r="L64" s="331"/>
      <c r="M64" s="331"/>
      <c r="N64" s="331"/>
      <c r="O64" s="331"/>
      <c r="P64" s="331"/>
      <c r="Q64" s="331"/>
      <c r="R64" s="331"/>
      <c r="S64" s="274"/>
      <c r="T64" s="262"/>
    </row>
    <row r="65" spans="1:20" s="263" customFormat="1" x14ac:dyDescent="0.25">
      <c r="A65" s="275"/>
      <c r="B65" s="271"/>
      <c r="C65" s="331"/>
      <c r="D65" s="331"/>
      <c r="E65" s="331"/>
      <c r="F65" s="331"/>
      <c r="G65" s="331"/>
      <c r="H65" s="331"/>
      <c r="I65" s="331"/>
      <c r="J65" s="331"/>
      <c r="K65" s="331"/>
      <c r="L65" s="331"/>
      <c r="M65" s="331"/>
      <c r="N65" s="331"/>
      <c r="O65" s="331"/>
      <c r="P65" s="331"/>
      <c r="Q65" s="331"/>
      <c r="R65" s="331"/>
      <c r="S65" s="274"/>
      <c r="T65" s="262"/>
    </row>
    <row r="66" spans="1:20" s="263" customFormat="1" x14ac:dyDescent="0.25">
      <c r="A66" s="275"/>
      <c r="B66" s="271" t="s">
        <v>17</v>
      </c>
      <c r="C66" s="331"/>
      <c r="D66" s="331"/>
      <c r="E66" s="331"/>
      <c r="F66" s="331"/>
      <c r="G66" s="331"/>
      <c r="H66" s="331"/>
      <c r="I66" s="331"/>
      <c r="J66" s="331"/>
      <c r="K66" s="331"/>
      <c r="L66" s="331"/>
      <c r="M66" s="331"/>
      <c r="N66" s="331"/>
      <c r="O66" s="331"/>
      <c r="P66" s="331"/>
      <c r="Q66" s="331"/>
      <c r="R66" s="331"/>
      <c r="S66" s="274"/>
      <c r="T66" s="262"/>
    </row>
    <row r="67" spans="1:20" s="263" customFormat="1" x14ac:dyDescent="0.25">
      <c r="A67" s="275"/>
      <c r="B67" s="271"/>
      <c r="C67" s="331"/>
      <c r="D67" s="331"/>
      <c r="E67" s="331"/>
      <c r="F67" s="331"/>
      <c r="G67" s="331"/>
      <c r="H67" s="331"/>
      <c r="I67" s="331"/>
      <c r="J67" s="331"/>
      <c r="K67" s="331"/>
      <c r="L67" s="331"/>
      <c r="M67" s="331"/>
      <c r="N67" s="331"/>
      <c r="O67" s="331"/>
      <c r="P67" s="331"/>
      <c r="Q67" s="331"/>
      <c r="R67" s="331"/>
      <c r="S67" s="274"/>
      <c r="T67" s="262"/>
    </row>
    <row r="68" spans="1:20" s="263" customFormat="1" x14ac:dyDescent="0.25">
      <c r="A68" s="275"/>
      <c r="B68" s="271" t="s">
        <v>19</v>
      </c>
      <c r="C68" s="331"/>
      <c r="D68" s="331"/>
      <c r="E68" s="331"/>
      <c r="F68" s="331">
        <v>0</v>
      </c>
      <c r="G68" s="331"/>
      <c r="H68" s="331">
        <v>0</v>
      </c>
      <c r="I68" s="331"/>
      <c r="J68" s="331"/>
      <c r="K68" s="331"/>
      <c r="L68" s="331"/>
      <c r="M68" s="331"/>
      <c r="N68" s="331"/>
      <c r="O68" s="331"/>
      <c r="P68" s="331"/>
      <c r="Q68" s="331"/>
      <c r="R68" s="332">
        <v>0</v>
      </c>
      <c r="S68" s="274"/>
      <c r="T68" s="262"/>
    </row>
    <row r="69" spans="1:20" s="263" customFormat="1" x14ac:dyDescent="0.25">
      <c r="A69" s="275"/>
      <c r="B69" s="271" t="s">
        <v>201</v>
      </c>
      <c r="C69" s="331"/>
      <c r="D69" s="331"/>
      <c r="E69" s="331"/>
      <c r="F69" s="331">
        <v>29550</v>
      </c>
      <c r="G69" s="331"/>
      <c r="H69" s="331">
        <v>0</v>
      </c>
      <c r="I69" s="331"/>
      <c r="J69" s="331">
        <v>0</v>
      </c>
      <c r="K69" s="331"/>
      <c r="L69" s="331">
        <v>0</v>
      </c>
      <c r="M69" s="331"/>
      <c r="N69" s="331"/>
      <c r="O69" s="331"/>
      <c r="P69" s="331"/>
      <c r="Q69" s="331"/>
      <c r="R69" s="331">
        <v>0</v>
      </c>
      <c r="S69" s="274"/>
      <c r="T69" s="262"/>
    </row>
    <row r="70" spans="1:20" s="263" customFormat="1" x14ac:dyDescent="0.25">
      <c r="A70" s="275"/>
      <c r="B70" s="271" t="s">
        <v>240</v>
      </c>
      <c r="C70" s="331"/>
      <c r="D70" s="331"/>
      <c r="E70" s="331"/>
      <c r="F70" s="331">
        <v>3000</v>
      </c>
      <c r="G70" s="331"/>
      <c r="H70" s="331">
        <v>0</v>
      </c>
      <c r="I70" s="331"/>
      <c r="J70" s="331">
        <v>0</v>
      </c>
      <c r="K70" s="331"/>
      <c r="L70" s="331"/>
      <c r="M70" s="331"/>
      <c r="N70" s="331">
        <v>0</v>
      </c>
      <c r="O70" s="331"/>
      <c r="P70" s="331"/>
      <c r="Q70" s="331"/>
      <c r="R70" s="331">
        <f>H70+N70</f>
        <v>0</v>
      </c>
      <c r="S70" s="274"/>
      <c r="T70" s="262"/>
    </row>
    <row r="71" spans="1:20" s="263" customFormat="1" x14ac:dyDescent="0.25">
      <c r="A71" s="275"/>
      <c r="B71" s="271" t="s">
        <v>20</v>
      </c>
      <c r="C71" s="331"/>
      <c r="D71" s="331"/>
      <c r="E71" s="331"/>
      <c r="F71" s="331">
        <v>0</v>
      </c>
      <c r="G71" s="331"/>
      <c r="H71" s="331">
        <v>0</v>
      </c>
      <c r="I71" s="331"/>
      <c r="J71" s="331"/>
      <c r="K71" s="331"/>
      <c r="L71" s="331"/>
      <c r="M71" s="331"/>
      <c r="N71" s="331"/>
      <c r="O71" s="331"/>
      <c r="P71" s="331"/>
      <c r="Q71" s="331"/>
      <c r="R71" s="331">
        <v>0</v>
      </c>
      <c r="S71" s="274"/>
      <c r="T71" s="262"/>
    </row>
    <row r="72" spans="1:20" s="263" customFormat="1" x14ac:dyDescent="0.25">
      <c r="A72" s="275"/>
      <c r="B72" s="271" t="s">
        <v>21</v>
      </c>
      <c r="C72" s="331"/>
      <c r="D72" s="331"/>
      <c r="E72" s="331"/>
      <c r="F72" s="331">
        <f>SUM(F59:F71)</f>
        <v>350000</v>
      </c>
      <c r="G72" s="331"/>
      <c r="H72" s="331">
        <f>SUM(H59:H71)</f>
        <v>117085</v>
      </c>
      <c r="I72" s="331"/>
      <c r="J72" s="331"/>
      <c r="K72" s="331"/>
      <c r="L72" s="331"/>
      <c r="M72" s="331"/>
      <c r="N72" s="331"/>
      <c r="O72" s="331"/>
      <c r="P72" s="331"/>
      <c r="Q72" s="331"/>
      <c r="R72" s="331">
        <f>SUM(R59:R71)</f>
        <v>107327</v>
      </c>
      <c r="S72" s="274"/>
      <c r="T72" s="262"/>
    </row>
    <row r="73" spans="1:20" x14ac:dyDescent="0.25">
      <c r="A73" s="246"/>
      <c r="B73" s="333"/>
      <c r="C73" s="334"/>
      <c r="D73" s="334"/>
      <c r="E73" s="334"/>
      <c r="F73" s="334"/>
      <c r="G73" s="334"/>
      <c r="H73" s="334"/>
      <c r="I73" s="334"/>
      <c r="J73" s="334"/>
      <c r="K73" s="334"/>
      <c r="L73" s="334"/>
      <c r="M73" s="334"/>
      <c r="N73" s="334"/>
      <c r="O73" s="334"/>
      <c r="P73" s="334"/>
      <c r="Q73" s="334"/>
      <c r="R73" s="335"/>
      <c r="S73" s="249"/>
      <c r="T73" s="244"/>
    </row>
    <row r="74" spans="1:20" x14ac:dyDescent="0.25">
      <c r="A74" s="246"/>
      <c r="B74" s="248"/>
      <c r="C74" s="248"/>
      <c r="D74" s="248"/>
      <c r="E74" s="248"/>
      <c r="F74" s="248"/>
      <c r="G74" s="248"/>
      <c r="H74" s="248"/>
      <c r="I74" s="248"/>
      <c r="J74" s="248"/>
      <c r="K74" s="248"/>
      <c r="L74" s="248"/>
      <c r="M74" s="248"/>
      <c r="N74" s="248"/>
      <c r="O74" s="248"/>
      <c r="P74" s="248"/>
      <c r="Q74" s="248"/>
      <c r="R74" s="248"/>
      <c r="S74" s="249"/>
      <c r="T74" s="244"/>
    </row>
    <row r="75" spans="1:20" x14ac:dyDescent="0.25">
      <c r="A75" s="432"/>
      <c r="B75" s="445" t="s">
        <v>22</v>
      </c>
      <c r="C75" s="445"/>
      <c r="D75" s="446"/>
      <c r="E75" s="446"/>
      <c r="F75" s="446"/>
      <c r="G75" s="446"/>
      <c r="H75" s="447" t="s">
        <v>78</v>
      </c>
      <c r="I75" s="446"/>
      <c r="J75" s="448">
        <f>+P191</f>
        <v>43039</v>
      </c>
      <c r="K75" s="446"/>
      <c r="L75" s="446"/>
      <c r="M75" s="446"/>
      <c r="N75" s="446"/>
      <c r="O75" s="446"/>
      <c r="P75" s="446" t="s">
        <v>88</v>
      </c>
      <c r="Q75" s="446"/>
      <c r="R75" s="446" t="s">
        <v>94</v>
      </c>
      <c r="S75" s="434"/>
      <c r="T75" s="244"/>
    </row>
    <row r="76" spans="1:20" s="263" customFormat="1" x14ac:dyDescent="0.25">
      <c r="A76" s="258"/>
      <c r="B76" s="313" t="s">
        <v>23</v>
      </c>
      <c r="C76" s="313"/>
      <c r="D76" s="313"/>
      <c r="E76" s="313"/>
      <c r="F76" s="313"/>
      <c r="G76" s="313"/>
      <c r="H76" s="313"/>
      <c r="I76" s="313"/>
      <c r="J76" s="313"/>
      <c r="K76" s="313"/>
      <c r="L76" s="313"/>
      <c r="M76" s="313"/>
      <c r="N76" s="313"/>
      <c r="O76" s="313"/>
      <c r="P76" s="346">
        <v>0</v>
      </c>
      <c r="Q76" s="313"/>
      <c r="R76" s="416">
        <v>0</v>
      </c>
      <c r="S76" s="261"/>
      <c r="T76" s="262"/>
    </row>
    <row r="77" spans="1:20" s="263" customFormat="1" x14ac:dyDescent="0.25">
      <c r="A77" s="275"/>
      <c r="B77" s="271" t="s">
        <v>246</v>
      </c>
      <c r="C77" s="271"/>
      <c r="D77" s="304"/>
      <c r="E77" s="304"/>
      <c r="F77" s="304"/>
      <c r="G77" s="338"/>
      <c r="H77" s="304"/>
      <c r="I77" s="271"/>
      <c r="J77" s="339"/>
      <c r="K77" s="271"/>
      <c r="L77" s="271"/>
      <c r="M77" s="271"/>
      <c r="N77" s="271"/>
      <c r="O77" s="271"/>
      <c r="P77" s="331">
        <f>-N70</f>
        <v>0</v>
      </c>
      <c r="Q77" s="271"/>
      <c r="R77" s="332"/>
      <c r="S77" s="274"/>
      <c r="T77" s="262"/>
    </row>
    <row r="78" spans="1:20" s="263" customFormat="1" x14ac:dyDescent="0.25">
      <c r="A78" s="275"/>
      <c r="B78" s="271" t="s">
        <v>245</v>
      </c>
      <c r="C78" s="271"/>
      <c r="D78" s="304"/>
      <c r="E78" s="304"/>
      <c r="F78" s="304"/>
      <c r="G78" s="338"/>
      <c r="H78" s="304"/>
      <c r="I78" s="271"/>
      <c r="J78" s="339"/>
      <c r="K78" s="271"/>
      <c r="L78" s="271"/>
      <c r="M78" s="271"/>
      <c r="N78" s="271"/>
      <c r="O78" s="271"/>
      <c r="P78" s="331">
        <v>0</v>
      </c>
      <c r="Q78" s="271"/>
      <c r="R78" s="332"/>
      <c r="S78" s="274"/>
      <c r="T78" s="262"/>
    </row>
    <row r="79" spans="1:20" s="263" customFormat="1" x14ac:dyDescent="0.25">
      <c r="A79" s="275"/>
      <c r="B79" s="271" t="s">
        <v>24</v>
      </c>
      <c r="C79" s="271"/>
      <c r="D79" s="304"/>
      <c r="E79" s="304"/>
      <c r="F79" s="304"/>
      <c r="G79" s="338"/>
      <c r="H79" s="304"/>
      <c r="I79" s="271"/>
      <c r="J79" s="339"/>
      <c r="K79" s="271"/>
      <c r="L79" s="271"/>
      <c r="M79" s="271"/>
      <c r="N79" s="271"/>
      <c r="O79" s="271"/>
      <c r="P79" s="331">
        <f>+J56+L56+P56</f>
        <v>9847</v>
      </c>
      <c r="Q79" s="271"/>
      <c r="R79" s="332"/>
      <c r="S79" s="274"/>
      <c r="T79" s="262"/>
    </row>
    <row r="80" spans="1:20" s="263" customFormat="1" x14ac:dyDescent="0.25">
      <c r="A80" s="275"/>
      <c r="B80" s="271" t="s">
        <v>138</v>
      </c>
      <c r="C80" s="271"/>
      <c r="D80" s="304"/>
      <c r="E80" s="304"/>
      <c r="F80" s="304"/>
      <c r="G80" s="338"/>
      <c r="H80" s="304"/>
      <c r="I80" s="271"/>
      <c r="J80" s="339"/>
      <c r="K80" s="271"/>
      <c r="L80" s="271"/>
      <c r="M80" s="271"/>
      <c r="N80" s="271"/>
      <c r="O80" s="271"/>
      <c r="P80" s="331"/>
      <c r="Q80" s="271"/>
      <c r="R80" s="332">
        <f>1520+23+13-155-7</f>
        <v>1394</v>
      </c>
      <c r="S80" s="274"/>
      <c r="T80" s="262"/>
    </row>
    <row r="81" spans="1:20" s="263" customFormat="1" x14ac:dyDescent="0.25">
      <c r="A81" s="275"/>
      <c r="B81" s="271" t="s">
        <v>136</v>
      </c>
      <c r="C81" s="271"/>
      <c r="D81" s="304"/>
      <c r="E81" s="304"/>
      <c r="F81" s="304"/>
      <c r="G81" s="338"/>
      <c r="H81" s="304"/>
      <c r="I81" s="271"/>
      <c r="J81" s="339"/>
      <c r="K81" s="271"/>
      <c r="L81" s="271"/>
      <c r="M81" s="271"/>
      <c r="N81" s="271"/>
      <c r="O81" s="271"/>
      <c r="P81" s="331"/>
      <c r="Q81" s="271"/>
      <c r="R81" s="332">
        <v>18</v>
      </c>
      <c r="S81" s="274"/>
      <c r="T81" s="262"/>
    </row>
    <row r="82" spans="1:20" s="263" customFormat="1" x14ac:dyDescent="0.25">
      <c r="A82" s="275"/>
      <c r="B82" s="271" t="s">
        <v>137</v>
      </c>
      <c r="C82" s="271"/>
      <c r="D82" s="304"/>
      <c r="E82" s="304"/>
      <c r="F82" s="304"/>
      <c r="G82" s="338"/>
      <c r="H82" s="304"/>
      <c r="I82" s="271"/>
      <c r="J82" s="339"/>
      <c r="K82" s="271"/>
      <c r="L82" s="271"/>
      <c r="M82" s="271"/>
      <c r="N82" s="271"/>
      <c r="O82" s="271"/>
      <c r="P82" s="331"/>
      <c r="Q82" s="271"/>
      <c r="R82" s="332">
        <v>13</v>
      </c>
      <c r="S82" s="274"/>
      <c r="T82" s="262"/>
    </row>
    <row r="83" spans="1:20" s="263" customFormat="1" x14ac:dyDescent="0.25">
      <c r="A83" s="275"/>
      <c r="B83" s="271" t="s">
        <v>146</v>
      </c>
      <c r="C83" s="271"/>
      <c r="D83" s="304"/>
      <c r="E83" s="304"/>
      <c r="F83" s="304"/>
      <c r="G83" s="338"/>
      <c r="H83" s="304"/>
      <c r="I83" s="271"/>
      <c r="J83" s="339"/>
      <c r="K83" s="271"/>
      <c r="L83" s="271"/>
      <c r="M83" s="271"/>
      <c r="N83" s="271"/>
      <c r="O83" s="271"/>
      <c r="P83" s="331"/>
      <c r="Q83" s="271"/>
      <c r="R83" s="332">
        <v>0</v>
      </c>
      <c r="S83" s="274"/>
      <c r="T83" s="262"/>
    </row>
    <row r="84" spans="1:20" s="263" customFormat="1" x14ac:dyDescent="0.25">
      <c r="A84" s="275"/>
      <c r="B84" s="271" t="s">
        <v>148</v>
      </c>
      <c r="C84" s="271"/>
      <c r="D84" s="304"/>
      <c r="E84" s="304"/>
      <c r="F84" s="304"/>
      <c r="G84" s="338"/>
      <c r="H84" s="304"/>
      <c r="I84" s="271"/>
      <c r="J84" s="339"/>
      <c r="K84" s="271"/>
      <c r="L84" s="271"/>
      <c r="M84" s="271"/>
      <c r="N84" s="271"/>
      <c r="O84" s="271"/>
      <c r="P84" s="331"/>
      <c r="Q84" s="271"/>
      <c r="R84" s="332">
        <v>34</v>
      </c>
      <c r="S84" s="274"/>
      <c r="T84" s="262"/>
    </row>
    <row r="85" spans="1:20" s="263" customFormat="1" x14ac:dyDescent="0.25">
      <c r="A85" s="275"/>
      <c r="B85" s="271" t="s">
        <v>170</v>
      </c>
      <c r="C85" s="271"/>
      <c r="D85" s="304"/>
      <c r="E85" s="304"/>
      <c r="F85" s="304"/>
      <c r="G85" s="338"/>
      <c r="H85" s="304"/>
      <c r="I85" s="271"/>
      <c r="J85" s="339"/>
      <c r="K85" s="271"/>
      <c r="L85" s="271"/>
      <c r="M85" s="271"/>
      <c r="N85" s="271"/>
      <c r="O85" s="271"/>
      <c r="P85" s="331"/>
      <c r="Q85" s="271"/>
      <c r="R85" s="332">
        <v>0</v>
      </c>
      <c r="S85" s="274"/>
      <c r="T85" s="262"/>
    </row>
    <row r="86" spans="1:20" s="263" customFormat="1" x14ac:dyDescent="0.25">
      <c r="A86" s="275"/>
      <c r="B86" s="271" t="s">
        <v>171</v>
      </c>
      <c r="C86" s="271"/>
      <c r="D86" s="304"/>
      <c r="E86" s="304"/>
      <c r="F86" s="304"/>
      <c r="G86" s="338"/>
      <c r="H86" s="304"/>
      <c r="I86" s="271"/>
      <c r="J86" s="339"/>
      <c r="K86" s="271"/>
      <c r="L86" s="271"/>
      <c r="M86" s="271"/>
      <c r="N86" s="271"/>
      <c r="O86" s="271"/>
      <c r="P86" s="331"/>
      <c r="Q86" s="271"/>
      <c r="R86" s="332">
        <v>0</v>
      </c>
      <c r="S86" s="274"/>
      <c r="T86" s="262"/>
    </row>
    <row r="87" spans="1:20" s="263" customFormat="1" x14ac:dyDescent="0.25">
      <c r="A87" s="275"/>
      <c r="B87" s="271" t="s">
        <v>172</v>
      </c>
      <c r="C87" s="271"/>
      <c r="D87" s="271"/>
      <c r="E87" s="271"/>
      <c r="F87" s="271"/>
      <c r="G87" s="271"/>
      <c r="H87" s="271"/>
      <c r="I87" s="271"/>
      <c r="J87" s="271"/>
      <c r="K87" s="271"/>
      <c r="L87" s="271"/>
      <c r="M87" s="271"/>
      <c r="N87" s="271"/>
      <c r="O87" s="271"/>
      <c r="P87" s="331"/>
      <c r="Q87" s="271"/>
      <c r="R87" s="332">
        <v>0</v>
      </c>
      <c r="S87" s="274"/>
      <c r="T87" s="262"/>
    </row>
    <row r="88" spans="1:20" s="263" customFormat="1" x14ac:dyDescent="0.25">
      <c r="A88" s="275"/>
      <c r="B88" s="271" t="s">
        <v>218</v>
      </c>
      <c r="C88" s="271"/>
      <c r="D88" s="271"/>
      <c r="E88" s="271"/>
      <c r="F88" s="271"/>
      <c r="G88" s="271"/>
      <c r="H88" s="271"/>
      <c r="I88" s="271"/>
      <c r="J88" s="271"/>
      <c r="K88" s="271"/>
      <c r="L88" s="271"/>
      <c r="M88" s="271"/>
      <c r="N88" s="271"/>
      <c r="O88" s="271"/>
      <c r="P88" s="331"/>
      <c r="Q88" s="271"/>
      <c r="R88" s="332">
        <v>0</v>
      </c>
      <c r="S88" s="274"/>
      <c r="T88" s="262"/>
    </row>
    <row r="89" spans="1:20" s="263" customFormat="1" x14ac:dyDescent="0.25">
      <c r="A89" s="275"/>
      <c r="B89" s="271" t="s">
        <v>25</v>
      </c>
      <c r="C89" s="271"/>
      <c r="D89" s="271"/>
      <c r="E89" s="271"/>
      <c r="F89" s="271"/>
      <c r="G89" s="271"/>
      <c r="H89" s="271"/>
      <c r="I89" s="271"/>
      <c r="J89" s="271"/>
      <c r="K89" s="271"/>
      <c r="L89" s="271"/>
      <c r="M89" s="271"/>
      <c r="N89" s="271"/>
      <c r="O89" s="271"/>
      <c r="P89" s="331">
        <f>SUM(P76:P88)</f>
        <v>9847</v>
      </c>
      <c r="Q89" s="271"/>
      <c r="R89" s="331">
        <f>SUM(R76:R88)</f>
        <v>1459</v>
      </c>
      <c r="S89" s="274"/>
      <c r="T89" s="262"/>
    </row>
    <row r="90" spans="1:20" s="263" customFormat="1" x14ac:dyDescent="0.25">
      <c r="A90" s="275"/>
      <c r="B90" s="271" t="s">
        <v>26</v>
      </c>
      <c r="C90" s="271"/>
      <c r="D90" s="271"/>
      <c r="E90" s="271"/>
      <c r="F90" s="271"/>
      <c r="G90" s="271"/>
      <c r="H90" s="271"/>
      <c r="I90" s="271"/>
      <c r="J90" s="271"/>
      <c r="K90" s="271"/>
      <c r="L90" s="271"/>
      <c r="M90" s="271"/>
      <c r="N90" s="271"/>
      <c r="O90" s="271"/>
      <c r="P90" s="331">
        <f>-R90</f>
        <v>0</v>
      </c>
      <c r="Q90" s="271"/>
      <c r="R90" s="332">
        <v>0</v>
      </c>
      <c r="S90" s="274"/>
      <c r="T90" s="262"/>
    </row>
    <row r="91" spans="1:20" s="263" customFormat="1" x14ac:dyDescent="0.25">
      <c r="A91" s="275"/>
      <c r="B91" s="271" t="s">
        <v>153</v>
      </c>
      <c r="C91" s="271"/>
      <c r="D91" s="271"/>
      <c r="E91" s="271"/>
      <c r="F91" s="271"/>
      <c r="G91" s="271"/>
      <c r="H91" s="271"/>
      <c r="I91" s="271"/>
      <c r="J91" s="271"/>
      <c r="K91" s="271"/>
      <c r="L91" s="271"/>
      <c r="M91" s="271"/>
      <c r="N91" s="271"/>
      <c r="O91" s="271"/>
      <c r="P91" s="331"/>
      <c r="Q91" s="271"/>
      <c r="R91" s="332">
        <v>0</v>
      </c>
      <c r="S91" s="274"/>
      <c r="T91" s="262"/>
    </row>
    <row r="92" spans="1:20" s="263" customFormat="1" x14ac:dyDescent="0.25">
      <c r="A92" s="275"/>
      <c r="B92" s="271" t="s">
        <v>27</v>
      </c>
      <c r="C92" s="271"/>
      <c r="D92" s="271"/>
      <c r="E92" s="271"/>
      <c r="F92" s="271"/>
      <c r="G92" s="271"/>
      <c r="H92" s="271"/>
      <c r="I92" s="271"/>
      <c r="J92" s="271"/>
      <c r="K92" s="271"/>
      <c r="L92" s="271"/>
      <c r="M92" s="271"/>
      <c r="N92" s="271"/>
      <c r="O92" s="271"/>
      <c r="P92" s="331">
        <f>P89+P90</f>
        <v>9847</v>
      </c>
      <c r="Q92" s="271"/>
      <c r="R92" s="331">
        <f>R89+R90+R91</f>
        <v>1459</v>
      </c>
      <c r="S92" s="274"/>
      <c r="T92" s="262"/>
    </row>
    <row r="93" spans="1:20" x14ac:dyDescent="0.25">
      <c r="A93" s="290"/>
      <c r="B93" s="340" t="s">
        <v>28</v>
      </c>
      <c r="C93" s="296"/>
      <c r="D93" s="296"/>
      <c r="E93" s="296"/>
      <c r="F93" s="296"/>
      <c r="G93" s="296"/>
      <c r="H93" s="296"/>
      <c r="I93" s="296"/>
      <c r="J93" s="296"/>
      <c r="K93" s="296"/>
      <c r="L93" s="296"/>
      <c r="M93" s="296"/>
      <c r="N93" s="296"/>
      <c r="O93" s="296"/>
      <c r="P93" s="341"/>
      <c r="Q93" s="342"/>
      <c r="R93" s="343"/>
      <c r="S93" s="298"/>
      <c r="T93" s="244"/>
    </row>
    <row r="94" spans="1:20" s="263" customFormat="1" x14ac:dyDescent="0.25">
      <c r="A94" s="275">
        <v>1</v>
      </c>
      <c r="B94" s="271" t="s">
        <v>182</v>
      </c>
      <c r="C94" s="271"/>
      <c r="D94" s="271"/>
      <c r="E94" s="271"/>
      <c r="F94" s="271"/>
      <c r="G94" s="271"/>
      <c r="H94" s="271"/>
      <c r="I94" s="271"/>
      <c r="J94" s="271"/>
      <c r="K94" s="271"/>
      <c r="L94" s="271"/>
      <c r="M94" s="271"/>
      <c r="N94" s="271"/>
      <c r="O94" s="271"/>
      <c r="P94" s="331"/>
      <c r="Q94" s="271"/>
      <c r="R94" s="332">
        <v>0</v>
      </c>
      <c r="S94" s="274"/>
      <c r="T94" s="262"/>
    </row>
    <row r="95" spans="1:20" s="263" customFormat="1" x14ac:dyDescent="0.25">
      <c r="A95" s="275">
        <v>2</v>
      </c>
      <c r="B95" s="271" t="s">
        <v>230</v>
      </c>
      <c r="C95" s="271"/>
      <c r="D95" s="271"/>
      <c r="E95" s="271"/>
      <c r="F95" s="271"/>
      <c r="G95" s="271"/>
      <c r="H95" s="271"/>
      <c r="I95" s="271"/>
      <c r="J95" s="271"/>
      <c r="K95" s="271"/>
      <c r="L95" s="271"/>
      <c r="M95" s="271"/>
      <c r="N95" s="271"/>
      <c r="O95" s="271"/>
      <c r="P95" s="271"/>
      <c r="Q95" s="271"/>
      <c r="R95" s="332">
        <v>-3</v>
      </c>
      <c r="S95" s="274"/>
      <c r="T95" s="262"/>
    </row>
    <row r="96" spans="1:20" s="263" customFormat="1" x14ac:dyDescent="0.25">
      <c r="A96" s="275">
        <v>3</v>
      </c>
      <c r="B96" s="271" t="s">
        <v>259</v>
      </c>
      <c r="C96" s="271"/>
      <c r="D96" s="271"/>
      <c r="E96" s="271"/>
      <c r="F96" s="271"/>
      <c r="G96" s="271"/>
      <c r="H96" s="271"/>
      <c r="I96" s="271"/>
      <c r="J96" s="271"/>
      <c r="K96" s="271"/>
      <c r="L96" s="271"/>
      <c r="M96" s="271"/>
      <c r="N96" s="271"/>
      <c r="O96" s="271"/>
      <c r="P96" s="271"/>
      <c r="Q96" s="271"/>
      <c r="R96" s="332">
        <f>-44-13-3</f>
        <v>-60</v>
      </c>
      <c r="S96" s="274"/>
      <c r="T96" s="262"/>
    </row>
    <row r="97" spans="1:21" s="263" customFormat="1" x14ac:dyDescent="0.25">
      <c r="A97" s="275">
        <v>4</v>
      </c>
      <c r="B97" s="271" t="s">
        <v>97</v>
      </c>
      <c r="C97" s="271"/>
      <c r="D97" s="271"/>
      <c r="E97" s="271"/>
      <c r="F97" s="271"/>
      <c r="G97" s="271"/>
      <c r="H97" s="271"/>
      <c r="I97" s="271"/>
      <c r="J97" s="271"/>
      <c r="K97" s="271"/>
      <c r="L97" s="271"/>
      <c r="M97" s="271"/>
      <c r="N97" s="271"/>
      <c r="O97" s="271"/>
      <c r="P97" s="271"/>
      <c r="Q97" s="271"/>
      <c r="R97" s="332">
        <v>-18</v>
      </c>
      <c r="S97" s="274"/>
      <c r="T97" s="262"/>
    </row>
    <row r="98" spans="1:21" s="263" customFormat="1" x14ac:dyDescent="0.25">
      <c r="A98" s="275">
        <v>5</v>
      </c>
      <c r="B98" s="271" t="s">
        <v>160</v>
      </c>
      <c r="C98" s="271"/>
      <c r="D98" s="271"/>
      <c r="E98" s="271"/>
      <c r="F98" s="271"/>
      <c r="G98" s="271"/>
      <c r="H98" s="271"/>
      <c r="I98" s="271"/>
      <c r="J98" s="271"/>
      <c r="K98" s="271"/>
      <c r="L98" s="271"/>
      <c r="M98" s="271"/>
      <c r="N98" s="271"/>
      <c r="O98" s="271"/>
      <c r="P98" s="271"/>
      <c r="Q98" s="271"/>
      <c r="R98" s="332">
        <v>-208</v>
      </c>
      <c r="S98" s="274"/>
      <c r="T98" s="262"/>
      <c r="U98" s="344"/>
    </row>
    <row r="99" spans="1:21" s="263" customFormat="1" x14ac:dyDescent="0.25">
      <c r="A99" s="275">
        <v>6</v>
      </c>
      <c r="B99" s="271" t="s">
        <v>195</v>
      </c>
      <c r="C99" s="271"/>
      <c r="D99" s="271"/>
      <c r="E99" s="271"/>
      <c r="F99" s="271"/>
      <c r="G99" s="271"/>
      <c r="H99" s="271"/>
      <c r="I99" s="271"/>
      <c r="J99" s="271"/>
      <c r="K99" s="271"/>
      <c r="L99" s="271"/>
      <c r="M99" s="271"/>
      <c r="N99" s="271"/>
      <c r="O99" s="271"/>
      <c r="P99" s="271"/>
      <c r="Q99" s="271"/>
      <c r="R99" s="332">
        <v>-77</v>
      </c>
      <c r="S99" s="274"/>
      <c r="T99" s="262"/>
      <c r="U99" s="344"/>
    </row>
    <row r="100" spans="1:21" s="263" customFormat="1" x14ac:dyDescent="0.25">
      <c r="A100" s="275">
        <v>8</v>
      </c>
      <c r="B100" s="271" t="s">
        <v>161</v>
      </c>
      <c r="C100" s="271"/>
      <c r="D100" s="271"/>
      <c r="E100" s="271"/>
      <c r="F100" s="271"/>
      <c r="G100" s="271"/>
      <c r="H100" s="271"/>
      <c r="I100" s="271"/>
      <c r="J100" s="271"/>
      <c r="K100" s="271"/>
      <c r="L100" s="271"/>
      <c r="M100" s="271"/>
      <c r="N100" s="271"/>
      <c r="O100" s="271"/>
      <c r="P100" s="271"/>
      <c r="Q100" s="271"/>
      <c r="R100" s="332">
        <v>0</v>
      </c>
      <c r="S100" s="274"/>
      <c r="T100" s="262"/>
      <c r="U100" s="344"/>
    </row>
    <row r="101" spans="1:21" s="263" customFormat="1" x14ac:dyDescent="0.25">
      <c r="A101" s="275">
        <v>9</v>
      </c>
      <c r="B101" s="271" t="s">
        <v>37</v>
      </c>
      <c r="C101" s="271"/>
      <c r="D101" s="271"/>
      <c r="E101" s="271"/>
      <c r="F101" s="271"/>
      <c r="G101" s="271"/>
      <c r="H101" s="271"/>
      <c r="I101" s="271"/>
      <c r="J101" s="271"/>
      <c r="K101" s="271"/>
      <c r="L101" s="271"/>
      <c r="M101" s="271"/>
      <c r="N101" s="271"/>
      <c r="O101" s="271"/>
      <c r="P101" s="331">
        <f>-R101</f>
        <v>0</v>
      </c>
      <c r="Q101" s="271"/>
      <c r="R101" s="332">
        <v>0</v>
      </c>
      <c r="S101" s="274"/>
      <c r="T101" s="262"/>
    </row>
    <row r="102" spans="1:21" s="263" customFormat="1" x14ac:dyDescent="0.25">
      <c r="A102" s="275">
        <v>10</v>
      </c>
      <c r="B102" s="271" t="s">
        <v>102</v>
      </c>
      <c r="C102" s="271"/>
      <c r="D102" s="271"/>
      <c r="E102" s="271"/>
      <c r="F102" s="271"/>
      <c r="G102" s="271"/>
      <c r="H102" s="271"/>
      <c r="I102" s="271"/>
      <c r="J102" s="271"/>
      <c r="K102" s="271"/>
      <c r="L102" s="271"/>
      <c r="M102" s="271"/>
      <c r="N102" s="271"/>
      <c r="O102" s="271"/>
      <c r="P102" s="271"/>
      <c r="Q102" s="271"/>
      <c r="R102" s="332">
        <v>0</v>
      </c>
      <c r="S102" s="274"/>
      <c r="T102" s="262"/>
    </row>
    <row r="103" spans="1:21" s="263" customFormat="1" x14ac:dyDescent="0.25">
      <c r="A103" s="275">
        <v>11</v>
      </c>
      <c r="B103" s="271" t="s">
        <v>29</v>
      </c>
      <c r="C103" s="271"/>
      <c r="D103" s="271"/>
      <c r="E103" s="271"/>
      <c r="F103" s="271"/>
      <c r="G103" s="271"/>
      <c r="H103" s="271"/>
      <c r="I103" s="271"/>
      <c r="J103" s="271"/>
      <c r="K103" s="271"/>
      <c r="L103" s="271"/>
      <c r="M103" s="271"/>
      <c r="N103" s="271"/>
      <c r="O103" s="271"/>
      <c r="P103" s="271"/>
      <c r="Q103" s="271"/>
      <c r="R103" s="332">
        <v>-25</v>
      </c>
      <c r="S103" s="274"/>
      <c r="T103" s="262"/>
    </row>
    <row r="104" spans="1:21" s="263" customFormat="1" x14ac:dyDescent="0.25">
      <c r="A104" s="275">
        <v>12</v>
      </c>
      <c r="B104" s="271" t="s">
        <v>141</v>
      </c>
      <c r="C104" s="271"/>
      <c r="D104" s="271"/>
      <c r="E104" s="271"/>
      <c r="F104" s="271"/>
      <c r="G104" s="271"/>
      <c r="H104" s="271"/>
      <c r="I104" s="271"/>
      <c r="J104" s="271"/>
      <c r="K104" s="271"/>
      <c r="L104" s="271"/>
      <c r="M104" s="271"/>
      <c r="N104" s="271"/>
      <c r="O104" s="271"/>
      <c r="P104" s="271"/>
      <c r="Q104" s="271"/>
      <c r="R104" s="332">
        <v>0</v>
      </c>
      <c r="S104" s="274"/>
      <c r="T104" s="262"/>
    </row>
    <row r="105" spans="1:21" s="263" customFormat="1" x14ac:dyDescent="0.25">
      <c r="A105" s="275">
        <v>13</v>
      </c>
      <c r="B105" s="271" t="s">
        <v>196</v>
      </c>
      <c r="C105" s="271"/>
      <c r="D105" s="271"/>
      <c r="E105" s="271"/>
      <c r="F105" s="271"/>
      <c r="G105" s="271"/>
      <c r="H105" s="271"/>
      <c r="I105" s="271"/>
      <c r="J105" s="271"/>
      <c r="K105" s="271"/>
      <c r="L105" s="271"/>
      <c r="M105" s="271"/>
      <c r="N105" s="271"/>
      <c r="O105" s="271"/>
      <c r="P105" s="271"/>
      <c r="Q105" s="271"/>
      <c r="R105" s="332">
        <v>-29</v>
      </c>
      <c r="S105" s="274"/>
      <c r="T105" s="262"/>
    </row>
    <row r="106" spans="1:21" s="263" customFormat="1" x14ac:dyDescent="0.25">
      <c r="A106" s="275">
        <v>14</v>
      </c>
      <c r="B106" s="271" t="s">
        <v>162</v>
      </c>
      <c r="C106" s="271"/>
      <c r="D106" s="271"/>
      <c r="E106" s="271"/>
      <c r="F106" s="271"/>
      <c r="G106" s="271"/>
      <c r="H106" s="271"/>
      <c r="I106" s="271"/>
      <c r="J106" s="271"/>
      <c r="K106" s="271"/>
      <c r="L106" s="271"/>
      <c r="M106" s="271"/>
      <c r="N106" s="271"/>
      <c r="O106" s="271"/>
      <c r="P106" s="271"/>
      <c r="Q106" s="271"/>
      <c r="R106" s="332">
        <v>0</v>
      </c>
      <c r="S106" s="274"/>
      <c r="T106" s="262"/>
    </row>
    <row r="107" spans="1:21" s="263" customFormat="1" x14ac:dyDescent="0.25">
      <c r="A107" s="275">
        <v>15</v>
      </c>
      <c r="B107" s="271" t="s">
        <v>222</v>
      </c>
      <c r="C107" s="271"/>
      <c r="D107" s="271"/>
      <c r="E107" s="271"/>
      <c r="F107" s="271"/>
      <c r="G107" s="271"/>
      <c r="H107" s="271"/>
      <c r="I107" s="271"/>
      <c r="J107" s="271"/>
      <c r="K107" s="271"/>
      <c r="L107" s="271"/>
      <c r="M107" s="271"/>
      <c r="N107" s="271"/>
      <c r="O107" s="271"/>
      <c r="P107" s="271"/>
      <c r="Q107" s="271"/>
      <c r="R107" s="332">
        <v>-44</v>
      </c>
      <c r="S107" s="274"/>
      <c r="T107" s="262"/>
    </row>
    <row r="108" spans="1:21" s="263" customFormat="1" x14ac:dyDescent="0.25">
      <c r="A108" s="275">
        <v>16</v>
      </c>
      <c r="B108" s="271" t="s">
        <v>173</v>
      </c>
      <c r="C108" s="271"/>
      <c r="D108" s="271"/>
      <c r="E108" s="271"/>
      <c r="F108" s="271"/>
      <c r="G108" s="271"/>
      <c r="H108" s="271"/>
      <c r="I108" s="271"/>
      <c r="J108" s="271"/>
      <c r="K108" s="271"/>
      <c r="L108" s="271"/>
      <c r="M108" s="271"/>
      <c r="N108" s="271"/>
      <c r="O108" s="271"/>
      <c r="P108" s="271"/>
      <c r="Q108" s="271"/>
      <c r="R108" s="332">
        <f>-8-164</f>
        <v>-172</v>
      </c>
      <c r="S108" s="274"/>
      <c r="T108" s="262"/>
    </row>
    <row r="109" spans="1:21" s="263" customFormat="1" x14ac:dyDescent="0.25">
      <c r="A109" s="275">
        <v>17</v>
      </c>
      <c r="B109" s="271" t="s">
        <v>178</v>
      </c>
      <c r="C109" s="271"/>
      <c r="D109" s="271"/>
      <c r="E109" s="271"/>
      <c r="F109" s="271"/>
      <c r="G109" s="271"/>
      <c r="H109" s="271"/>
      <c r="I109" s="271"/>
      <c r="J109" s="271"/>
      <c r="K109" s="271"/>
      <c r="L109" s="271"/>
      <c r="M109" s="271"/>
      <c r="N109" s="271"/>
      <c r="O109" s="271"/>
      <c r="P109" s="271"/>
      <c r="Q109" s="271"/>
      <c r="R109" s="332">
        <f>-R92-SUM(R94:R108)</f>
        <v>-823</v>
      </c>
      <c r="S109" s="274"/>
      <c r="T109" s="262"/>
    </row>
    <row r="110" spans="1:21" s="263" customFormat="1" x14ac:dyDescent="0.25">
      <c r="A110" s="275">
        <v>18</v>
      </c>
      <c r="B110" s="271" t="s">
        <v>179</v>
      </c>
      <c r="C110" s="271"/>
      <c r="D110" s="271"/>
      <c r="E110" s="271"/>
      <c r="F110" s="271"/>
      <c r="G110" s="271"/>
      <c r="H110" s="271"/>
      <c r="I110" s="271"/>
      <c r="J110" s="271"/>
      <c r="K110" s="271"/>
      <c r="L110" s="271"/>
      <c r="M110" s="271"/>
      <c r="N110" s="271"/>
      <c r="O110" s="271"/>
      <c r="P110" s="331">
        <f>-R110</f>
        <v>0</v>
      </c>
      <c r="Q110" s="271"/>
      <c r="R110" s="332">
        <v>0</v>
      </c>
      <c r="S110" s="274"/>
      <c r="T110" s="262"/>
    </row>
    <row r="111" spans="1:21" x14ac:dyDescent="0.25">
      <c r="A111" s="290"/>
      <c r="B111" s="340" t="s">
        <v>30</v>
      </c>
      <c r="C111" s="296"/>
      <c r="D111" s="296"/>
      <c r="E111" s="296"/>
      <c r="F111" s="296"/>
      <c r="G111" s="296"/>
      <c r="H111" s="296"/>
      <c r="I111" s="296"/>
      <c r="J111" s="296"/>
      <c r="K111" s="296"/>
      <c r="L111" s="296"/>
      <c r="M111" s="296"/>
      <c r="N111" s="296"/>
      <c r="O111" s="296"/>
      <c r="P111" s="342"/>
      <c r="Q111" s="342"/>
      <c r="R111" s="345"/>
      <c r="S111" s="298"/>
      <c r="T111" s="244"/>
    </row>
    <row r="112" spans="1:21" s="263" customFormat="1" x14ac:dyDescent="0.25">
      <c r="A112" s="275"/>
      <c r="B112" s="271" t="s">
        <v>223</v>
      </c>
      <c r="C112" s="271"/>
      <c r="D112" s="271"/>
      <c r="E112" s="271"/>
      <c r="F112" s="271"/>
      <c r="G112" s="271"/>
      <c r="H112" s="271"/>
      <c r="I112" s="271"/>
      <c r="J112" s="271"/>
      <c r="K112" s="271"/>
      <c r="L112" s="271"/>
      <c r="M112" s="271"/>
      <c r="N112" s="271"/>
      <c r="O112" s="271"/>
      <c r="P112" s="331">
        <f>-P175</f>
        <v>0</v>
      </c>
      <c r="Q112" s="331"/>
      <c r="R112" s="332"/>
      <c r="S112" s="274"/>
      <c r="T112" s="262"/>
    </row>
    <row r="113" spans="1:20" s="263" customFormat="1" x14ac:dyDescent="0.25">
      <c r="A113" s="275"/>
      <c r="B113" s="271" t="s">
        <v>224</v>
      </c>
      <c r="C113" s="271"/>
      <c r="D113" s="271"/>
      <c r="E113" s="271"/>
      <c r="F113" s="271"/>
      <c r="G113" s="271"/>
      <c r="H113" s="271"/>
      <c r="I113" s="271"/>
      <c r="J113" s="271"/>
      <c r="K113" s="271"/>
      <c r="L113" s="271"/>
      <c r="M113" s="271"/>
      <c r="N113" s="271"/>
      <c r="O113" s="271"/>
      <c r="P113" s="331">
        <f>-O175</f>
        <v>-89</v>
      </c>
      <c r="Q113" s="331"/>
      <c r="R113" s="332"/>
      <c r="S113" s="274"/>
      <c r="T113" s="262"/>
    </row>
    <row r="114" spans="1:20" s="263" customFormat="1" x14ac:dyDescent="0.25">
      <c r="A114" s="275"/>
      <c r="B114" s="271" t="s">
        <v>163</v>
      </c>
      <c r="C114" s="271"/>
      <c r="D114" s="271"/>
      <c r="E114" s="271"/>
      <c r="F114" s="271"/>
      <c r="G114" s="271"/>
      <c r="H114" s="271"/>
      <c r="I114" s="271"/>
      <c r="J114" s="271"/>
      <c r="K114" s="271"/>
      <c r="L114" s="271"/>
      <c r="M114" s="271"/>
      <c r="N114" s="271"/>
      <c r="O114" s="271"/>
      <c r="P114" s="331">
        <v>-9758</v>
      </c>
      <c r="Q114" s="331"/>
      <c r="R114" s="332"/>
      <c r="S114" s="274"/>
      <c r="T114" s="262"/>
    </row>
    <row r="115" spans="1:20" s="263" customFormat="1" x14ac:dyDescent="0.25">
      <c r="A115" s="275"/>
      <c r="B115" s="271" t="s">
        <v>187</v>
      </c>
      <c r="C115" s="271"/>
      <c r="D115" s="271"/>
      <c r="E115" s="271"/>
      <c r="F115" s="271"/>
      <c r="G115" s="271"/>
      <c r="H115" s="271"/>
      <c r="I115" s="271"/>
      <c r="J115" s="271"/>
      <c r="K115" s="271"/>
      <c r="L115" s="271"/>
      <c r="M115" s="271"/>
      <c r="N115" s="271"/>
      <c r="O115" s="271"/>
      <c r="P115" s="331">
        <v>0</v>
      </c>
      <c r="Q115" s="331"/>
      <c r="R115" s="332"/>
      <c r="S115" s="274"/>
      <c r="T115" s="262"/>
    </row>
    <row r="116" spans="1:20" s="263" customFormat="1" x14ac:dyDescent="0.25">
      <c r="A116" s="275"/>
      <c r="B116" s="271" t="s">
        <v>188</v>
      </c>
      <c r="C116" s="271"/>
      <c r="D116" s="271"/>
      <c r="E116" s="271"/>
      <c r="F116" s="271"/>
      <c r="G116" s="271"/>
      <c r="H116" s="271"/>
      <c r="I116" s="271"/>
      <c r="J116" s="271"/>
      <c r="K116" s="271"/>
      <c r="L116" s="271"/>
      <c r="M116" s="271"/>
      <c r="N116" s="271"/>
      <c r="O116" s="271"/>
      <c r="P116" s="331">
        <v>0</v>
      </c>
      <c r="Q116" s="331"/>
      <c r="R116" s="332"/>
      <c r="S116" s="274"/>
      <c r="T116" s="262"/>
    </row>
    <row r="117" spans="1:20" s="263" customFormat="1" x14ac:dyDescent="0.25">
      <c r="A117" s="275"/>
      <c r="B117" s="271" t="s">
        <v>31</v>
      </c>
      <c r="C117" s="271"/>
      <c r="D117" s="271"/>
      <c r="E117" s="271"/>
      <c r="F117" s="271"/>
      <c r="G117" s="271"/>
      <c r="H117" s="271"/>
      <c r="I117" s="271"/>
      <c r="J117" s="271"/>
      <c r="K117" s="271"/>
      <c r="L117" s="271"/>
      <c r="M117" s="271"/>
      <c r="N117" s="271"/>
      <c r="O117" s="271"/>
      <c r="P117" s="331">
        <f>SUM(P112:P116)</f>
        <v>-9847</v>
      </c>
      <c r="Q117" s="331"/>
      <c r="R117" s="331">
        <f>SUM(R93:R116)</f>
        <v>-1459</v>
      </c>
      <c r="S117" s="274"/>
      <c r="T117" s="262"/>
    </row>
    <row r="118" spans="1:20" s="263" customFormat="1" x14ac:dyDescent="0.25">
      <c r="A118" s="275"/>
      <c r="B118" s="271" t="s">
        <v>32</v>
      </c>
      <c r="C118" s="271"/>
      <c r="D118" s="271"/>
      <c r="E118" s="271"/>
      <c r="F118" s="271"/>
      <c r="G118" s="271"/>
      <c r="H118" s="271"/>
      <c r="I118" s="271"/>
      <c r="J118" s="271"/>
      <c r="K118" s="271"/>
      <c r="L118" s="271"/>
      <c r="M118" s="271"/>
      <c r="N118" s="271"/>
      <c r="O118" s="271"/>
      <c r="P118" s="331">
        <f>P92+P117+P101+P110</f>
        <v>0</v>
      </c>
      <c r="Q118" s="331"/>
      <c r="R118" s="331">
        <f>R92+R117</f>
        <v>0</v>
      </c>
      <c r="S118" s="274"/>
      <c r="T118" s="262"/>
    </row>
    <row r="119" spans="1:20" s="263" customFormat="1" x14ac:dyDescent="0.25">
      <c r="A119" s="258"/>
      <c r="B119" s="313"/>
      <c r="C119" s="313"/>
      <c r="D119" s="313"/>
      <c r="E119" s="313"/>
      <c r="F119" s="313"/>
      <c r="G119" s="313"/>
      <c r="H119" s="313"/>
      <c r="I119" s="313"/>
      <c r="J119" s="313"/>
      <c r="K119" s="313"/>
      <c r="L119" s="313"/>
      <c r="M119" s="313"/>
      <c r="N119" s="313"/>
      <c r="O119" s="313"/>
      <c r="P119" s="346"/>
      <c r="Q119" s="346"/>
      <c r="R119" s="346"/>
      <c r="S119" s="261"/>
      <c r="T119" s="262"/>
    </row>
    <row r="120" spans="1:20" s="263" customFormat="1" x14ac:dyDescent="0.25">
      <c r="A120" s="258"/>
      <c r="B120" s="259"/>
      <c r="C120" s="259"/>
      <c r="D120" s="259"/>
      <c r="E120" s="259"/>
      <c r="F120" s="259"/>
      <c r="G120" s="259"/>
      <c r="H120" s="259"/>
      <c r="I120" s="259"/>
      <c r="J120" s="259"/>
      <c r="K120" s="259"/>
      <c r="L120" s="259"/>
      <c r="M120" s="259"/>
      <c r="N120" s="259"/>
      <c r="O120" s="259"/>
      <c r="P120" s="259"/>
      <c r="Q120" s="259"/>
      <c r="R120" s="347"/>
      <c r="S120" s="261"/>
      <c r="T120" s="262"/>
    </row>
    <row r="121" spans="1:20" s="263" customFormat="1" ht="19.5" thickBot="1" x14ac:dyDescent="0.35">
      <c r="A121" s="318"/>
      <c r="B121" s="319" t="str">
        <f>B52</f>
        <v>PM20 INVESTOR REPORT QUARTER ENDING OCTOBER 2017</v>
      </c>
      <c r="C121" s="320"/>
      <c r="D121" s="320"/>
      <c r="E121" s="320"/>
      <c r="F121" s="320"/>
      <c r="G121" s="320"/>
      <c r="H121" s="320"/>
      <c r="I121" s="320"/>
      <c r="J121" s="320"/>
      <c r="K121" s="320"/>
      <c r="L121" s="320"/>
      <c r="M121" s="320"/>
      <c r="N121" s="320"/>
      <c r="O121" s="320"/>
      <c r="P121" s="320"/>
      <c r="Q121" s="320"/>
      <c r="R121" s="348"/>
      <c r="S121" s="322"/>
      <c r="T121" s="262"/>
    </row>
    <row r="122" spans="1:20" x14ac:dyDescent="0.25">
      <c r="A122" s="449"/>
      <c r="B122" s="450" t="s">
        <v>33</v>
      </c>
      <c r="C122" s="451"/>
      <c r="D122" s="451"/>
      <c r="E122" s="451"/>
      <c r="F122" s="451"/>
      <c r="G122" s="451"/>
      <c r="H122" s="451"/>
      <c r="I122" s="451"/>
      <c r="J122" s="451"/>
      <c r="K122" s="451"/>
      <c r="L122" s="451"/>
      <c r="M122" s="451"/>
      <c r="N122" s="451"/>
      <c r="O122" s="451"/>
      <c r="P122" s="451"/>
      <c r="Q122" s="451"/>
      <c r="R122" s="452"/>
      <c r="S122" s="453"/>
      <c r="T122" s="244"/>
    </row>
    <row r="123" spans="1:20" x14ac:dyDescent="0.25">
      <c r="A123" s="246"/>
      <c r="B123" s="349"/>
      <c r="C123" s="248"/>
      <c r="D123" s="248"/>
      <c r="E123" s="248"/>
      <c r="F123" s="248"/>
      <c r="G123" s="248"/>
      <c r="H123" s="248"/>
      <c r="I123" s="248"/>
      <c r="J123" s="248"/>
      <c r="K123" s="248"/>
      <c r="L123" s="248"/>
      <c r="M123" s="248"/>
      <c r="N123" s="248"/>
      <c r="O123" s="248"/>
      <c r="P123" s="248"/>
      <c r="Q123" s="248"/>
      <c r="R123" s="323"/>
      <c r="S123" s="249"/>
      <c r="T123" s="244"/>
    </row>
    <row r="124" spans="1:20" x14ac:dyDescent="0.25">
      <c r="A124" s="246"/>
      <c r="B124" s="350" t="s">
        <v>34</v>
      </c>
      <c r="C124" s="248"/>
      <c r="D124" s="248"/>
      <c r="E124" s="248"/>
      <c r="F124" s="248"/>
      <c r="G124" s="248"/>
      <c r="H124" s="248"/>
      <c r="I124" s="248"/>
      <c r="J124" s="248"/>
      <c r="K124" s="248"/>
      <c r="L124" s="248"/>
      <c r="M124" s="248"/>
      <c r="N124" s="248"/>
      <c r="O124" s="248"/>
      <c r="P124" s="248"/>
      <c r="Q124" s="248"/>
      <c r="R124" s="323"/>
      <c r="S124" s="249"/>
      <c r="T124" s="244"/>
    </row>
    <row r="125" spans="1:20" s="263" customFormat="1" x14ac:dyDescent="0.25">
      <c r="A125" s="275"/>
      <c r="B125" s="271" t="s">
        <v>35</v>
      </c>
      <c r="C125" s="271"/>
      <c r="D125" s="271"/>
      <c r="E125" s="271"/>
      <c r="F125" s="271"/>
      <c r="G125" s="271"/>
      <c r="H125" s="271"/>
      <c r="I125" s="271"/>
      <c r="J125" s="271"/>
      <c r="K125" s="271"/>
      <c r="L125" s="271"/>
      <c r="M125" s="271"/>
      <c r="N125" s="271"/>
      <c r="O125" s="271"/>
      <c r="P125" s="271"/>
      <c r="Q125" s="271"/>
      <c r="R125" s="332">
        <f>+R28*0.03</f>
        <v>10500</v>
      </c>
      <c r="S125" s="274"/>
      <c r="T125" s="262"/>
    </row>
    <row r="126" spans="1:20" s="263" customFormat="1" x14ac:dyDescent="0.25">
      <c r="A126" s="275"/>
      <c r="B126" s="271" t="s">
        <v>36</v>
      </c>
      <c r="C126" s="271"/>
      <c r="D126" s="271"/>
      <c r="E126" s="271"/>
      <c r="F126" s="271"/>
      <c r="G126" s="271"/>
      <c r="H126" s="271"/>
      <c r="I126" s="271"/>
      <c r="J126" s="271"/>
      <c r="K126" s="271"/>
      <c r="L126" s="271"/>
      <c r="M126" s="271"/>
      <c r="N126" s="271"/>
      <c r="O126" s="271"/>
      <c r="P126" s="271"/>
      <c r="Q126" s="271"/>
      <c r="R126" s="332">
        <v>0</v>
      </c>
      <c r="S126" s="274"/>
      <c r="T126" s="262"/>
    </row>
    <row r="127" spans="1:20" s="263" customFormat="1" x14ac:dyDescent="0.25">
      <c r="A127" s="275"/>
      <c r="B127" s="271" t="s">
        <v>175</v>
      </c>
      <c r="C127" s="271"/>
      <c r="D127" s="271"/>
      <c r="E127" s="271"/>
      <c r="F127" s="271"/>
      <c r="G127" s="271"/>
      <c r="H127" s="271"/>
      <c r="I127" s="271"/>
      <c r="J127" s="271"/>
      <c r="K127" s="271"/>
      <c r="L127" s="271"/>
      <c r="M127" s="271"/>
      <c r="N127" s="271"/>
      <c r="O127" s="271"/>
      <c r="P127" s="271"/>
      <c r="Q127" s="271"/>
      <c r="R127" s="332">
        <f>R125-R128</f>
        <v>7490.1899279999998</v>
      </c>
      <c r="S127" s="274"/>
      <c r="T127" s="262"/>
    </row>
    <row r="128" spans="1:20" s="263" customFormat="1" x14ac:dyDescent="0.25">
      <c r="A128" s="275"/>
      <c r="B128" s="271" t="s">
        <v>235</v>
      </c>
      <c r="C128" s="271"/>
      <c r="D128" s="271"/>
      <c r="E128" s="271"/>
      <c r="F128" s="271"/>
      <c r="G128" s="271"/>
      <c r="H128" s="271"/>
      <c r="I128" s="271"/>
      <c r="J128" s="271"/>
      <c r="K128" s="271"/>
      <c r="L128" s="271"/>
      <c r="M128" s="271"/>
      <c r="N128" s="271"/>
      <c r="O128" s="271"/>
      <c r="P128" s="271"/>
      <c r="Q128" s="271"/>
      <c r="R128" s="332">
        <f>SUM(D30:F30)*0.03</f>
        <v>3009.8100719999998</v>
      </c>
      <c r="S128" s="274"/>
      <c r="T128" s="262"/>
    </row>
    <row r="129" spans="1:21" s="263" customFormat="1" x14ac:dyDescent="0.25">
      <c r="A129" s="275"/>
      <c r="B129" s="271" t="s">
        <v>109</v>
      </c>
      <c r="C129" s="271"/>
      <c r="D129" s="271"/>
      <c r="E129" s="271"/>
      <c r="F129" s="271"/>
      <c r="G129" s="271"/>
      <c r="H129" s="271"/>
      <c r="I129" s="271"/>
      <c r="J129" s="271"/>
      <c r="K129" s="271"/>
      <c r="L129" s="271"/>
      <c r="M129" s="271"/>
      <c r="N129" s="271"/>
      <c r="O129" s="271"/>
      <c r="P129" s="271"/>
      <c r="Q129" s="271"/>
      <c r="R129" s="332"/>
      <c r="S129" s="274"/>
      <c r="T129" s="262"/>
    </row>
    <row r="130" spans="1:21" s="263" customFormat="1" x14ac:dyDescent="0.25">
      <c r="A130" s="275"/>
      <c r="B130" s="271" t="s">
        <v>160</v>
      </c>
      <c r="C130" s="271"/>
      <c r="D130" s="271"/>
      <c r="E130" s="271"/>
      <c r="F130" s="271"/>
      <c r="G130" s="271"/>
      <c r="H130" s="271"/>
      <c r="I130" s="271"/>
      <c r="J130" s="271"/>
      <c r="K130" s="271"/>
      <c r="L130" s="271"/>
      <c r="M130" s="271"/>
      <c r="N130" s="271"/>
      <c r="O130" s="271"/>
      <c r="P130" s="271"/>
      <c r="Q130" s="271"/>
      <c r="R130" s="332">
        <v>0</v>
      </c>
      <c r="S130" s="274"/>
      <c r="T130" s="262"/>
    </row>
    <row r="131" spans="1:21" s="263" customFormat="1" x14ac:dyDescent="0.25">
      <c r="A131" s="275"/>
      <c r="B131" s="271" t="s">
        <v>195</v>
      </c>
      <c r="C131" s="271"/>
      <c r="D131" s="271"/>
      <c r="E131" s="271"/>
      <c r="F131" s="271"/>
      <c r="G131" s="271"/>
      <c r="H131" s="271"/>
      <c r="I131" s="271"/>
      <c r="J131" s="271"/>
      <c r="K131" s="271"/>
      <c r="L131" s="271"/>
      <c r="M131" s="271"/>
      <c r="N131" s="271"/>
      <c r="O131" s="271"/>
      <c r="P131" s="271"/>
      <c r="Q131" s="271"/>
      <c r="R131" s="332">
        <v>0</v>
      </c>
      <c r="S131" s="274"/>
      <c r="T131" s="262"/>
    </row>
    <row r="132" spans="1:21" s="263" customFormat="1" x14ac:dyDescent="0.25">
      <c r="A132" s="275"/>
      <c r="B132" s="271" t="s">
        <v>37</v>
      </c>
      <c r="C132" s="271"/>
      <c r="D132" s="271"/>
      <c r="E132" s="271"/>
      <c r="F132" s="271"/>
      <c r="G132" s="271"/>
      <c r="H132" s="271"/>
      <c r="I132" s="271"/>
      <c r="J132" s="271"/>
      <c r="K132" s="271"/>
      <c r="L132" s="271"/>
      <c r="M132" s="271"/>
      <c r="N132" s="271"/>
      <c r="O132" s="271"/>
      <c r="P132" s="271"/>
      <c r="Q132" s="271"/>
      <c r="R132" s="332">
        <v>0</v>
      </c>
      <c r="S132" s="274"/>
      <c r="T132" s="262"/>
    </row>
    <row r="133" spans="1:21" s="263" customFormat="1" x14ac:dyDescent="0.25">
      <c r="A133" s="275"/>
      <c r="B133" s="271" t="s">
        <v>103</v>
      </c>
      <c r="C133" s="271"/>
      <c r="D133" s="271"/>
      <c r="E133" s="271"/>
      <c r="F133" s="271"/>
      <c r="G133" s="271"/>
      <c r="H133" s="271"/>
      <c r="I133" s="271"/>
      <c r="J133" s="271"/>
      <c r="K133" s="271"/>
      <c r="L133" s="271"/>
      <c r="M133" s="271"/>
      <c r="N133" s="271"/>
      <c r="O133" s="271"/>
      <c r="P133" s="271"/>
      <c r="Q133" s="271"/>
      <c r="R133" s="332">
        <v>0</v>
      </c>
      <c r="S133" s="274"/>
      <c r="T133" s="262"/>
    </row>
    <row r="134" spans="1:21" s="263" customFormat="1" x14ac:dyDescent="0.25">
      <c r="A134" s="275"/>
      <c r="B134" s="271" t="s">
        <v>225</v>
      </c>
      <c r="C134" s="271"/>
      <c r="D134" s="271"/>
      <c r="E134" s="271"/>
      <c r="F134" s="271"/>
      <c r="G134" s="271"/>
      <c r="H134" s="271"/>
      <c r="I134" s="271"/>
      <c r="J134" s="271"/>
      <c r="K134" s="271"/>
      <c r="L134" s="271"/>
      <c r="M134" s="271"/>
      <c r="N134" s="271"/>
      <c r="O134" s="271"/>
      <c r="P134" s="271"/>
      <c r="Q134" s="271"/>
      <c r="R134" s="332">
        <v>0</v>
      </c>
      <c r="S134" s="274"/>
      <c r="T134" s="262"/>
      <c r="U134" s="344"/>
    </row>
    <row r="135" spans="1:21" s="263" customFormat="1" x14ac:dyDescent="0.25">
      <c r="A135" s="275"/>
      <c r="B135" s="271" t="s">
        <v>38</v>
      </c>
      <c r="C135" s="271"/>
      <c r="D135" s="271"/>
      <c r="E135" s="271"/>
      <c r="F135" s="271"/>
      <c r="G135" s="271"/>
      <c r="H135" s="271"/>
      <c r="I135" s="271"/>
      <c r="J135" s="271"/>
      <c r="K135" s="271"/>
      <c r="L135" s="271"/>
      <c r="M135" s="271"/>
      <c r="N135" s="271"/>
      <c r="O135" s="271"/>
      <c r="P135" s="271"/>
      <c r="Q135" s="271"/>
      <c r="R135" s="332">
        <f>SUM(R126:R134)</f>
        <v>10500</v>
      </c>
      <c r="S135" s="274"/>
      <c r="T135" s="262"/>
    </row>
    <row r="136" spans="1:21" s="263" customFormat="1" x14ac:dyDescent="0.25">
      <c r="A136" s="258"/>
      <c r="B136" s="313"/>
      <c r="C136" s="313"/>
      <c r="D136" s="313"/>
      <c r="E136" s="313"/>
      <c r="F136" s="313"/>
      <c r="G136" s="313"/>
      <c r="H136" s="313"/>
      <c r="I136" s="313"/>
      <c r="J136" s="313"/>
      <c r="K136" s="313"/>
      <c r="L136" s="313"/>
      <c r="M136" s="313"/>
      <c r="N136" s="313"/>
      <c r="O136" s="313"/>
      <c r="P136" s="313"/>
      <c r="Q136" s="313"/>
      <c r="R136" s="351"/>
      <c r="S136" s="261"/>
      <c r="T136" s="262"/>
    </row>
    <row r="137" spans="1:21" x14ac:dyDescent="0.25">
      <c r="A137" s="246"/>
      <c r="B137" s="350" t="s">
        <v>206</v>
      </c>
      <c r="C137" s="248"/>
      <c r="D137" s="248"/>
      <c r="E137" s="248"/>
      <c r="F137" s="248"/>
      <c r="G137" s="248"/>
      <c r="H137" s="248"/>
      <c r="I137" s="248"/>
      <c r="J137" s="248"/>
      <c r="K137" s="248"/>
      <c r="L137" s="248"/>
      <c r="M137" s="248"/>
      <c r="N137" s="248"/>
      <c r="O137" s="248"/>
      <c r="P137" s="248"/>
      <c r="Q137" s="248"/>
      <c r="R137" s="323"/>
      <c r="S137" s="249"/>
      <c r="T137" s="244"/>
    </row>
    <row r="138" spans="1:21" s="263" customFormat="1" x14ac:dyDescent="0.25">
      <c r="A138" s="275"/>
      <c r="B138" s="271" t="s">
        <v>174</v>
      </c>
      <c r="C138" s="271"/>
      <c r="D138" s="271"/>
      <c r="E138" s="271"/>
      <c r="F138" s="271"/>
      <c r="G138" s="271"/>
      <c r="H138" s="271"/>
      <c r="I138" s="271"/>
      <c r="J138" s="271"/>
      <c r="K138" s="271"/>
      <c r="L138" s="271"/>
      <c r="M138" s="271"/>
      <c r="N138" s="271"/>
      <c r="O138" s="271"/>
      <c r="P138" s="271"/>
      <c r="Q138" s="271"/>
      <c r="R138" s="332">
        <v>0</v>
      </c>
      <c r="S138" s="274"/>
      <c r="T138" s="262"/>
    </row>
    <row r="139" spans="1:21" s="263" customFormat="1" x14ac:dyDescent="0.25">
      <c r="A139" s="275"/>
      <c r="B139" s="271" t="s">
        <v>197</v>
      </c>
      <c r="C139" s="271"/>
      <c r="D139" s="271"/>
      <c r="E139" s="271"/>
      <c r="F139" s="271"/>
      <c r="G139" s="271"/>
      <c r="H139" s="271"/>
      <c r="I139" s="271"/>
      <c r="J139" s="271"/>
      <c r="K139" s="271"/>
      <c r="L139" s="271"/>
      <c r="M139" s="271"/>
      <c r="N139" s="271"/>
      <c r="O139" s="271"/>
      <c r="P139" s="271"/>
      <c r="Q139" s="271"/>
      <c r="R139" s="332">
        <f>+J69</f>
        <v>0</v>
      </c>
      <c r="S139" s="274"/>
      <c r="T139" s="262"/>
    </row>
    <row r="140" spans="1:21" s="263" customFormat="1" x14ac:dyDescent="0.25">
      <c r="A140" s="275"/>
      <c r="B140" s="271" t="s">
        <v>233</v>
      </c>
      <c r="C140" s="271"/>
      <c r="D140" s="271"/>
      <c r="E140" s="271"/>
      <c r="F140" s="271"/>
      <c r="G140" s="271"/>
      <c r="H140" s="271"/>
      <c r="I140" s="271"/>
      <c r="J140" s="271"/>
      <c r="K140" s="271"/>
      <c r="L140" s="271"/>
      <c r="M140" s="271"/>
      <c r="N140" s="271"/>
      <c r="O140" s="271"/>
      <c r="P140" s="271"/>
      <c r="Q140" s="271"/>
      <c r="R140" s="332">
        <f>R138+R139</f>
        <v>0</v>
      </c>
      <c r="S140" s="274"/>
      <c r="T140" s="262"/>
    </row>
    <row r="141" spans="1:21" x14ac:dyDescent="0.25">
      <c r="A141" s="246"/>
      <c r="B141" s="352"/>
      <c r="C141" s="352"/>
      <c r="D141" s="352"/>
      <c r="E141" s="352"/>
      <c r="F141" s="352"/>
      <c r="G141" s="352"/>
      <c r="H141" s="352"/>
      <c r="I141" s="352"/>
      <c r="J141" s="352"/>
      <c r="K141" s="352"/>
      <c r="L141" s="352"/>
      <c r="M141" s="352"/>
      <c r="N141" s="352"/>
      <c r="O141" s="352"/>
      <c r="P141" s="352"/>
      <c r="Q141" s="352"/>
      <c r="R141" s="353"/>
      <c r="S141" s="249"/>
      <c r="T141" s="244"/>
    </row>
    <row r="142" spans="1:21" x14ac:dyDescent="0.25">
      <c r="A142" s="246"/>
      <c r="B142" s="350" t="s">
        <v>234</v>
      </c>
      <c r="C142" s="352"/>
      <c r="D142" s="352"/>
      <c r="E142" s="352"/>
      <c r="F142" s="352"/>
      <c r="G142" s="352"/>
      <c r="H142" s="352"/>
      <c r="I142" s="352"/>
      <c r="J142" s="352"/>
      <c r="K142" s="352"/>
      <c r="L142" s="352"/>
      <c r="M142" s="352"/>
      <c r="N142" s="352"/>
      <c r="O142" s="352"/>
      <c r="P142" s="352"/>
      <c r="Q142" s="352"/>
      <c r="R142" s="353"/>
      <c r="S142" s="249"/>
      <c r="T142" s="244"/>
    </row>
    <row r="143" spans="1:21" s="263" customFormat="1" x14ac:dyDescent="0.25">
      <c r="A143" s="354"/>
      <c r="B143" s="355" t="s">
        <v>244</v>
      </c>
      <c r="C143" s="355"/>
      <c r="D143" s="355"/>
      <c r="E143" s="355"/>
      <c r="F143" s="355"/>
      <c r="G143" s="355"/>
      <c r="H143" s="355"/>
      <c r="I143" s="355"/>
      <c r="J143" s="355"/>
      <c r="K143" s="355"/>
      <c r="L143" s="355"/>
      <c r="M143" s="355"/>
      <c r="N143" s="355"/>
      <c r="O143" s="355"/>
      <c r="P143" s="355"/>
      <c r="Q143" s="355"/>
      <c r="R143" s="356">
        <f>+'July 16'!R146</f>
        <v>0</v>
      </c>
      <c r="S143" s="357"/>
      <c r="T143" s="262"/>
    </row>
    <row r="144" spans="1:21" s="263" customFormat="1" x14ac:dyDescent="0.25">
      <c r="A144" s="354"/>
      <c r="B144" s="355" t="s">
        <v>232</v>
      </c>
      <c r="C144" s="355"/>
      <c r="D144" s="355"/>
      <c r="E144" s="355"/>
      <c r="F144" s="355"/>
      <c r="G144" s="355"/>
      <c r="H144" s="355"/>
      <c r="I144" s="355"/>
      <c r="J144" s="355"/>
      <c r="K144" s="355"/>
      <c r="L144" s="355"/>
      <c r="M144" s="355"/>
      <c r="N144" s="355"/>
      <c r="O144" s="355"/>
      <c r="P144" s="355"/>
      <c r="Q144" s="355"/>
      <c r="R144" s="356">
        <f>P78</f>
        <v>0</v>
      </c>
      <c r="S144" s="357"/>
      <c r="T144" s="262"/>
    </row>
    <row r="145" spans="1:252" s="263" customFormat="1" x14ac:dyDescent="0.25">
      <c r="A145" s="358"/>
      <c r="B145" s="271" t="s">
        <v>238</v>
      </c>
      <c r="C145" s="359"/>
      <c r="D145" s="359"/>
      <c r="E145" s="359"/>
      <c r="F145" s="359"/>
      <c r="G145" s="359"/>
      <c r="H145" s="359"/>
      <c r="I145" s="359"/>
      <c r="J145" s="359"/>
      <c r="K145" s="359"/>
      <c r="L145" s="359"/>
      <c r="M145" s="359"/>
      <c r="N145" s="359"/>
      <c r="O145" s="359"/>
      <c r="P145" s="359"/>
      <c r="Q145" s="359"/>
      <c r="R145" s="360">
        <v>0</v>
      </c>
      <c r="S145" s="361"/>
      <c r="T145" s="262"/>
    </row>
    <row r="146" spans="1:252" s="263" customFormat="1" x14ac:dyDescent="0.25">
      <c r="A146" s="358"/>
      <c r="B146" s="271" t="s">
        <v>237</v>
      </c>
      <c r="C146" s="359"/>
      <c r="D146" s="359"/>
      <c r="E146" s="359"/>
      <c r="F146" s="359"/>
      <c r="G146" s="359"/>
      <c r="H146" s="359"/>
      <c r="I146" s="359"/>
      <c r="J146" s="359"/>
      <c r="K146" s="359"/>
      <c r="L146" s="359"/>
      <c r="M146" s="359"/>
      <c r="N146" s="359"/>
      <c r="O146" s="359"/>
      <c r="P146" s="359"/>
      <c r="Q146" s="359"/>
      <c r="R146" s="360">
        <f>R143+R144+R145</f>
        <v>0</v>
      </c>
      <c r="S146" s="361"/>
      <c r="T146" s="262"/>
    </row>
    <row r="147" spans="1:252" x14ac:dyDescent="0.25">
      <c r="A147" s="246"/>
      <c r="B147" s="333"/>
      <c r="C147" s="333"/>
      <c r="D147" s="333"/>
      <c r="E147" s="333"/>
      <c r="F147" s="333"/>
      <c r="G147" s="333"/>
      <c r="H147" s="333"/>
      <c r="I147" s="333"/>
      <c r="J147" s="333"/>
      <c r="K147" s="333"/>
      <c r="L147" s="333"/>
      <c r="M147" s="333"/>
      <c r="N147" s="333"/>
      <c r="O147" s="333"/>
      <c r="P147" s="333"/>
      <c r="Q147" s="333"/>
      <c r="R147" s="362"/>
      <c r="S147" s="249"/>
      <c r="T147" s="244"/>
    </row>
    <row r="148" spans="1:252" x14ac:dyDescent="0.25">
      <c r="A148" s="246"/>
      <c r="B148" s="350" t="s">
        <v>39</v>
      </c>
      <c r="C148" s="248"/>
      <c r="D148" s="248"/>
      <c r="E148" s="248"/>
      <c r="F148" s="248"/>
      <c r="G148" s="248"/>
      <c r="H148" s="248"/>
      <c r="I148" s="248"/>
      <c r="J148" s="248"/>
      <c r="K148" s="248"/>
      <c r="L148" s="248"/>
      <c r="M148" s="248"/>
      <c r="N148" s="248"/>
      <c r="O148" s="248"/>
      <c r="P148" s="248"/>
      <c r="Q148" s="248"/>
      <c r="R148" s="363"/>
      <c r="S148" s="249"/>
      <c r="T148" s="244"/>
    </row>
    <row r="149" spans="1:252" s="263" customFormat="1" x14ac:dyDescent="0.25">
      <c r="A149" s="275"/>
      <c r="B149" s="271" t="s">
        <v>40</v>
      </c>
      <c r="C149" s="271"/>
      <c r="D149" s="271"/>
      <c r="E149" s="271"/>
      <c r="F149" s="271"/>
      <c r="G149" s="271"/>
      <c r="H149" s="271"/>
      <c r="I149" s="271"/>
      <c r="J149" s="271"/>
      <c r="K149" s="271"/>
      <c r="L149" s="271"/>
      <c r="M149" s="271"/>
      <c r="N149" s="271"/>
      <c r="O149" s="271"/>
      <c r="P149" s="271"/>
      <c r="Q149" s="271"/>
      <c r="R149" s="332">
        <v>0</v>
      </c>
      <c r="S149" s="274"/>
      <c r="T149" s="262"/>
    </row>
    <row r="150" spans="1:252" s="263" customFormat="1" x14ac:dyDescent="0.25">
      <c r="A150" s="275"/>
      <c r="B150" s="271" t="s">
        <v>41</v>
      </c>
      <c r="C150" s="271"/>
      <c r="D150" s="271"/>
      <c r="E150" s="271"/>
      <c r="F150" s="271"/>
      <c r="G150" s="271"/>
      <c r="H150" s="271"/>
      <c r="I150" s="271"/>
      <c r="J150" s="271"/>
      <c r="K150" s="271"/>
      <c r="L150" s="271"/>
      <c r="M150" s="271"/>
      <c r="N150" s="271"/>
      <c r="O150" s="271"/>
      <c r="P150" s="271"/>
      <c r="Q150" s="271"/>
      <c r="R150" s="332">
        <f>+P101</f>
        <v>0</v>
      </c>
      <c r="S150" s="274"/>
      <c r="T150" s="262"/>
    </row>
    <row r="151" spans="1:252" s="263" customFormat="1" x14ac:dyDescent="0.25">
      <c r="A151" s="275"/>
      <c r="B151" s="271" t="s">
        <v>42</v>
      </c>
      <c r="C151" s="271"/>
      <c r="D151" s="271"/>
      <c r="E151" s="271"/>
      <c r="F151" s="271"/>
      <c r="G151" s="271"/>
      <c r="H151" s="271"/>
      <c r="I151" s="271"/>
      <c r="J151" s="271"/>
      <c r="K151" s="271"/>
      <c r="L151" s="271"/>
      <c r="M151" s="271"/>
      <c r="N151" s="271"/>
      <c r="O151" s="271"/>
      <c r="P151" s="271"/>
      <c r="Q151" s="271"/>
      <c r="R151" s="332">
        <f>R150+R149</f>
        <v>0</v>
      </c>
      <c r="S151" s="274"/>
      <c r="T151" s="262"/>
    </row>
    <row r="152" spans="1:252" s="263" customFormat="1" x14ac:dyDescent="0.25">
      <c r="A152" s="275"/>
      <c r="B152" s="271" t="s">
        <v>253</v>
      </c>
      <c r="C152" s="271"/>
      <c r="D152" s="271"/>
      <c r="E152" s="271"/>
      <c r="F152" s="271"/>
      <c r="G152" s="271"/>
      <c r="H152" s="271"/>
      <c r="I152" s="271"/>
      <c r="J152" s="271"/>
      <c r="K152" s="271"/>
      <c r="L152" s="271"/>
      <c r="M152" s="271"/>
      <c r="N152" s="271"/>
      <c r="O152" s="271"/>
      <c r="P152" s="271"/>
      <c r="Q152" s="271"/>
      <c r="R152" s="332">
        <f>R101</f>
        <v>0</v>
      </c>
      <c r="S152" s="274"/>
      <c r="T152" s="262"/>
    </row>
    <row r="153" spans="1:252" s="263" customFormat="1" x14ac:dyDescent="0.25">
      <c r="A153" s="275"/>
      <c r="B153" s="271" t="s">
        <v>43</v>
      </c>
      <c r="C153" s="271"/>
      <c r="D153" s="271"/>
      <c r="E153" s="271"/>
      <c r="F153" s="271"/>
      <c r="G153" s="271"/>
      <c r="H153" s="271"/>
      <c r="I153" s="271"/>
      <c r="J153" s="271"/>
      <c r="K153" s="271"/>
      <c r="L153" s="271"/>
      <c r="M153" s="271"/>
      <c r="N153" s="271"/>
      <c r="O153" s="271"/>
      <c r="P153" s="271"/>
      <c r="Q153" s="271"/>
      <c r="R153" s="332">
        <f>R151+R152</f>
        <v>0</v>
      </c>
      <c r="S153" s="274"/>
      <c r="T153" s="262"/>
    </row>
    <row r="154" spans="1:252" s="263" customFormat="1" x14ac:dyDescent="0.25">
      <c r="A154" s="275"/>
      <c r="B154" s="271" t="s">
        <v>153</v>
      </c>
      <c r="C154" s="271"/>
      <c r="D154" s="271"/>
      <c r="E154" s="271"/>
      <c r="F154" s="271"/>
      <c r="G154" s="271"/>
      <c r="H154" s="271"/>
      <c r="I154" s="271"/>
      <c r="J154" s="271"/>
      <c r="K154" s="271"/>
      <c r="L154" s="271"/>
      <c r="M154" s="271"/>
      <c r="N154" s="271"/>
      <c r="O154" s="271"/>
      <c r="P154" s="271"/>
      <c r="Q154" s="271"/>
      <c r="R154" s="332">
        <f>-R91</f>
        <v>0</v>
      </c>
      <c r="S154" s="274"/>
      <c r="T154" s="262"/>
    </row>
    <row r="155" spans="1:252" ht="16.5" thickBot="1" x14ac:dyDescent="0.3">
      <c r="A155" s="246"/>
      <c r="B155" s="333"/>
      <c r="C155" s="333"/>
      <c r="D155" s="333"/>
      <c r="E155" s="333"/>
      <c r="F155" s="333"/>
      <c r="G155" s="333"/>
      <c r="H155" s="333"/>
      <c r="I155" s="333"/>
      <c r="J155" s="333"/>
      <c r="K155" s="333"/>
      <c r="L155" s="333"/>
      <c r="M155" s="333"/>
      <c r="N155" s="333"/>
      <c r="O155" s="333"/>
      <c r="P155" s="333"/>
      <c r="Q155" s="333"/>
      <c r="R155" s="362"/>
      <c r="S155" s="249"/>
      <c r="T155" s="244"/>
    </row>
    <row r="156" spans="1:252" x14ac:dyDescent="0.25">
      <c r="A156" s="240"/>
      <c r="B156" s="242"/>
      <c r="C156" s="242"/>
      <c r="D156" s="242"/>
      <c r="E156" s="242"/>
      <c r="F156" s="242"/>
      <c r="G156" s="242"/>
      <c r="H156" s="242"/>
      <c r="I156" s="242"/>
      <c r="J156" s="242"/>
      <c r="K156" s="242"/>
      <c r="L156" s="242"/>
      <c r="M156" s="242"/>
      <c r="N156" s="242"/>
      <c r="O156" s="242"/>
      <c r="P156" s="242"/>
      <c r="Q156" s="242"/>
      <c r="R156" s="364"/>
      <c r="S156" s="243"/>
      <c r="T156" s="244"/>
    </row>
    <row r="157" spans="1:252" s="366" customFormat="1" x14ac:dyDescent="0.25">
      <c r="A157" s="246"/>
      <c r="B157" s="350" t="s">
        <v>207</v>
      </c>
      <c r="C157" s="333"/>
      <c r="D157" s="333"/>
      <c r="E157" s="333"/>
      <c r="F157" s="333"/>
      <c r="G157" s="333"/>
      <c r="H157" s="333"/>
      <c r="I157" s="333"/>
      <c r="J157" s="333"/>
      <c r="K157" s="333"/>
      <c r="L157" s="333"/>
      <c r="M157" s="333"/>
      <c r="N157" s="333"/>
      <c r="O157" s="333"/>
      <c r="P157" s="333"/>
      <c r="Q157" s="333"/>
      <c r="R157" s="365"/>
      <c r="S157" s="249"/>
      <c r="T157" s="244"/>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245"/>
      <c r="CB157" s="245"/>
      <c r="CC157" s="245"/>
      <c r="CD157" s="245"/>
      <c r="CE157" s="245"/>
      <c r="CF157" s="245"/>
      <c r="CG157" s="245"/>
      <c r="CH157" s="245"/>
      <c r="CI157" s="245"/>
      <c r="CJ157" s="245"/>
      <c r="CK157" s="245"/>
      <c r="CL157" s="245"/>
      <c r="CM157" s="245"/>
      <c r="CN157" s="245"/>
      <c r="CO157" s="245"/>
      <c r="CP157" s="245"/>
      <c r="CQ157" s="245"/>
      <c r="CR157" s="245"/>
      <c r="CS157" s="245"/>
      <c r="CT157" s="245"/>
      <c r="CU157" s="245"/>
      <c r="CV157" s="245"/>
      <c r="CW157" s="245"/>
      <c r="CX157" s="245"/>
      <c r="CY157" s="245"/>
      <c r="CZ157" s="245"/>
      <c r="DA157" s="245"/>
      <c r="DB157" s="245"/>
      <c r="DC157" s="245"/>
      <c r="DD157" s="245"/>
      <c r="DE157" s="245"/>
      <c r="DF157" s="245"/>
      <c r="DG157" s="245"/>
      <c r="DH157" s="245"/>
      <c r="DI157" s="245"/>
      <c r="DJ157" s="245"/>
      <c r="DK157" s="245"/>
      <c r="DL157" s="245"/>
      <c r="DM157" s="245"/>
      <c r="DN157" s="245"/>
      <c r="DO157" s="245"/>
      <c r="DP157" s="245"/>
      <c r="DQ157" s="245"/>
      <c r="DR157" s="245"/>
      <c r="DS157" s="245"/>
      <c r="DT157" s="245"/>
      <c r="DU157" s="245"/>
      <c r="DV157" s="245"/>
      <c r="DW157" s="245"/>
      <c r="DX157" s="245"/>
      <c r="DY157" s="245"/>
      <c r="DZ157" s="245"/>
      <c r="EA157" s="245"/>
      <c r="EB157" s="245"/>
      <c r="EC157" s="245"/>
      <c r="ED157" s="245"/>
      <c r="EE157" s="245"/>
      <c r="EF157" s="245"/>
      <c r="EG157" s="245"/>
      <c r="EH157" s="245"/>
      <c r="EI157" s="245"/>
      <c r="EJ157" s="245"/>
      <c r="EK157" s="245"/>
      <c r="EL157" s="245"/>
      <c r="EM157" s="245"/>
      <c r="EN157" s="245"/>
      <c r="EO157" s="245"/>
      <c r="EP157" s="245"/>
      <c r="EQ157" s="245"/>
      <c r="ER157" s="245"/>
      <c r="ES157" s="245"/>
      <c r="ET157" s="245"/>
      <c r="EU157" s="245"/>
      <c r="EV157" s="245"/>
      <c r="EW157" s="245"/>
      <c r="EX157" s="245"/>
      <c r="EY157" s="245"/>
      <c r="EZ157" s="245"/>
      <c r="FA157" s="245"/>
      <c r="FB157" s="245"/>
      <c r="FC157" s="245"/>
      <c r="FD157" s="245"/>
      <c r="FE157" s="245"/>
      <c r="FF157" s="245"/>
      <c r="FG157" s="245"/>
      <c r="FH157" s="245"/>
      <c r="FI157" s="245"/>
      <c r="FJ157" s="245"/>
      <c r="FK157" s="245"/>
      <c r="FL157" s="245"/>
      <c r="FM157" s="245"/>
      <c r="FN157" s="245"/>
      <c r="FO157" s="245"/>
      <c r="FP157" s="245"/>
      <c r="FQ157" s="245"/>
      <c r="FR157" s="245"/>
      <c r="FS157" s="245"/>
      <c r="FT157" s="245"/>
      <c r="FU157" s="245"/>
      <c r="FV157" s="245"/>
      <c r="FW157" s="245"/>
      <c r="FX157" s="245"/>
      <c r="FY157" s="245"/>
      <c r="FZ157" s="245"/>
      <c r="GA157" s="245"/>
      <c r="GB157" s="245"/>
      <c r="GC157" s="245"/>
      <c r="GD157" s="245"/>
      <c r="GE157" s="245"/>
      <c r="GF157" s="245"/>
      <c r="GG157" s="245"/>
      <c r="GH157" s="245"/>
      <c r="GI157" s="245"/>
      <c r="GJ157" s="245"/>
      <c r="GK157" s="245"/>
      <c r="GL157" s="245"/>
      <c r="GM157" s="245"/>
      <c r="GN157" s="245"/>
      <c r="GO157" s="245"/>
      <c r="GP157" s="245"/>
      <c r="GQ157" s="245"/>
      <c r="GR157" s="245"/>
      <c r="GS157" s="245"/>
      <c r="GT157" s="245"/>
      <c r="GU157" s="245"/>
      <c r="GV157" s="245"/>
      <c r="GW157" s="245"/>
      <c r="GX157" s="245"/>
      <c r="GY157" s="245"/>
      <c r="GZ157" s="245"/>
      <c r="HA157" s="245"/>
      <c r="HB157" s="245"/>
      <c r="HC157" s="245"/>
      <c r="HD157" s="245"/>
      <c r="HE157" s="245"/>
      <c r="HF157" s="245"/>
      <c r="HG157" s="245"/>
      <c r="HH157" s="245"/>
      <c r="HI157" s="245"/>
      <c r="HJ157" s="245"/>
      <c r="HK157" s="245"/>
      <c r="HL157" s="245"/>
      <c r="HM157" s="245"/>
      <c r="HN157" s="245"/>
      <c r="HO157" s="245"/>
      <c r="HP157" s="245"/>
      <c r="HQ157" s="245"/>
      <c r="HR157" s="245"/>
      <c r="HS157" s="245"/>
      <c r="HT157" s="245"/>
      <c r="HU157" s="245"/>
      <c r="HV157" s="245"/>
      <c r="HW157" s="245"/>
      <c r="HX157" s="245"/>
      <c r="HY157" s="245"/>
      <c r="HZ157" s="245"/>
      <c r="IA157" s="245"/>
      <c r="IB157" s="245"/>
      <c r="IC157" s="245"/>
      <c r="ID157" s="245"/>
      <c r="IE157" s="245"/>
      <c r="IF157" s="245"/>
      <c r="IG157" s="245"/>
      <c r="IH157" s="245"/>
      <c r="II157" s="245"/>
      <c r="IJ157" s="245"/>
      <c r="IK157" s="245"/>
      <c r="IL157" s="245"/>
      <c r="IM157" s="245"/>
      <c r="IN157" s="245"/>
      <c r="IO157" s="245"/>
      <c r="IP157" s="245"/>
      <c r="IQ157" s="245"/>
      <c r="IR157" s="245"/>
    </row>
    <row r="158" spans="1:252" s="367" customFormat="1" x14ac:dyDescent="0.25">
      <c r="A158" s="275"/>
      <c r="B158" s="271" t="s">
        <v>144</v>
      </c>
      <c r="C158" s="271"/>
      <c r="D158" s="271"/>
      <c r="E158" s="271"/>
      <c r="F158" s="271"/>
      <c r="G158" s="271"/>
      <c r="H158" s="271"/>
      <c r="I158" s="271"/>
      <c r="J158" s="271"/>
      <c r="K158" s="271"/>
      <c r="L158" s="271"/>
      <c r="M158" s="271"/>
      <c r="N158" s="271"/>
      <c r="O158" s="271"/>
      <c r="P158" s="271"/>
      <c r="Q158" s="271"/>
      <c r="R158" s="332">
        <f>'July 17'!R160</f>
        <v>135</v>
      </c>
      <c r="S158" s="274"/>
      <c r="T158" s="262"/>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3"/>
      <c r="BX158" s="263"/>
      <c r="BY158" s="263"/>
      <c r="BZ158" s="263"/>
      <c r="CA158" s="263"/>
      <c r="CB158" s="263"/>
      <c r="CC158" s="263"/>
      <c r="CD158" s="263"/>
      <c r="CE158" s="263"/>
      <c r="CF158" s="263"/>
      <c r="CG158" s="263"/>
      <c r="CH158" s="263"/>
      <c r="CI158" s="263"/>
      <c r="CJ158" s="263"/>
      <c r="CK158" s="263"/>
      <c r="CL158" s="263"/>
      <c r="CM158" s="263"/>
      <c r="CN158" s="263"/>
      <c r="CO158" s="263"/>
      <c r="CP158" s="263"/>
      <c r="CQ158" s="263"/>
      <c r="CR158" s="263"/>
      <c r="CS158" s="263"/>
      <c r="CT158" s="263"/>
      <c r="CU158" s="263"/>
      <c r="CV158" s="263"/>
      <c r="CW158" s="263"/>
      <c r="CX158" s="263"/>
      <c r="CY158" s="263"/>
      <c r="CZ158" s="263"/>
      <c r="DA158" s="263"/>
      <c r="DB158" s="263"/>
      <c r="DC158" s="263"/>
      <c r="DD158" s="263"/>
      <c r="DE158" s="263"/>
      <c r="DF158" s="263"/>
      <c r="DG158" s="263"/>
      <c r="DH158" s="263"/>
      <c r="DI158" s="263"/>
      <c r="DJ158" s="263"/>
      <c r="DK158" s="263"/>
      <c r="DL158" s="263"/>
      <c r="DM158" s="263"/>
      <c r="DN158" s="263"/>
      <c r="DO158" s="263"/>
      <c r="DP158" s="263"/>
      <c r="DQ158" s="263"/>
      <c r="DR158" s="263"/>
      <c r="DS158" s="263"/>
      <c r="DT158" s="263"/>
      <c r="DU158" s="263"/>
      <c r="DV158" s="263"/>
      <c r="DW158" s="263"/>
      <c r="DX158" s="263"/>
      <c r="DY158" s="263"/>
      <c r="DZ158" s="263"/>
      <c r="EA158" s="263"/>
      <c r="EB158" s="263"/>
      <c r="EC158" s="263"/>
      <c r="ED158" s="263"/>
      <c r="EE158" s="263"/>
      <c r="EF158" s="263"/>
      <c r="EG158" s="263"/>
      <c r="EH158" s="263"/>
      <c r="EI158" s="263"/>
      <c r="EJ158" s="263"/>
      <c r="EK158" s="263"/>
      <c r="EL158" s="263"/>
      <c r="EM158" s="263"/>
      <c r="EN158" s="263"/>
      <c r="EO158" s="263"/>
      <c r="EP158" s="263"/>
      <c r="EQ158" s="263"/>
      <c r="ER158" s="263"/>
      <c r="ES158" s="263"/>
      <c r="ET158" s="263"/>
      <c r="EU158" s="263"/>
      <c r="EV158" s="263"/>
      <c r="EW158" s="263"/>
      <c r="EX158" s="263"/>
      <c r="EY158" s="263"/>
      <c r="EZ158" s="263"/>
      <c r="FA158" s="263"/>
      <c r="FB158" s="263"/>
      <c r="FC158" s="263"/>
      <c r="FD158" s="263"/>
      <c r="FE158" s="263"/>
      <c r="FF158" s="263"/>
      <c r="FG158" s="263"/>
      <c r="FH158" s="263"/>
      <c r="FI158" s="263"/>
      <c r="FJ158" s="263"/>
      <c r="FK158" s="263"/>
      <c r="FL158" s="263"/>
      <c r="FM158" s="263"/>
      <c r="FN158" s="263"/>
      <c r="FO158" s="263"/>
      <c r="FP158" s="263"/>
      <c r="FQ158" s="263"/>
      <c r="FR158" s="263"/>
      <c r="FS158" s="263"/>
      <c r="FT158" s="263"/>
      <c r="FU158" s="263"/>
      <c r="FV158" s="263"/>
      <c r="FW158" s="263"/>
      <c r="FX158" s="263"/>
      <c r="FY158" s="263"/>
      <c r="FZ158" s="263"/>
      <c r="GA158" s="263"/>
      <c r="GB158" s="263"/>
      <c r="GC158" s="263"/>
      <c r="GD158" s="263"/>
      <c r="GE158" s="263"/>
      <c r="GF158" s="263"/>
      <c r="GG158" s="263"/>
      <c r="GH158" s="263"/>
      <c r="GI158" s="263"/>
      <c r="GJ158" s="263"/>
      <c r="GK158" s="263"/>
      <c r="GL158" s="263"/>
      <c r="GM158" s="263"/>
      <c r="GN158" s="263"/>
      <c r="GO158" s="263"/>
      <c r="GP158" s="263"/>
      <c r="GQ158" s="263"/>
      <c r="GR158" s="263"/>
      <c r="GS158" s="263"/>
      <c r="GT158" s="263"/>
      <c r="GU158" s="263"/>
      <c r="GV158" s="263"/>
      <c r="GW158" s="263"/>
      <c r="GX158" s="263"/>
      <c r="GY158" s="263"/>
      <c r="GZ158" s="263"/>
      <c r="HA158" s="263"/>
      <c r="HB158" s="263"/>
      <c r="HC158" s="263"/>
      <c r="HD158" s="263"/>
      <c r="HE158" s="263"/>
      <c r="HF158" s="263"/>
      <c r="HG158" s="263"/>
      <c r="HH158" s="263"/>
      <c r="HI158" s="263"/>
      <c r="HJ158" s="263"/>
      <c r="HK158" s="263"/>
      <c r="HL158" s="263"/>
      <c r="HM158" s="263"/>
      <c r="HN158" s="263"/>
      <c r="HO158" s="263"/>
      <c r="HP158" s="263"/>
      <c r="HQ158" s="263"/>
      <c r="HR158" s="263"/>
      <c r="HS158" s="263"/>
      <c r="HT158" s="263"/>
      <c r="HU158" s="263"/>
      <c r="HV158" s="263"/>
      <c r="HW158" s="263"/>
      <c r="HX158" s="263"/>
      <c r="HY158" s="263"/>
      <c r="HZ158" s="263"/>
      <c r="IA158" s="263"/>
      <c r="IB158" s="263"/>
      <c r="IC158" s="263"/>
      <c r="ID158" s="263"/>
      <c r="IE158" s="263"/>
      <c r="IF158" s="263"/>
      <c r="IG158" s="263"/>
      <c r="IH158" s="263"/>
      <c r="II158" s="263"/>
      <c r="IJ158" s="263"/>
      <c r="IK158" s="263"/>
      <c r="IL158" s="263"/>
      <c r="IM158" s="263"/>
      <c r="IN158" s="263"/>
      <c r="IO158" s="263"/>
      <c r="IP158" s="263"/>
      <c r="IQ158" s="263"/>
      <c r="IR158" s="263"/>
    </row>
    <row r="159" spans="1:252" s="367" customFormat="1" x14ac:dyDescent="0.25">
      <c r="A159" s="275"/>
      <c r="B159" s="271" t="s">
        <v>147</v>
      </c>
      <c r="C159" s="271"/>
      <c r="D159" s="271"/>
      <c r="E159" s="271"/>
      <c r="F159" s="271"/>
      <c r="G159" s="271"/>
      <c r="H159" s="271"/>
      <c r="I159" s="271"/>
      <c r="J159" s="271"/>
      <c r="K159" s="271"/>
      <c r="L159" s="271"/>
      <c r="M159" s="271"/>
      <c r="N159" s="271"/>
      <c r="O159" s="271"/>
      <c r="P159" s="271"/>
      <c r="Q159" s="271"/>
      <c r="R159" s="332">
        <f>+R84</f>
        <v>34</v>
      </c>
      <c r="S159" s="274"/>
      <c r="T159" s="262"/>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263"/>
      <c r="BA159" s="263"/>
      <c r="BB159" s="263"/>
      <c r="BC159" s="263"/>
      <c r="BD159" s="263"/>
      <c r="BE159" s="263"/>
      <c r="BF159" s="263"/>
      <c r="BG159" s="263"/>
      <c r="BH159" s="263"/>
      <c r="BI159" s="263"/>
      <c r="BJ159" s="263"/>
      <c r="BK159" s="263"/>
      <c r="BL159" s="263"/>
      <c r="BM159" s="263"/>
      <c r="BN159" s="263"/>
      <c r="BO159" s="263"/>
      <c r="BP159" s="263"/>
      <c r="BQ159" s="263"/>
      <c r="BR159" s="263"/>
      <c r="BS159" s="263"/>
      <c r="BT159" s="263"/>
      <c r="BU159" s="263"/>
      <c r="BV159" s="263"/>
      <c r="BW159" s="263"/>
      <c r="BX159" s="263"/>
      <c r="BY159" s="263"/>
      <c r="BZ159" s="263"/>
      <c r="CA159" s="263"/>
      <c r="CB159" s="263"/>
      <c r="CC159" s="263"/>
      <c r="CD159" s="263"/>
      <c r="CE159" s="263"/>
      <c r="CF159" s="263"/>
      <c r="CG159" s="263"/>
      <c r="CH159" s="263"/>
      <c r="CI159" s="263"/>
      <c r="CJ159" s="263"/>
      <c r="CK159" s="263"/>
      <c r="CL159" s="263"/>
      <c r="CM159" s="263"/>
      <c r="CN159" s="263"/>
      <c r="CO159" s="263"/>
      <c r="CP159" s="263"/>
      <c r="CQ159" s="263"/>
      <c r="CR159" s="263"/>
      <c r="CS159" s="263"/>
      <c r="CT159" s="263"/>
      <c r="CU159" s="263"/>
      <c r="CV159" s="263"/>
      <c r="CW159" s="263"/>
      <c r="CX159" s="263"/>
      <c r="CY159" s="263"/>
      <c r="CZ159" s="263"/>
      <c r="DA159" s="263"/>
      <c r="DB159" s="263"/>
      <c r="DC159" s="263"/>
      <c r="DD159" s="263"/>
      <c r="DE159" s="263"/>
      <c r="DF159" s="263"/>
      <c r="DG159" s="263"/>
      <c r="DH159" s="263"/>
      <c r="DI159" s="263"/>
      <c r="DJ159" s="263"/>
      <c r="DK159" s="263"/>
      <c r="DL159" s="263"/>
      <c r="DM159" s="263"/>
      <c r="DN159" s="263"/>
      <c r="DO159" s="263"/>
      <c r="DP159" s="263"/>
      <c r="DQ159" s="263"/>
      <c r="DR159" s="263"/>
      <c r="DS159" s="263"/>
      <c r="DT159" s="263"/>
      <c r="DU159" s="263"/>
      <c r="DV159" s="263"/>
      <c r="DW159" s="263"/>
      <c r="DX159" s="263"/>
      <c r="DY159" s="263"/>
      <c r="DZ159" s="263"/>
      <c r="EA159" s="263"/>
      <c r="EB159" s="263"/>
      <c r="EC159" s="263"/>
      <c r="ED159" s="263"/>
      <c r="EE159" s="263"/>
      <c r="EF159" s="263"/>
      <c r="EG159" s="263"/>
      <c r="EH159" s="263"/>
      <c r="EI159" s="263"/>
      <c r="EJ159" s="263"/>
      <c r="EK159" s="263"/>
      <c r="EL159" s="263"/>
      <c r="EM159" s="263"/>
      <c r="EN159" s="263"/>
      <c r="EO159" s="263"/>
      <c r="EP159" s="263"/>
      <c r="EQ159" s="263"/>
      <c r="ER159" s="263"/>
      <c r="ES159" s="263"/>
      <c r="ET159" s="263"/>
      <c r="EU159" s="263"/>
      <c r="EV159" s="263"/>
      <c r="EW159" s="263"/>
      <c r="EX159" s="263"/>
      <c r="EY159" s="263"/>
      <c r="EZ159" s="263"/>
      <c r="FA159" s="263"/>
      <c r="FB159" s="263"/>
      <c r="FC159" s="263"/>
      <c r="FD159" s="263"/>
      <c r="FE159" s="263"/>
      <c r="FF159" s="263"/>
      <c r="FG159" s="263"/>
      <c r="FH159" s="263"/>
      <c r="FI159" s="263"/>
      <c r="FJ159" s="263"/>
      <c r="FK159" s="263"/>
      <c r="FL159" s="263"/>
      <c r="FM159" s="263"/>
      <c r="FN159" s="263"/>
      <c r="FO159" s="263"/>
      <c r="FP159" s="263"/>
      <c r="FQ159" s="263"/>
      <c r="FR159" s="263"/>
      <c r="FS159" s="263"/>
      <c r="FT159" s="263"/>
      <c r="FU159" s="263"/>
      <c r="FV159" s="263"/>
      <c r="FW159" s="263"/>
      <c r="FX159" s="263"/>
      <c r="FY159" s="263"/>
      <c r="FZ159" s="263"/>
      <c r="GA159" s="263"/>
      <c r="GB159" s="263"/>
      <c r="GC159" s="263"/>
      <c r="GD159" s="263"/>
      <c r="GE159" s="263"/>
      <c r="GF159" s="263"/>
      <c r="GG159" s="263"/>
      <c r="GH159" s="263"/>
      <c r="GI159" s="263"/>
      <c r="GJ159" s="263"/>
      <c r="GK159" s="263"/>
      <c r="GL159" s="263"/>
      <c r="GM159" s="263"/>
      <c r="GN159" s="263"/>
      <c r="GO159" s="263"/>
      <c r="GP159" s="263"/>
      <c r="GQ159" s="263"/>
      <c r="GR159" s="263"/>
      <c r="GS159" s="263"/>
      <c r="GT159" s="263"/>
      <c r="GU159" s="263"/>
      <c r="GV159" s="263"/>
      <c r="GW159" s="263"/>
      <c r="GX159" s="263"/>
      <c r="GY159" s="263"/>
      <c r="GZ159" s="263"/>
      <c r="HA159" s="263"/>
      <c r="HB159" s="263"/>
      <c r="HC159" s="263"/>
      <c r="HD159" s="263"/>
      <c r="HE159" s="263"/>
      <c r="HF159" s="263"/>
      <c r="HG159" s="263"/>
      <c r="HH159" s="263"/>
      <c r="HI159" s="263"/>
      <c r="HJ159" s="263"/>
      <c r="HK159" s="263"/>
      <c r="HL159" s="263"/>
      <c r="HM159" s="263"/>
      <c r="HN159" s="263"/>
      <c r="HO159" s="263"/>
      <c r="HP159" s="263"/>
      <c r="HQ159" s="263"/>
      <c r="HR159" s="263"/>
      <c r="HS159" s="263"/>
      <c r="HT159" s="263"/>
      <c r="HU159" s="263"/>
      <c r="HV159" s="263"/>
      <c r="HW159" s="263"/>
      <c r="HX159" s="263"/>
      <c r="HY159" s="263"/>
      <c r="HZ159" s="263"/>
      <c r="IA159" s="263"/>
      <c r="IB159" s="263"/>
      <c r="IC159" s="263"/>
      <c r="ID159" s="263"/>
      <c r="IE159" s="263"/>
      <c r="IF159" s="263"/>
      <c r="IG159" s="263"/>
      <c r="IH159" s="263"/>
      <c r="II159" s="263"/>
      <c r="IJ159" s="263"/>
      <c r="IK159" s="263"/>
      <c r="IL159" s="263"/>
      <c r="IM159" s="263"/>
      <c r="IN159" s="263"/>
      <c r="IO159" s="263"/>
      <c r="IP159" s="263"/>
      <c r="IQ159" s="263"/>
      <c r="IR159" s="263"/>
    </row>
    <row r="160" spans="1:252" s="367" customFormat="1" x14ac:dyDescent="0.25">
      <c r="A160" s="275"/>
      <c r="B160" s="271" t="s">
        <v>145</v>
      </c>
      <c r="C160" s="271"/>
      <c r="D160" s="271"/>
      <c r="E160" s="271"/>
      <c r="F160" s="271"/>
      <c r="G160" s="271"/>
      <c r="H160" s="271"/>
      <c r="I160" s="271"/>
      <c r="J160" s="271"/>
      <c r="K160" s="271"/>
      <c r="L160" s="271"/>
      <c r="M160" s="271"/>
      <c r="N160" s="271"/>
      <c r="O160" s="271"/>
      <c r="P160" s="271"/>
      <c r="Q160" s="271"/>
      <c r="R160" s="332">
        <f>+R158-R159</f>
        <v>101</v>
      </c>
      <c r="S160" s="274"/>
      <c r="T160" s="262"/>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3"/>
      <c r="BO160" s="263"/>
      <c r="BP160" s="263"/>
      <c r="BQ160" s="263"/>
      <c r="BR160" s="263"/>
      <c r="BS160" s="263"/>
      <c r="BT160" s="263"/>
      <c r="BU160" s="263"/>
      <c r="BV160" s="263"/>
      <c r="BW160" s="263"/>
      <c r="BX160" s="263"/>
      <c r="BY160" s="263"/>
      <c r="BZ160" s="263"/>
      <c r="CA160" s="263"/>
      <c r="CB160" s="263"/>
      <c r="CC160" s="263"/>
      <c r="CD160" s="263"/>
      <c r="CE160" s="263"/>
      <c r="CF160" s="263"/>
      <c r="CG160" s="263"/>
      <c r="CH160" s="263"/>
      <c r="CI160" s="263"/>
      <c r="CJ160" s="263"/>
      <c r="CK160" s="263"/>
      <c r="CL160" s="263"/>
      <c r="CM160" s="263"/>
      <c r="CN160" s="263"/>
      <c r="CO160" s="263"/>
      <c r="CP160" s="263"/>
      <c r="CQ160" s="263"/>
      <c r="CR160" s="263"/>
      <c r="CS160" s="263"/>
      <c r="CT160" s="263"/>
      <c r="CU160" s="263"/>
      <c r="CV160" s="263"/>
      <c r="CW160" s="263"/>
      <c r="CX160" s="263"/>
      <c r="CY160" s="263"/>
      <c r="CZ160" s="263"/>
      <c r="DA160" s="263"/>
      <c r="DB160" s="263"/>
      <c r="DC160" s="263"/>
      <c r="DD160" s="263"/>
      <c r="DE160" s="263"/>
      <c r="DF160" s="263"/>
      <c r="DG160" s="263"/>
      <c r="DH160" s="263"/>
      <c r="DI160" s="263"/>
      <c r="DJ160" s="263"/>
      <c r="DK160" s="263"/>
      <c r="DL160" s="263"/>
      <c r="DM160" s="263"/>
      <c r="DN160" s="263"/>
      <c r="DO160" s="263"/>
      <c r="DP160" s="263"/>
      <c r="DQ160" s="263"/>
      <c r="DR160" s="263"/>
      <c r="DS160" s="263"/>
      <c r="DT160" s="263"/>
      <c r="DU160" s="263"/>
      <c r="DV160" s="263"/>
      <c r="DW160" s="263"/>
      <c r="DX160" s="263"/>
      <c r="DY160" s="263"/>
      <c r="DZ160" s="263"/>
      <c r="EA160" s="263"/>
      <c r="EB160" s="263"/>
      <c r="EC160" s="263"/>
      <c r="ED160" s="263"/>
      <c r="EE160" s="263"/>
      <c r="EF160" s="263"/>
      <c r="EG160" s="263"/>
      <c r="EH160" s="263"/>
      <c r="EI160" s="263"/>
      <c r="EJ160" s="263"/>
      <c r="EK160" s="263"/>
      <c r="EL160" s="263"/>
      <c r="EM160" s="263"/>
      <c r="EN160" s="263"/>
      <c r="EO160" s="263"/>
      <c r="EP160" s="263"/>
      <c r="EQ160" s="263"/>
      <c r="ER160" s="263"/>
      <c r="ES160" s="263"/>
      <c r="ET160" s="263"/>
      <c r="EU160" s="263"/>
      <c r="EV160" s="263"/>
      <c r="EW160" s="263"/>
      <c r="EX160" s="263"/>
      <c r="EY160" s="263"/>
      <c r="EZ160" s="263"/>
      <c r="FA160" s="263"/>
      <c r="FB160" s="263"/>
      <c r="FC160" s="263"/>
      <c r="FD160" s="263"/>
      <c r="FE160" s="263"/>
      <c r="FF160" s="263"/>
      <c r="FG160" s="263"/>
      <c r="FH160" s="263"/>
      <c r="FI160" s="263"/>
      <c r="FJ160" s="263"/>
      <c r="FK160" s="263"/>
      <c r="FL160" s="263"/>
      <c r="FM160" s="263"/>
      <c r="FN160" s="263"/>
      <c r="FO160" s="263"/>
      <c r="FP160" s="263"/>
      <c r="FQ160" s="263"/>
      <c r="FR160" s="263"/>
      <c r="FS160" s="263"/>
      <c r="FT160" s="263"/>
      <c r="FU160" s="263"/>
      <c r="FV160" s="263"/>
      <c r="FW160" s="263"/>
      <c r="FX160" s="263"/>
      <c r="FY160" s="263"/>
      <c r="FZ160" s="263"/>
      <c r="GA160" s="263"/>
      <c r="GB160" s="263"/>
      <c r="GC160" s="263"/>
      <c r="GD160" s="263"/>
      <c r="GE160" s="263"/>
      <c r="GF160" s="263"/>
      <c r="GG160" s="263"/>
      <c r="GH160" s="263"/>
      <c r="GI160" s="263"/>
      <c r="GJ160" s="263"/>
      <c r="GK160" s="263"/>
      <c r="GL160" s="263"/>
      <c r="GM160" s="263"/>
      <c r="GN160" s="263"/>
      <c r="GO160" s="263"/>
      <c r="GP160" s="263"/>
      <c r="GQ160" s="263"/>
      <c r="GR160" s="263"/>
      <c r="GS160" s="263"/>
      <c r="GT160" s="263"/>
      <c r="GU160" s="263"/>
      <c r="GV160" s="263"/>
      <c r="GW160" s="263"/>
      <c r="GX160" s="263"/>
      <c r="GY160" s="263"/>
      <c r="GZ160" s="263"/>
      <c r="HA160" s="263"/>
      <c r="HB160" s="263"/>
      <c r="HC160" s="263"/>
      <c r="HD160" s="263"/>
      <c r="HE160" s="263"/>
      <c r="HF160" s="263"/>
      <c r="HG160" s="263"/>
      <c r="HH160" s="263"/>
      <c r="HI160" s="263"/>
      <c r="HJ160" s="263"/>
      <c r="HK160" s="263"/>
      <c r="HL160" s="263"/>
      <c r="HM160" s="263"/>
      <c r="HN160" s="263"/>
      <c r="HO160" s="263"/>
      <c r="HP160" s="263"/>
      <c r="HQ160" s="263"/>
      <c r="HR160" s="263"/>
      <c r="HS160" s="263"/>
      <c r="HT160" s="263"/>
      <c r="HU160" s="263"/>
      <c r="HV160" s="263"/>
      <c r="HW160" s="263"/>
      <c r="HX160" s="263"/>
      <c r="HY160" s="263"/>
      <c r="HZ160" s="263"/>
      <c r="IA160" s="263"/>
      <c r="IB160" s="263"/>
      <c r="IC160" s="263"/>
      <c r="ID160" s="263"/>
      <c r="IE160" s="263"/>
      <c r="IF160" s="263"/>
      <c r="IG160" s="263"/>
      <c r="IH160" s="263"/>
      <c r="II160" s="263"/>
      <c r="IJ160" s="263"/>
      <c r="IK160" s="263"/>
      <c r="IL160" s="263"/>
      <c r="IM160" s="263"/>
      <c r="IN160" s="263"/>
      <c r="IO160" s="263"/>
      <c r="IP160" s="263"/>
      <c r="IQ160" s="263"/>
      <c r="IR160" s="263"/>
    </row>
    <row r="161" spans="1:252" s="368" customFormat="1" ht="16.5" thickBot="1" x14ac:dyDescent="0.3">
      <c r="A161" s="318"/>
      <c r="B161" s="313"/>
      <c r="C161" s="313"/>
      <c r="D161" s="313"/>
      <c r="E161" s="313"/>
      <c r="F161" s="313"/>
      <c r="G161" s="313"/>
      <c r="H161" s="313"/>
      <c r="I161" s="313"/>
      <c r="J161" s="313"/>
      <c r="K161" s="313"/>
      <c r="L161" s="313"/>
      <c r="M161" s="313"/>
      <c r="N161" s="313"/>
      <c r="O161" s="313"/>
      <c r="P161" s="313"/>
      <c r="Q161" s="313"/>
      <c r="R161" s="351"/>
      <c r="S161" s="261"/>
      <c r="T161" s="262"/>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3"/>
      <c r="BC161" s="263"/>
      <c r="BD161" s="263"/>
      <c r="BE161" s="263"/>
      <c r="BF161" s="263"/>
      <c r="BG161" s="263"/>
      <c r="BH161" s="263"/>
      <c r="BI161" s="263"/>
      <c r="BJ161" s="263"/>
      <c r="BK161" s="263"/>
      <c r="BL161" s="263"/>
      <c r="BM161" s="263"/>
      <c r="BN161" s="263"/>
      <c r="BO161" s="263"/>
      <c r="BP161" s="263"/>
      <c r="BQ161" s="263"/>
      <c r="BR161" s="263"/>
      <c r="BS161" s="263"/>
      <c r="BT161" s="263"/>
      <c r="BU161" s="263"/>
      <c r="BV161" s="263"/>
      <c r="BW161" s="263"/>
      <c r="BX161" s="263"/>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63"/>
      <c r="DY161" s="263"/>
      <c r="DZ161" s="263"/>
      <c r="EA161" s="263"/>
      <c r="EB161" s="263"/>
      <c r="EC161" s="263"/>
      <c r="ED161" s="263"/>
      <c r="EE161" s="263"/>
      <c r="EF161" s="263"/>
      <c r="EG161" s="263"/>
      <c r="EH161" s="263"/>
      <c r="EI161" s="263"/>
      <c r="EJ161" s="263"/>
      <c r="EK161" s="263"/>
      <c r="EL161" s="263"/>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63"/>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63"/>
      <c r="GT161" s="263"/>
      <c r="GU161" s="263"/>
      <c r="GV161" s="263"/>
      <c r="GW161" s="263"/>
      <c r="GX161" s="263"/>
      <c r="GY161" s="263"/>
      <c r="GZ161" s="263"/>
      <c r="HA161" s="263"/>
      <c r="HB161" s="263"/>
      <c r="HC161" s="263"/>
      <c r="HD161" s="263"/>
      <c r="HE161" s="263"/>
      <c r="HF161" s="263"/>
      <c r="HG161" s="263"/>
      <c r="HH161" s="263"/>
      <c r="HI161" s="263"/>
      <c r="HJ161" s="263"/>
      <c r="HK161" s="263"/>
      <c r="HL161" s="263"/>
      <c r="HM161" s="263"/>
      <c r="HN161" s="263"/>
      <c r="HO161" s="263"/>
      <c r="HP161" s="263"/>
      <c r="HQ161" s="263"/>
      <c r="HR161" s="263"/>
      <c r="HS161" s="263"/>
      <c r="HT161" s="263"/>
      <c r="HU161" s="263"/>
      <c r="HV161" s="263"/>
      <c r="HW161" s="263"/>
      <c r="HX161" s="263"/>
      <c r="HY161" s="263"/>
      <c r="HZ161" s="263"/>
      <c r="IA161" s="263"/>
      <c r="IB161" s="263"/>
      <c r="IC161" s="263"/>
      <c r="ID161" s="263"/>
      <c r="IE161" s="263"/>
      <c r="IF161" s="263"/>
      <c r="IG161" s="263"/>
      <c r="IH161" s="263"/>
      <c r="II161" s="263"/>
      <c r="IJ161" s="263"/>
      <c r="IK161" s="263"/>
      <c r="IL161" s="263"/>
      <c r="IM161" s="263"/>
      <c r="IN161" s="263"/>
      <c r="IO161" s="263"/>
      <c r="IP161" s="263"/>
      <c r="IQ161" s="263"/>
      <c r="IR161" s="263"/>
    </row>
    <row r="162" spans="1:252" s="369" customFormat="1" x14ac:dyDescent="0.25">
      <c r="A162" s="240"/>
      <c r="B162" s="242"/>
      <c r="C162" s="242"/>
      <c r="D162" s="242"/>
      <c r="E162" s="242"/>
      <c r="F162" s="242"/>
      <c r="G162" s="242"/>
      <c r="H162" s="242"/>
      <c r="I162" s="242"/>
      <c r="J162" s="242"/>
      <c r="K162" s="242"/>
      <c r="L162" s="242"/>
      <c r="M162" s="242"/>
      <c r="N162" s="242"/>
      <c r="O162" s="242"/>
      <c r="P162" s="242"/>
      <c r="Q162" s="242"/>
      <c r="R162" s="364"/>
      <c r="S162" s="243"/>
      <c r="T162" s="244"/>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B162" s="245"/>
      <c r="DC162" s="245"/>
      <c r="DD162" s="245"/>
      <c r="DE162" s="245"/>
      <c r="DF162" s="245"/>
      <c r="DG162" s="245"/>
      <c r="DH162" s="245"/>
      <c r="DI162" s="245"/>
      <c r="DJ162" s="245"/>
      <c r="DK162" s="245"/>
      <c r="DL162" s="245"/>
      <c r="DM162" s="245"/>
      <c r="DN162" s="245"/>
      <c r="DO162" s="245"/>
      <c r="DP162" s="245"/>
      <c r="DQ162" s="245"/>
      <c r="DR162" s="245"/>
      <c r="DS162" s="245"/>
      <c r="DT162" s="245"/>
      <c r="DU162" s="245"/>
      <c r="DV162" s="245"/>
      <c r="DW162" s="245"/>
      <c r="DX162" s="245"/>
      <c r="DY162" s="245"/>
      <c r="DZ162" s="245"/>
      <c r="EA162" s="245"/>
      <c r="EB162" s="245"/>
      <c r="EC162" s="245"/>
      <c r="ED162" s="245"/>
      <c r="EE162" s="245"/>
      <c r="EF162" s="245"/>
      <c r="EG162" s="245"/>
      <c r="EH162" s="245"/>
      <c r="EI162" s="245"/>
      <c r="EJ162" s="245"/>
      <c r="EK162" s="245"/>
      <c r="EL162" s="245"/>
      <c r="EM162" s="245"/>
      <c r="EN162" s="245"/>
      <c r="EO162" s="245"/>
      <c r="EP162" s="245"/>
      <c r="EQ162" s="245"/>
      <c r="ER162" s="245"/>
      <c r="ES162" s="245"/>
      <c r="ET162" s="245"/>
      <c r="EU162" s="245"/>
      <c r="EV162" s="245"/>
      <c r="EW162" s="245"/>
      <c r="EX162" s="245"/>
      <c r="EY162" s="245"/>
      <c r="EZ162" s="245"/>
      <c r="FA162" s="245"/>
      <c r="FB162" s="245"/>
      <c r="FC162" s="245"/>
      <c r="FD162" s="245"/>
      <c r="FE162" s="245"/>
      <c r="FF162" s="245"/>
      <c r="FG162" s="245"/>
      <c r="FH162" s="245"/>
      <c r="FI162" s="245"/>
      <c r="FJ162" s="245"/>
      <c r="FK162" s="245"/>
      <c r="FL162" s="245"/>
      <c r="FM162" s="245"/>
      <c r="FN162" s="245"/>
      <c r="FO162" s="245"/>
      <c r="FP162" s="245"/>
      <c r="FQ162" s="245"/>
      <c r="FR162" s="245"/>
      <c r="FS162" s="245"/>
      <c r="FT162" s="245"/>
      <c r="FU162" s="245"/>
      <c r="FV162" s="245"/>
      <c r="FW162" s="245"/>
      <c r="FX162" s="245"/>
      <c r="FY162" s="245"/>
      <c r="FZ162" s="245"/>
      <c r="GA162" s="245"/>
      <c r="GB162" s="245"/>
      <c r="GC162" s="245"/>
      <c r="GD162" s="245"/>
      <c r="GE162" s="245"/>
      <c r="GF162" s="245"/>
      <c r="GG162" s="245"/>
      <c r="GH162" s="245"/>
      <c r="GI162" s="245"/>
      <c r="GJ162" s="245"/>
      <c r="GK162" s="245"/>
      <c r="GL162" s="245"/>
      <c r="GM162" s="245"/>
      <c r="GN162" s="245"/>
      <c r="GO162" s="245"/>
      <c r="GP162" s="245"/>
      <c r="GQ162" s="245"/>
      <c r="GR162" s="245"/>
      <c r="GS162" s="245"/>
      <c r="GT162" s="245"/>
      <c r="GU162" s="245"/>
      <c r="GV162" s="245"/>
      <c r="GW162" s="245"/>
      <c r="GX162" s="245"/>
      <c r="GY162" s="245"/>
      <c r="GZ162" s="245"/>
      <c r="HA162" s="245"/>
      <c r="HB162" s="245"/>
      <c r="HC162" s="245"/>
      <c r="HD162" s="245"/>
      <c r="HE162" s="245"/>
      <c r="HF162" s="245"/>
      <c r="HG162" s="245"/>
      <c r="HH162" s="245"/>
      <c r="HI162" s="245"/>
      <c r="HJ162" s="245"/>
      <c r="HK162" s="245"/>
      <c r="HL162" s="245"/>
      <c r="HM162" s="245"/>
      <c r="HN162" s="245"/>
      <c r="HO162" s="245"/>
      <c r="HP162" s="245"/>
      <c r="HQ162" s="245"/>
      <c r="HR162" s="245"/>
      <c r="HS162" s="245"/>
      <c r="HT162" s="245"/>
      <c r="HU162" s="245"/>
      <c r="HV162" s="245"/>
      <c r="HW162" s="245"/>
      <c r="HX162" s="245"/>
      <c r="HY162" s="245"/>
      <c r="HZ162" s="245"/>
      <c r="IA162" s="245"/>
      <c r="IB162" s="245"/>
      <c r="IC162" s="245"/>
      <c r="ID162" s="245"/>
      <c r="IE162" s="245"/>
      <c r="IF162" s="245"/>
      <c r="IG162" s="245"/>
      <c r="IH162" s="245"/>
      <c r="II162" s="245"/>
      <c r="IJ162" s="245"/>
      <c r="IK162" s="245"/>
      <c r="IL162" s="245"/>
      <c r="IM162" s="245"/>
      <c r="IN162" s="245"/>
      <c r="IO162" s="245"/>
      <c r="IP162" s="245"/>
      <c r="IQ162" s="245"/>
      <c r="IR162" s="245"/>
    </row>
    <row r="163" spans="1:252" x14ac:dyDescent="0.25">
      <c r="A163" s="246"/>
      <c r="B163" s="350" t="s">
        <v>44</v>
      </c>
      <c r="C163" s="248"/>
      <c r="D163" s="248"/>
      <c r="E163" s="248"/>
      <c r="F163" s="248"/>
      <c r="G163" s="248"/>
      <c r="H163" s="248"/>
      <c r="I163" s="248"/>
      <c r="J163" s="248"/>
      <c r="K163" s="248"/>
      <c r="L163" s="248"/>
      <c r="M163" s="248"/>
      <c r="N163" s="248"/>
      <c r="O163" s="248"/>
      <c r="P163" s="248"/>
      <c r="Q163" s="248"/>
      <c r="R163" s="323"/>
      <c r="S163" s="249"/>
      <c r="T163" s="244"/>
    </row>
    <row r="164" spans="1:252" x14ac:dyDescent="0.25">
      <c r="A164" s="246"/>
      <c r="B164" s="349"/>
      <c r="C164" s="248"/>
      <c r="D164" s="248"/>
      <c r="E164" s="248"/>
      <c r="F164" s="248"/>
      <c r="G164" s="248"/>
      <c r="H164" s="248"/>
      <c r="I164" s="248"/>
      <c r="J164" s="248"/>
      <c r="K164" s="248"/>
      <c r="L164" s="248"/>
      <c r="M164" s="248"/>
      <c r="N164" s="248"/>
      <c r="O164" s="248"/>
      <c r="P164" s="248"/>
      <c r="Q164" s="248"/>
      <c r="R164" s="323"/>
      <c r="S164" s="249"/>
      <c r="T164" s="244"/>
    </row>
    <row r="165" spans="1:252" s="263" customFormat="1" x14ac:dyDescent="0.25">
      <c r="A165" s="275"/>
      <c r="B165" s="271" t="s">
        <v>180</v>
      </c>
      <c r="C165" s="271"/>
      <c r="D165" s="271"/>
      <c r="E165" s="271"/>
      <c r="F165" s="271"/>
      <c r="G165" s="271"/>
      <c r="H165" s="271"/>
      <c r="I165" s="271"/>
      <c r="J165" s="271"/>
      <c r="K165" s="271"/>
      <c r="L165" s="271"/>
      <c r="M165" s="271"/>
      <c r="N165" s="271"/>
      <c r="O165" s="271"/>
      <c r="P165" s="271"/>
      <c r="Q165" s="271"/>
      <c r="R165" s="332">
        <f>+R59</f>
        <v>107327</v>
      </c>
      <c r="S165" s="274"/>
      <c r="T165" s="262"/>
    </row>
    <row r="166" spans="1:252" s="263" customFormat="1" x14ac:dyDescent="0.25">
      <c r="A166" s="275"/>
      <c r="B166" s="271" t="s">
        <v>181</v>
      </c>
      <c r="C166" s="271"/>
      <c r="D166" s="271"/>
      <c r="E166" s="271"/>
      <c r="F166" s="271"/>
      <c r="G166" s="271"/>
      <c r="H166" s="271"/>
      <c r="I166" s="271"/>
      <c r="J166" s="271"/>
      <c r="K166" s="271"/>
      <c r="L166" s="271"/>
      <c r="M166" s="271"/>
      <c r="N166" s="271"/>
      <c r="O166" s="271"/>
      <c r="P166" s="271"/>
      <c r="Q166" s="271"/>
      <c r="R166" s="332">
        <f>+R69</f>
        <v>0</v>
      </c>
      <c r="S166" s="274"/>
      <c r="T166" s="262"/>
    </row>
    <row r="167" spans="1:252" s="263" customFormat="1" x14ac:dyDescent="0.25">
      <c r="A167" s="275"/>
      <c r="B167" s="271" t="s">
        <v>242</v>
      </c>
      <c r="C167" s="271"/>
      <c r="D167" s="271"/>
      <c r="E167" s="271"/>
      <c r="F167" s="271"/>
      <c r="G167" s="271"/>
      <c r="H167" s="271"/>
      <c r="I167" s="271"/>
      <c r="J167" s="271"/>
      <c r="K167" s="271"/>
      <c r="L167" s="271"/>
      <c r="M167" s="271"/>
      <c r="N167" s="271"/>
      <c r="O167" s="271"/>
      <c r="P167" s="271"/>
      <c r="Q167" s="271"/>
      <c r="R167" s="332">
        <f>+R70</f>
        <v>0</v>
      </c>
      <c r="S167" s="274"/>
      <c r="T167" s="262"/>
    </row>
    <row r="168" spans="1:252" s="263" customFormat="1" x14ac:dyDescent="0.25">
      <c r="A168" s="275"/>
      <c r="B168" s="271" t="s">
        <v>127</v>
      </c>
      <c r="C168" s="271"/>
      <c r="D168" s="271"/>
      <c r="E168" s="271"/>
      <c r="F168" s="271"/>
      <c r="G168" s="271"/>
      <c r="H168" s="271"/>
      <c r="I168" s="271"/>
      <c r="J168" s="271"/>
      <c r="K168" s="271"/>
      <c r="L168" s="271"/>
      <c r="M168" s="271"/>
      <c r="N168" s="271"/>
      <c r="O168" s="271"/>
      <c r="P168" s="271"/>
      <c r="Q168" s="271"/>
      <c r="R168" s="332">
        <f>+R165+R166+R167</f>
        <v>107327</v>
      </c>
      <c r="S168" s="274"/>
      <c r="T168" s="262"/>
      <c r="U168" s="344"/>
    </row>
    <row r="169" spans="1:252" s="263" customFormat="1" x14ac:dyDescent="0.25">
      <c r="A169" s="275"/>
      <c r="B169" s="271" t="s">
        <v>45</v>
      </c>
      <c r="C169" s="271"/>
      <c r="D169" s="271"/>
      <c r="E169" s="271"/>
      <c r="F169" s="271"/>
      <c r="G169" s="271"/>
      <c r="H169" s="271"/>
      <c r="I169" s="271"/>
      <c r="J169" s="271"/>
      <c r="K169" s="271"/>
      <c r="L169" s="271"/>
      <c r="M169" s="271"/>
      <c r="N169" s="271"/>
      <c r="O169" s="271"/>
      <c r="P169" s="271"/>
      <c r="Q169" s="271"/>
      <c r="R169" s="332">
        <f>R72</f>
        <v>107327</v>
      </c>
      <c r="S169" s="274"/>
      <c r="T169" s="262"/>
    </row>
    <row r="170" spans="1:252" ht="16.5" thickBot="1" x14ac:dyDescent="0.3">
      <c r="A170" s="246"/>
      <c r="B170" s="333"/>
      <c r="C170" s="333"/>
      <c r="D170" s="333"/>
      <c r="E170" s="333"/>
      <c r="F170" s="333"/>
      <c r="G170" s="333"/>
      <c r="H170" s="333"/>
      <c r="I170" s="333"/>
      <c r="J170" s="333"/>
      <c r="K170" s="333"/>
      <c r="L170" s="333"/>
      <c r="M170" s="333"/>
      <c r="N170" s="333"/>
      <c r="O170" s="333"/>
      <c r="P170" s="333"/>
      <c r="Q170" s="333"/>
      <c r="R170" s="362"/>
      <c r="S170" s="249"/>
      <c r="T170" s="244"/>
    </row>
    <row r="171" spans="1:252" x14ac:dyDescent="0.25">
      <c r="A171" s="240"/>
      <c r="B171" s="242"/>
      <c r="C171" s="242"/>
      <c r="D171" s="242"/>
      <c r="E171" s="242"/>
      <c r="F171" s="242"/>
      <c r="G171" s="242"/>
      <c r="H171" s="242"/>
      <c r="I171" s="242"/>
      <c r="J171" s="242"/>
      <c r="K171" s="242"/>
      <c r="L171" s="242"/>
      <c r="M171" s="242"/>
      <c r="N171" s="242"/>
      <c r="O171" s="242"/>
      <c r="P171" s="242"/>
      <c r="Q171" s="242"/>
      <c r="R171" s="364"/>
      <c r="S171" s="243"/>
      <c r="T171" s="244"/>
    </row>
    <row r="172" spans="1:252" x14ac:dyDescent="0.25">
      <c r="A172" s="246"/>
      <c r="B172" s="350" t="s">
        <v>46</v>
      </c>
      <c r="C172" s="370"/>
      <c r="D172" s="371"/>
      <c r="E172" s="371"/>
      <c r="F172" s="371"/>
      <c r="G172" s="371"/>
      <c r="H172" s="371"/>
      <c r="I172" s="371"/>
      <c r="J172" s="371"/>
      <c r="K172" s="371"/>
      <c r="L172" s="371"/>
      <c r="M172" s="371"/>
      <c r="N172" s="371"/>
      <c r="O172" s="372" t="s">
        <v>83</v>
      </c>
      <c r="P172" s="372" t="s">
        <v>176</v>
      </c>
      <c r="Q172" s="251"/>
      <c r="R172" s="373" t="s">
        <v>95</v>
      </c>
      <c r="S172" s="374"/>
      <c r="T172" s="244"/>
    </row>
    <row r="173" spans="1:252" s="263" customFormat="1" x14ac:dyDescent="0.25">
      <c r="A173" s="275"/>
      <c r="B173" s="271" t="s">
        <v>47</v>
      </c>
      <c r="C173" s="271"/>
      <c r="D173" s="271"/>
      <c r="E173" s="271"/>
      <c r="F173" s="271"/>
      <c r="G173" s="271"/>
      <c r="H173" s="271"/>
      <c r="I173" s="271"/>
      <c r="J173" s="271"/>
      <c r="K173" s="271"/>
      <c r="L173" s="271"/>
      <c r="M173" s="271"/>
      <c r="N173" s="271"/>
      <c r="O173" s="332">
        <f>+R28*0.08</f>
        <v>28000</v>
      </c>
      <c r="P173" s="304"/>
      <c r="Q173" s="271"/>
      <c r="R173" s="332"/>
      <c r="S173" s="274"/>
      <c r="T173" s="262"/>
    </row>
    <row r="174" spans="1:252" s="263" customFormat="1" x14ac:dyDescent="0.25">
      <c r="A174" s="275"/>
      <c r="B174" s="271" t="s">
        <v>48</v>
      </c>
      <c r="C174" s="271"/>
      <c r="D174" s="271"/>
      <c r="E174" s="271"/>
      <c r="F174" s="271"/>
      <c r="G174" s="271"/>
      <c r="H174" s="271"/>
      <c r="I174" s="271"/>
      <c r="J174" s="271"/>
      <c r="K174" s="271"/>
      <c r="L174" s="271"/>
      <c r="M174" s="271"/>
      <c r="N174" s="271"/>
      <c r="O174" s="332">
        <f>+'July 17'!O176</f>
        <v>1947</v>
      </c>
      <c r="P174" s="332">
        <f>+'July 17'!P176</f>
        <v>633</v>
      </c>
      <c r="Q174" s="271"/>
      <c r="R174" s="332">
        <f>O174+P174</f>
        <v>2580</v>
      </c>
      <c r="S174" s="274"/>
      <c r="T174" s="262"/>
    </row>
    <row r="175" spans="1:252" s="263" customFormat="1" x14ac:dyDescent="0.25">
      <c r="A175" s="275"/>
      <c r="B175" s="271" t="s">
        <v>49</v>
      </c>
      <c r="C175" s="271"/>
      <c r="D175" s="271"/>
      <c r="E175" s="271"/>
      <c r="F175" s="271"/>
      <c r="G175" s="271"/>
      <c r="H175" s="271"/>
      <c r="I175" s="271"/>
      <c r="J175" s="271"/>
      <c r="K175" s="271"/>
      <c r="L175" s="271"/>
      <c r="M175" s="271"/>
      <c r="N175" s="271"/>
      <c r="O175" s="331">
        <v>89</v>
      </c>
      <c r="P175" s="331">
        <v>0</v>
      </c>
      <c r="Q175" s="271"/>
      <c r="R175" s="332">
        <f>O175+P175</f>
        <v>89</v>
      </c>
      <c r="S175" s="274"/>
      <c r="T175" s="262"/>
    </row>
    <row r="176" spans="1:252" s="263" customFormat="1" x14ac:dyDescent="0.25">
      <c r="A176" s="275"/>
      <c r="B176" s="271" t="s">
        <v>50</v>
      </c>
      <c r="C176" s="271"/>
      <c r="D176" s="271"/>
      <c r="E176" s="271"/>
      <c r="F176" s="271"/>
      <c r="G176" s="271"/>
      <c r="H176" s="271"/>
      <c r="I176" s="271"/>
      <c r="J176" s="271"/>
      <c r="K176" s="271"/>
      <c r="L176" s="271"/>
      <c r="M176" s="271"/>
      <c r="N176" s="271"/>
      <c r="O176" s="332">
        <f>O174+O175</f>
        <v>2036</v>
      </c>
      <c r="P176" s="332">
        <f>P175+P174</f>
        <v>633</v>
      </c>
      <c r="Q176" s="271"/>
      <c r="R176" s="332">
        <f>O176+P176</f>
        <v>2669</v>
      </c>
      <c r="S176" s="274"/>
      <c r="T176" s="262"/>
    </row>
    <row r="177" spans="1:20" s="263" customFormat="1" x14ac:dyDescent="0.25">
      <c r="A177" s="275"/>
      <c r="B177" s="271" t="s">
        <v>51</v>
      </c>
      <c r="C177" s="271"/>
      <c r="D177" s="271"/>
      <c r="E177" s="271"/>
      <c r="F177" s="271"/>
      <c r="G177" s="271"/>
      <c r="H177" s="271"/>
      <c r="I177" s="271"/>
      <c r="J177" s="271"/>
      <c r="K177" s="271"/>
      <c r="L177" s="271"/>
      <c r="M177" s="271"/>
      <c r="N177" s="271"/>
      <c r="O177" s="332">
        <f>O173-O176-P176</f>
        <v>25331</v>
      </c>
      <c r="P177" s="304"/>
      <c r="Q177" s="271"/>
      <c r="R177" s="332"/>
      <c r="S177" s="274"/>
      <c r="T177" s="262"/>
    </row>
    <row r="178" spans="1:20" ht="16.5" thickBot="1" x14ac:dyDescent="0.3">
      <c r="A178" s="246"/>
      <c r="B178" s="333"/>
      <c r="C178" s="333"/>
      <c r="D178" s="333"/>
      <c r="E178" s="333"/>
      <c r="F178" s="333"/>
      <c r="G178" s="333"/>
      <c r="H178" s="333"/>
      <c r="I178" s="333"/>
      <c r="J178" s="333"/>
      <c r="K178" s="333"/>
      <c r="L178" s="333"/>
      <c r="M178" s="333"/>
      <c r="N178" s="333"/>
      <c r="O178" s="333"/>
      <c r="P178" s="333"/>
      <c r="Q178" s="333"/>
      <c r="R178" s="362"/>
      <c r="S178" s="249"/>
      <c r="T178" s="244"/>
    </row>
    <row r="179" spans="1:20" x14ac:dyDescent="0.25">
      <c r="A179" s="240"/>
      <c r="B179" s="242"/>
      <c r="C179" s="242"/>
      <c r="D179" s="242"/>
      <c r="E179" s="242"/>
      <c r="F179" s="242"/>
      <c r="G179" s="242"/>
      <c r="H179" s="242"/>
      <c r="I179" s="242"/>
      <c r="J179" s="242"/>
      <c r="K179" s="242"/>
      <c r="L179" s="242"/>
      <c r="M179" s="242"/>
      <c r="N179" s="242"/>
      <c r="O179" s="242"/>
      <c r="P179" s="242"/>
      <c r="Q179" s="242"/>
      <c r="R179" s="364"/>
      <c r="S179" s="243"/>
      <c r="T179" s="244"/>
    </row>
    <row r="180" spans="1:20" x14ac:dyDescent="0.25">
      <c r="A180" s="246"/>
      <c r="B180" s="350" t="s">
        <v>52</v>
      </c>
      <c r="C180" s="248"/>
      <c r="D180" s="248"/>
      <c r="E180" s="248"/>
      <c r="F180" s="248"/>
      <c r="G180" s="248"/>
      <c r="H180" s="248"/>
      <c r="I180" s="248"/>
      <c r="J180" s="248"/>
      <c r="K180" s="248"/>
      <c r="L180" s="248"/>
      <c r="M180" s="248"/>
      <c r="N180" s="248"/>
      <c r="O180" s="248"/>
      <c r="P180" s="248"/>
      <c r="Q180" s="248"/>
      <c r="R180" s="375"/>
      <c r="S180" s="249"/>
      <c r="T180" s="244"/>
    </row>
    <row r="181" spans="1:20" s="263" customFormat="1" x14ac:dyDescent="0.25">
      <c r="A181" s="275"/>
      <c r="B181" s="271" t="s">
        <v>53</v>
      </c>
      <c r="C181" s="271"/>
      <c r="D181" s="271"/>
      <c r="E181" s="271"/>
      <c r="F181" s="271"/>
      <c r="G181" s="271"/>
      <c r="H181" s="271"/>
      <c r="I181" s="271"/>
      <c r="J181" s="271"/>
      <c r="K181" s="271"/>
      <c r="L181" s="271"/>
      <c r="M181" s="271"/>
      <c r="N181" s="271"/>
      <c r="O181" s="271"/>
      <c r="P181" s="271"/>
      <c r="Q181" s="271"/>
      <c r="R181" s="376">
        <f>(R92+R94+R95+R96+R97)/-(R98)</f>
        <v>6.625</v>
      </c>
      <c r="S181" s="274" t="s">
        <v>96</v>
      </c>
      <c r="T181" s="262"/>
    </row>
    <row r="182" spans="1:20" s="263" customFormat="1" x14ac:dyDescent="0.25">
      <c r="A182" s="275"/>
      <c r="B182" s="271" t="s">
        <v>54</v>
      </c>
      <c r="C182" s="271"/>
      <c r="D182" s="271"/>
      <c r="E182" s="271"/>
      <c r="F182" s="271"/>
      <c r="G182" s="271"/>
      <c r="H182" s="271"/>
      <c r="I182" s="271"/>
      <c r="J182" s="271"/>
      <c r="K182" s="271"/>
      <c r="L182" s="271"/>
      <c r="M182" s="271"/>
      <c r="N182" s="271"/>
      <c r="O182" s="271"/>
      <c r="P182" s="271"/>
      <c r="Q182" s="271"/>
      <c r="R182" s="377">
        <v>4.04</v>
      </c>
      <c r="S182" s="274" t="s">
        <v>96</v>
      </c>
      <c r="T182" s="262"/>
    </row>
    <row r="183" spans="1:20" s="263" customFormat="1" x14ac:dyDescent="0.25">
      <c r="A183" s="275"/>
      <c r="B183" s="271" t="s">
        <v>189</v>
      </c>
      <c r="C183" s="271"/>
      <c r="D183" s="271"/>
      <c r="E183" s="271"/>
      <c r="F183" s="271"/>
      <c r="G183" s="271"/>
      <c r="H183" s="271"/>
      <c r="I183" s="271"/>
      <c r="J183" s="271"/>
      <c r="K183" s="271"/>
      <c r="L183" s="271"/>
      <c r="M183" s="271"/>
      <c r="N183" s="271"/>
      <c r="O183" s="271"/>
      <c r="P183" s="271"/>
      <c r="Q183" s="271"/>
      <c r="R183" s="376">
        <f>(R92+R94+R95+R96+R97+R98)/-(R99)</f>
        <v>15.194805194805195</v>
      </c>
      <c r="S183" s="274" t="s">
        <v>96</v>
      </c>
      <c r="T183" s="262"/>
    </row>
    <row r="184" spans="1:20" s="263" customFormat="1" x14ac:dyDescent="0.25">
      <c r="A184" s="275"/>
      <c r="B184" s="271" t="s">
        <v>190</v>
      </c>
      <c r="C184" s="271"/>
      <c r="D184" s="271"/>
      <c r="E184" s="271"/>
      <c r="F184" s="271"/>
      <c r="G184" s="271"/>
      <c r="H184" s="271"/>
      <c r="I184" s="271"/>
      <c r="J184" s="271"/>
      <c r="K184" s="271"/>
      <c r="L184" s="271"/>
      <c r="M184" s="271"/>
      <c r="N184" s="271"/>
      <c r="O184" s="271"/>
      <c r="P184" s="271"/>
      <c r="Q184" s="271"/>
      <c r="R184" s="377">
        <v>23.17</v>
      </c>
      <c r="S184" s="274" t="s">
        <v>96</v>
      </c>
      <c r="T184" s="262"/>
    </row>
    <row r="185" spans="1:20" s="263" customFormat="1" x14ac:dyDescent="0.25">
      <c r="A185" s="275"/>
      <c r="B185" s="271" t="s">
        <v>191</v>
      </c>
      <c r="C185" s="271"/>
      <c r="D185" s="271"/>
      <c r="E185" s="271"/>
      <c r="F185" s="271"/>
      <c r="G185" s="271"/>
      <c r="H185" s="271"/>
      <c r="I185" s="271"/>
      <c r="J185" s="271"/>
      <c r="K185" s="271"/>
      <c r="L185" s="271"/>
      <c r="M185" s="271"/>
      <c r="N185" s="271"/>
      <c r="O185" s="271"/>
      <c r="P185" s="271"/>
      <c r="Q185" s="271"/>
      <c r="R185" s="376">
        <f>(R92+R94+R95+R96+R97+R98+R99+R100+R101+R102+R103+R104)/-(R105)</f>
        <v>36.827586206896555</v>
      </c>
      <c r="S185" s="274" t="s">
        <v>96</v>
      </c>
      <c r="T185" s="262"/>
    </row>
    <row r="186" spans="1:20" s="263" customFormat="1" x14ac:dyDescent="0.25">
      <c r="A186" s="275"/>
      <c r="B186" s="271" t="s">
        <v>192</v>
      </c>
      <c r="C186" s="271"/>
      <c r="D186" s="271"/>
      <c r="E186" s="271"/>
      <c r="F186" s="271"/>
      <c r="G186" s="271"/>
      <c r="H186" s="271"/>
      <c r="I186" s="271"/>
      <c r="J186" s="271"/>
      <c r="K186" s="271"/>
      <c r="L186" s="271"/>
      <c r="M186" s="271"/>
      <c r="N186" s="271"/>
      <c r="O186" s="271"/>
      <c r="P186" s="271"/>
      <c r="Q186" s="271"/>
      <c r="R186" s="377">
        <v>59.55</v>
      </c>
      <c r="S186" s="274" t="s">
        <v>96</v>
      </c>
      <c r="T186" s="262"/>
    </row>
    <row r="187" spans="1:20" s="263" customFormat="1" x14ac:dyDescent="0.25">
      <c r="A187" s="275"/>
      <c r="B187" s="271"/>
      <c r="C187" s="271"/>
      <c r="D187" s="271"/>
      <c r="E187" s="271"/>
      <c r="F187" s="271"/>
      <c r="G187" s="271"/>
      <c r="H187" s="271"/>
      <c r="I187" s="271"/>
      <c r="J187" s="271"/>
      <c r="K187" s="271"/>
      <c r="L187" s="271"/>
      <c r="M187" s="271"/>
      <c r="N187" s="271"/>
      <c r="O187" s="271"/>
      <c r="P187" s="271"/>
      <c r="Q187" s="271"/>
      <c r="R187" s="271"/>
      <c r="S187" s="274"/>
      <c r="T187" s="262"/>
    </row>
    <row r="188" spans="1:20" s="263" customFormat="1" x14ac:dyDescent="0.25">
      <c r="A188" s="258"/>
      <c r="B188" s="313"/>
      <c r="C188" s="313"/>
      <c r="D188" s="313"/>
      <c r="E188" s="313"/>
      <c r="F188" s="313"/>
      <c r="G188" s="313"/>
      <c r="H188" s="313"/>
      <c r="I188" s="313"/>
      <c r="J188" s="313"/>
      <c r="K188" s="313"/>
      <c r="L188" s="313"/>
      <c r="M188" s="313"/>
      <c r="N188" s="313"/>
      <c r="O188" s="313"/>
      <c r="P188" s="313"/>
      <c r="Q188" s="313"/>
      <c r="R188" s="313"/>
      <c r="S188" s="261"/>
      <c r="T188" s="262"/>
    </row>
    <row r="189" spans="1:20" s="263" customFormat="1" x14ac:dyDescent="0.25">
      <c r="A189" s="258"/>
      <c r="B189" s="259"/>
      <c r="C189" s="259"/>
      <c r="D189" s="259"/>
      <c r="E189" s="259"/>
      <c r="F189" s="259"/>
      <c r="G189" s="259"/>
      <c r="H189" s="259"/>
      <c r="I189" s="259"/>
      <c r="J189" s="259"/>
      <c r="K189" s="259"/>
      <c r="L189" s="259"/>
      <c r="M189" s="259"/>
      <c r="N189" s="259"/>
      <c r="O189" s="259"/>
      <c r="P189" s="259"/>
      <c r="Q189" s="259"/>
      <c r="R189" s="259"/>
      <c r="S189" s="261"/>
      <c r="T189" s="262"/>
    </row>
    <row r="190" spans="1:20" s="263" customFormat="1" ht="19.5" thickBot="1" x14ac:dyDescent="0.35">
      <c r="A190" s="318"/>
      <c r="B190" s="319" t="str">
        <f>B121</f>
        <v>PM20 INVESTOR REPORT QUARTER ENDING OCTOBER 2017</v>
      </c>
      <c r="C190" s="320"/>
      <c r="D190" s="320"/>
      <c r="E190" s="320"/>
      <c r="F190" s="320"/>
      <c r="G190" s="320"/>
      <c r="H190" s="320"/>
      <c r="I190" s="320"/>
      <c r="J190" s="320"/>
      <c r="K190" s="320"/>
      <c r="L190" s="320"/>
      <c r="M190" s="320"/>
      <c r="N190" s="320"/>
      <c r="O190" s="320"/>
      <c r="P190" s="320"/>
      <c r="Q190" s="320"/>
      <c r="R190" s="320"/>
      <c r="S190" s="322"/>
      <c r="T190" s="262"/>
    </row>
    <row r="191" spans="1:20" x14ac:dyDescent="0.25">
      <c r="A191" s="449"/>
      <c r="B191" s="450" t="s">
        <v>55</v>
      </c>
      <c r="C191" s="454"/>
      <c r="D191" s="455"/>
      <c r="E191" s="455"/>
      <c r="F191" s="455"/>
      <c r="G191" s="455"/>
      <c r="H191" s="455"/>
      <c r="I191" s="455"/>
      <c r="J191" s="455"/>
      <c r="K191" s="455"/>
      <c r="L191" s="455"/>
      <c r="M191" s="455"/>
      <c r="N191" s="455"/>
      <c r="O191" s="455"/>
      <c r="P191" s="455">
        <v>43039</v>
      </c>
      <c r="Q191" s="451"/>
      <c r="R191" s="451"/>
      <c r="S191" s="453"/>
      <c r="T191" s="244"/>
    </row>
    <row r="192" spans="1:20" x14ac:dyDescent="0.25">
      <c r="A192" s="378"/>
      <c r="B192" s="379"/>
      <c r="C192" s="380"/>
      <c r="D192" s="381"/>
      <c r="E192" s="381"/>
      <c r="F192" s="381"/>
      <c r="G192" s="381"/>
      <c r="H192" s="381"/>
      <c r="I192" s="381"/>
      <c r="J192" s="381"/>
      <c r="K192" s="381"/>
      <c r="L192" s="381"/>
      <c r="M192" s="381"/>
      <c r="N192" s="381"/>
      <c r="O192" s="381"/>
      <c r="P192" s="381"/>
      <c r="Q192" s="248"/>
      <c r="R192" s="248"/>
      <c r="S192" s="249"/>
      <c r="T192" s="244"/>
    </row>
    <row r="193" spans="1:20" s="263" customFormat="1" x14ac:dyDescent="0.25">
      <c r="A193" s="275"/>
      <c r="B193" s="271" t="s">
        <v>56</v>
      </c>
      <c r="C193" s="382"/>
      <c r="D193" s="307"/>
      <c r="E193" s="307"/>
      <c r="F193" s="307"/>
      <c r="G193" s="307"/>
      <c r="H193" s="307"/>
      <c r="I193" s="307"/>
      <c r="J193" s="307"/>
      <c r="K193" s="307"/>
      <c r="L193" s="307"/>
      <c r="M193" s="307"/>
      <c r="N193" s="307"/>
      <c r="O193" s="307"/>
      <c r="P193" s="301">
        <v>4.5449999999999997E-2</v>
      </c>
      <c r="Q193" s="271"/>
      <c r="R193" s="271"/>
      <c r="S193" s="274"/>
      <c r="T193" s="262"/>
    </row>
    <row r="194" spans="1:20" s="263" customFormat="1" x14ac:dyDescent="0.25">
      <c r="A194" s="275"/>
      <c r="B194" s="271" t="s">
        <v>164</v>
      </c>
      <c r="C194" s="382"/>
      <c r="D194" s="307"/>
      <c r="E194" s="307"/>
      <c r="F194" s="307"/>
      <c r="G194" s="307"/>
      <c r="H194" s="307"/>
      <c r="I194" s="307"/>
      <c r="J194" s="307"/>
      <c r="K194" s="307"/>
      <c r="L194" s="307"/>
      <c r="M194" s="307"/>
      <c r="N194" s="307"/>
      <c r="O194" s="307"/>
      <c r="P194" s="301">
        <v>1.3245728571428571E-2</v>
      </c>
      <c r="Q194" s="271"/>
      <c r="R194" s="271"/>
      <c r="S194" s="274"/>
      <c r="T194" s="262"/>
    </row>
    <row r="195" spans="1:20" s="263" customFormat="1" x14ac:dyDescent="0.25">
      <c r="A195" s="275"/>
      <c r="B195" s="271" t="s">
        <v>57</v>
      </c>
      <c r="C195" s="382"/>
      <c r="D195" s="307"/>
      <c r="E195" s="307"/>
      <c r="F195" s="307"/>
      <c r="G195" s="307"/>
      <c r="H195" s="307"/>
      <c r="I195" s="307"/>
      <c r="J195" s="307"/>
      <c r="K195" s="307"/>
      <c r="L195" s="307"/>
      <c r="M195" s="307"/>
      <c r="N195" s="307"/>
      <c r="O195" s="307"/>
      <c r="P195" s="301">
        <f>P193-P194</f>
        <v>3.2204271428571428E-2</v>
      </c>
      <c r="Q195" s="271"/>
      <c r="R195" s="271"/>
      <c r="S195" s="274"/>
      <c r="T195" s="262"/>
    </row>
    <row r="196" spans="1:20" s="263" customFormat="1" x14ac:dyDescent="0.25">
      <c r="A196" s="275"/>
      <c r="B196" s="271" t="s">
        <v>167</v>
      </c>
      <c r="C196" s="382"/>
      <c r="D196" s="307"/>
      <c r="E196" s="307"/>
      <c r="F196" s="307"/>
      <c r="G196" s="307"/>
      <c r="H196" s="307"/>
      <c r="I196" s="307"/>
      <c r="J196" s="307"/>
      <c r="K196" s="307"/>
      <c r="L196" s="307"/>
      <c r="M196" s="307"/>
      <c r="N196" s="307"/>
      <c r="O196" s="307"/>
      <c r="P196" s="301">
        <v>4.2796300000000002E-2</v>
      </c>
      <c r="Q196" s="271"/>
      <c r="R196" s="271"/>
      <c r="S196" s="274"/>
      <c r="T196" s="262"/>
    </row>
    <row r="197" spans="1:20" s="263" customFormat="1" x14ac:dyDescent="0.25">
      <c r="A197" s="275"/>
      <c r="B197" s="271" t="s">
        <v>58</v>
      </c>
      <c r="C197" s="382"/>
      <c r="D197" s="307"/>
      <c r="E197" s="307"/>
      <c r="F197" s="307"/>
      <c r="G197" s="307"/>
      <c r="H197" s="307"/>
      <c r="I197" s="307"/>
      <c r="J197" s="307"/>
      <c r="K197" s="307"/>
      <c r="L197" s="307"/>
      <c r="M197" s="307"/>
      <c r="N197" s="307"/>
      <c r="O197" s="307"/>
      <c r="P197" s="301">
        <v>5.1810000000000002E-2</v>
      </c>
      <c r="Q197" s="271"/>
      <c r="R197" s="271"/>
      <c r="S197" s="274"/>
      <c r="T197" s="262"/>
    </row>
    <row r="198" spans="1:20" s="263" customFormat="1" x14ac:dyDescent="0.25">
      <c r="A198" s="275"/>
      <c r="B198" s="271" t="s">
        <v>165</v>
      </c>
      <c r="C198" s="382"/>
      <c r="D198" s="307"/>
      <c r="E198" s="307"/>
      <c r="F198" s="307"/>
      <c r="G198" s="307"/>
      <c r="H198" s="307"/>
      <c r="I198" s="307"/>
      <c r="J198" s="307"/>
      <c r="K198" s="307"/>
      <c r="L198" s="307"/>
      <c r="M198" s="307"/>
      <c r="N198" s="307"/>
      <c r="O198" s="307"/>
      <c r="P198" s="301">
        <f>R34</f>
        <v>1.0652801256753086E-2</v>
      </c>
      <c r="Q198" s="271"/>
      <c r="R198" s="271"/>
      <c r="S198" s="274"/>
      <c r="T198" s="262"/>
    </row>
    <row r="199" spans="1:20" s="263" customFormat="1" x14ac:dyDescent="0.25">
      <c r="A199" s="275"/>
      <c r="B199" s="271" t="s">
        <v>59</v>
      </c>
      <c r="C199" s="382"/>
      <c r="D199" s="307"/>
      <c r="E199" s="307"/>
      <c r="F199" s="307"/>
      <c r="G199" s="307"/>
      <c r="H199" s="307"/>
      <c r="I199" s="307"/>
      <c r="J199" s="307"/>
      <c r="K199" s="307"/>
      <c r="L199" s="307"/>
      <c r="M199" s="307"/>
      <c r="N199" s="307"/>
      <c r="O199" s="307"/>
      <c r="P199" s="301">
        <f>P197-P198</f>
        <v>4.1157198743246914E-2</v>
      </c>
      <c r="Q199" s="271"/>
      <c r="R199" s="271"/>
      <c r="S199" s="274"/>
      <c r="T199" s="262"/>
    </row>
    <row r="200" spans="1:20" s="263" customFormat="1" x14ac:dyDescent="0.25">
      <c r="A200" s="275"/>
      <c r="B200" s="271" t="s">
        <v>142</v>
      </c>
      <c r="C200" s="382"/>
      <c r="D200" s="307"/>
      <c r="E200" s="307"/>
      <c r="F200" s="307"/>
      <c r="G200" s="307"/>
      <c r="H200" s="307"/>
      <c r="I200" s="307"/>
      <c r="J200" s="307"/>
      <c r="K200" s="307"/>
      <c r="L200" s="307"/>
      <c r="M200" s="307"/>
      <c r="N200" s="307"/>
      <c r="O200" s="307"/>
      <c r="P200" s="301">
        <f>(+R92+R94)/H72</f>
        <v>1.2461032583166077E-2</v>
      </c>
      <c r="Q200" s="271"/>
      <c r="R200" s="271"/>
      <c r="S200" s="274"/>
      <c r="T200" s="262"/>
    </row>
    <row r="201" spans="1:20" s="263" customFormat="1" x14ac:dyDescent="0.25">
      <c r="A201" s="275"/>
      <c r="B201" s="271" t="s">
        <v>135</v>
      </c>
      <c r="C201" s="382"/>
      <c r="D201" s="307"/>
      <c r="E201" s="307"/>
      <c r="F201" s="307"/>
      <c r="G201" s="307"/>
      <c r="H201" s="307"/>
      <c r="I201" s="307"/>
      <c r="J201" s="307"/>
      <c r="K201" s="307"/>
      <c r="L201" s="307"/>
      <c r="M201" s="307"/>
      <c r="N201" s="307"/>
      <c r="O201" s="307"/>
      <c r="P201" s="383">
        <v>51820</v>
      </c>
      <c r="Q201" s="271"/>
      <c r="R201" s="271"/>
      <c r="S201" s="274"/>
      <c r="T201" s="262"/>
    </row>
    <row r="202" spans="1:20" s="263" customFormat="1" x14ac:dyDescent="0.25">
      <c r="A202" s="275"/>
      <c r="B202" s="271" t="s">
        <v>193</v>
      </c>
      <c r="C202" s="382"/>
      <c r="D202" s="307"/>
      <c r="E202" s="307"/>
      <c r="F202" s="307"/>
      <c r="G202" s="307"/>
      <c r="H202" s="307"/>
      <c r="I202" s="307"/>
      <c r="J202" s="307"/>
      <c r="K202" s="307"/>
      <c r="L202" s="307"/>
      <c r="M202" s="307"/>
      <c r="N202" s="307"/>
      <c r="O202" s="307"/>
      <c r="P202" s="383">
        <v>51820</v>
      </c>
      <c r="Q202" s="271"/>
      <c r="R202" s="271"/>
      <c r="S202" s="274"/>
      <c r="T202" s="262"/>
    </row>
    <row r="203" spans="1:20" s="263" customFormat="1" x14ac:dyDescent="0.25">
      <c r="A203" s="275"/>
      <c r="B203" s="271" t="s">
        <v>194</v>
      </c>
      <c r="C203" s="382"/>
      <c r="D203" s="307"/>
      <c r="E203" s="307"/>
      <c r="F203" s="307"/>
      <c r="G203" s="307"/>
      <c r="H203" s="307"/>
      <c r="I203" s="307"/>
      <c r="J203" s="307"/>
      <c r="K203" s="307"/>
      <c r="L203" s="307"/>
      <c r="M203" s="307"/>
      <c r="N203" s="307"/>
      <c r="O203" s="307"/>
      <c r="P203" s="383">
        <v>51820</v>
      </c>
      <c r="Q203" s="271"/>
      <c r="R203" s="271"/>
      <c r="S203" s="274"/>
      <c r="T203" s="262"/>
    </row>
    <row r="204" spans="1:20" s="263" customFormat="1" x14ac:dyDescent="0.25">
      <c r="A204" s="275"/>
      <c r="B204" s="271" t="s">
        <v>60</v>
      </c>
      <c r="C204" s="382"/>
      <c r="D204" s="307"/>
      <c r="E204" s="307"/>
      <c r="F204" s="307"/>
      <c r="G204" s="307"/>
      <c r="H204" s="307"/>
      <c r="I204" s="307"/>
      <c r="J204" s="307"/>
      <c r="K204" s="307"/>
      <c r="L204" s="307"/>
      <c r="M204" s="307"/>
      <c r="N204" s="307"/>
      <c r="O204" s="307"/>
      <c r="P204" s="305">
        <v>18.95</v>
      </c>
      <c r="Q204" s="271" t="s">
        <v>91</v>
      </c>
      <c r="R204" s="271"/>
      <c r="S204" s="274"/>
      <c r="T204" s="262"/>
    </row>
    <row r="205" spans="1:20" s="263" customFormat="1" x14ac:dyDescent="0.25">
      <c r="A205" s="275"/>
      <c r="B205" s="271" t="s">
        <v>61</v>
      </c>
      <c r="C205" s="382"/>
      <c r="D205" s="307"/>
      <c r="E205" s="307"/>
      <c r="F205" s="307"/>
      <c r="G205" s="307"/>
      <c r="H205" s="307"/>
      <c r="I205" s="307"/>
      <c r="J205" s="307"/>
      <c r="K205" s="307"/>
      <c r="L205" s="307"/>
      <c r="M205" s="307"/>
      <c r="N205" s="307"/>
      <c r="O205" s="307"/>
      <c r="P205" s="305">
        <v>15.24</v>
      </c>
      <c r="Q205" s="271" t="s">
        <v>91</v>
      </c>
      <c r="R205" s="271"/>
      <c r="S205" s="274"/>
      <c r="T205" s="262"/>
    </row>
    <row r="206" spans="1:20" s="263" customFormat="1" x14ac:dyDescent="0.25">
      <c r="A206" s="275"/>
      <c r="B206" s="271" t="s">
        <v>62</v>
      </c>
      <c r="C206" s="382"/>
      <c r="D206" s="307"/>
      <c r="E206" s="307"/>
      <c r="F206" s="307"/>
      <c r="G206" s="307"/>
      <c r="H206" s="307"/>
      <c r="I206" s="307"/>
      <c r="J206" s="307"/>
      <c r="K206" s="307"/>
      <c r="L206" s="307"/>
      <c r="M206" s="307"/>
      <c r="N206" s="307"/>
      <c r="O206" s="307"/>
      <c r="P206" s="301">
        <f>(+J56+L56+P56)/H56</f>
        <v>8.4101293931758983E-2</v>
      </c>
      <c r="Q206" s="271"/>
      <c r="R206" s="271"/>
      <c r="S206" s="274"/>
      <c r="T206" s="262"/>
    </row>
    <row r="207" spans="1:20" s="263" customFormat="1" x14ac:dyDescent="0.25">
      <c r="A207" s="275"/>
      <c r="B207" s="271" t="s">
        <v>63</v>
      </c>
      <c r="C207" s="382"/>
      <c r="D207" s="307"/>
      <c r="E207" s="307"/>
      <c r="F207" s="307"/>
      <c r="G207" s="307"/>
      <c r="H207" s="307"/>
      <c r="I207" s="307"/>
      <c r="J207" s="307"/>
      <c r="K207" s="307"/>
      <c r="L207" s="307"/>
      <c r="M207" s="307"/>
      <c r="N207" s="307"/>
      <c r="O207" s="307"/>
      <c r="P207" s="301">
        <v>0.3019</v>
      </c>
      <c r="Q207" s="271"/>
      <c r="R207" s="271"/>
      <c r="S207" s="274"/>
      <c r="T207" s="262"/>
    </row>
    <row r="208" spans="1:20" x14ac:dyDescent="0.25">
      <c r="A208" s="378"/>
      <c r="B208" s="384"/>
      <c r="C208" s="384"/>
      <c r="D208" s="333"/>
      <c r="E208" s="333"/>
      <c r="F208" s="333"/>
      <c r="G208" s="333"/>
      <c r="H208" s="333"/>
      <c r="I208" s="333"/>
      <c r="J208" s="333"/>
      <c r="K208" s="333"/>
      <c r="L208" s="333"/>
      <c r="M208" s="333"/>
      <c r="N208" s="333"/>
      <c r="O208" s="333"/>
      <c r="P208" s="362"/>
      <c r="Q208" s="333"/>
      <c r="R208" s="385"/>
      <c r="S208" s="249"/>
      <c r="T208" s="244"/>
    </row>
    <row r="209" spans="1:20" x14ac:dyDescent="0.25">
      <c r="A209" s="456"/>
      <c r="B209" s="445" t="s">
        <v>64</v>
      </c>
      <c r="C209" s="446"/>
      <c r="D209" s="446"/>
      <c r="E209" s="446"/>
      <c r="F209" s="446"/>
      <c r="G209" s="446"/>
      <c r="H209" s="446"/>
      <c r="I209" s="446"/>
      <c r="J209" s="446"/>
      <c r="K209" s="446"/>
      <c r="L209" s="446"/>
      <c r="M209" s="446"/>
      <c r="N209" s="446"/>
      <c r="O209" s="446" t="s">
        <v>84</v>
      </c>
      <c r="P209" s="462" t="s">
        <v>89</v>
      </c>
      <c r="Q209" s="440"/>
      <c r="R209" s="440"/>
      <c r="S209" s="434"/>
      <c r="T209" s="244"/>
    </row>
    <row r="210" spans="1:20" s="263" customFormat="1" x14ac:dyDescent="0.25">
      <c r="A210" s="457"/>
      <c r="B210" s="313" t="s">
        <v>65</v>
      </c>
      <c r="C210" s="346"/>
      <c r="D210" s="458"/>
      <c r="E210" s="458"/>
      <c r="F210" s="458"/>
      <c r="G210" s="458"/>
      <c r="H210" s="458"/>
      <c r="I210" s="458"/>
      <c r="J210" s="458"/>
      <c r="K210" s="458"/>
      <c r="L210" s="458"/>
      <c r="M210" s="458"/>
      <c r="N210" s="458"/>
      <c r="O210" s="458">
        <v>0</v>
      </c>
      <c r="P210" s="459">
        <v>0</v>
      </c>
      <c r="Q210" s="313"/>
      <c r="R210" s="460"/>
      <c r="S210" s="461"/>
      <c r="T210" s="262"/>
    </row>
    <row r="211" spans="1:20" s="263" customFormat="1" x14ac:dyDescent="0.25">
      <c r="A211" s="386"/>
      <c r="B211" s="271" t="s">
        <v>114</v>
      </c>
      <c r="C211" s="331"/>
      <c r="D211" s="277"/>
      <c r="E211" s="277"/>
      <c r="F211" s="277"/>
      <c r="G211" s="277"/>
      <c r="H211" s="277"/>
      <c r="I211" s="277"/>
      <c r="J211" s="277"/>
      <c r="K211" s="277"/>
      <c r="L211" s="277"/>
      <c r="M211" s="277"/>
      <c r="N211" s="277"/>
      <c r="O211" s="387">
        <f>+N263</f>
        <v>3</v>
      </c>
      <c r="P211" s="388">
        <f>+P263</f>
        <v>215</v>
      </c>
      <c r="Q211" s="271"/>
      <c r="R211" s="389"/>
      <c r="S211" s="390"/>
      <c r="T211" s="262"/>
    </row>
    <row r="212" spans="1:20" s="263" customFormat="1" x14ac:dyDescent="0.25">
      <c r="A212" s="386"/>
      <c r="B212" s="271" t="s">
        <v>66</v>
      </c>
      <c r="C212" s="331"/>
      <c r="D212" s="277"/>
      <c r="E212" s="277"/>
      <c r="F212" s="277"/>
      <c r="G212" s="277"/>
      <c r="H212" s="277"/>
      <c r="I212" s="277"/>
      <c r="J212" s="277"/>
      <c r="K212" s="277"/>
      <c r="L212" s="277"/>
      <c r="M212" s="277"/>
      <c r="N212" s="277"/>
      <c r="O212" s="387">
        <f>+N275</f>
        <v>0</v>
      </c>
      <c r="P212" s="388">
        <f>+P275</f>
        <v>0</v>
      </c>
      <c r="Q212" s="271"/>
      <c r="R212" s="389"/>
      <c r="S212" s="390"/>
      <c r="T212" s="262"/>
    </row>
    <row r="213" spans="1:20" x14ac:dyDescent="0.25">
      <c r="A213" s="391"/>
      <c r="B213" s="291" t="s">
        <v>254</v>
      </c>
      <c r="C213" s="392"/>
      <c r="D213" s="296"/>
      <c r="E213" s="296"/>
      <c r="F213" s="296"/>
      <c r="G213" s="296"/>
      <c r="H213" s="296"/>
      <c r="I213" s="296"/>
      <c r="J213" s="296"/>
      <c r="K213" s="296"/>
      <c r="L213" s="296"/>
      <c r="M213" s="296"/>
      <c r="N213" s="296"/>
      <c r="O213" s="342"/>
      <c r="P213" s="388">
        <f>+P56</f>
        <v>4212</v>
      </c>
      <c r="Q213" s="296"/>
      <c r="R213" s="393"/>
      <c r="S213" s="394"/>
      <c r="T213" s="244"/>
    </row>
    <row r="214" spans="1:20" x14ac:dyDescent="0.25">
      <c r="A214" s="391"/>
      <c r="B214" s="291" t="s">
        <v>143</v>
      </c>
      <c r="C214" s="392"/>
      <c r="D214" s="296"/>
      <c r="E214" s="296"/>
      <c r="F214" s="296"/>
      <c r="G214" s="296"/>
      <c r="H214" s="296"/>
      <c r="I214" s="296"/>
      <c r="J214" s="296"/>
      <c r="K214" s="296"/>
      <c r="L214" s="296"/>
      <c r="M214" s="296"/>
      <c r="N214" s="296"/>
      <c r="O214" s="342"/>
      <c r="P214" s="388">
        <f>-J69</f>
        <v>0</v>
      </c>
      <c r="Q214" s="296"/>
      <c r="R214" s="393"/>
      <c r="S214" s="394"/>
      <c r="T214" s="244"/>
    </row>
    <row r="215" spans="1:20" x14ac:dyDescent="0.25">
      <c r="A215" s="395"/>
      <c r="B215" s="291" t="s">
        <v>68</v>
      </c>
      <c r="C215" s="396"/>
      <c r="D215" s="296"/>
      <c r="E215" s="296"/>
      <c r="F215" s="296"/>
      <c r="G215" s="296"/>
      <c r="H215" s="296"/>
      <c r="I215" s="296"/>
      <c r="J215" s="296"/>
      <c r="K215" s="296"/>
      <c r="L215" s="296"/>
      <c r="M215" s="296"/>
      <c r="N215" s="296"/>
      <c r="O215" s="342"/>
      <c r="P215" s="397"/>
      <c r="Q215" s="296"/>
      <c r="R215" s="393"/>
      <c r="S215" s="398"/>
      <c r="T215" s="244"/>
    </row>
    <row r="216" spans="1:20" s="263" customFormat="1" x14ac:dyDescent="0.25">
      <c r="A216" s="399"/>
      <c r="B216" s="271" t="s">
        <v>69</v>
      </c>
      <c r="C216" s="271"/>
      <c r="D216" s="271"/>
      <c r="E216" s="271"/>
      <c r="F216" s="271"/>
      <c r="G216" s="271"/>
      <c r="H216" s="271"/>
      <c r="I216" s="271"/>
      <c r="J216" s="271"/>
      <c r="K216" s="271"/>
      <c r="L216" s="271"/>
      <c r="M216" s="271"/>
      <c r="N216" s="271"/>
      <c r="O216" s="277"/>
      <c r="P216" s="388">
        <f>R150</f>
        <v>0</v>
      </c>
      <c r="Q216" s="271"/>
      <c r="R216" s="389"/>
      <c r="S216" s="400"/>
      <c r="T216" s="262"/>
    </row>
    <row r="217" spans="1:20" s="263" customFormat="1" x14ac:dyDescent="0.25">
      <c r="A217" s="386"/>
      <c r="B217" s="271" t="s">
        <v>70</v>
      </c>
      <c r="C217" s="331"/>
      <c r="D217" s="271"/>
      <c r="E217" s="271"/>
      <c r="F217" s="271"/>
      <c r="G217" s="271"/>
      <c r="H217" s="271"/>
      <c r="I217" s="271"/>
      <c r="J217" s="271"/>
      <c r="K217" s="271"/>
      <c r="L217" s="271"/>
      <c r="M217" s="271"/>
      <c r="N217" s="271"/>
      <c r="O217" s="277"/>
      <c r="P217" s="388">
        <f>'July 17'!P217+P216</f>
        <v>476</v>
      </c>
      <c r="Q217" s="271"/>
      <c r="R217" s="389"/>
      <c r="S217" s="400"/>
      <c r="T217" s="262"/>
    </row>
    <row r="218" spans="1:20" x14ac:dyDescent="0.25">
      <c r="A218" s="395"/>
      <c r="B218" s="291" t="s">
        <v>154</v>
      </c>
      <c r="C218" s="396"/>
      <c r="D218" s="296"/>
      <c r="E218" s="296"/>
      <c r="F218" s="296"/>
      <c r="G218" s="296"/>
      <c r="H218" s="296"/>
      <c r="I218" s="296"/>
      <c r="J218" s="296"/>
      <c r="K218" s="296"/>
      <c r="L218" s="296"/>
      <c r="M218" s="296"/>
      <c r="N218" s="296"/>
      <c r="O218" s="401"/>
      <c r="P218" s="397"/>
      <c r="Q218" s="296"/>
      <c r="R218" s="393"/>
      <c r="S218" s="398"/>
      <c r="T218" s="244"/>
    </row>
    <row r="219" spans="1:20" s="263" customFormat="1" x14ac:dyDescent="0.25">
      <c r="A219" s="399"/>
      <c r="B219" s="271" t="s">
        <v>166</v>
      </c>
      <c r="C219" s="271"/>
      <c r="D219" s="271"/>
      <c r="E219" s="271"/>
      <c r="F219" s="271"/>
      <c r="G219" s="271"/>
      <c r="H219" s="271"/>
      <c r="I219" s="271"/>
      <c r="J219" s="271"/>
      <c r="K219" s="271"/>
      <c r="L219" s="271"/>
      <c r="M219" s="271"/>
      <c r="N219" s="271"/>
      <c r="O219" s="277">
        <v>0</v>
      </c>
      <c r="P219" s="388">
        <v>0</v>
      </c>
      <c r="Q219" s="271"/>
      <c r="R219" s="389"/>
      <c r="S219" s="400"/>
      <c r="T219" s="262"/>
    </row>
    <row r="220" spans="1:20" s="263" customFormat="1" x14ac:dyDescent="0.25">
      <c r="A220" s="386"/>
      <c r="B220" s="271" t="s">
        <v>71</v>
      </c>
      <c r="C220" s="304"/>
      <c r="D220" s="271"/>
      <c r="E220" s="271"/>
      <c r="F220" s="271"/>
      <c r="G220" s="271"/>
      <c r="H220" s="271"/>
      <c r="I220" s="271"/>
      <c r="J220" s="271"/>
      <c r="K220" s="271"/>
      <c r="L220" s="271"/>
      <c r="M220" s="271"/>
      <c r="N220" s="271"/>
      <c r="O220" s="271"/>
      <c r="P220" s="402">
        <v>0</v>
      </c>
      <c r="Q220" s="271"/>
      <c r="R220" s="389"/>
      <c r="S220" s="400"/>
      <c r="T220" s="262"/>
    </row>
    <row r="221" spans="1:20" s="263" customFormat="1" x14ac:dyDescent="0.25">
      <c r="A221" s="386"/>
      <c r="B221" s="271" t="s">
        <v>72</v>
      </c>
      <c r="C221" s="304"/>
      <c r="D221" s="271"/>
      <c r="E221" s="271"/>
      <c r="F221" s="271"/>
      <c r="G221" s="271"/>
      <c r="H221" s="271"/>
      <c r="I221" s="271"/>
      <c r="J221" s="271"/>
      <c r="K221" s="271"/>
      <c r="L221" s="271"/>
      <c r="M221" s="271"/>
      <c r="N221" s="271"/>
      <c r="O221" s="271"/>
      <c r="P221" s="402">
        <v>0</v>
      </c>
      <c r="Q221" s="271"/>
      <c r="R221" s="389"/>
      <c r="S221" s="400"/>
      <c r="T221" s="262"/>
    </row>
    <row r="222" spans="1:20" x14ac:dyDescent="0.25">
      <c r="A222" s="391"/>
      <c r="B222" s="291" t="s">
        <v>139</v>
      </c>
      <c r="C222" s="403"/>
      <c r="D222" s="296"/>
      <c r="E222" s="296"/>
      <c r="F222" s="296"/>
      <c r="G222" s="296"/>
      <c r="H222" s="296"/>
      <c r="I222" s="296"/>
      <c r="J222" s="296"/>
      <c r="K222" s="296"/>
      <c r="L222" s="296"/>
      <c r="M222" s="296"/>
      <c r="N222" s="296"/>
      <c r="O222" s="342"/>
      <c r="P222" s="404"/>
      <c r="Q222" s="296"/>
      <c r="R222" s="393"/>
      <c r="S222" s="398"/>
      <c r="T222" s="244"/>
    </row>
    <row r="223" spans="1:20" s="263" customFormat="1" x14ac:dyDescent="0.25">
      <c r="A223" s="386"/>
      <c r="B223" s="271" t="s">
        <v>166</v>
      </c>
      <c r="C223" s="304"/>
      <c r="D223" s="271"/>
      <c r="E223" s="271"/>
      <c r="F223" s="271"/>
      <c r="G223" s="271"/>
      <c r="H223" s="271"/>
      <c r="I223" s="271"/>
      <c r="J223" s="271"/>
      <c r="K223" s="271"/>
      <c r="L223" s="271"/>
      <c r="M223" s="271"/>
      <c r="N223" s="271"/>
      <c r="O223" s="277">
        <v>0</v>
      </c>
      <c r="P223" s="388">
        <v>0</v>
      </c>
      <c r="Q223" s="271"/>
      <c r="R223" s="389"/>
      <c r="S223" s="400"/>
      <c r="T223" s="262"/>
    </row>
    <row r="224" spans="1:20" s="263" customFormat="1" x14ac:dyDescent="0.25">
      <c r="A224" s="386"/>
      <c r="B224" s="271" t="s">
        <v>140</v>
      </c>
      <c r="C224" s="304"/>
      <c r="D224" s="271"/>
      <c r="E224" s="271"/>
      <c r="F224" s="271"/>
      <c r="G224" s="271"/>
      <c r="H224" s="271"/>
      <c r="I224" s="271"/>
      <c r="J224" s="271"/>
      <c r="K224" s="271"/>
      <c r="L224" s="271"/>
      <c r="M224" s="271"/>
      <c r="N224" s="271"/>
      <c r="O224" s="271"/>
      <c r="P224" s="402">
        <v>0</v>
      </c>
      <c r="Q224" s="271"/>
      <c r="R224" s="389"/>
      <c r="S224" s="400"/>
      <c r="T224" s="262"/>
    </row>
    <row r="225" spans="1:20" x14ac:dyDescent="0.25">
      <c r="A225" s="391"/>
      <c r="B225" s="396"/>
      <c r="C225" s="403"/>
      <c r="D225" s="296"/>
      <c r="E225" s="296"/>
      <c r="F225" s="296"/>
      <c r="G225" s="296"/>
      <c r="H225" s="296"/>
      <c r="I225" s="296"/>
      <c r="J225" s="296"/>
      <c r="K225" s="296"/>
      <c r="L225" s="296"/>
      <c r="M225" s="296"/>
      <c r="N225" s="296"/>
      <c r="O225" s="342"/>
      <c r="P225" s="404"/>
      <c r="Q225" s="296"/>
      <c r="R225" s="393"/>
      <c r="S225" s="398"/>
      <c r="T225" s="244"/>
    </row>
    <row r="226" spans="1:20" x14ac:dyDescent="0.25">
      <c r="A226" s="391"/>
      <c r="B226" s="396"/>
      <c r="C226" s="403"/>
      <c r="D226" s="296"/>
      <c r="E226" s="296"/>
      <c r="F226" s="296"/>
      <c r="G226" s="296"/>
      <c r="H226" s="296"/>
      <c r="I226" s="296"/>
      <c r="J226" s="296"/>
      <c r="K226" s="296"/>
      <c r="L226" s="296"/>
      <c r="M226" s="296"/>
      <c r="N226" s="296"/>
      <c r="O226" s="296"/>
      <c r="P226" s="405"/>
      <c r="Q226" s="296"/>
      <c r="R226" s="393"/>
      <c r="S226" s="398"/>
      <c r="T226" s="244"/>
    </row>
    <row r="227" spans="1:20" ht="18.75" x14ac:dyDescent="0.3">
      <c r="A227" s="391"/>
      <c r="B227" s="406" t="s">
        <v>130</v>
      </c>
      <c r="C227" s="403"/>
      <c r="D227" s="296"/>
      <c r="E227" s="296"/>
      <c r="F227" s="296"/>
      <c r="G227" s="296"/>
      <c r="H227" s="296"/>
      <c r="I227" s="296"/>
      <c r="J227" s="296"/>
      <c r="K227" s="296"/>
      <c r="L227" s="407"/>
      <c r="M227" s="296"/>
      <c r="N227" s="239" t="s">
        <v>261</v>
      </c>
      <c r="O227" s="407"/>
      <c r="P227" s="405"/>
      <c r="Q227" s="296"/>
      <c r="R227" s="393"/>
      <c r="S227" s="398"/>
      <c r="T227" s="244"/>
    </row>
    <row r="228" spans="1:20" ht="18.75" x14ac:dyDescent="0.3">
      <c r="A228" s="408"/>
      <c r="B228" s="409"/>
      <c r="C228" s="410"/>
      <c r="D228" s="333"/>
      <c r="E228" s="333"/>
      <c r="F228" s="333"/>
      <c r="G228" s="333"/>
      <c r="H228" s="333"/>
      <c r="I228" s="333"/>
      <c r="J228" s="333"/>
      <c r="K228" s="333"/>
      <c r="L228" s="411"/>
      <c r="M228" s="333"/>
      <c r="N228" s="333"/>
      <c r="O228" s="333"/>
      <c r="P228" s="412"/>
      <c r="Q228" s="333"/>
      <c r="R228" s="385"/>
      <c r="S228" s="413"/>
      <c r="T228" s="244"/>
    </row>
    <row r="229" spans="1:20" x14ac:dyDescent="0.25">
      <c r="A229" s="432"/>
      <c r="B229" s="445" t="s">
        <v>156</v>
      </c>
      <c r="C229" s="446"/>
      <c r="D229" s="446"/>
      <c r="E229" s="446"/>
      <c r="F229" s="446"/>
      <c r="G229" s="446"/>
      <c r="H229" s="446"/>
      <c r="I229" s="446"/>
      <c r="J229" s="446"/>
      <c r="K229" s="446"/>
      <c r="L229" s="446"/>
      <c r="M229" s="446"/>
      <c r="N229" s="462" t="s">
        <v>84</v>
      </c>
      <c r="O229" s="446" t="s">
        <v>85</v>
      </c>
      <c r="P229" s="462" t="s">
        <v>90</v>
      </c>
      <c r="Q229" s="446" t="s">
        <v>85</v>
      </c>
      <c r="R229" s="440"/>
      <c r="S229" s="463"/>
      <c r="T229" s="244"/>
    </row>
    <row r="230" spans="1:20" s="263" customFormat="1" x14ac:dyDescent="0.25">
      <c r="A230" s="258"/>
      <c r="B230" s="346" t="s">
        <v>73</v>
      </c>
      <c r="C230" s="464"/>
      <c r="D230" s="464"/>
      <c r="E230" s="464"/>
      <c r="F230" s="464"/>
      <c r="G230" s="464"/>
      <c r="H230" s="464"/>
      <c r="I230" s="464"/>
      <c r="J230" s="464"/>
      <c r="K230" s="464"/>
      <c r="L230" s="464"/>
      <c r="M230" s="464"/>
      <c r="N230" s="346">
        <f>+N242+N254+N266</f>
        <v>733</v>
      </c>
      <c r="O230" s="465">
        <f>N230/$N$239</f>
        <v>0.99322493224932251</v>
      </c>
      <c r="P230" s="416">
        <f>+P242+P254+P266</f>
        <v>106708</v>
      </c>
      <c r="Q230" s="465">
        <f t="shared" ref="Q230:Q237" si="2">P230/$P$239</f>
        <v>0.99423257894099337</v>
      </c>
      <c r="R230" s="460"/>
      <c r="S230" s="466"/>
      <c r="T230" s="262"/>
    </row>
    <row r="231" spans="1:20" s="263" customFormat="1" x14ac:dyDescent="0.25">
      <c r="A231" s="275"/>
      <c r="B231" s="331" t="s">
        <v>74</v>
      </c>
      <c r="C231" s="414"/>
      <c r="D231" s="414"/>
      <c r="E231" s="414"/>
      <c r="F231" s="414"/>
      <c r="G231" s="414"/>
      <c r="H231" s="414"/>
      <c r="I231" s="414"/>
      <c r="J231" s="414"/>
      <c r="K231" s="414"/>
      <c r="L231" s="414"/>
      <c r="M231" s="414"/>
      <c r="N231" s="331">
        <f>+N243+N255+N267</f>
        <v>2</v>
      </c>
      <c r="O231" s="415">
        <f t="shared" ref="O231:O237" si="3">N231/$N$239</f>
        <v>2.7100271002710027E-3</v>
      </c>
      <c r="P231" s="332">
        <f>+P243+P255+P267</f>
        <v>404</v>
      </c>
      <c r="Q231" s="415">
        <f t="shared" si="2"/>
        <v>3.7641972662983219E-3</v>
      </c>
      <c r="R231" s="389"/>
      <c r="S231" s="400"/>
      <c r="T231" s="262"/>
    </row>
    <row r="232" spans="1:20" s="263" customFormat="1" x14ac:dyDescent="0.25">
      <c r="A232" s="275"/>
      <c r="B232" s="331" t="s">
        <v>75</v>
      </c>
      <c r="C232" s="414"/>
      <c r="D232" s="414"/>
      <c r="E232" s="414"/>
      <c r="F232" s="414"/>
      <c r="G232" s="414"/>
      <c r="H232" s="414"/>
      <c r="I232" s="414"/>
      <c r="J232" s="414"/>
      <c r="K232" s="414"/>
      <c r="L232" s="414"/>
      <c r="M232" s="414"/>
      <c r="N232" s="331">
        <f t="shared" ref="N232:N237" si="4">+N244+N256+N268</f>
        <v>0</v>
      </c>
      <c r="O232" s="415">
        <f t="shared" si="3"/>
        <v>0</v>
      </c>
      <c r="P232" s="332">
        <f t="shared" ref="P232:P237" si="5">+P244+P256+P268</f>
        <v>0</v>
      </c>
      <c r="Q232" s="415">
        <f t="shared" si="2"/>
        <v>0</v>
      </c>
      <c r="R232" s="389"/>
      <c r="S232" s="400"/>
      <c r="T232" s="262"/>
    </row>
    <row r="233" spans="1:20" s="263" customFormat="1" x14ac:dyDescent="0.25">
      <c r="A233" s="275"/>
      <c r="B233" s="331" t="s">
        <v>120</v>
      </c>
      <c r="C233" s="414"/>
      <c r="D233" s="414"/>
      <c r="E233" s="414"/>
      <c r="F233" s="414"/>
      <c r="G233" s="414"/>
      <c r="H233" s="414"/>
      <c r="I233" s="414"/>
      <c r="J233" s="414"/>
      <c r="K233" s="414"/>
      <c r="L233" s="414"/>
      <c r="M233" s="414"/>
      <c r="N233" s="331">
        <f t="shared" si="4"/>
        <v>2</v>
      </c>
      <c r="O233" s="415">
        <f t="shared" si="3"/>
        <v>2.7100271002710027E-3</v>
      </c>
      <c r="P233" s="332">
        <f t="shared" si="5"/>
        <v>122</v>
      </c>
      <c r="Q233" s="415">
        <f t="shared" si="2"/>
        <v>1.1367130358623646E-3</v>
      </c>
      <c r="R233" s="389"/>
      <c r="S233" s="400"/>
      <c r="T233" s="262"/>
    </row>
    <row r="234" spans="1:20" s="263" customFormat="1" x14ac:dyDescent="0.25">
      <c r="A234" s="275"/>
      <c r="B234" s="331" t="s">
        <v>121</v>
      </c>
      <c r="C234" s="414"/>
      <c r="D234" s="414"/>
      <c r="E234" s="414"/>
      <c r="F234" s="414"/>
      <c r="G234" s="414"/>
      <c r="H234" s="414"/>
      <c r="I234" s="414"/>
      <c r="J234" s="414"/>
      <c r="K234" s="414"/>
      <c r="L234" s="414"/>
      <c r="M234" s="414"/>
      <c r="N234" s="331">
        <f t="shared" si="4"/>
        <v>0</v>
      </c>
      <c r="O234" s="415">
        <f t="shared" si="3"/>
        <v>0</v>
      </c>
      <c r="P234" s="332">
        <f t="shared" si="5"/>
        <v>0</v>
      </c>
      <c r="Q234" s="415">
        <f t="shared" si="2"/>
        <v>0</v>
      </c>
      <c r="R234" s="389"/>
      <c r="S234" s="400"/>
      <c r="T234" s="262"/>
    </row>
    <row r="235" spans="1:20" s="263" customFormat="1" x14ac:dyDescent="0.25">
      <c r="A235" s="275"/>
      <c r="B235" s="331" t="s">
        <v>122</v>
      </c>
      <c r="C235" s="414"/>
      <c r="D235" s="414"/>
      <c r="E235" s="414"/>
      <c r="F235" s="414"/>
      <c r="G235" s="414"/>
      <c r="H235" s="414"/>
      <c r="I235" s="414"/>
      <c r="J235" s="414"/>
      <c r="K235" s="414"/>
      <c r="L235" s="414"/>
      <c r="M235" s="414"/>
      <c r="N235" s="331">
        <f t="shared" si="4"/>
        <v>0</v>
      </c>
      <c r="O235" s="415">
        <f t="shared" si="3"/>
        <v>0</v>
      </c>
      <c r="P235" s="332">
        <f t="shared" si="5"/>
        <v>0</v>
      </c>
      <c r="Q235" s="415">
        <f t="shared" si="2"/>
        <v>0</v>
      </c>
      <c r="R235" s="389"/>
      <c r="S235" s="400"/>
      <c r="T235" s="262"/>
    </row>
    <row r="236" spans="1:20" s="263" customFormat="1" x14ac:dyDescent="0.25">
      <c r="A236" s="275"/>
      <c r="B236" s="331" t="s">
        <v>123</v>
      </c>
      <c r="C236" s="414"/>
      <c r="D236" s="414"/>
      <c r="E236" s="414"/>
      <c r="F236" s="414"/>
      <c r="G236" s="414"/>
      <c r="H236" s="414"/>
      <c r="I236" s="414"/>
      <c r="J236" s="414"/>
      <c r="K236" s="414"/>
      <c r="L236" s="414"/>
      <c r="M236" s="414"/>
      <c r="N236" s="331">
        <f t="shared" si="4"/>
        <v>1</v>
      </c>
      <c r="O236" s="415">
        <f t="shared" si="3"/>
        <v>1.3550135501355014E-3</v>
      </c>
      <c r="P236" s="332">
        <f t="shared" si="5"/>
        <v>93</v>
      </c>
      <c r="Q236" s="415">
        <f t="shared" si="2"/>
        <v>8.6651075684590086E-4</v>
      </c>
      <c r="R236" s="389"/>
      <c r="S236" s="400"/>
      <c r="T236" s="262"/>
    </row>
    <row r="237" spans="1:20" s="263" customFormat="1" x14ac:dyDescent="0.25">
      <c r="A237" s="275"/>
      <c r="B237" s="331" t="s">
        <v>124</v>
      </c>
      <c r="C237" s="414"/>
      <c r="D237" s="414"/>
      <c r="E237" s="414"/>
      <c r="F237" s="414"/>
      <c r="G237" s="414"/>
      <c r="H237" s="414"/>
      <c r="I237" s="414"/>
      <c r="J237" s="414"/>
      <c r="K237" s="414"/>
      <c r="L237" s="414"/>
      <c r="M237" s="414"/>
      <c r="N237" s="346">
        <f t="shared" si="4"/>
        <v>0</v>
      </c>
      <c r="O237" s="415">
        <f t="shared" si="3"/>
        <v>0</v>
      </c>
      <c r="P237" s="416">
        <f t="shared" si="5"/>
        <v>0</v>
      </c>
      <c r="Q237" s="415">
        <f t="shared" si="2"/>
        <v>0</v>
      </c>
      <c r="R237" s="389"/>
      <c r="S237" s="400"/>
      <c r="T237" s="262"/>
    </row>
    <row r="238" spans="1:20" s="263" customFormat="1" x14ac:dyDescent="0.25">
      <c r="A238" s="275"/>
      <c r="B238" s="331"/>
      <c r="C238" s="414"/>
      <c r="D238" s="414"/>
      <c r="E238" s="414"/>
      <c r="F238" s="414"/>
      <c r="G238" s="414"/>
      <c r="H238" s="414"/>
      <c r="I238" s="414"/>
      <c r="J238" s="414"/>
      <c r="K238" s="414"/>
      <c r="L238" s="414"/>
      <c r="M238" s="414"/>
      <c r="N238" s="331"/>
      <c r="O238" s="415"/>
      <c r="P238" s="332"/>
      <c r="Q238" s="415"/>
      <c r="R238" s="389"/>
      <c r="S238" s="400"/>
      <c r="T238" s="262"/>
    </row>
    <row r="239" spans="1:20" s="263" customFormat="1" x14ac:dyDescent="0.25">
      <c r="A239" s="275"/>
      <c r="B239" s="271" t="s">
        <v>95</v>
      </c>
      <c r="C239" s="271"/>
      <c r="D239" s="417"/>
      <c r="E239" s="417"/>
      <c r="F239" s="417"/>
      <c r="G239" s="417"/>
      <c r="H239" s="417"/>
      <c r="I239" s="417"/>
      <c r="J239" s="417"/>
      <c r="K239" s="417"/>
      <c r="L239" s="417"/>
      <c r="M239" s="417"/>
      <c r="N239" s="331">
        <f>SUM(N230:N238)</f>
        <v>738</v>
      </c>
      <c r="O239" s="415">
        <f>SUM(O230:O238)</f>
        <v>1</v>
      </c>
      <c r="P239" s="332">
        <f>SUM(P230:P238)</f>
        <v>107327</v>
      </c>
      <c r="Q239" s="415">
        <f>SUM(Q230:Q238)</f>
        <v>0.99999999999999989</v>
      </c>
      <c r="R239" s="271"/>
      <c r="S239" s="274"/>
      <c r="T239" s="262"/>
    </row>
    <row r="240" spans="1:20" x14ac:dyDescent="0.25">
      <c r="A240" s="246"/>
      <c r="B240" s="384"/>
      <c r="C240" s="410"/>
      <c r="D240" s="333"/>
      <c r="E240" s="333"/>
      <c r="F240" s="333"/>
      <c r="G240" s="333"/>
      <c r="H240" s="333"/>
      <c r="I240" s="333"/>
      <c r="J240" s="333"/>
      <c r="K240" s="333"/>
      <c r="L240" s="333"/>
      <c r="M240" s="333"/>
      <c r="N240" s="333"/>
      <c r="O240" s="333"/>
      <c r="P240" s="412"/>
      <c r="Q240" s="333"/>
      <c r="R240" s="333"/>
      <c r="S240" s="249"/>
      <c r="T240" s="244"/>
    </row>
    <row r="241" spans="1:21" x14ac:dyDescent="0.25">
      <c r="A241" s="432"/>
      <c r="B241" s="445" t="s">
        <v>125</v>
      </c>
      <c r="C241" s="446"/>
      <c r="D241" s="446"/>
      <c r="E241" s="446"/>
      <c r="F241" s="446"/>
      <c r="G241" s="446"/>
      <c r="H241" s="446"/>
      <c r="I241" s="446"/>
      <c r="J241" s="446"/>
      <c r="K241" s="446"/>
      <c r="L241" s="446"/>
      <c r="M241" s="446"/>
      <c r="N241" s="462" t="s">
        <v>84</v>
      </c>
      <c r="O241" s="446" t="s">
        <v>85</v>
      </c>
      <c r="P241" s="462" t="s">
        <v>90</v>
      </c>
      <c r="Q241" s="446" t="s">
        <v>85</v>
      </c>
      <c r="R241" s="440"/>
      <c r="S241" s="463"/>
      <c r="T241" s="244"/>
    </row>
    <row r="242" spans="1:21" s="263" customFormat="1" x14ac:dyDescent="0.25">
      <c r="A242" s="258"/>
      <c r="B242" s="346" t="s">
        <v>73</v>
      </c>
      <c r="C242" s="464"/>
      <c r="D242" s="464"/>
      <c r="E242" s="464"/>
      <c r="F242" s="464"/>
      <c r="G242" s="464"/>
      <c r="H242" s="464"/>
      <c r="I242" s="464"/>
      <c r="J242" s="464"/>
      <c r="K242" s="464"/>
      <c r="L242" s="464"/>
      <c r="M242" s="464"/>
      <c r="N242" s="346">
        <v>733</v>
      </c>
      <c r="O242" s="465">
        <f>N242/$N$251</f>
        <v>0.99727891156462589</v>
      </c>
      <c r="P242" s="416">
        <v>106708</v>
      </c>
      <c r="Q242" s="465">
        <f t="shared" ref="Q242:Q249" si="6">P242/$P$251</f>
        <v>0.996228247068489</v>
      </c>
      <c r="R242" s="460"/>
      <c r="S242" s="466"/>
      <c r="T242" s="262"/>
    </row>
    <row r="243" spans="1:21" s="263" customFormat="1" x14ac:dyDescent="0.25">
      <c r="A243" s="275"/>
      <c r="B243" s="331" t="s">
        <v>74</v>
      </c>
      <c r="C243" s="414"/>
      <c r="D243" s="414"/>
      <c r="E243" s="414"/>
      <c r="F243" s="414"/>
      <c r="G243" s="414"/>
      <c r="H243" s="414"/>
      <c r="I243" s="414"/>
      <c r="J243" s="414"/>
      <c r="K243" s="414"/>
      <c r="L243" s="414"/>
      <c r="M243" s="414"/>
      <c r="N243" s="331">
        <v>2</v>
      </c>
      <c r="O243" s="415">
        <f t="shared" ref="O243:O249" si="7">N243/$N$251</f>
        <v>2.7210884353741495E-3</v>
      </c>
      <c r="P243" s="332">
        <v>404</v>
      </c>
      <c r="Q243" s="415">
        <f t="shared" si="6"/>
        <v>3.7717529315109419E-3</v>
      </c>
      <c r="R243" s="389"/>
      <c r="S243" s="400"/>
      <c r="T243" s="262"/>
      <c r="U243" s="344"/>
    </row>
    <row r="244" spans="1:21" s="263" customFormat="1" x14ac:dyDescent="0.25">
      <c r="A244" s="275"/>
      <c r="B244" s="331" t="s">
        <v>75</v>
      </c>
      <c r="C244" s="414"/>
      <c r="D244" s="414"/>
      <c r="E244" s="414"/>
      <c r="F244" s="414"/>
      <c r="G244" s="414"/>
      <c r="H244" s="414"/>
      <c r="I244" s="414"/>
      <c r="J244" s="414"/>
      <c r="K244" s="414"/>
      <c r="L244" s="414"/>
      <c r="M244" s="414"/>
      <c r="N244" s="331">
        <v>0</v>
      </c>
      <c r="O244" s="415">
        <f t="shared" si="7"/>
        <v>0</v>
      </c>
      <c r="P244" s="332">
        <v>0</v>
      </c>
      <c r="Q244" s="415">
        <f t="shared" si="6"/>
        <v>0</v>
      </c>
      <c r="R244" s="389"/>
      <c r="S244" s="400"/>
      <c r="T244" s="262"/>
    </row>
    <row r="245" spans="1:21" s="263" customFormat="1" x14ac:dyDescent="0.25">
      <c r="A245" s="275"/>
      <c r="B245" s="331" t="s">
        <v>120</v>
      </c>
      <c r="C245" s="414"/>
      <c r="D245" s="414"/>
      <c r="E245" s="414"/>
      <c r="F245" s="414"/>
      <c r="G245" s="414"/>
      <c r="H245" s="414"/>
      <c r="I245" s="414"/>
      <c r="J245" s="414"/>
      <c r="K245" s="414"/>
      <c r="L245" s="414"/>
      <c r="M245" s="414"/>
      <c r="N245" s="331">
        <v>0</v>
      </c>
      <c r="O245" s="415">
        <f t="shared" si="7"/>
        <v>0</v>
      </c>
      <c r="P245" s="332">
        <v>0</v>
      </c>
      <c r="Q245" s="415">
        <f t="shared" si="6"/>
        <v>0</v>
      </c>
      <c r="R245" s="389"/>
      <c r="S245" s="400"/>
      <c r="T245" s="262"/>
      <c r="U245" s="344"/>
    </row>
    <row r="246" spans="1:21" s="263" customFormat="1" x14ac:dyDescent="0.25">
      <c r="A246" s="275"/>
      <c r="B246" s="331" t="s">
        <v>121</v>
      </c>
      <c r="C246" s="414"/>
      <c r="D246" s="414"/>
      <c r="E246" s="414"/>
      <c r="F246" s="414"/>
      <c r="G246" s="414"/>
      <c r="H246" s="414"/>
      <c r="I246" s="414"/>
      <c r="J246" s="414"/>
      <c r="K246" s="414"/>
      <c r="L246" s="414"/>
      <c r="M246" s="414"/>
      <c r="N246" s="331">
        <v>0</v>
      </c>
      <c r="O246" s="415">
        <f t="shared" si="7"/>
        <v>0</v>
      </c>
      <c r="P246" s="332">
        <v>0</v>
      </c>
      <c r="Q246" s="415">
        <f t="shared" si="6"/>
        <v>0</v>
      </c>
      <c r="R246" s="389"/>
      <c r="S246" s="400"/>
      <c r="T246" s="262"/>
    </row>
    <row r="247" spans="1:21" s="263" customFormat="1" x14ac:dyDescent="0.25">
      <c r="A247" s="275"/>
      <c r="B247" s="331" t="s">
        <v>122</v>
      </c>
      <c r="C247" s="414"/>
      <c r="D247" s="414"/>
      <c r="E247" s="414"/>
      <c r="F247" s="414"/>
      <c r="G247" s="414"/>
      <c r="H247" s="414"/>
      <c r="I247" s="414"/>
      <c r="J247" s="414"/>
      <c r="K247" s="414"/>
      <c r="L247" s="414"/>
      <c r="M247" s="414"/>
      <c r="N247" s="331">
        <v>0</v>
      </c>
      <c r="O247" s="415">
        <f t="shared" si="7"/>
        <v>0</v>
      </c>
      <c r="P247" s="332">
        <v>0</v>
      </c>
      <c r="Q247" s="415">
        <f t="shared" si="6"/>
        <v>0</v>
      </c>
      <c r="R247" s="389"/>
      <c r="S247" s="400"/>
      <c r="T247" s="262"/>
      <c r="U247" s="344"/>
    </row>
    <row r="248" spans="1:21" s="263" customFormat="1" x14ac:dyDescent="0.25">
      <c r="A248" s="275"/>
      <c r="B248" s="331" t="s">
        <v>123</v>
      </c>
      <c r="C248" s="414"/>
      <c r="D248" s="414"/>
      <c r="E248" s="414"/>
      <c r="F248" s="414"/>
      <c r="G248" s="414"/>
      <c r="H248" s="414"/>
      <c r="I248" s="414"/>
      <c r="J248" s="414"/>
      <c r="K248" s="414"/>
      <c r="L248" s="414"/>
      <c r="M248" s="414"/>
      <c r="N248" s="331">
        <v>0</v>
      </c>
      <c r="O248" s="415">
        <f t="shared" si="7"/>
        <v>0</v>
      </c>
      <c r="P248" s="332">
        <v>0</v>
      </c>
      <c r="Q248" s="415">
        <f t="shared" si="6"/>
        <v>0</v>
      </c>
      <c r="R248" s="389"/>
      <c r="S248" s="400"/>
      <c r="T248" s="262"/>
    </row>
    <row r="249" spans="1:21" s="263" customFormat="1" x14ac:dyDescent="0.25">
      <c r="A249" s="275"/>
      <c r="B249" s="331" t="s">
        <v>124</v>
      </c>
      <c r="C249" s="414"/>
      <c r="D249" s="414"/>
      <c r="E249" s="414"/>
      <c r="F249" s="414"/>
      <c r="G249" s="414"/>
      <c r="H249" s="414"/>
      <c r="I249" s="414"/>
      <c r="J249" s="414"/>
      <c r="K249" s="414"/>
      <c r="L249" s="414"/>
      <c r="M249" s="414"/>
      <c r="N249" s="331">
        <v>0</v>
      </c>
      <c r="O249" s="415">
        <f t="shared" si="7"/>
        <v>0</v>
      </c>
      <c r="P249" s="332">
        <v>0</v>
      </c>
      <c r="Q249" s="415">
        <f t="shared" si="6"/>
        <v>0</v>
      </c>
      <c r="R249" s="389"/>
      <c r="S249" s="400"/>
      <c r="T249" s="262"/>
      <c r="U249" s="344"/>
    </row>
    <row r="250" spans="1:21" s="263" customFormat="1" x14ac:dyDescent="0.25">
      <c r="A250" s="275"/>
      <c r="B250" s="331"/>
      <c r="C250" s="414"/>
      <c r="D250" s="414"/>
      <c r="E250" s="414"/>
      <c r="F250" s="414"/>
      <c r="G250" s="414"/>
      <c r="H250" s="414"/>
      <c r="I250" s="414"/>
      <c r="J250" s="414"/>
      <c r="K250" s="414"/>
      <c r="L250" s="414"/>
      <c r="M250" s="414"/>
      <c r="N250" s="331"/>
      <c r="O250" s="415"/>
      <c r="P250" s="332"/>
      <c r="Q250" s="415"/>
      <c r="R250" s="389"/>
      <c r="S250" s="400"/>
      <c r="T250" s="262"/>
    </row>
    <row r="251" spans="1:21" s="263" customFormat="1" x14ac:dyDescent="0.25">
      <c r="A251" s="275"/>
      <c r="B251" s="271" t="s">
        <v>95</v>
      </c>
      <c r="C251" s="271"/>
      <c r="D251" s="417"/>
      <c r="E251" s="417"/>
      <c r="F251" s="417"/>
      <c r="G251" s="417"/>
      <c r="H251" s="417"/>
      <c r="I251" s="417"/>
      <c r="J251" s="417"/>
      <c r="K251" s="417"/>
      <c r="L251" s="417"/>
      <c r="M251" s="417"/>
      <c r="N251" s="331">
        <f>SUM(N242:N250)</f>
        <v>735</v>
      </c>
      <c r="O251" s="415">
        <f>SUM(O242:O250)</f>
        <v>1</v>
      </c>
      <c r="P251" s="332">
        <f>SUM(P242:P250)</f>
        <v>107112</v>
      </c>
      <c r="Q251" s="415">
        <f>SUM(Q242:Q250)</f>
        <v>1</v>
      </c>
      <c r="R251" s="271"/>
      <c r="S251" s="274"/>
      <c r="T251" s="262"/>
    </row>
    <row r="252" spans="1:21" x14ac:dyDescent="0.25">
      <c r="A252" s="246"/>
      <c r="B252" s="333"/>
      <c r="C252" s="333"/>
      <c r="D252" s="418"/>
      <c r="E252" s="418"/>
      <c r="F252" s="418"/>
      <c r="G252" s="418"/>
      <c r="H252" s="418"/>
      <c r="I252" s="418"/>
      <c r="J252" s="418"/>
      <c r="K252" s="418"/>
      <c r="L252" s="418"/>
      <c r="M252" s="418"/>
      <c r="N252" s="334"/>
      <c r="O252" s="419"/>
      <c r="P252" s="420"/>
      <c r="Q252" s="419"/>
      <c r="R252" s="333"/>
      <c r="S252" s="249"/>
      <c r="T252" s="244"/>
    </row>
    <row r="253" spans="1:21" x14ac:dyDescent="0.25">
      <c r="A253" s="432"/>
      <c r="B253" s="445" t="s">
        <v>149</v>
      </c>
      <c r="C253" s="446"/>
      <c r="D253" s="446"/>
      <c r="E253" s="446"/>
      <c r="F253" s="446"/>
      <c r="G253" s="446"/>
      <c r="H253" s="446"/>
      <c r="I253" s="446"/>
      <c r="J253" s="446"/>
      <c r="K253" s="446"/>
      <c r="L253" s="446"/>
      <c r="M253" s="446"/>
      <c r="N253" s="462" t="s">
        <v>84</v>
      </c>
      <c r="O253" s="446" t="s">
        <v>85</v>
      </c>
      <c r="P253" s="462" t="s">
        <v>90</v>
      </c>
      <c r="Q253" s="446" t="s">
        <v>85</v>
      </c>
      <c r="R253" s="440"/>
      <c r="S253" s="434"/>
      <c r="T253" s="244"/>
    </row>
    <row r="254" spans="1:21" s="263" customFormat="1" x14ac:dyDescent="0.25">
      <c r="A254" s="258"/>
      <c r="B254" s="346" t="s">
        <v>73</v>
      </c>
      <c r="C254" s="464"/>
      <c r="D254" s="464"/>
      <c r="E254" s="464"/>
      <c r="F254" s="464"/>
      <c r="G254" s="464"/>
      <c r="H254" s="464"/>
      <c r="I254" s="464"/>
      <c r="J254" s="464"/>
      <c r="K254" s="464"/>
      <c r="L254" s="464"/>
      <c r="M254" s="464"/>
      <c r="N254" s="346">
        <v>0</v>
      </c>
      <c r="O254" s="465">
        <v>0</v>
      </c>
      <c r="P254" s="416">
        <v>0</v>
      </c>
      <c r="Q254" s="465">
        <v>0</v>
      </c>
      <c r="R254" s="313"/>
      <c r="S254" s="261"/>
      <c r="T254" s="262"/>
    </row>
    <row r="255" spans="1:21" s="263" customFormat="1" x14ac:dyDescent="0.25">
      <c r="A255" s="275"/>
      <c r="B255" s="331" t="s">
        <v>74</v>
      </c>
      <c r="C255" s="414"/>
      <c r="D255" s="414"/>
      <c r="E255" s="414"/>
      <c r="F255" s="414"/>
      <c r="G255" s="414"/>
      <c r="H255" s="414"/>
      <c r="I255" s="414"/>
      <c r="J255" s="414"/>
      <c r="K255" s="414"/>
      <c r="L255" s="414"/>
      <c r="M255" s="414"/>
      <c r="N255" s="331">
        <v>0</v>
      </c>
      <c r="O255" s="415">
        <v>0</v>
      </c>
      <c r="P255" s="332">
        <v>0</v>
      </c>
      <c r="Q255" s="415">
        <f>P255/$P$263</f>
        <v>0</v>
      </c>
      <c r="R255" s="271"/>
      <c r="S255" s="274"/>
      <c r="T255" s="262"/>
    </row>
    <row r="256" spans="1:21" s="263" customFormat="1" x14ac:dyDescent="0.25">
      <c r="A256" s="275"/>
      <c r="B256" s="331" t="s">
        <v>75</v>
      </c>
      <c r="C256" s="414"/>
      <c r="D256" s="414"/>
      <c r="E256" s="414"/>
      <c r="F256" s="414"/>
      <c r="G256" s="414"/>
      <c r="H256" s="414"/>
      <c r="I256" s="414"/>
      <c r="J256" s="414"/>
      <c r="K256" s="414"/>
      <c r="L256" s="414"/>
      <c r="M256" s="414"/>
      <c r="N256" s="331">
        <v>0</v>
      </c>
      <c r="O256" s="415">
        <f>N256/N263</f>
        <v>0</v>
      </c>
      <c r="P256" s="332">
        <v>0</v>
      </c>
      <c r="Q256" s="415">
        <f>P256/P263</f>
        <v>0</v>
      </c>
      <c r="R256" s="271"/>
      <c r="S256" s="274"/>
      <c r="T256" s="262"/>
    </row>
    <row r="257" spans="1:20" s="263" customFormat="1" x14ac:dyDescent="0.25">
      <c r="A257" s="275"/>
      <c r="B257" s="331" t="s">
        <v>120</v>
      </c>
      <c r="C257" s="414"/>
      <c r="D257" s="414"/>
      <c r="E257" s="414"/>
      <c r="F257" s="414"/>
      <c r="G257" s="414"/>
      <c r="H257" s="414"/>
      <c r="I257" s="414"/>
      <c r="J257" s="414"/>
      <c r="K257" s="414"/>
      <c r="L257" s="414"/>
      <c r="M257" s="414"/>
      <c r="N257" s="331">
        <v>2</v>
      </c>
      <c r="O257" s="415">
        <f>N257/N263</f>
        <v>0.66666666666666663</v>
      </c>
      <c r="P257" s="332">
        <v>122</v>
      </c>
      <c r="Q257" s="415">
        <f>P257/P263</f>
        <v>0.56744186046511624</v>
      </c>
      <c r="R257" s="271"/>
      <c r="S257" s="274"/>
      <c r="T257" s="262"/>
    </row>
    <row r="258" spans="1:20" s="263" customFormat="1" x14ac:dyDescent="0.25">
      <c r="A258" s="275"/>
      <c r="B258" s="331" t="s">
        <v>121</v>
      </c>
      <c r="C258" s="414"/>
      <c r="D258" s="414"/>
      <c r="E258" s="414"/>
      <c r="F258" s="414"/>
      <c r="G258" s="414"/>
      <c r="H258" s="414"/>
      <c r="I258" s="414"/>
      <c r="J258" s="414"/>
      <c r="K258" s="414"/>
      <c r="L258" s="414"/>
      <c r="M258" s="414"/>
      <c r="N258" s="331">
        <v>0</v>
      </c>
      <c r="O258" s="415">
        <f>N258/N263</f>
        <v>0</v>
      </c>
      <c r="P258" s="332">
        <v>0</v>
      </c>
      <c r="Q258" s="415">
        <f>P258/P263</f>
        <v>0</v>
      </c>
      <c r="R258" s="271"/>
      <c r="S258" s="274"/>
      <c r="T258" s="262"/>
    </row>
    <row r="259" spans="1:20" s="263" customFormat="1" x14ac:dyDescent="0.25">
      <c r="A259" s="275"/>
      <c r="B259" s="331" t="s">
        <v>122</v>
      </c>
      <c r="C259" s="414"/>
      <c r="D259" s="414"/>
      <c r="E259" s="414"/>
      <c r="F259" s="414"/>
      <c r="G259" s="414"/>
      <c r="H259" s="414"/>
      <c r="I259" s="414"/>
      <c r="J259" s="414"/>
      <c r="K259" s="414"/>
      <c r="L259" s="414"/>
      <c r="M259" s="414"/>
      <c r="N259" s="331">
        <v>0</v>
      </c>
      <c r="O259" s="415">
        <f>N259/N263</f>
        <v>0</v>
      </c>
      <c r="P259" s="332">
        <v>0</v>
      </c>
      <c r="Q259" s="415">
        <f>P259/P263</f>
        <v>0</v>
      </c>
      <c r="R259" s="271"/>
      <c r="S259" s="274"/>
      <c r="T259" s="262"/>
    </row>
    <row r="260" spans="1:20" s="263" customFormat="1" x14ac:dyDescent="0.25">
      <c r="A260" s="275"/>
      <c r="B260" s="331" t="s">
        <v>123</v>
      </c>
      <c r="C260" s="414"/>
      <c r="D260" s="414"/>
      <c r="E260" s="414"/>
      <c r="F260" s="414"/>
      <c r="G260" s="414"/>
      <c r="H260" s="414"/>
      <c r="I260" s="414"/>
      <c r="J260" s="414"/>
      <c r="K260" s="414"/>
      <c r="L260" s="414"/>
      <c r="M260" s="414"/>
      <c r="N260" s="331">
        <v>1</v>
      </c>
      <c r="O260" s="415">
        <f>N260/N263</f>
        <v>0.33333333333333331</v>
      </c>
      <c r="P260" s="332">
        <v>93</v>
      </c>
      <c r="Q260" s="415">
        <f>P260/P263</f>
        <v>0.4325581395348837</v>
      </c>
      <c r="R260" s="271"/>
      <c r="S260" s="274"/>
      <c r="T260" s="262"/>
    </row>
    <row r="261" spans="1:20" s="263" customFormat="1" x14ac:dyDescent="0.25">
      <c r="A261" s="275"/>
      <c r="B261" s="331" t="s">
        <v>124</v>
      </c>
      <c r="C261" s="414"/>
      <c r="D261" s="414"/>
      <c r="E261" s="414"/>
      <c r="F261" s="414"/>
      <c r="G261" s="414"/>
      <c r="H261" s="414"/>
      <c r="I261" s="414"/>
      <c r="J261" s="414"/>
      <c r="K261" s="414"/>
      <c r="L261" s="414"/>
      <c r="M261" s="414"/>
      <c r="N261" s="331">
        <v>0</v>
      </c>
      <c r="O261" s="415">
        <f>N261/N263</f>
        <v>0</v>
      </c>
      <c r="P261" s="332">
        <v>0</v>
      </c>
      <c r="Q261" s="415">
        <f>P261/P263</f>
        <v>0</v>
      </c>
      <c r="R261" s="271"/>
      <c r="S261" s="274"/>
      <c r="T261" s="262"/>
    </row>
    <row r="262" spans="1:20" s="263" customFormat="1" x14ac:dyDescent="0.25">
      <c r="A262" s="275"/>
      <c r="B262" s="331"/>
      <c r="C262" s="414"/>
      <c r="D262" s="414"/>
      <c r="E262" s="414"/>
      <c r="F262" s="414"/>
      <c r="G262" s="414"/>
      <c r="H262" s="414"/>
      <c r="I262" s="414"/>
      <c r="J262" s="414"/>
      <c r="K262" s="414"/>
      <c r="L262" s="414"/>
      <c r="M262" s="414"/>
      <c r="N262" s="331"/>
      <c r="O262" s="415"/>
      <c r="P262" s="332"/>
      <c r="Q262" s="415"/>
      <c r="R262" s="271"/>
      <c r="S262" s="274"/>
      <c r="T262" s="262"/>
    </row>
    <row r="263" spans="1:20" s="263" customFormat="1" x14ac:dyDescent="0.25">
      <c r="A263" s="275"/>
      <c r="B263" s="271" t="s">
        <v>95</v>
      </c>
      <c r="C263" s="271"/>
      <c r="D263" s="417"/>
      <c r="E263" s="417"/>
      <c r="F263" s="417"/>
      <c r="G263" s="417"/>
      <c r="H263" s="417"/>
      <c r="I263" s="417"/>
      <c r="J263" s="417"/>
      <c r="K263" s="417"/>
      <c r="L263" s="417"/>
      <c r="M263" s="417"/>
      <c r="N263" s="331">
        <f>SUM(N254:N262)</f>
        <v>3</v>
      </c>
      <c r="O263" s="415">
        <f>SUM(O254:O262)</f>
        <v>1</v>
      </c>
      <c r="P263" s="332">
        <f>SUM(P254:P262)</f>
        <v>215</v>
      </c>
      <c r="Q263" s="415">
        <f>SUM(Q254:Q262)</f>
        <v>1</v>
      </c>
      <c r="R263" s="271"/>
      <c r="S263" s="274"/>
      <c r="T263" s="262"/>
    </row>
    <row r="264" spans="1:20" x14ac:dyDescent="0.25">
      <c r="A264" s="246"/>
      <c r="B264" s="333"/>
      <c r="C264" s="333"/>
      <c r="D264" s="418"/>
      <c r="E264" s="418"/>
      <c r="F264" s="418"/>
      <c r="G264" s="418"/>
      <c r="H264" s="418"/>
      <c r="I264" s="418"/>
      <c r="J264" s="418"/>
      <c r="K264" s="418"/>
      <c r="L264" s="418"/>
      <c r="M264" s="418"/>
      <c r="N264" s="334"/>
      <c r="O264" s="419"/>
      <c r="P264" s="420"/>
      <c r="Q264" s="419"/>
      <c r="R264" s="333"/>
      <c r="S264" s="249"/>
      <c r="T264" s="244"/>
    </row>
    <row r="265" spans="1:20" x14ac:dyDescent="0.25">
      <c r="A265" s="432"/>
      <c r="B265" s="445" t="s">
        <v>126</v>
      </c>
      <c r="C265" s="440"/>
      <c r="D265" s="468"/>
      <c r="E265" s="468"/>
      <c r="F265" s="468"/>
      <c r="G265" s="468"/>
      <c r="H265" s="468"/>
      <c r="I265" s="468"/>
      <c r="J265" s="468"/>
      <c r="K265" s="468"/>
      <c r="L265" s="468"/>
      <c r="M265" s="468"/>
      <c r="N265" s="462" t="s">
        <v>84</v>
      </c>
      <c r="O265" s="446" t="s">
        <v>85</v>
      </c>
      <c r="P265" s="462" t="s">
        <v>90</v>
      </c>
      <c r="Q265" s="446" t="s">
        <v>85</v>
      </c>
      <c r="R265" s="440"/>
      <c r="S265" s="434"/>
      <c r="T265" s="244"/>
    </row>
    <row r="266" spans="1:20" s="263" customFormat="1" x14ac:dyDescent="0.25">
      <c r="A266" s="258"/>
      <c r="B266" s="346" t="s">
        <v>73</v>
      </c>
      <c r="C266" s="313"/>
      <c r="D266" s="467"/>
      <c r="E266" s="467"/>
      <c r="F266" s="467"/>
      <c r="G266" s="467"/>
      <c r="H266" s="467"/>
      <c r="I266" s="467"/>
      <c r="J266" s="467"/>
      <c r="K266" s="467"/>
      <c r="L266" s="467"/>
      <c r="M266" s="467"/>
      <c r="N266" s="346">
        <v>0</v>
      </c>
      <c r="O266" s="465">
        <v>0</v>
      </c>
      <c r="P266" s="416">
        <v>0</v>
      </c>
      <c r="Q266" s="465">
        <v>0</v>
      </c>
      <c r="R266" s="313"/>
      <c r="S266" s="261"/>
      <c r="T266" s="262"/>
    </row>
    <row r="267" spans="1:20" s="263" customFormat="1" x14ac:dyDescent="0.25">
      <c r="A267" s="275"/>
      <c r="B267" s="331" t="s">
        <v>74</v>
      </c>
      <c r="C267" s="271"/>
      <c r="D267" s="417"/>
      <c r="E267" s="417"/>
      <c r="F267" s="417"/>
      <c r="G267" s="417"/>
      <c r="H267" s="417"/>
      <c r="I267" s="417"/>
      <c r="J267" s="417"/>
      <c r="K267" s="417"/>
      <c r="L267" s="417"/>
      <c r="M267" s="417"/>
      <c r="N267" s="331">
        <v>0</v>
      </c>
      <c r="O267" s="415">
        <v>0</v>
      </c>
      <c r="P267" s="332">
        <v>0</v>
      </c>
      <c r="Q267" s="415">
        <v>0</v>
      </c>
      <c r="R267" s="271"/>
      <c r="S267" s="274"/>
      <c r="T267" s="262"/>
    </row>
    <row r="268" spans="1:20" s="263" customFormat="1" x14ac:dyDescent="0.25">
      <c r="A268" s="275"/>
      <c r="B268" s="331" t="s">
        <v>75</v>
      </c>
      <c r="C268" s="271"/>
      <c r="D268" s="417"/>
      <c r="E268" s="417"/>
      <c r="F268" s="417"/>
      <c r="G268" s="417"/>
      <c r="H268" s="417"/>
      <c r="I268" s="417"/>
      <c r="J268" s="417"/>
      <c r="K268" s="417"/>
      <c r="L268" s="417"/>
      <c r="M268" s="417"/>
      <c r="N268" s="331">
        <v>0</v>
      </c>
      <c r="O268" s="415">
        <v>0</v>
      </c>
      <c r="P268" s="332">
        <v>0</v>
      </c>
      <c r="Q268" s="415">
        <v>0</v>
      </c>
      <c r="R268" s="271"/>
      <c r="S268" s="274"/>
      <c r="T268" s="262"/>
    </row>
    <row r="269" spans="1:20" s="263" customFormat="1" x14ac:dyDescent="0.25">
      <c r="A269" s="275"/>
      <c r="B269" s="331" t="s">
        <v>120</v>
      </c>
      <c r="C269" s="271"/>
      <c r="D269" s="417"/>
      <c r="E269" s="417"/>
      <c r="F269" s="417"/>
      <c r="G269" s="417"/>
      <c r="H269" s="417"/>
      <c r="I269" s="417"/>
      <c r="J269" s="417"/>
      <c r="K269" s="417"/>
      <c r="L269" s="417"/>
      <c r="M269" s="417"/>
      <c r="N269" s="331">
        <v>0</v>
      </c>
      <c r="O269" s="415">
        <v>0</v>
      </c>
      <c r="P269" s="332">
        <v>0</v>
      </c>
      <c r="Q269" s="415">
        <v>0</v>
      </c>
      <c r="R269" s="271"/>
      <c r="S269" s="274"/>
      <c r="T269" s="262"/>
    </row>
    <row r="270" spans="1:20" s="263" customFormat="1" x14ac:dyDescent="0.25">
      <c r="A270" s="275"/>
      <c r="B270" s="331" t="s">
        <v>121</v>
      </c>
      <c r="C270" s="271"/>
      <c r="D270" s="417"/>
      <c r="E270" s="417"/>
      <c r="F270" s="417"/>
      <c r="G270" s="417"/>
      <c r="H270" s="417"/>
      <c r="I270" s="417"/>
      <c r="J270" s="417"/>
      <c r="K270" s="417"/>
      <c r="L270" s="417"/>
      <c r="M270" s="417"/>
      <c r="N270" s="331">
        <v>0</v>
      </c>
      <c r="O270" s="415">
        <v>0</v>
      </c>
      <c r="P270" s="332">
        <v>0</v>
      </c>
      <c r="Q270" s="415">
        <v>0</v>
      </c>
      <c r="R270" s="271"/>
      <c r="S270" s="274"/>
      <c r="T270" s="262"/>
    </row>
    <row r="271" spans="1:20" s="263" customFormat="1" x14ac:dyDescent="0.25">
      <c r="A271" s="275"/>
      <c r="B271" s="331" t="s">
        <v>122</v>
      </c>
      <c r="C271" s="271"/>
      <c r="D271" s="417"/>
      <c r="E271" s="417"/>
      <c r="F271" s="417"/>
      <c r="G271" s="417"/>
      <c r="H271" s="417"/>
      <c r="I271" s="417"/>
      <c r="J271" s="417"/>
      <c r="K271" s="417"/>
      <c r="L271" s="417"/>
      <c r="M271" s="417"/>
      <c r="N271" s="331">
        <v>0</v>
      </c>
      <c r="O271" s="415">
        <v>0</v>
      </c>
      <c r="P271" s="332">
        <v>0</v>
      </c>
      <c r="Q271" s="415">
        <v>0</v>
      </c>
      <c r="R271" s="271"/>
      <c r="S271" s="274"/>
      <c r="T271" s="262"/>
    </row>
    <row r="272" spans="1:20" s="263" customFormat="1" x14ac:dyDescent="0.25">
      <c r="A272" s="275"/>
      <c r="B272" s="331" t="s">
        <v>123</v>
      </c>
      <c r="C272" s="271"/>
      <c r="D272" s="417"/>
      <c r="E272" s="417"/>
      <c r="F272" s="417"/>
      <c r="G272" s="417"/>
      <c r="H272" s="417"/>
      <c r="I272" s="417"/>
      <c r="J272" s="417"/>
      <c r="K272" s="417"/>
      <c r="L272" s="417"/>
      <c r="M272" s="417"/>
      <c r="N272" s="331">
        <v>0</v>
      </c>
      <c r="O272" s="415">
        <v>0</v>
      </c>
      <c r="P272" s="332">
        <v>0</v>
      </c>
      <c r="Q272" s="415">
        <v>0</v>
      </c>
      <c r="R272" s="271"/>
      <c r="S272" s="274"/>
      <c r="T272" s="262"/>
    </row>
    <row r="273" spans="1:20" s="263" customFormat="1" x14ac:dyDescent="0.25">
      <c r="A273" s="275"/>
      <c r="B273" s="331" t="s">
        <v>124</v>
      </c>
      <c r="C273" s="271"/>
      <c r="D273" s="417"/>
      <c r="E273" s="417"/>
      <c r="F273" s="417"/>
      <c r="G273" s="417"/>
      <c r="H273" s="417"/>
      <c r="I273" s="417"/>
      <c r="J273" s="417"/>
      <c r="K273" s="417"/>
      <c r="L273" s="417"/>
      <c r="M273" s="417"/>
      <c r="N273" s="331">
        <v>0</v>
      </c>
      <c r="O273" s="415">
        <v>0</v>
      </c>
      <c r="P273" s="332">
        <v>0</v>
      </c>
      <c r="Q273" s="415">
        <v>0</v>
      </c>
      <c r="R273" s="271"/>
      <c r="S273" s="274"/>
      <c r="T273" s="262"/>
    </row>
    <row r="274" spans="1:20" s="263" customFormat="1" x14ac:dyDescent="0.25">
      <c r="A274" s="275"/>
      <c r="B274" s="331"/>
      <c r="C274" s="271"/>
      <c r="D274" s="417"/>
      <c r="E274" s="417"/>
      <c r="F274" s="417"/>
      <c r="G274" s="417"/>
      <c r="H274" s="417"/>
      <c r="I274" s="417"/>
      <c r="J274" s="417"/>
      <c r="K274" s="417"/>
      <c r="L274" s="417"/>
      <c r="M274" s="417"/>
      <c r="N274" s="331"/>
      <c r="O274" s="415"/>
      <c r="P274" s="332"/>
      <c r="Q274" s="415"/>
      <c r="R274" s="271"/>
      <c r="S274" s="274"/>
      <c r="T274" s="262"/>
    </row>
    <row r="275" spans="1:20" s="263" customFormat="1" x14ac:dyDescent="0.25">
      <c r="A275" s="275"/>
      <c r="B275" s="271" t="s">
        <v>95</v>
      </c>
      <c r="C275" s="271"/>
      <c r="D275" s="417"/>
      <c r="E275" s="417"/>
      <c r="F275" s="417"/>
      <c r="G275" s="417"/>
      <c r="H275" s="417"/>
      <c r="I275" s="417"/>
      <c r="J275" s="417"/>
      <c r="K275" s="417"/>
      <c r="L275" s="417"/>
      <c r="M275" s="417"/>
      <c r="N275" s="331">
        <f>SUM(N266:N273)</f>
        <v>0</v>
      </c>
      <c r="O275" s="415">
        <f>SUM(O266:O273)</f>
        <v>0</v>
      </c>
      <c r="P275" s="332">
        <f>SUM(P266:P273)</f>
        <v>0</v>
      </c>
      <c r="Q275" s="415">
        <f>SUM(Q266:Q273)</f>
        <v>0</v>
      </c>
      <c r="R275" s="271"/>
      <c r="S275" s="274"/>
      <c r="T275" s="262"/>
    </row>
    <row r="276" spans="1:20" s="263" customFormat="1" x14ac:dyDescent="0.25">
      <c r="A276" s="275"/>
      <c r="B276" s="271"/>
      <c r="C276" s="271"/>
      <c r="D276" s="417"/>
      <c r="E276" s="417"/>
      <c r="F276" s="417"/>
      <c r="G276" s="417"/>
      <c r="H276" s="417"/>
      <c r="I276" s="417"/>
      <c r="J276" s="417"/>
      <c r="K276" s="417"/>
      <c r="L276" s="417"/>
      <c r="M276" s="417"/>
      <c r="N276" s="331"/>
      <c r="O276" s="415"/>
      <c r="P276" s="332"/>
      <c r="Q276" s="415"/>
      <c r="R276" s="271"/>
      <c r="S276" s="274"/>
      <c r="T276" s="262"/>
    </row>
    <row r="277" spans="1:20" s="263" customFormat="1" x14ac:dyDescent="0.25">
      <c r="A277" s="275"/>
      <c r="B277" s="276" t="s">
        <v>184</v>
      </c>
      <c r="C277" s="271"/>
      <c r="D277" s="417"/>
      <c r="E277" s="417"/>
      <c r="F277" s="417"/>
      <c r="G277" s="417"/>
      <c r="H277" s="417"/>
      <c r="I277" s="417"/>
      <c r="J277" s="417"/>
      <c r="K277" s="417"/>
      <c r="L277" s="417"/>
      <c r="M277" s="417"/>
      <c r="N277" s="421">
        <f>N275+N263+N251</f>
        <v>738</v>
      </c>
      <c r="O277" s="415"/>
      <c r="P277" s="422">
        <f>+P275+P263+P251</f>
        <v>107327</v>
      </c>
      <c r="Q277" s="415"/>
      <c r="R277" s="271"/>
      <c r="S277" s="274"/>
      <c r="T277" s="262"/>
    </row>
    <row r="278" spans="1:20" s="263" customFormat="1" x14ac:dyDescent="0.25">
      <c r="A278" s="275"/>
      <c r="B278" s="276" t="s">
        <v>241</v>
      </c>
      <c r="C278" s="276"/>
      <c r="D278" s="423"/>
      <c r="E278" s="423"/>
      <c r="F278" s="423"/>
      <c r="G278" s="423"/>
      <c r="H278" s="423"/>
      <c r="I278" s="423"/>
      <c r="J278" s="423"/>
      <c r="K278" s="423"/>
      <c r="L278" s="423"/>
      <c r="M278" s="423"/>
      <c r="N278" s="421"/>
      <c r="O278" s="424"/>
      <c r="P278" s="422">
        <f>+R166+R146</f>
        <v>0</v>
      </c>
      <c r="Q278" s="415"/>
      <c r="R278" s="271"/>
      <c r="S278" s="274"/>
      <c r="T278" s="262"/>
    </row>
    <row r="279" spans="1:20" s="263" customFormat="1" x14ac:dyDescent="0.25">
      <c r="A279" s="275"/>
      <c r="B279" s="276" t="s">
        <v>127</v>
      </c>
      <c r="C279" s="276"/>
      <c r="D279" s="423"/>
      <c r="E279" s="423"/>
      <c r="F279" s="423"/>
      <c r="G279" s="423"/>
      <c r="H279" s="423"/>
      <c r="I279" s="423"/>
      <c r="J279" s="423"/>
      <c r="K279" s="423"/>
      <c r="L279" s="423"/>
      <c r="M279" s="423"/>
      <c r="N279" s="421"/>
      <c r="O279" s="424"/>
      <c r="P279" s="422">
        <f>+P277+P278</f>
        <v>107327</v>
      </c>
      <c r="Q279" s="415"/>
      <c r="R279" s="271"/>
      <c r="S279" s="274"/>
      <c r="T279" s="262"/>
    </row>
    <row r="280" spans="1:20" s="263" customFormat="1" x14ac:dyDescent="0.25">
      <c r="A280" s="275"/>
      <c r="B280" s="276" t="s">
        <v>183</v>
      </c>
      <c r="C280" s="271"/>
      <c r="D280" s="417"/>
      <c r="E280" s="417"/>
      <c r="F280" s="417"/>
      <c r="G280" s="417"/>
      <c r="H280" s="417"/>
      <c r="I280" s="417"/>
      <c r="J280" s="417"/>
      <c r="K280" s="417"/>
      <c r="L280" s="417"/>
      <c r="M280" s="417"/>
      <c r="N280" s="421"/>
      <c r="O280" s="415"/>
      <c r="P280" s="422">
        <f>+R72</f>
        <v>107327</v>
      </c>
      <c r="Q280" s="415"/>
      <c r="R280" s="271"/>
      <c r="S280" s="274"/>
      <c r="T280" s="262"/>
    </row>
    <row r="281" spans="1:20" s="263" customFormat="1" x14ac:dyDescent="0.25">
      <c r="A281" s="275"/>
      <c r="B281" s="276"/>
      <c r="C281" s="271"/>
      <c r="D281" s="417"/>
      <c r="E281" s="417"/>
      <c r="F281" s="417"/>
      <c r="G281" s="417"/>
      <c r="H281" s="417"/>
      <c r="I281" s="417"/>
      <c r="J281" s="417"/>
      <c r="K281" s="417"/>
      <c r="L281" s="417"/>
      <c r="M281" s="417"/>
      <c r="N281" s="421"/>
      <c r="O281" s="415"/>
      <c r="P281" s="422"/>
      <c r="Q281" s="415"/>
      <c r="R281" s="271"/>
      <c r="S281" s="274"/>
      <c r="T281" s="262"/>
    </row>
    <row r="282" spans="1:20" s="263" customFormat="1" x14ac:dyDescent="0.25">
      <c r="A282" s="275"/>
      <c r="B282" s="276" t="s">
        <v>205</v>
      </c>
      <c r="C282" s="271"/>
      <c r="D282" s="417"/>
      <c r="E282" s="417"/>
      <c r="F282" s="417"/>
      <c r="G282" s="417"/>
      <c r="H282" s="417"/>
      <c r="I282" s="417"/>
      <c r="J282" s="417"/>
      <c r="K282" s="417"/>
      <c r="L282" s="417"/>
      <c r="M282" s="417"/>
      <c r="N282" s="421"/>
      <c r="O282" s="415"/>
      <c r="P282" s="425">
        <f>(H30+R135)/R30</f>
        <v>0.16305309576036384</v>
      </c>
      <c r="Q282" s="415"/>
      <c r="R282" s="271"/>
      <c r="S282" s="274"/>
      <c r="T282" s="262"/>
    </row>
    <row r="283" spans="1:20" s="263" customFormat="1" x14ac:dyDescent="0.25">
      <c r="A283" s="258"/>
      <c r="B283" s="259"/>
      <c r="C283" s="259"/>
      <c r="D283" s="426"/>
      <c r="E283" s="426"/>
      <c r="F283" s="426"/>
      <c r="G283" s="426"/>
      <c r="H283" s="426"/>
      <c r="I283" s="426"/>
      <c r="J283" s="426"/>
      <c r="K283" s="426"/>
      <c r="L283" s="426"/>
      <c r="M283" s="426"/>
      <c r="N283" s="426"/>
      <c r="O283" s="426"/>
      <c r="P283" s="427"/>
      <c r="Q283" s="426"/>
      <c r="R283" s="259"/>
      <c r="S283" s="261"/>
      <c r="T283" s="262"/>
    </row>
    <row r="284" spans="1:20" s="263" customFormat="1" x14ac:dyDescent="0.25">
      <c r="A284" s="258"/>
      <c r="B284" s="257" t="s">
        <v>76</v>
      </c>
      <c r="C284" s="259"/>
      <c r="D284" s="428" t="s">
        <v>80</v>
      </c>
      <c r="E284" s="257"/>
      <c r="F284" s="257" t="s">
        <v>81</v>
      </c>
      <c r="G284" s="259"/>
      <c r="H284" s="257"/>
      <c r="I284" s="259"/>
      <c r="J284" s="259"/>
      <c r="K284" s="259"/>
      <c r="L284" s="259"/>
      <c r="M284" s="259"/>
      <c r="N284" s="259"/>
      <c r="O284" s="259"/>
      <c r="P284" s="259"/>
      <c r="Q284" s="259"/>
      <c r="R284" s="259"/>
      <c r="S284" s="261"/>
      <c r="T284" s="262"/>
    </row>
    <row r="285" spans="1:20" s="263" customFormat="1" x14ac:dyDescent="0.25">
      <c r="A285" s="258"/>
      <c r="B285" s="259"/>
      <c r="C285" s="259"/>
      <c r="D285" s="259"/>
      <c r="E285" s="259"/>
      <c r="F285" s="259"/>
      <c r="G285" s="259"/>
      <c r="H285" s="259"/>
      <c r="I285" s="259"/>
      <c r="J285" s="259"/>
      <c r="K285" s="259"/>
      <c r="L285" s="259"/>
      <c r="M285" s="259"/>
      <c r="N285" s="259"/>
      <c r="O285" s="259"/>
      <c r="P285" s="259"/>
      <c r="Q285" s="259"/>
      <c r="R285" s="259"/>
      <c r="S285" s="261"/>
      <c r="T285" s="262"/>
    </row>
    <row r="286" spans="1:20" s="263" customFormat="1" x14ac:dyDescent="0.25">
      <c r="A286" s="258"/>
      <c r="B286" s="257" t="s">
        <v>199</v>
      </c>
      <c r="C286" s="257"/>
      <c r="D286" s="429" t="s">
        <v>150</v>
      </c>
      <c r="E286" s="257"/>
      <c r="F286" s="469" t="s">
        <v>262</v>
      </c>
      <c r="G286" s="257"/>
      <c r="H286" s="257"/>
      <c r="I286" s="259"/>
      <c r="J286" s="259"/>
      <c r="K286" s="259"/>
      <c r="L286" s="259"/>
      <c r="M286" s="259"/>
      <c r="N286" s="259"/>
      <c r="O286" s="259"/>
      <c r="P286" s="259"/>
      <c r="Q286" s="259"/>
      <c r="R286" s="259"/>
      <c r="S286" s="261"/>
      <c r="T286" s="262"/>
    </row>
    <row r="287" spans="1:20" s="263" customFormat="1" x14ac:dyDescent="0.25">
      <c r="A287" s="258"/>
      <c r="B287" s="257" t="s">
        <v>200</v>
      </c>
      <c r="C287" s="257"/>
      <c r="D287" s="429" t="s">
        <v>115</v>
      </c>
      <c r="E287" s="257"/>
      <c r="F287" s="469" t="s">
        <v>263</v>
      </c>
      <c r="G287" s="257"/>
      <c r="H287" s="257"/>
      <c r="I287" s="259"/>
      <c r="J287" s="259"/>
      <c r="K287" s="259"/>
      <c r="L287" s="259"/>
      <c r="M287" s="259"/>
      <c r="N287" s="259"/>
      <c r="O287" s="259"/>
      <c r="P287" s="259"/>
      <c r="Q287" s="259"/>
      <c r="R287" s="259"/>
      <c r="S287" s="261"/>
      <c r="T287" s="262"/>
    </row>
    <row r="288" spans="1:20" s="263" customFormat="1" x14ac:dyDescent="0.25">
      <c r="A288" s="258"/>
      <c r="B288" s="257"/>
      <c r="C288" s="257"/>
      <c r="D288" s="259"/>
      <c r="E288" s="259"/>
      <c r="F288" s="259"/>
      <c r="G288" s="259"/>
      <c r="H288" s="259"/>
      <c r="I288" s="259"/>
      <c r="J288" s="259"/>
      <c r="K288" s="259"/>
      <c r="L288" s="259"/>
      <c r="M288" s="259"/>
      <c r="N288" s="259"/>
      <c r="O288" s="259"/>
      <c r="P288" s="259"/>
      <c r="Q288" s="259"/>
      <c r="R288" s="259"/>
      <c r="S288" s="261"/>
      <c r="T288" s="262"/>
    </row>
    <row r="289" spans="1:20" s="263" customFormat="1" x14ac:dyDescent="0.25">
      <c r="A289" s="258"/>
      <c r="B289" s="257"/>
      <c r="C289" s="257"/>
      <c r="D289" s="259"/>
      <c r="E289" s="259"/>
      <c r="F289" s="259"/>
      <c r="G289" s="259"/>
      <c r="H289" s="259"/>
      <c r="I289" s="259"/>
      <c r="J289" s="259"/>
      <c r="K289" s="259"/>
      <c r="L289" s="259"/>
      <c r="M289" s="259"/>
      <c r="N289" s="259"/>
      <c r="O289" s="259"/>
      <c r="P289" s="259"/>
      <c r="Q289" s="259"/>
      <c r="R289" s="259"/>
      <c r="S289" s="261"/>
      <c r="T289" s="262"/>
    </row>
    <row r="290" spans="1:20" s="263" customFormat="1" ht="19.5" thickBot="1" x14ac:dyDescent="0.35">
      <c r="A290" s="258"/>
      <c r="B290" s="430" t="str">
        <f>B190</f>
        <v>PM20 INVESTOR REPORT QUARTER ENDING OCTOBER 2017</v>
      </c>
      <c r="C290" s="257"/>
      <c r="D290" s="259"/>
      <c r="E290" s="259"/>
      <c r="F290" s="259"/>
      <c r="G290" s="259"/>
      <c r="H290" s="259"/>
      <c r="I290" s="259"/>
      <c r="J290" s="259"/>
      <c r="K290" s="259"/>
      <c r="L290" s="259"/>
      <c r="M290" s="259"/>
      <c r="N290" s="259"/>
      <c r="O290" s="259"/>
      <c r="P290" s="259"/>
      <c r="Q290" s="259"/>
      <c r="R290" s="259"/>
      <c r="S290" s="322"/>
      <c r="T290" s="262"/>
    </row>
    <row r="291" spans="1:20" x14ac:dyDescent="0.25">
      <c r="A291" s="431"/>
      <c r="B291" s="431"/>
      <c r="C291" s="431"/>
      <c r="D291" s="431"/>
      <c r="E291" s="431"/>
      <c r="F291" s="431"/>
      <c r="G291" s="431"/>
      <c r="H291" s="431"/>
      <c r="I291" s="431"/>
      <c r="J291" s="431"/>
      <c r="K291" s="431"/>
      <c r="L291" s="431"/>
      <c r="M291" s="431"/>
      <c r="N291" s="431"/>
      <c r="O291" s="431"/>
      <c r="P291" s="431"/>
      <c r="Q291" s="431"/>
      <c r="R291" s="431"/>
      <c r="S291" s="431"/>
    </row>
  </sheetData>
  <hyperlinks>
    <hyperlink ref="K9" r:id="rId1"/>
    <hyperlink ref="N227"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1"/>
  <sheetViews>
    <sheetView showGridLines="0" showOutlineSymbols="0" zoomScale="70" zoomScaleNormal="70" workbookViewId="0"/>
  </sheetViews>
  <sheetFormatPr defaultColWidth="9.6640625" defaultRowHeight="15.75" x14ac:dyDescent="0.25"/>
  <cols>
    <col min="1" max="1" width="4" style="245" customWidth="1"/>
    <col min="2" max="2" width="71.21875" style="245" customWidth="1"/>
    <col min="3" max="3" width="2.21875" style="245" customWidth="1"/>
    <col min="4" max="4" width="16.21875" style="245" customWidth="1"/>
    <col min="5" max="5" width="2.88671875" style="245" customWidth="1"/>
    <col min="6" max="6" width="16.21875" style="245" customWidth="1"/>
    <col min="7" max="7" width="2.21875" style="245" customWidth="1"/>
    <col min="8" max="8" width="17.88671875" style="245" customWidth="1"/>
    <col min="9" max="9" width="2.33203125" style="245" customWidth="1"/>
    <col min="10" max="10" width="14.88671875" style="245" customWidth="1"/>
    <col min="11" max="11" width="2.33203125" style="245" customWidth="1"/>
    <col min="12" max="12" width="15.5546875" style="245" customWidth="1"/>
    <col min="13" max="13" width="2.21875" style="245" customWidth="1"/>
    <col min="14" max="14" width="15.5546875" style="245" customWidth="1"/>
    <col min="15" max="16" width="12.6640625" style="245" customWidth="1"/>
    <col min="17" max="17" width="7.77734375" style="245" customWidth="1"/>
    <col min="18" max="18" width="14.6640625" style="245" customWidth="1"/>
    <col min="19" max="19" width="11.77734375" style="245" customWidth="1"/>
    <col min="20" max="16384" width="9.6640625" style="245"/>
  </cols>
  <sheetData>
    <row r="1" spans="1:20" ht="21" x14ac:dyDescent="0.35">
      <c r="A1" s="240"/>
      <c r="B1" s="241" t="s">
        <v>208</v>
      </c>
      <c r="C1" s="242"/>
      <c r="D1" s="242"/>
      <c r="E1" s="242"/>
      <c r="F1" s="242"/>
      <c r="G1" s="242"/>
      <c r="H1" s="242"/>
      <c r="I1" s="242"/>
      <c r="J1" s="242"/>
      <c r="K1" s="242"/>
      <c r="L1" s="242"/>
      <c r="M1" s="242"/>
      <c r="N1" s="242"/>
      <c r="O1" s="242"/>
      <c r="P1" s="242"/>
      <c r="Q1" s="242"/>
      <c r="R1" s="242"/>
      <c r="S1" s="243"/>
      <c r="T1" s="244"/>
    </row>
    <row r="2" spans="1:20" x14ac:dyDescent="0.25">
      <c r="A2" s="246"/>
      <c r="B2" s="247"/>
      <c r="C2" s="248"/>
      <c r="D2" s="248"/>
      <c r="E2" s="248"/>
      <c r="F2" s="248"/>
      <c r="G2" s="248"/>
      <c r="H2" s="248"/>
      <c r="I2" s="248"/>
      <c r="J2" s="248"/>
      <c r="K2" s="248"/>
      <c r="L2" s="248"/>
      <c r="M2" s="248"/>
      <c r="N2" s="248"/>
      <c r="O2" s="248"/>
      <c r="P2" s="248"/>
      <c r="Q2" s="248"/>
      <c r="R2" s="248"/>
      <c r="S2" s="249"/>
      <c r="T2" s="244"/>
    </row>
    <row r="3" spans="1:20" x14ac:dyDescent="0.25">
      <c r="A3" s="250"/>
      <c r="B3" s="251" t="s">
        <v>209</v>
      </c>
      <c r="C3" s="248"/>
      <c r="D3" s="248"/>
      <c r="E3" s="248"/>
      <c r="F3" s="248"/>
      <c r="G3" s="248"/>
      <c r="H3" s="248"/>
      <c r="I3" s="248"/>
      <c r="J3" s="248"/>
      <c r="K3" s="248"/>
      <c r="L3" s="248"/>
      <c r="M3" s="248"/>
      <c r="N3" s="248"/>
      <c r="O3" s="248"/>
      <c r="P3" s="248"/>
      <c r="Q3" s="248"/>
      <c r="R3" s="248"/>
      <c r="S3" s="249"/>
      <c r="T3" s="244"/>
    </row>
    <row r="4" spans="1:20" x14ac:dyDescent="0.25">
      <c r="A4" s="246"/>
      <c r="B4" s="247"/>
      <c r="C4" s="248"/>
      <c r="D4" s="248"/>
      <c r="E4" s="248"/>
      <c r="F4" s="248"/>
      <c r="G4" s="248"/>
      <c r="H4" s="248"/>
      <c r="I4" s="248"/>
      <c r="J4" s="248"/>
      <c r="K4" s="248"/>
      <c r="L4" s="248"/>
      <c r="M4" s="248"/>
      <c r="N4" s="248"/>
      <c r="O4" s="248"/>
      <c r="P4" s="248"/>
      <c r="Q4" s="248"/>
      <c r="R4" s="248"/>
      <c r="S4" s="249"/>
      <c r="T4" s="244"/>
    </row>
    <row r="5" spans="1:20" x14ac:dyDescent="0.25">
      <c r="A5" s="246"/>
      <c r="B5" s="252" t="s">
        <v>110</v>
      </c>
      <c r="C5" s="248"/>
      <c r="D5" s="248"/>
      <c r="E5" s="248"/>
      <c r="F5" s="248"/>
      <c r="G5" s="248"/>
      <c r="H5" s="248"/>
      <c r="I5" s="248"/>
      <c r="J5" s="248"/>
      <c r="K5" s="248"/>
      <c r="L5" s="248"/>
      <c r="M5" s="248"/>
      <c r="N5" s="248"/>
      <c r="O5" s="248"/>
      <c r="P5" s="248"/>
      <c r="Q5" s="248"/>
      <c r="R5" s="248"/>
      <c r="S5" s="249"/>
      <c r="T5" s="244"/>
    </row>
    <row r="6" spans="1:20" x14ac:dyDescent="0.25">
      <c r="A6" s="246"/>
      <c r="B6" s="252" t="s">
        <v>112</v>
      </c>
      <c r="C6" s="248"/>
      <c r="D6" s="248"/>
      <c r="E6" s="248"/>
      <c r="F6" s="248"/>
      <c r="G6" s="248"/>
      <c r="H6" s="248"/>
      <c r="I6" s="248"/>
      <c r="J6" s="248"/>
      <c r="K6" s="248"/>
      <c r="L6" s="248"/>
      <c r="M6" s="248"/>
      <c r="N6" s="248"/>
      <c r="O6" s="248"/>
      <c r="P6" s="248"/>
      <c r="Q6" s="248"/>
      <c r="R6" s="248"/>
      <c r="S6" s="249"/>
      <c r="T6" s="244"/>
    </row>
    <row r="7" spans="1:20" x14ac:dyDescent="0.25">
      <c r="A7" s="246"/>
      <c r="B7" s="252" t="s">
        <v>111</v>
      </c>
      <c r="C7" s="248"/>
      <c r="D7" s="248"/>
      <c r="E7" s="248"/>
      <c r="F7" s="248"/>
      <c r="G7" s="248"/>
      <c r="H7" s="248"/>
      <c r="I7" s="248"/>
      <c r="J7" s="248"/>
      <c r="K7" s="248"/>
      <c r="L7" s="248"/>
      <c r="M7" s="248"/>
      <c r="N7" s="248"/>
      <c r="O7" s="248"/>
      <c r="P7" s="248"/>
      <c r="Q7" s="248"/>
      <c r="R7" s="248"/>
      <c r="S7" s="249"/>
      <c r="T7" s="244"/>
    </row>
    <row r="8" spans="1:20" x14ac:dyDescent="0.25">
      <c r="A8" s="246"/>
      <c r="B8" s="253"/>
      <c r="C8" s="248"/>
      <c r="D8" s="248"/>
      <c r="E8" s="248"/>
      <c r="F8" s="248"/>
      <c r="G8" s="248"/>
      <c r="H8" s="248"/>
      <c r="I8" s="248"/>
      <c r="J8" s="248"/>
      <c r="K8" s="248"/>
      <c r="L8" s="248"/>
      <c r="M8" s="248"/>
      <c r="N8" s="248"/>
      <c r="O8" s="248"/>
      <c r="P8" s="248"/>
      <c r="Q8" s="248"/>
      <c r="R8" s="248"/>
      <c r="S8" s="249"/>
      <c r="T8" s="244"/>
    </row>
    <row r="9" spans="1:20" ht="18.75" x14ac:dyDescent="0.3">
      <c r="A9" s="246"/>
      <c r="B9" s="254" t="s">
        <v>128</v>
      </c>
      <c r="C9" s="248"/>
      <c r="D9" s="248"/>
      <c r="E9" s="255"/>
      <c r="F9" s="248"/>
      <c r="G9" s="248"/>
      <c r="H9" s="255"/>
      <c r="I9" s="248"/>
      <c r="J9" s="255"/>
      <c r="K9" s="238" t="s">
        <v>261</v>
      </c>
      <c r="L9" s="255"/>
      <c r="M9" s="248"/>
      <c r="N9" s="248"/>
      <c r="O9" s="248"/>
      <c r="P9" s="248"/>
      <c r="Q9" s="248"/>
      <c r="R9" s="248"/>
      <c r="S9" s="249"/>
      <c r="T9" s="244"/>
    </row>
    <row r="10" spans="1:20" x14ac:dyDescent="0.25">
      <c r="A10" s="246"/>
      <c r="B10" s="253"/>
      <c r="C10" s="256"/>
      <c r="D10" s="248"/>
      <c r="E10" s="248"/>
      <c r="F10" s="248"/>
      <c r="G10" s="248"/>
      <c r="H10" s="248"/>
      <c r="I10" s="248"/>
      <c r="J10" s="248"/>
      <c r="K10" s="248"/>
      <c r="L10" s="248"/>
      <c r="M10" s="248"/>
      <c r="N10" s="248"/>
      <c r="O10" s="248"/>
      <c r="P10" s="248"/>
      <c r="Q10" s="248"/>
      <c r="R10" s="248"/>
      <c r="S10" s="249"/>
      <c r="T10" s="244"/>
    </row>
    <row r="11" spans="1:20" x14ac:dyDescent="0.25">
      <c r="A11" s="246"/>
      <c r="B11" s="257" t="s">
        <v>0</v>
      </c>
      <c r="C11" s="248"/>
      <c r="D11" s="248"/>
      <c r="E11" s="248"/>
      <c r="F11" s="248"/>
      <c r="G11" s="248"/>
      <c r="H11" s="248"/>
      <c r="I11" s="248"/>
      <c r="J11" s="248"/>
      <c r="K11" s="248"/>
      <c r="L11" s="248"/>
      <c r="M11" s="248"/>
      <c r="N11" s="248"/>
      <c r="O11" s="248"/>
      <c r="P11" s="248"/>
      <c r="Q11" s="248"/>
      <c r="R11" s="248"/>
      <c r="S11" s="249"/>
      <c r="T11" s="244"/>
    </row>
    <row r="12" spans="1:20" ht="16.5" thickBot="1" x14ac:dyDescent="0.3">
      <c r="A12" s="246"/>
      <c r="B12" s="256"/>
      <c r="C12" s="248"/>
      <c r="D12" s="248"/>
      <c r="E12" s="248"/>
      <c r="F12" s="248"/>
      <c r="G12" s="248"/>
      <c r="H12" s="248"/>
      <c r="I12" s="248"/>
      <c r="J12" s="248"/>
      <c r="K12" s="248"/>
      <c r="L12" s="248"/>
      <c r="M12" s="248"/>
      <c r="N12" s="248"/>
      <c r="O12" s="248"/>
      <c r="P12" s="248"/>
      <c r="Q12" s="248"/>
      <c r="R12" s="248"/>
      <c r="S12" s="249"/>
      <c r="T12" s="244"/>
    </row>
    <row r="13" spans="1:20" x14ac:dyDescent="0.25">
      <c r="A13" s="240"/>
      <c r="B13" s="242"/>
      <c r="C13" s="242"/>
      <c r="D13" s="242"/>
      <c r="E13" s="242"/>
      <c r="F13" s="242"/>
      <c r="G13" s="242"/>
      <c r="H13" s="242"/>
      <c r="I13" s="242"/>
      <c r="J13" s="242"/>
      <c r="K13" s="242"/>
      <c r="L13" s="242"/>
      <c r="M13" s="242"/>
      <c r="N13" s="242"/>
      <c r="O13" s="242"/>
      <c r="P13" s="242"/>
      <c r="Q13" s="242"/>
      <c r="R13" s="242"/>
      <c r="S13" s="243"/>
      <c r="T13" s="244"/>
    </row>
    <row r="14" spans="1:20" s="263" customFormat="1" x14ac:dyDescent="0.25">
      <c r="A14" s="258"/>
      <c r="B14" s="257" t="s">
        <v>1</v>
      </c>
      <c r="C14" s="259"/>
      <c r="D14" s="259"/>
      <c r="E14" s="259"/>
      <c r="F14" s="259"/>
      <c r="G14" s="259"/>
      <c r="H14" s="259"/>
      <c r="I14" s="259"/>
      <c r="J14" s="259"/>
      <c r="K14" s="259"/>
      <c r="L14" s="259"/>
      <c r="M14" s="259"/>
      <c r="N14" s="259"/>
      <c r="O14" s="259"/>
      <c r="P14" s="259"/>
      <c r="Q14" s="259"/>
      <c r="R14" s="260" t="s">
        <v>210</v>
      </c>
      <c r="S14" s="261"/>
      <c r="T14" s="262"/>
    </row>
    <row r="15" spans="1:20" s="263" customFormat="1" x14ac:dyDescent="0.25">
      <c r="A15" s="258"/>
      <c r="B15" s="257" t="s">
        <v>2</v>
      </c>
      <c r="C15" s="259"/>
      <c r="D15" s="264"/>
      <c r="E15" s="264"/>
      <c r="F15" s="264"/>
      <c r="G15" s="264"/>
      <c r="H15" s="264"/>
      <c r="I15" s="264"/>
      <c r="J15" s="264"/>
      <c r="K15" s="264"/>
      <c r="L15" s="264"/>
      <c r="M15" s="264"/>
      <c r="N15" s="265" t="s">
        <v>159</v>
      </c>
      <c r="O15" s="265">
        <v>0.98799999999999999</v>
      </c>
      <c r="P15" s="265" t="s">
        <v>239</v>
      </c>
      <c r="Q15" s="265">
        <v>1.2E-2</v>
      </c>
      <c r="R15" s="260"/>
      <c r="S15" s="261"/>
      <c r="T15" s="262"/>
    </row>
    <row r="16" spans="1:20" s="263" customFormat="1" x14ac:dyDescent="0.25">
      <c r="A16" s="258"/>
      <c r="B16" s="257" t="s">
        <v>3</v>
      </c>
      <c r="C16" s="259"/>
      <c r="D16" s="264"/>
      <c r="E16" s="264"/>
      <c r="F16" s="264"/>
      <c r="G16" s="264"/>
      <c r="H16" s="264"/>
      <c r="I16" s="264"/>
      <c r="J16" s="264"/>
      <c r="K16" s="264"/>
      <c r="L16" s="264"/>
      <c r="M16" s="264"/>
      <c r="N16" s="265" t="s">
        <v>159</v>
      </c>
      <c r="O16" s="265">
        <v>0.96679999999999999</v>
      </c>
      <c r="P16" s="265" t="s">
        <v>239</v>
      </c>
      <c r="Q16" s="265">
        <v>3.32E-2</v>
      </c>
      <c r="R16" s="260"/>
      <c r="S16" s="261"/>
      <c r="T16" s="262"/>
    </row>
    <row r="17" spans="1:23" s="263" customFormat="1" x14ac:dyDescent="0.25">
      <c r="A17" s="258"/>
      <c r="B17" s="257" t="s">
        <v>4</v>
      </c>
      <c r="C17" s="259"/>
      <c r="D17" s="259"/>
      <c r="E17" s="259"/>
      <c r="F17" s="259"/>
      <c r="G17" s="259"/>
      <c r="H17" s="259"/>
      <c r="I17" s="259"/>
      <c r="J17" s="259"/>
      <c r="K17" s="259"/>
      <c r="L17" s="259"/>
      <c r="M17" s="259"/>
      <c r="N17" s="259"/>
      <c r="O17" s="259"/>
      <c r="P17" s="259"/>
      <c r="Q17" s="259"/>
      <c r="R17" s="266">
        <v>41837</v>
      </c>
      <c r="S17" s="261"/>
      <c r="T17" s="262"/>
    </row>
    <row r="18" spans="1:23" s="263" customFormat="1" x14ac:dyDescent="0.25">
      <c r="A18" s="258"/>
      <c r="B18" s="257" t="s">
        <v>5</v>
      </c>
      <c r="C18" s="259"/>
      <c r="D18" s="259"/>
      <c r="E18" s="259"/>
      <c r="F18" s="259"/>
      <c r="G18" s="259"/>
      <c r="H18" s="259"/>
      <c r="I18" s="259"/>
      <c r="J18" s="259"/>
      <c r="K18" s="259"/>
      <c r="L18" s="259"/>
      <c r="M18" s="259"/>
      <c r="N18" s="259"/>
      <c r="O18" s="259"/>
      <c r="P18" s="259"/>
      <c r="Q18" s="259"/>
      <c r="R18" s="266">
        <v>43152</v>
      </c>
      <c r="S18" s="261"/>
      <c r="T18" s="262"/>
    </row>
    <row r="19" spans="1:23" s="263" customFormat="1" x14ac:dyDescent="0.25">
      <c r="A19" s="258"/>
      <c r="B19" s="259"/>
      <c r="C19" s="259"/>
      <c r="D19" s="259"/>
      <c r="E19" s="259"/>
      <c r="F19" s="259"/>
      <c r="G19" s="259"/>
      <c r="H19" s="259"/>
      <c r="I19" s="259"/>
      <c r="J19" s="259"/>
      <c r="K19" s="259"/>
      <c r="L19" s="259"/>
      <c r="M19" s="259"/>
      <c r="N19" s="259"/>
      <c r="O19" s="259"/>
      <c r="P19" s="259"/>
      <c r="Q19" s="259"/>
      <c r="R19" s="267"/>
      <c r="S19" s="261"/>
      <c r="T19" s="262"/>
    </row>
    <row r="20" spans="1:23" s="263" customFormat="1" x14ac:dyDescent="0.25">
      <c r="A20" s="258"/>
      <c r="B20" s="268" t="s">
        <v>6</v>
      </c>
      <c r="C20" s="259"/>
      <c r="D20" s="259"/>
      <c r="E20" s="259"/>
      <c r="F20" s="259"/>
      <c r="G20" s="259"/>
      <c r="H20" s="259"/>
      <c r="I20" s="259"/>
      <c r="J20" s="259"/>
      <c r="K20" s="259"/>
      <c r="L20" s="259"/>
      <c r="M20" s="259"/>
      <c r="N20" s="259"/>
      <c r="O20" s="259"/>
      <c r="P20" s="267" t="s">
        <v>86</v>
      </c>
      <c r="Q20" s="259"/>
      <c r="R20" s="259"/>
      <c r="S20" s="261"/>
      <c r="T20" s="262"/>
    </row>
    <row r="21" spans="1:23" x14ac:dyDescent="0.25">
      <c r="A21" s="246"/>
      <c r="B21" s="248"/>
      <c r="C21" s="248"/>
      <c r="D21" s="248"/>
      <c r="E21" s="248"/>
      <c r="F21" s="248"/>
      <c r="G21" s="248"/>
      <c r="H21" s="248"/>
      <c r="I21" s="248"/>
      <c r="J21" s="248"/>
      <c r="K21" s="248"/>
      <c r="L21" s="248"/>
      <c r="M21" s="248"/>
      <c r="N21" s="248"/>
      <c r="O21" s="248"/>
      <c r="P21" s="248"/>
      <c r="Q21" s="248"/>
      <c r="R21" s="269"/>
      <c r="S21" s="249"/>
      <c r="T21" s="244"/>
    </row>
    <row r="22" spans="1:23" x14ac:dyDescent="0.25">
      <c r="A22" s="432"/>
      <c r="B22" s="440"/>
      <c r="C22" s="441"/>
      <c r="D22" s="441" t="s">
        <v>155</v>
      </c>
      <c r="E22" s="441"/>
      <c r="F22" s="441" t="s">
        <v>185</v>
      </c>
      <c r="G22" s="441"/>
      <c r="H22" s="441" t="s">
        <v>186</v>
      </c>
      <c r="I22" s="441"/>
      <c r="J22" s="441"/>
      <c r="K22" s="441"/>
      <c r="L22" s="441"/>
      <c r="M22" s="441"/>
      <c r="N22" s="441"/>
      <c r="O22" s="442"/>
      <c r="P22" s="442"/>
      <c r="Q22" s="440"/>
      <c r="R22" s="440"/>
      <c r="S22" s="434"/>
      <c r="T22" s="244"/>
    </row>
    <row r="23" spans="1:23" s="263" customFormat="1" x14ac:dyDescent="0.25">
      <c r="A23" s="435"/>
      <c r="B23" s="436" t="s">
        <v>131</v>
      </c>
      <c r="C23" s="437"/>
      <c r="D23" s="438" t="s">
        <v>113</v>
      </c>
      <c r="E23" s="438"/>
      <c r="F23" s="438" t="s">
        <v>226</v>
      </c>
      <c r="G23" s="438"/>
      <c r="H23" s="438" t="s">
        <v>157</v>
      </c>
      <c r="I23" s="438"/>
      <c r="J23" s="438"/>
      <c r="K23" s="438"/>
      <c r="L23" s="438"/>
      <c r="M23" s="438"/>
      <c r="N23" s="438"/>
      <c r="O23" s="437"/>
      <c r="P23" s="438"/>
      <c r="Q23" s="436"/>
      <c r="R23" s="436"/>
      <c r="S23" s="439"/>
      <c r="T23" s="262"/>
    </row>
    <row r="24" spans="1:23" s="263" customFormat="1" x14ac:dyDescent="0.25">
      <c r="A24" s="270"/>
      <c r="B24" s="271" t="s">
        <v>202</v>
      </c>
      <c r="C24" s="272"/>
      <c r="D24" s="273" t="s">
        <v>204</v>
      </c>
      <c r="E24" s="273"/>
      <c r="F24" s="273" t="s">
        <v>227</v>
      </c>
      <c r="G24" s="273"/>
      <c r="H24" s="273" t="s">
        <v>157</v>
      </c>
      <c r="I24" s="273"/>
      <c r="J24" s="273"/>
      <c r="K24" s="273"/>
      <c r="L24" s="273"/>
      <c r="M24" s="273"/>
      <c r="N24" s="273"/>
      <c r="O24" s="272"/>
      <c r="P24" s="273"/>
      <c r="Q24" s="271"/>
      <c r="R24" s="271"/>
      <c r="S24" s="274"/>
      <c r="T24" s="262"/>
    </row>
    <row r="25" spans="1:23" s="263" customFormat="1" x14ac:dyDescent="0.25">
      <c r="A25" s="275"/>
      <c r="B25" s="276" t="s">
        <v>132</v>
      </c>
      <c r="C25" s="273"/>
      <c r="D25" s="272" t="s">
        <v>113</v>
      </c>
      <c r="E25" s="272"/>
      <c r="F25" s="272" t="s">
        <v>258</v>
      </c>
      <c r="G25" s="272"/>
      <c r="H25" s="272" t="s">
        <v>157</v>
      </c>
      <c r="I25" s="272"/>
      <c r="J25" s="272"/>
      <c r="K25" s="272"/>
      <c r="L25" s="272"/>
      <c r="M25" s="272"/>
      <c r="N25" s="272"/>
      <c r="O25" s="273"/>
      <c r="P25" s="277"/>
      <c r="Q25" s="271"/>
      <c r="R25" s="271"/>
      <c r="S25" s="274"/>
      <c r="T25" s="262"/>
      <c r="U25" s="278"/>
      <c r="W25" s="279"/>
    </row>
    <row r="26" spans="1:23" s="263" customFormat="1" x14ac:dyDescent="0.25">
      <c r="A26" s="275"/>
      <c r="B26" s="276" t="s">
        <v>203</v>
      </c>
      <c r="C26" s="273"/>
      <c r="D26" s="272" t="s">
        <v>204</v>
      </c>
      <c r="E26" s="272"/>
      <c r="F26" s="272" t="s">
        <v>227</v>
      </c>
      <c r="G26" s="272"/>
      <c r="H26" s="272" t="s">
        <v>157</v>
      </c>
      <c r="I26" s="272"/>
      <c r="J26" s="272"/>
      <c r="K26" s="272"/>
      <c r="L26" s="272"/>
      <c r="M26" s="272"/>
      <c r="N26" s="272"/>
      <c r="O26" s="273"/>
      <c r="P26" s="277"/>
      <c r="Q26" s="271"/>
      <c r="R26" s="271"/>
      <c r="S26" s="274"/>
      <c r="T26" s="262"/>
      <c r="U26" s="278"/>
      <c r="W26" s="279"/>
    </row>
    <row r="27" spans="1:23" s="263" customFormat="1" x14ac:dyDescent="0.25">
      <c r="A27" s="275"/>
      <c r="B27" s="271" t="s">
        <v>7</v>
      </c>
      <c r="C27" s="280"/>
      <c r="D27" s="273" t="s">
        <v>212</v>
      </c>
      <c r="E27" s="273"/>
      <c r="F27" s="273" t="s">
        <v>213</v>
      </c>
      <c r="G27" s="273"/>
      <c r="H27" s="273" t="s">
        <v>214</v>
      </c>
      <c r="I27" s="273"/>
      <c r="J27" s="273"/>
      <c r="K27" s="273"/>
      <c r="L27" s="273"/>
      <c r="M27" s="273"/>
      <c r="N27" s="273"/>
      <c r="O27" s="281"/>
      <c r="P27" s="281"/>
      <c r="Q27" s="280"/>
      <c r="R27" s="281"/>
      <c r="S27" s="282"/>
      <c r="T27" s="262"/>
      <c r="U27" s="278"/>
      <c r="W27" s="279"/>
    </row>
    <row r="28" spans="1:23" s="263" customFormat="1" x14ac:dyDescent="0.25">
      <c r="A28" s="270"/>
      <c r="B28" s="271" t="s">
        <v>107</v>
      </c>
      <c r="C28" s="283"/>
      <c r="D28" s="284">
        <v>319000</v>
      </c>
      <c r="E28" s="285"/>
      <c r="F28" s="284">
        <v>24000</v>
      </c>
      <c r="G28" s="286"/>
      <c r="H28" s="284">
        <v>7000</v>
      </c>
      <c r="I28" s="281"/>
      <c r="J28" s="284"/>
      <c r="K28" s="281"/>
      <c r="L28" s="285"/>
      <c r="M28" s="281"/>
      <c r="N28" s="285"/>
      <c r="O28" s="287"/>
      <c r="P28" s="287"/>
      <c r="Q28" s="283"/>
      <c r="R28" s="281">
        <f>SUM(D28:J28)</f>
        <v>350000</v>
      </c>
      <c r="S28" s="282"/>
      <c r="T28" s="262"/>
    </row>
    <row r="29" spans="1:23" s="263" customFormat="1" x14ac:dyDescent="0.25">
      <c r="A29" s="275"/>
      <c r="B29" s="271" t="s">
        <v>106</v>
      </c>
      <c r="C29" s="280"/>
      <c r="D29" s="284">
        <f>D28*D32</f>
        <v>76327.002399999998</v>
      </c>
      <c r="E29" s="285"/>
      <c r="F29" s="284">
        <f>F28*F32</f>
        <v>24000</v>
      </c>
      <c r="G29" s="284"/>
      <c r="H29" s="284">
        <f>H28*H32</f>
        <v>7000</v>
      </c>
      <c r="I29" s="281"/>
      <c r="J29" s="284"/>
      <c r="K29" s="281"/>
      <c r="L29" s="285"/>
      <c r="M29" s="281"/>
      <c r="N29" s="285"/>
      <c r="O29" s="281"/>
      <c r="P29" s="281"/>
      <c r="Q29" s="280"/>
      <c r="R29" s="281">
        <f>SUM(D29:J29)</f>
        <v>107327.0024</v>
      </c>
      <c r="S29" s="282"/>
      <c r="T29" s="262"/>
    </row>
    <row r="30" spans="1:23" s="263" customFormat="1" x14ac:dyDescent="0.25">
      <c r="A30" s="275"/>
      <c r="B30" s="276" t="s">
        <v>108</v>
      </c>
      <c r="C30" s="280"/>
      <c r="D30" s="288">
        <f>D31*D28</f>
        <v>63205.001199999999</v>
      </c>
      <c r="E30" s="288"/>
      <c r="F30" s="288">
        <f t="shared" ref="F30" si="0">F31*F28</f>
        <v>24000</v>
      </c>
      <c r="G30" s="288"/>
      <c r="H30" s="288">
        <f t="shared" ref="H30" si="1">H31*H28</f>
        <v>7000</v>
      </c>
      <c r="I30" s="288"/>
      <c r="J30" s="288"/>
      <c r="K30" s="287"/>
      <c r="L30" s="289"/>
      <c r="M30" s="287"/>
      <c r="N30" s="289"/>
      <c r="O30" s="281"/>
      <c r="P30" s="281"/>
      <c r="Q30" s="280"/>
      <c r="R30" s="287">
        <f>SUM(D30:J30)</f>
        <v>94205.001199999999</v>
      </c>
      <c r="S30" s="282"/>
      <c r="T30" s="262"/>
    </row>
    <row r="31" spans="1:23" x14ac:dyDescent="0.25">
      <c r="A31" s="290"/>
      <c r="B31" s="291" t="s">
        <v>104</v>
      </c>
      <c r="C31" s="292"/>
      <c r="D31" s="293">
        <v>0.1981348</v>
      </c>
      <c r="E31" s="293"/>
      <c r="F31" s="293">
        <v>1</v>
      </c>
      <c r="G31" s="293"/>
      <c r="H31" s="293">
        <v>1</v>
      </c>
      <c r="I31" s="294"/>
      <c r="J31" s="294"/>
      <c r="K31" s="294"/>
      <c r="L31" s="294"/>
      <c r="M31" s="294"/>
      <c r="N31" s="294"/>
      <c r="O31" s="295"/>
      <c r="P31" s="295"/>
      <c r="Q31" s="296"/>
      <c r="R31" s="297"/>
      <c r="S31" s="298"/>
      <c r="T31" s="244"/>
    </row>
    <row r="32" spans="1:23" x14ac:dyDescent="0.25">
      <c r="A32" s="290"/>
      <c r="B32" s="291" t="s">
        <v>105</v>
      </c>
      <c r="C32" s="292"/>
      <c r="D32" s="293">
        <v>0.2392696</v>
      </c>
      <c r="E32" s="293"/>
      <c r="F32" s="293">
        <v>1</v>
      </c>
      <c r="G32" s="293"/>
      <c r="H32" s="293">
        <v>1</v>
      </c>
      <c r="I32" s="294"/>
      <c r="J32" s="294"/>
      <c r="K32" s="294"/>
      <c r="L32" s="294"/>
      <c r="M32" s="294"/>
      <c r="N32" s="294"/>
      <c r="O32" s="299"/>
      <c r="P32" s="300"/>
      <c r="Q32" s="296"/>
      <c r="R32" s="299"/>
      <c r="S32" s="298"/>
      <c r="T32" s="244"/>
    </row>
    <row r="33" spans="1:21" s="263" customFormat="1" x14ac:dyDescent="0.25">
      <c r="A33" s="275"/>
      <c r="B33" s="271" t="s">
        <v>8</v>
      </c>
      <c r="C33" s="271"/>
      <c r="D33" s="277" t="s">
        <v>215</v>
      </c>
      <c r="E33" s="277"/>
      <c r="F33" s="277" t="s">
        <v>216</v>
      </c>
      <c r="G33" s="277"/>
      <c r="H33" s="277" t="s">
        <v>217</v>
      </c>
      <c r="I33" s="277"/>
      <c r="J33" s="277"/>
      <c r="K33" s="277"/>
      <c r="L33" s="277"/>
      <c r="M33" s="277"/>
      <c r="N33" s="277"/>
      <c r="O33" s="301"/>
      <c r="P33" s="302"/>
      <c r="Q33" s="271"/>
      <c r="R33" s="271"/>
      <c r="S33" s="274"/>
      <c r="T33" s="262"/>
    </row>
    <row r="34" spans="1:21" s="263" customFormat="1" x14ac:dyDescent="0.25">
      <c r="A34" s="275"/>
      <c r="B34" s="271" t="s">
        <v>9</v>
      </c>
      <c r="C34" s="303"/>
      <c r="D34" s="302">
        <v>1.20625E-2</v>
      </c>
      <c r="E34" s="302"/>
      <c r="F34" s="302">
        <v>1.52625E-2</v>
      </c>
      <c r="G34" s="302"/>
      <c r="H34" s="302">
        <v>1.8762500000000001E-2</v>
      </c>
      <c r="I34" s="302"/>
      <c r="J34" s="302"/>
      <c r="K34" s="302"/>
      <c r="L34" s="302"/>
      <c r="M34" s="301"/>
      <c r="N34" s="302"/>
      <c r="O34" s="277"/>
      <c r="P34" s="277"/>
      <c r="Q34" s="271"/>
      <c r="R34" s="301">
        <f>SUMPRODUCT(D34:J34,D29:J29)/R29</f>
        <v>1.3215052454031831E-2</v>
      </c>
      <c r="S34" s="274"/>
      <c r="T34" s="262"/>
    </row>
    <row r="35" spans="1:21" s="263" customFormat="1" x14ac:dyDescent="0.25">
      <c r="A35" s="275"/>
      <c r="B35" s="271" t="s">
        <v>10</v>
      </c>
      <c r="C35" s="303"/>
      <c r="D35" s="302">
        <v>9.5963000000000003E-3</v>
      </c>
      <c r="E35" s="302"/>
      <c r="F35" s="302">
        <v>1.27963E-2</v>
      </c>
      <c r="G35" s="302"/>
      <c r="H35" s="302">
        <v>1.62963E-2</v>
      </c>
      <c r="I35" s="302"/>
      <c r="J35" s="302"/>
      <c r="K35" s="302"/>
      <c r="L35" s="302"/>
      <c r="M35" s="301"/>
      <c r="N35" s="302"/>
      <c r="O35" s="277"/>
      <c r="P35" s="277"/>
      <c r="Q35" s="271"/>
      <c r="R35" s="271"/>
      <c r="S35" s="274"/>
      <c r="T35" s="262"/>
    </row>
    <row r="36" spans="1:21" s="263" customFormat="1" x14ac:dyDescent="0.25">
      <c r="A36" s="275"/>
      <c r="B36" s="271" t="s">
        <v>158</v>
      </c>
      <c r="C36" s="271"/>
      <c r="D36" s="303">
        <v>43327</v>
      </c>
      <c r="E36" s="303"/>
      <c r="F36" s="303">
        <v>43327</v>
      </c>
      <c r="G36" s="303"/>
      <c r="H36" s="303">
        <v>43327</v>
      </c>
      <c r="I36" s="303"/>
      <c r="J36" s="303"/>
      <c r="K36" s="303"/>
      <c r="L36" s="303"/>
      <c r="M36" s="303"/>
      <c r="N36" s="303"/>
      <c r="O36" s="277"/>
      <c r="P36" s="277"/>
      <c r="Q36" s="271"/>
      <c r="R36" s="271"/>
      <c r="S36" s="274"/>
      <c r="T36" s="262"/>
    </row>
    <row r="37" spans="1:21" s="263" customFormat="1" x14ac:dyDescent="0.25">
      <c r="A37" s="275"/>
      <c r="B37" s="271" t="s">
        <v>11</v>
      </c>
      <c r="C37" s="271"/>
      <c r="D37" s="303" t="s">
        <v>98</v>
      </c>
      <c r="E37" s="303"/>
      <c r="F37" s="303" t="s">
        <v>98</v>
      </c>
      <c r="G37" s="277"/>
      <c r="H37" s="303" t="s">
        <v>98</v>
      </c>
      <c r="I37" s="277"/>
      <c r="J37" s="303"/>
      <c r="K37" s="277"/>
      <c r="L37" s="303"/>
      <c r="M37" s="277"/>
      <c r="N37" s="303"/>
      <c r="O37" s="277"/>
      <c r="P37" s="277"/>
      <c r="Q37" s="271"/>
      <c r="R37" s="271"/>
      <c r="S37" s="274"/>
      <c r="T37" s="262"/>
    </row>
    <row r="38" spans="1:21" s="263" customFormat="1" x14ac:dyDescent="0.25">
      <c r="A38" s="275"/>
      <c r="B38" s="271" t="s">
        <v>99</v>
      </c>
      <c r="C38" s="271"/>
      <c r="D38" s="277" t="s">
        <v>98</v>
      </c>
      <c r="E38" s="277"/>
      <c r="F38" s="277" t="s">
        <v>98</v>
      </c>
      <c r="G38" s="277"/>
      <c r="H38" s="277" t="s">
        <v>98</v>
      </c>
      <c r="I38" s="277"/>
      <c r="J38" s="277"/>
      <c r="K38" s="277"/>
      <c r="L38" s="277"/>
      <c r="M38" s="277"/>
      <c r="N38" s="277"/>
      <c r="O38" s="304"/>
      <c r="P38" s="304"/>
      <c r="Q38" s="304"/>
      <c r="R38" s="304"/>
      <c r="S38" s="274"/>
      <c r="T38" s="262"/>
    </row>
    <row r="39" spans="1:21" s="263" customFormat="1" x14ac:dyDescent="0.25">
      <c r="A39" s="275"/>
      <c r="B39" s="271"/>
      <c r="C39" s="271"/>
      <c r="D39" s="277"/>
      <c r="E39" s="277"/>
      <c r="F39" s="277"/>
      <c r="G39" s="277"/>
      <c r="H39" s="277"/>
      <c r="I39" s="277"/>
      <c r="J39" s="277"/>
      <c r="K39" s="277"/>
      <c r="L39" s="277"/>
      <c r="M39" s="277"/>
      <c r="N39" s="277"/>
      <c r="O39" s="271"/>
      <c r="P39" s="271"/>
      <c r="Q39" s="271"/>
      <c r="R39" s="301" t="s">
        <v>133</v>
      </c>
      <c r="S39" s="274"/>
      <c r="T39" s="262"/>
    </row>
    <row r="40" spans="1:21" s="263" customFormat="1" x14ac:dyDescent="0.25">
      <c r="A40" s="275"/>
      <c r="B40" s="271" t="s">
        <v>219</v>
      </c>
      <c r="C40" s="271"/>
      <c r="D40" s="277"/>
      <c r="E40" s="277"/>
      <c r="F40" s="277"/>
      <c r="G40" s="277"/>
      <c r="H40" s="277"/>
      <c r="I40" s="277"/>
      <c r="J40" s="277"/>
      <c r="K40" s="277"/>
      <c r="L40" s="277"/>
      <c r="M40" s="277"/>
      <c r="N40" s="277"/>
      <c r="O40" s="271"/>
      <c r="P40" s="271"/>
      <c r="Q40" s="271"/>
      <c r="R40" s="301">
        <f>SUM(F28:I28)/D28</f>
        <v>9.7178683385579931E-2</v>
      </c>
      <c r="S40" s="274"/>
      <c r="T40" s="262"/>
    </row>
    <row r="41" spans="1:21" s="263" customFormat="1" x14ac:dyDescent="0.25">
      <c r="A41" s="275"/>
      <c r="B41" s="271" t="s">
        <v>220</v>
      </c>
      <c r="C41" s="271"/>
      <c r="D41" s="271"/>
      <c r="E41" s="271"/>
      <c r="F41" s="271"/>
      <c r="G41" s="271"/>
      <c r="H41" s="271"/>
      <c r="I41" s="271"/>
      <c r="J41" s="271"/>
      <c r="K41" s="271"/>
      <c r="L41" s="271"/>
      <c r="M41" s="271"/>
      <c r="N41" s="271"/>
      <c r="O41" s="271"/>
      <c r="P41" s="271"/>
      <c r="Q41" s="271"/>
      <c r="R41" s="301">
        <f>SUM(F30:I30)/D30</f>
        <v>0.49046751699136115</v>
      </c>
      <c r="S41" s="274"/>
      <c r="T41" s="262"/>
    </row>
    <row r="42" spans="1:21" s="263" customFormat="1" x14ac:dyDescent="0.25">
      <c r="A42" s="275"/>
      <c r="B42" s="271" t="s">
        <v>221</v>
      </c>
      <c r="C42" s="271"/>
      <c r="D42" s="271"/>
      <c r="E42" s="271"/>
      <c r="F42" s="271"/>
      <c r="G42" s="271"/>
      <c r="H42" s="271"/>
      <c r="I42" s="271"/>
      <c r="J42" s="271"/>
      <c r="K42" s="271"/>
      <c r="L42" s="271"/>
      <c r="M42" s="271"/>
      <c r="N42" s="271"/>
      <c r="O42" s="271"/>
      <c r="P42" s="277"/>
      <c r="Q42" s="277"/>
      <c r="R42" s="281" t="s">
        <v>152</v>
      </c>
      <c r="S42" s="274"/>
      <c r="T42" s="262"/>
    </row>
    <row r="43" spans="1:21" s="263" customFormat="1" x14ac:dyDescent="0.25">
      <c r="A43" s="275"/>
      <c r="B43" s="271"/>
      <c r="C43" s="271"/>
      <c r="D43" s="271"/>
      <c r="E43" s="271"/>
      <c r="F43" s="271"/>
      <c r="G43" s="271"/>
      <c r="H43" s="271"/>
      <c r="I43" s="271"/>
      <c r="J43" s="271"/>
      <c r="K43" s="271"/>
      <c r="L43" s="271"/>
      <c r="M43" s="271"/>
      <c r="N43" s="271"/>
      <c r="O43" s="271"/>
      <c r="P43" s="271"/>
      <c r="Q43" s="271"/>
      <c r="R43" s="305"/>
      <c r="S43" s="274"/>
      <c r="T43" s="262"/>
    </row>
    <row r="44" spans="1:21" s="263" customFormat="1" x14ac:dyDescent="0.25">
      <c r="A44" s="275"/>
      <c r="B44" s="271" t="s">
        <v>229</v>
      </c>
      <c r="C44" s="271"/>
      <c r="D44" s="271"/>
      <c r="E44" s="271"/>
      <c r="F44" s="271"/>
      <c r="G44" s="271"/>
      <c r="H44" s="271"/>
      <c r="I44" s="271"/>
      <c r="J44" s="271"/>
      <c r="K44" s="271"/>
      <c r="L44" s="271"/>
      <c r="M44" s="271"/>
      <c r="N44" s="271"/>
      <c r="O44" s="271"/>
      <c r="P44" s="271"/>
      <c r="Q44" s="271"/>
      <c r="R44" s="306" t="s">
        <v>92</v>
      </c>
      <c r="S44" s="274"/>
      <c r="T44" s="262"/>
    </row>
    <row r="45" spans="1:21" s="263" customFormat="1" x14ac:dyDescent="0.25">
      <c r="A45" s="275"/>
      <c r="B45" s="276" t="s">
        <v>134</v>
      </c>
      <c r="C45" s="276"/>
      <c r="D45" s="276"/>
      <c r="E45" s="276"/>
      <c r="F45" s="276"/>
      <c r="G45" s="276"/>
      <c r="H45" s="276"/>
      <c r="I45" s="276"/>
      <c r="J45" s="276"/>
      <c r="K45" s="276"/>
      <c r="L45" s="276"/>
      <c r="M45" s="276"/>
      <c r="N45" s="276"/>
      <c r="O45" s="276"/>
      <c r="P45" s="307"/>
      <c r="Q45" s="307"/>
      <c r="R45" s="308">
        <v>43146</v>
      </c>
      <c r="S45" s="274"/>
      <c r="T45" s="262"/>
    </row>
    <row r="46" spans="1:21" s="263" customFormat="1" x14ac:dyDescent="0.25">
      <c r="A46" s="275"/>
      <c r="B46" s="271" t="s">
        <v>100</v>
      </c>
      <c r="C46" s="271"/>
      <c r="D46" s="309"/>
      <c r="E46" s="309"/>
      <c r="F46" s="309"/>
      <c r="G46" s="309"/>
      <c r="H46" s="309"/>
      <c r="I46" s="309"/>
      <c r="J46" s="309"/>
      <c r="K46" s="309"/>
      <c r="L46" s="309"/>
      <c r="M46" s="309"/>
      <c r="N46" s="271">
        <f>+R46-P46+1</f>
        <v>92</v>
      </c>
      <c r="O46" s="271"/>
      <c r="P46" s="310">
        <v>42962</v>
      </c>
      <c r="Q46" s="311"/>
      <c r="R46" s="310">
        <v>43053</v>
      </c>
      <c r="S46" s="274"/>
      <c r="T46" s="262"/>
    </row>
    <row r="47" spans="1:21" s="263" customFormat="1" x14ac:dyDescent="0.25">
      <c r="A47" s="275"/>
      <c r="B47" s="271" t="s">
        <v>101</v>
      </c>
      <c r="C47" s="271"/>
      <c r="D47" s="271"/>
      <c r="E47" s="271"/>
      <c r="F47" s="271"/>
      <c r="G47" s="271"/>
      <c r="H47" s="271"/>
      <c r="I47" s="271"/>
      <c r="J47" s="271"/>
      <c r="K47" s="271"/>
      <c r="L47" s="271"/>
      <c r="M47" s="271"/>
      <c r="N47" s="271">
        <f>+R47-P47+1</f>
        <v>92</v>
      </c>
      <c r="O47" s="271"/>
      <c r="P47" s="310">
        <v>43054</v>
      </c>
      <c r="Q47" s="311"/>
      <c r="R47" s="310">
        <v>43145</v>
      </c>
      <c r="S47" s="274"/>
      <c r="T47" s="262"/>
    </row>
    <row r="48" spans="1:21" s="263" customFormat="1" x14ac:dyDescent="0.25">
      <c r="A48" s="275"/>
      <c r="B48" s="271" t="s">
        <v>228</v>
      </c>
      <c r="C48" s="271"/>
      <c r="D48" s="271"/>
      <c r="E48" s="271"/>
      <c r="F48" s="271"/>
      <c r="G48" s="271"/>
      <c r="H48" s="271"/>
      <c r="I48" s="271"/>
      <c r="J48" s="271"/>
      <c r="K48" s="271"/>
      <c r="L48" s="271"/>
      <c r="M48" s="271"/>
      <c r="N48" s="271"/>
      <c r="O48" s="271"/>
      <c r="P48" s="310"/>
      <c r="Q48" s="311"/>
      <c r="R48" s="310" t="s">
        <v>119</v>
      </c>
      <c r="S48" s="274"/>
      <c r="T48" s="262"/>
      <c r="U48" s="312"/>
    </row>
    <row r="49" spans="1:20" s="263" customFormat="1" x14ac:dyDescent="0.25">
      <c r="A49" s="275"/>
      <c r="B49" s="271" t="s">
        <v>12</v>
      </c>
      <c r="C49" s="271"/>
      <c r="D49" s="271"/>
      <c r="E49" s="271"/>
      <c r="F49" s="271"/>
      <c r="G49" s="271"/>
      <c r="H49" s="271"/>
      <c r="I49" s="271"/>
      <c r="J49" s="271"/>
      <c r="K49" s="271"/>
      <c r="L49" s="271"/>
      <c r="M49" s="271"/>
      <c r="N49" s="271"/>
      <c r="O49" s="271"/>
      <c r="P49" s="310"/>
      <c r="Q49" s="311"/>
      <c r="R49" s="310">
        <v>43132</v>
      </c>
      <c r="S49" s="274"/>
      <c r="T49" s="262"/>
    </row>
    <row r="50" spans="1:20" s="263" customFormat="1" x14ac:dyDescent="0.25">
      <c r="A50" s="258"/>
      <c r="B50" s="313"/>
      <c r="C50" s="313"/>
      <c r="D50" s="313"/>
      <c r="E50" s="313"/>
      <c r="F50" s="313"/>
      <c r="G50" s="313"/>
      <c r="H50" s="313"/>
      <c r="I50" s="313"/>
      <c r="J50" s="313"/>
      <c r="K50" s="313"/>
      <c r="L50" s="313"/>
      <c r="M50" s="313"/>
      <c r="N50" s="313"/>
      <c r="O50" s="313"/>
      <c r="P50" s="314"/>
      <c r="Q50" s="315"/>
      <c r="R50" s="314"/>
      <c r="S50" s="261"/>
      <c r="T50" s="262"/>
    </row>
    <row r="51" spans="1:20" s="263" customFormat="1" x14ac:dyDescent="0.25">
      <c r="A51" s="258"/>
      <c r="B51" s="259"/>
      <c r="C51" s="259"/>
      <c r="D51" s="259"/>
      <c r="E51" s="259"/>
      <c r="F51" s="259"/>
      <c r="G51" s="259"/>
      <c r="H51" s="259"/>
      <c r="I51" s="259"/>
      <c r="J51" s="259"/>
      <c r="K51" s="259"/>
      <c r="L51" s="259"/>
      <c r="M51" s="259"/>
      <c r="N51" s="259"/>
      <c r="O51" s="259"/>
      <c r="P51" s="316"/>
      <c r="Q51" s="317"/>
      <c r="R51" s="316"/>
      <c r="S51" s="261"/>
      <c r="T51" s="262"/>
    </row>
    <row r="52" spans="1:20" s="263" customFormat="1" ht="19.5" thickBot="1" x14ac:dyDescent="0.35">
      <c r="A52" s="318"/>
      <c r="B52" s="319" t="s">
        <v>265</v>
      </c>
      <c r="C52" s="320"/>
      <c r="D52" s="320"/>
      <c r="E52" s="320"/>
      <c r="F52" s="320"/>
      <c r="G52" s="320"/>
      <c r="H52" s="320"/>
      <c r="I52" s="320"/>
      <c r="J52" s="320"/>
      <c r="K52" s="320"/>
      <c r="L52" s="320"/>
      <c r="M52" s="320"/>
      <c r="N52" s="320"/>
      <c r="O52" s="320"/>
      <c r="P52" s="320"/>
      <c r="Q52" s="320"/>
      <c r="R52" s="321"/>
      <c r="S52" s="322"/>
      <c r="T52" s="262"/>
    </row>
    <row r="53" spans="1:20" x14ac:dyDescent="0.25">
      <c r="A53" s="432"/>
      <c r="B53" s="443" t="s">
        <v>13</v>
      </c>
      <c r="C53" s="433"/>
      <c r="D53" s="433"/>
      <c r="E53" s="433"/>
      <c r="F53" s="433"/>
      <c r="G53" s="433"/>
      <c r="H53" s="433"/>
      <c r="I53" s="433"/>
      <c r="J53" s="433"/>
      <c r="K53" s="433"/>
      <c r="L53" s="433"/>
      <c r="M53" s="433"/>
      <c r="N53" s="433"/>
      <c r="O53" s="433"/>
      <c r="P53" s="433"/>
      <c r="Q53" s="433"/>
      <c r="R53" s="444"/>
      <c r="S53" s="433"/>
      <c r="T53" s="244"/>
    </row>
    <row r="54" spans="1:20" x14ac:dyDescent="0.25">
      <c r="A54" s="246"/>
      <c r="B54" s="256"/>
      <c r="C54" s="248"/>
      <c r="D54" s="248"/>
      <c r="E54" s="248"/>
      <c r="F54" s="248"/>
      <c r="G54" s="248"/>
      <c r="H54" s="248"/>
      <c r="I54" s="248"/>
      <c r="J54" s="248"/>
      <c r="K54" s="248"/>
      <c r="L54" s="248"/>
      <c r="M54" s="248"/>
      <c r="N54" s="248"/>
      <c r="O54" s="248"/>
      <c r="P54" s="248"/>
      <c r="Q54" s="248"/>
      <c r="R54" s="323"/>
      <c r="S54" s="249"/>
      <c r="T54" s="244"/>
    </row>
    <row r="55" spans="1:20" s="330" customFormat="1" ht="47.25" x14ac:dyDescent="0.25">
      <c r="A55" s="324"/>
      <c r="B55" s="325" t="s">
        <v>14</v>
      </c>
      <c r="C55" s="326"/>
      <c r="D55" s="326"/>
      <c r="E55" s="326"/>
      <c r="F55" s="326" t="s">
        <v>77</v>
      </c>
      <c r="G55" s="326"/>
      <c r="H55" s="326" t="s">
        <v>79</v>
      </c>
      <c r="I55" s="326"/>
      <c r="J55" s="326" t="s">
        <v>168</v>
      </c>
      <c r="K55" s="326"/>
      <c r="L55" s="326" t="s">
        <v>169</v>
      </c>
      <c r="M55" s="326"/>
      <c r="N55" s="326" t="s">
        <v>82</v>
      </c>
      <c r="O55" s="326"/>
      <c r="P55" s="326" t="s">
        <v>87</v>
      </c>
      <c r="Q55" s="326"/>
      <c r="R55" s="327" t="s">
        <v>93</v>
      </c>
      <c r="S55" s="328"/>
      <c r="T55" s="329"/>
    </row>
    <row r="56" spans="1:20" s="263" customFormat="1" x14ac:dyDescent="0.25">
      <c r="A56" s="275"/>
      <c r="B56" s="271" t="s">
        <v>15</v>
      </c>
      <c r="C56" s="331"/>
      <c r="D56" s="331"/>
      <c r="E56" s="331"/>
      <c r="F56" s="331">
        <v>317450</v>
      </c>
      <c r="G56" s="331"/>
      <c r="H56" s="331">
        <v>107327</v>
      </c>
      <c r="I56" s="331"/>
      <c r="J56" s="332">
        <f>123+6</f>
        <v>129</v>
      </c>
      <c r="K56" s="331"/>
      <c r="L56" s="331">
        <v>6177</v>
      </c>
      <c r="M56" s="331"/>
      <c r="N56" s="331">
        <v>0</v>
      </c>
      <c r="O56" s="331"/>
      <c r="P56" s="331">
        <f>1961+2790+2065</f>
        <v>6816</v>
      </c>
      <c r="Q56" s="331"/>
      <c r="R56" s="332">
        <f>H56-J56-L56+N56-P56</f>
        <v>94205</v>
      </c>
      <c r="S56" s="274"/>
      <c r="T56" s="262"/>
    </row>
    <row r="57" spans="1:20" s="263" customFormat="1" x14ac:dyDescent="0.25">
      <c r="A57" s="275"/>
      <c r="B57" s="271" t="s">
        <v>16</v>
      </c>
      <c r="C57" s="331"/>
      <c r="D57" s="331"/>
      <c r="E57" s="331"/>
      <c r="F57" s="331">
        <v>0</v>
      </c>
      <c r="G57" s="331"/>
      <c r="H57" s="332">
        <v>0</v>
      </c>
      <c r="I57" s="331"/>
      <c r="J57" s="332">
        <v>0</v>
      </c>
      <c r="K57" s="331"/>
      <c r="L57" s="331">
        <v>0</v>
      </c>
      <c r="M57" s="331"/>
      <c r="N57" s="331">
        <v>0</v>
      </c>
      <c r="O57" s="331"/>
      <c r="P57" s="331">
        <v>0</v>
      </c>
      <c r="Q57" s="331"/>
      <c r="R57" s="332">
        <f>F57-J57-L57</f>
        <v>0</v>
      </c>
      <c r="S57" s="274"/>
      <c r="T57" s="262"/>
    </row>
    <row r="58" spans="1:20" s="263" customFormat="1" x14ac:dyDescent="0.25">
      <c r="A58" s="275"/>
      <c r="B58" s="271"/>
      <c r="C58" s="331"/>
      <c r="D58" s="331"/>
      <c r="E58" s="331"/>
      <c r="F58" s="331"/>
      <c r="G58" s="331"/>
      <c r="H58" s="332"/>
      <c r="I58" s="331"/>
      <c r="J58" s="332"/>
      <c r="K58" s="331"/>
      <c r="L58" s="331"/>
      <c r="M58" s="331"/>
      <c r="N58" s="331"/>
      <c r="O58" s="331"/>
      <c r="P58" s="331"/>
      <c r="Q58" s="331"/>
      <c r="R58" s="332"/>
      <c r="S58" s="274"/>
      <c r="T58" s="262"/>
    </row>
    <row r="59" spans="1:20" s="263" customFormat="1" x14ac:dyDescent="0.25">
      <c r="A59" s="275"/>
      <c r="B59" s="271" t="s">
        <v>17</v>
      </c>
      <c r="C59" s="331"/>
      <c r="D59" s="331"/>
      <c r="E59" s="331"/>
      <c r="F59" s="331">
        <f>SUM(F56:F58)</f>
        <v>317450</v>
      </c>
      <c r="G59" s="331"/>
      <c r="H59" s="331">
        <f>H56+H57</f>
        <v>107327</v>
      </c>
      <c r="I59" s="331"/>
      <c r="J59" s="331">
        <f>J56+J57</f>
        <v>129</v>
      </c>
      <c r="K59" s="331"/>
      <c r="L59" s="331">
        <f>SUM(L56:L58)</f>
        <v>6177</v>
      </c>
      <c r="M59" s="331"/>
      <c r="N59" s="331">
        <f>SUM(N56:N58)</f>
        <v>0</v>
      </c>
      <c r="O59" s="331"/>
      <c r="P59" s="331">
        <f>SUM(P56:P58)</f>
        <v>6816</v>
      </c>
      <c r="Q59" s="331"/>
      <c r="R59" s="331">
        <f>SUM(R56:R58)</f>
        <v>94205</v>
      </c>
      <c r="S59" s="274"/>
      <c r="T59" s="262"/>
    </row>
    <row r="60" spans="1:20" x14ac:dyDescent="0.25">
      <c r="A60" s="246"/>
      <c r="B60" s="333"/>
      <c r="C60" s="334"/>
      <c r="D60" s="334"/>
      <c r="E60" s="334"/>
      <c r="F60" s="334"/>
      <c r="G60" s="334"/>
      <c r="H60" s="334"/>
      <c r="I60" s="334"/>
      <c r="J60" s="334"/>
      <c r="K60" s="334"/>
      <c r="L60" s="334"/>
      <c r="M60" s="334"/>
      <c r="N60" s="334"/>
      <c r="O60" s="334"/>
      <c r="P60" s="334"/>
      <c r="Q60" s="334"/>
      <c r="R60" s="335"/>
      <c r="S60" s="249"/>
      <c r="T60" s="244"/>
    </row>
    <row r="61" spans="1:20" x14ac:dyDescent="0.25">
      <c r="A61" s="246"/>
      <c r="B61" s="251" t="s">
        <v>18</v>
      </c>
      <c r="C61" s="336"/>
      <c r="D61" s="336"/>
      <c r="E61" s="336"/>
      <c r="F61" s="336"/>
      <c r="G61" s="336"/>
      <c r="H61" s="336"/>
      <c r="I61" s="336"/>
      <c r="J61" s="336"/>
      <c r="K61" s="336"/>
      <c r="L61" s="336"/>
      <c r="M61" s="336"/>
      <c r="N61" s="336"/>
      <c r="O61" s="336"/>
      <c r="P61" s="336"/>
      <c r="Q61" s="336"/>
      <c r="R61" s="337"/>
      <c r="S61" s="249"/>
      <c r="T61" s="244"/>
    </row>
    <row r="62" spans="1:20" x14ac:dyDescent="0.25">
      <c r="A62" s="246"/>
      <c r="B62" s="248"/>
      <c r="C62" s="336"/>
      <c r="D62" s="336"/>
      <c r="E62" s="336"/>
      <c r="F62" s="336"/>
      <c r="G62" s="336"/>
      <c r="H62" s="336"/>
      <c r="I62" s="336"/>
      <c r="J62" s="336"/>
      <c r="K62" s="336"/>
      <c r="L62" s="336"/>
      <c r="M62" s="336"/>
      <c r="N62" s="336"/>
      <c r="O62" s="336"/>
      <c r="P62" s="336"/>
      <c r="Q62" s="336"/>
      <c r="R62" s="337"/>
      <c r="S62" s="249"/>
      <c r="T62" s="244"/>
    </row>
    <row r="63" spans="1:20" s="263" customFormat="1" x14ac:dyDescent="0.25">
      <c r="A63" s="275"/>
      <c r="B63" s="271" t="s">
        <v>15</v>
      </c>
      <c r="C63" s="331"/>
      <c r="D63" s="331"/>
      <c r="E63" s="331"/>
      <c r="F63" s="331"/>
      <c r="G63" s="331"/>
      <c r="H63" s="331"/>
      <c r="I63" s="331"/>
      <c r="J63" s="331"/>
      <c r="K63" s="331"/>
      <c r="L63" s="331"/>
      <c r="M63" s="331"/>
      <c r="N63" s="331"/>
      <c r="O63" s="331"/>
      <c r="P63" s="331"/>
      <c r="Q63" s="331"/>
      <c r="R63" s="331"/>
      <c r="S63" s="274"/>
      <c r="T63" s="262"/>
    </row>
    <row r="64" spans="1:20" s="263" customFormat="1" x14ac:dyDescent="0.25">
      <c r="A64" s="275"/>
      <c r="B64" s="271" t="s">
        <v>16</v>
      </c>
      <c r="C64" s="331"/>
      <c r="D64" s="331"/>
      <c r="E64" s="331"/>
      <c r="F64" s="331"/>
      <c r="G64" s="331"/>
      <c r="H64" s="331"/>
      <c r="I64" s="331"/>
      <c r="J64" s="331"/>
      <c r="K64" s="331"/>
      <c r="L64" s="331"/>
      <c r="M64" s="331"/>
      <c r="N64" s="331"/>
      <c r="O64" s="331"/>
      <c r="P64" s="331"/>
      <c r="Q64" s="331"/>
      <c r="R64" s="331"/>
      <c r="S64" s="274"/>
      <c r="T64" s="262"/>
    </row>
    <row r="65" spans="1:20" s="263" customFormat="1" x14ac:dyDescent="0.25">
      <c r="A65" s="275"/>
      <c r="B65" s="271"/>
      <c r="C65" s="331"/>
      <c r="D65" s="331"/>
      <c r="E65" s="331"/>
      <c r="F65" s="331"/>
      <c r="G65" s="331"/>
      <c r="H65" s="331"/>
      <c r="I65" s="331"/>
      <c r="J65" s="331"/>
      <c r="K65" s="331"/>
      <c r="L65" s="331"/>
      <c r="M65" s="331"/>
      <c r="N65" s="331"/>
      <c r="O65" s="331"/>
      <c r="P65" s="331"/>
      <c r="Q65" s="331"/>
      <c r="R65" s="331"/>
      <c r="S65" s="274"/>
      <c r="T65" s="262"/>
    </row>
    <row r="66" spans="1:20" s="263" customFormat="1" x14ac:dyDescent="0.25">
      <c r="A66" s="275"/>
      <c r="B66" s="271" t="s">
        <v>17</v>
      </c>
      <c r="C66" s="331"/>
      <c r="D66" s="331"/>
      <c r="E66" s="331"/>
      <c r="F66" s="331"/>
      <c r="G66" s="331"/>
      <c r="H66" s="331"/>
      <c r="I66" s="331"/>
      <c r="J66" s="331"/>
      <c r="K66" s="331"/>
      <c r="L66" s="331"/>
      <c r="M66" s="331"/>
      <c r="N66" s="331"/>
      <c r="O66" s="331"/>
      <c r="P66" s="331"/>
      <c r="Q66" s="331"/>
      <c r="R66" s="331"/>
      <c r="S66" s="274"/>
      <c r="T66" s="262"/>
    </row>
    <row r="67" spans="1:20" s="263" customFormat="1" x14ac:dyDescent="0.25">
      <c r="A67" s="275"/>
      <c r="B67" s="271"/>
      <c r="C67" s="331"/>
      <c r="D67" s="331"/>
      <c r="E67" s="331"/>
      <c r="F67" s="331"/>
      <c r="G67" s="331"/>
      <c r="H67" s="331"/>
      <c r="I67" s="331"/>
      <c r="J67" s="331"/>
      <c r="K67" s="331"/>
      <c r="L67" s="331"/>
      <c r="M67" s="331"/>
      <c r="N67" s="331"/>
      <c r="O67" s="331"/>
      <c r="P67" s="331"/>
      <c r="Q67" s="331"/>
      <c r="R67" s="331"/>
      <c r="S67" s="274"/>
      <c r="T67" s="262"/>
    </row>
    <row r="68" spans="1:20" s="263" customFormat="1" x14ac:dyDescent="0.25">
      <c r="A68" s="275"/>
      <c r="B68" s="271" t="s">
        <v>19</v>
      </c>
      <c r="C68" s="331"/>
      <c r="D68" s="331"/>
      <c r="E68" s="331"/>
      <c r="F68" s="331">
        <v>0</v>
      </c>
      <c r="G68" s="331"/>
      <c r="H68" s="331">
        <v>0</v>
      </c>
      <c r="I68" s="331"/>
      <c r="J68" s="331"/>
      <c r="K68" s="331"/>
      <c r="L68" s="331"/>
      <c r="M68" s="331"/>
      <c r="N68" s="331"/>
      <c r="O68" s="331"/>
      <c r="P68" s="331"/>
      <c r="Q68" s="331"/>
      <c r="R68" s="332">
        <v>0</v>
      </c>
      <c r="S68" s="274"/>
      <c r="T68" s="262"/>
    </row>
    <row r="69" spans="1:20" s="263" customFormat="1" x14ac:dyDescent="0.25">
      <c r="A69" s="275"/>
      <c r="B69" s="271" t="s">
        <v>201</v>
      </c>
      <c r="C69" s="331"/>
      <c r="D69" s="331"/>
      <c r="E69" s="331"/>
      <c r="F69" s="331">
        <v>29550</v>
      </c>
      <c r="G69" s="331"/>
      <c r="H69" s="331">
        <v>0</v>
      </c>
      <c r="I69" s="331"/>
      <c r="J69" s="331">
        <v>0</v>
      </c>
      <c r="K69" s="331"/>
      <c r="L69" s="331">
        <v>0</v>
      </c>
      <c r="M69" s="331"/>
      <c r="N69" s="331"/>
      <c r="O69" s="331"/>
      <c r="P69" s="331"/>
      <c r="Q69" s="331"/>
      <c r="R69" s="331">
        <v>0</v>
      </c>
      <c r="S69" s="274"/>
      <c r="T69" s="262"/>
    </row>
    <row r="70" spans="1:20" s="263" customFormat="1" x14ac:dyDescent="0.25">
      <c r="A70" s="275"/>
      <c r="B70" s="271" t="s">
        <v>240</v>
      </c>
      <c r="C70" s="331"/>
      <c r="D70" s="331"/>
      <c r="E70" s="331"/>
      <c r="F70" s="331">
        <v>3000</v>
      </c>
      <c r="G70" s="331"/>
      <c r="H70" s="331">
        <v>0</v>
      </c>
      <c r="I70" s="331"/>
      <c r="J70" s="331">
        <v>0</v>
      </c>
      <c r="K70" s="331"/>
      <c r="L70" s="331"/>
      <c r="M70" s="331"/>
      <c r="N70" s="331">
        <v>0</v>
      </c>
      <c r="O70" s="331"/>
      <c r="P70" s="331"/>
      <c r="Q70" s="331"/>
      <c r="R70" s="331">
        <f>H70+N70</f>
        <v>0</v>
      </c>
      <c r="S70" s="274"/>
      <c r="T70" s="262"/>
    </row>
    <row r="71" spans="1:20" s="263" customFormat="1" x14ac:dyDescent="0.25">
      <c r="A71" s="275"/>
      <c r="B71" s="271" t="s">
        <v>20</v>
      </c>
      <c r="C71" s="331"/>
      <c r="D71" s="331"/>
      <c r="E71" s="331"/>
      <c r="F71" s="331">
        <v>0</v>
      </c>
      <c r="G71" s="331"/>
      <c r="H71" s="331">
        <v>0</v>
      </c>
      <c r="I71" s="331"/>
      <c r="J71" s="331"/>
      <c r="K71" s="331"/>
      <c r="L71" s="331"/>
      <c r="M71" s="331"/>
      <c r="N71" s="331"/>
      <c r="O71" s="331"/>
      <c r="P71" s="331"/>
      <c r="Q71" s="331"/>
      <c r="R71" s="331">
        <v>0</v>
      </c>
      <c r="S71" s="274"/>
      <c r="T71" s="262"/>
    </row>
    <row r="72" spans="1:20" s="263" customFormat="1" x14ac:dyDescent="0.25">
      <c r="A72" s="275"/>
      <c r="B72" s="271" t="s">
        <v>21</v>
      </c>
      <c r="C72" s="331"/>
      <c r="D72" s="331"/>
      <c r="E72" s="331"/>
      <c r="F72" s="331">
        <f>SUM(F59:F71)</f>
        <v>350000</v>
      </c>
      <c r="G72" s="331"/>
      <c r="H72" s="331">
        <f>SUM(H59:H71)</f>
        <v>107327</v>
      </c>
      <c r="I72" s="331"/>
      <c r="J72" s="331"/>
      <c r="K72" s="331"/>
      <c r="L72" s="331"/>
      <c r="M72" s="331"/>
      <c r="N72" s="331"/>
      <c r="O72" s="331"/>
      <c r="P72" s="331"/>
      <c r="Q72" s="331"/>
      <c r="R72" s="331">
        <f>SUM(R59:R71)</f>
        <v>94205</v>
      </c>
      <c r="S72" s="274"/>
      <c r="T72" s="262"/>
    </row>
    <row r="73" spans="1:20" x14ac:dyDescent="0.25">
      <c r="A73" s="246"/>
      <c r="B73" s="333"/>
      <c r="C73" s="334"/>
      <c r="D73" s="334"/>
      <c r="E73" s="334"/>
      <c r="F73" s="334"/>
      <c r="G73" s="334"/>
      <c r="H73" s="334"/>
      <c r="I73" s="334"/>
      <c r="J73" s="334"/>
      <c r="K73" s="334"/>
      <c r="L73" s="334"/>
      <c r="M73" s="334"/>
      <c r="N73" s="334"/>
      <c r="O73" s="334"/>
      <c r="P73" s="334"/>
      <c r="Q73" s="334"/>
      <c r="R73" s="335"/>
      <c r="S73" s="249"/>
      <c r="T73" s="244"/>
    </row>
    <row r="74" spans="1:20" x14ac:dyDescent="0.25">
      <c r="A74" s="246"/>
      <c r="B74" s="248"/>
      <c r="C74" s="248"/>
      <c r="D74" s="248"/>
      <c r="E74" s="248"/>
      <c r="F74" s="248"/>
      <c r="G74" s="248"/>
      <c r="H74" s="248"/>
      <c r="I74" s="248"/>
      <c r="J74" s="248"/>
      <c r="K74" s="248"/>
      <c r="L74" s="248"/>
      <c r="M74" s="248"/>
      <c r="N74" s="248"/>
      <c r="O74" s="248"/>
      <c r="P74" s="248"/>
      <c r="Q74" s="248"/>
      <c r="R74" s="248"/>
      <c r="S74" s="249"/>
      <c r="T74" s="244"/>
    </row>
    <row r="75" spans="1:20" x14ac:dyDescent="0.25">
      <c r="A75" s="432"/>
      <c r="B75" s="445" t="s">
        <v>22</v>
      </c>
      <c r="C75" s="445"/>
      <c r="D75" s="446"/>
      <c r="E75" s="446"/>
      <c r="F75" s="446"/>
      <c r="G75" s="446"/>
      <c r="H75" s="447" t="s">
        <v>78</v>
      </c>
      <c r="I75" s="446"/>
      <c r="J75" s="448">
        <f>+P191</f>
        <v>43131</v>
      </c>
      <c r="K75" s="446"/>
      <c r="L75" s="446"/>
      <c r="M75" s="446"/>
      <c r="N75" s="446"/>
      <c r="O75" s="446"/>
      <c r="P75" s="446" t="s">
        <v>88</v>
      </c>
      <c r="Q75" s="446"/>
      <c r="R75" s="446" t="s">
        <v>94</v>
      </c>
      <c r="S75" s="434"/>
      <c r="T75" s="244"/>
    </row>
    <row r="76" spans="1:20" s="263" customFormat="1" x14ac:dyDescent="0.25">
      <c r="A76" s="258"/>
      <c r="B76" s="313" t="s">
        <v>23</v>
      </c>
      <c r="C76" s="313"/>
      <c r="D76" s="313"/>
      <c r="E76" s="313"/>
      <c r="F76" s="313"/>
      <c r="G76" s="313"/>
      <c r="H76" s="313"/>
      <c r="I76" s="313"/>
      <c r="J76" s="313"/>
      <c r="K76" s="313"/>
      <c r="L76" s="313"/>
      <c r="M76" s="313"/>
      <c r="N76" s="313"/>
      <c r="O76" s="313"/>
      <c r="P76" s="346">
        <v>0</v>
      </c>
      <c r="Q76" s="313"/>
      <c r="R76" s="416">
        <v>0</v>
      </c>
      <c r="S76" s="261"/>
      <c r="T76" s="262"/>
    </row>
    <row r="77" spans="1:20" s="263" customFormat="1" x14ac:dyDescent="0.25">
      <c r="A77" s="275"/>
      <c r="B77" s="271" t="s">
        <v>246</v>
      </c>
      <c r="C77" s="271"/>
      <c r="D77" s="304"/>
      <c r="E77" s="304"/>
      <c r="F77" s="304"/>
      <c r="G77" s="338"/>
      <c r="H77" s="304"/>
      <c r="I77" s="271"/>
      <c r="J77" s="339"/>
      <c r="K77" s="271"/>
      <c r="L77" s="271"/>
      <c r="M77" s="271"/>
      <c r="N77" s="271"/>
      <c r="O77" s="271"/>
      <c r="P77" s="331">
        <f>-N70</f>
        <v>0</v>
      </c>
      <c r="Q77" s="271"/>
      <c r="R77" s="332"/>
      <c r="S77" s="274"/>
      <c r="T77" s="262"/>
    </row>
    <row r="78" spans="1:20" s="263" customFormat="1" x14ac:dyDescent="0.25">
      <c r="A78" s="275"/>
      <c r="B78" s="271" t="s">
        <v>245</v>
      </c>
      <c r="C78" s="271"/>
      <c r="D78" s="304"/>
      <c r="E78" s="304"/>
      <c r="F78" s="304"/>
      <c r="G78" s="338"/>
      <c r="H78" s="304"/>
      <c r="I78" s="271"/>
      <c r="J78" s="339"/>
      <c r="K78" s="271"/>
      <c r="L78" s="271"/>
      <c r="M78" s="271"/>
      <c r="N78" s="271"/>
      <c r="O78" s="271"/>
      <c r="P78" s="331">
        <v>0</v>
      </c>
      <c r="Q78" s="271"/>
      <c r="R78" s="332"/>
      <c r="S78" s="274"/>
      <c r="T78" s="262"/>
    </row>
    <row r="79" spans="1:20" s="263" customFormat="1" x14ac:dyDescent="0.25">
      <c r="A79" s="275"/>
      <c r="B79" s="271" t="s">
        <v>24</v>
      </c>
      <c r="C79" s="271"/>
      <c r="D79" s="304"/>
      <c r="E79" s="304"/>
      <c r="F79" s="304"/>
      <c r="G79" s="338"/>
      <c r="H79" s="304"/>
      <c r="I79" s="271"/>
      <c r="J79" s="339"/>
      <c r="K79" s="271"/>
      <c r="L79" s="271"/>
      <c r="M79" s="271"/>
      <c r="N79" s="271"/>
      <c r="O79" s="271"/>
      <c r="P79" s="331">
        <f>+J56+L56+P56-30</f>
        <v>13092</v>
      </c>
      <c r="Q79" s="271"/>
      <c r="R79" s="332"/>
      <c r="S79" s="274"/>
      <c r="T79" s="262"/>
    </row>
    <row r="80" spans="1:20" s="263" customFormat="1" x14ac:dyDescent="0.25">
      <c r="A80" s="275"/>
      <c r="B80" s="271" t="s">
        <v>138</v>
      </c>
      <c r="C80" s="271"/>
      <c r="D80" s="304"/>
      <c r="E80" s="304"/>
      <c r="F80" s="304"/>
      <c r="G80" s="338"/>
      <c r="H80" s="304"/>
      <c r="I80" s="271"/>
      <c r="J80" s="339"/>
      <c r="K80" s="271"/>
      <c r="L80" s="271"/>
      <c r="M80" s="271"/>
      <c r="N80" s="271"/>
      <c r="O80" s="271"/>
      <c r="P80" s="331"/>
      <c r="Q80" s="271"/>
      <c r="R80" s="332">
        <f>1790+23-418-7</f>
        <v>1388</v>
      </c>
      <c r="S80" s="274"/>
      <c r="T80" s="262"/>
    </row>
    <row r="81" spans="1:20" s="263" customFormat="1" x14ac:dyDescent="0.25">
      <c r="A81" s="275"/>
      <c r="B81" s="271" t="s">
        <v>136</v>
      </c>
      <c r="C81" s="271"/>
      <c r="D81" s="304"/>
      <c r="E81" s="304"/>
      <c r="F81" s="304"/>
      <c r="G81" s="338"/>
      <c r="H81" s="304"/>
      <c r="I81" s="271"/>
      <c r="J81" s="339"/>
      <c r="K81" s="271"/>
      <c r="L81" s="271"/>
      <c r="M81" s="271"/>
      <c r="N81" s="271"/>
      <c r="O81" s="271"/>
      <c r="P81" s="331"/>
      <c r="Q81" s="271"/>
      <c r="R81" s="332">
        <v>43</v>
      </c>
      <c r="S81" s="274"/>
      <c r="T81" s="262"/>
    </row>
    <row r="82" spans="1:20" s="263" customFormat="1" x14ac:dyDescent="0.25">
      <c r="A82" s="275"/>
      <c r="B82" s="271" t="s">
        <v>137</v>
      </c>
      <c r="C82" s="271"/>
      <c r="D82" s="304"/>
      <c r="E82" s="304"/>
      <c r="F82" s="304"/>
      <c r="G82" s="338"/>
      <c r="H82" s="304"/>
      <c r="I82" s="271"/>
      <c r="J82" s="339"/>
      <c r="K82" s="271"/>
      <c r="L82" s="271"/>
      <c r="M82" s="271"/>
      <c r="N82" s="271"/>
      <c r="O82" s="271"/>
      <c r="P82" s="331"/>
      <c r="Q82" s="271"/>
      <c r="R82" s="332">
        <v>14</v>
      </c>
      <c r="S82" s="274"/>
      <c r="T82" s="262"/>
    </row>
    <row r="83" spans="1:20" s="263" customFormat="1" x14ac:dyDescent="0.25">
      <c r="A83" s="275"/>
      <c r="B83" s="271" t="s">
        <v>146</v>
      </c>
      <c r="C83" s="271"/>
      <c r="D83" s="304"/>
      <c r="E83" s="304"/>
      <c r="F83" s="304"/>
      <c r="G83" s="338"/>
      <c r="H83" s="304"/>
      <c r="I83" s="271"/>
      <c r="J83" s="339"/>
      <c r="K83" s="271"/>
      <c r="L83" s="271"/>
      <c r="M83" s="271"/>
      <c r="N83" s="271"/>
      <c r="O83" s="271"/>
      <c r="P83" s="331"/>
      <c r="Q83" s="271"/>
      <c r="R83" s="332">
        <v>0</v>
      </c>
      <c r="S83" s="274"/>
      <c r="T83" s="262"/>
    </row>
    <row r="84" spans="1:20" s="263" customFormat="1" x14ac:dyDescent="0.25">
      <c r="A84" s="275"/>
      <c r="B84" s="271" t="s">
        <v>148</v>
      </c>
      <c r="C84" s="271"/>
      <c r="D84" s="304"/>
      <c r="E84" s="304"/>
      <c r="F84" s="304"/>
      <c r="G84" s="338"/>
      <c r="H84" s="304"/>
      <c r="I84" s="271"/>
      <c r="J84" s="339"/>
      <c r="K84" s="271"/>
      <c r="L84" s="271"/>
      <c r="M84" s="271"/>
      <c r="N84" s="271"/>
      <c r="O84" s="271"/>
      <c r="P84" s="331"/>
      <c r="Q84" s="271"/>
      <c r="R84" s="332">
        <v>34</v>
      </c>
      <c r="S84" s="274"/>
      <c r="T84" s="262"/>
    </row>
    <row r="85" spans="1:20" s="263" customFormat="1" x14ac:dyDescent="0.25">
      <c r="A85" s="275"/>
      <c r="B85" s="271" t="s">
        <v>170</v>
      </c>
      <c r="C85" s="271"/>
      <c r="D85" s="304"/>
      <c r="E85" s="304"/>
      <c r="F85" s="304"/>
      <c r="G85" s="338"/>
      <c r="H85" s="304"/>
      <c r="I85" s="271"/>
      <c r="J85" s="339"/>
      <c r="K85" s="271"/>
      <c r="L85" s="271"/>
      <c r="M85" s="271"/>
      <c r="N85" s="271"/>
      <c r="O85" s="271"/>
      <c r="P85" s="331"/>
      <c r="Q85" s="271"/>
      <c r="R85" s="332">
        <v>0</v>
      </c>
      <c r="S85" s="274"/>
      <c r="T85" s="262"/>
    </row>
    <row r="86" spans="1:20" s="263" customFormat="1" x14ac:dyDescent="0.25">
      <c r="A86" s="275"/>
      <c r="B86" s="271" t="s">
        <v>171</v>
      </c>
      <c r="C86" s="271"/>
      <c r="D86" s="304"/>
      <c r="E86" s="304"/>
      <c r="F86" s="304"/>
      <c r="G86" s="338"/>
      <c r="H86" s="304"/>
      <c r="I86" s="271"/>
      <c r="J86" s="339"/>
      <c r="K86" s="271"/>
      <c r="L86" s="271"/>
      <c r="M86" s="271"/>
      <c r="N86" s="271"/>
      <c r="O86" s="271"/>
      <c r="P86" s="331"/>
      <c r="Q86" s="271"/>
      <c r="R86" s="332">
        <v>0</v>
      </c>
      <c r="S86" s="274"/>
      <c r="T86" s="262"/>
    </row>
    <row r="87" spans="1:20" s="263" customFormat="1" x14ac:dyDescent="0.25">
      <c r="A87" s="275"/>
      <c r="B87" s="271" t="s">
        <v>172</v>
      </c>
      <c r="C87" s="271"/>
      <c r="D87" s="271"/>
      <c r="E87" s="271"/>
      <c r="F87" s="271"/>
      <c r="G87" s="271"/>
      <c r="H87" s="271"/>
      <c r="I87" s="271"/>
      <c r="J87" s="271"/>
      <c r="K87" s="271"/>
      <c r="L87" s="271"/>
      <c r="M87" s="271"/>
      <c r="N87" s="271"/>
      <c r="O87" s="271"/>
      <c r="P87" s="331"/>
      <c r="Q87" s="271"/>
      <c r="R87" s="332">
        <v>0</v>
      </c>
      <c r="S87" s="274"/>
      <c r="T87" s="262"/>
    </row>
    <row r="88" spans="1:20" s="263" customFormat="1" x14ac:dyDescent="0.25">
      <c r="A88" s="275"/>
      <c r="B88" s="271" t="s">
        <v>218</v>
      </c>
      <c r="C88" s="271"/>
      <c r="D88" s="271"/>
      <c r="E88" s="271"/>
      <c r="F88" s="271"/>
      <c r="G88" s="271"/>
      <c r="H88" s="271"/>
      <c r="I88" s="271"/>
      <c r="J88" s="271"/>
      <c r="K88" s="271"/>
      <c r="L88" s="271"/>
      <c r="M88" s="271"/>
      <c r="N88" s="271"/>
      <c r="O88" s="271"/>
      <c r="P88" s="331"/>
      <c r="Q88" s="271"/>
      <c r="R88" s="332">
        <v>0</v>
      </c>
      <c r="S88" s="274"/>
      <c r="T88" s="262"/>
    </row>
    <row r="89" spans="1:20" s="263" customFormat="1" x14ac:dyDescent="0.25">
      <c r="A89" s="275"/>
      <c r="B89" s="271" t="s">
        <v>25</v>
      </c>
      <c r="C89" s="271"/>
      <c r="D89" s="271"/>
      <c r="E89" s="271"/>
      <c r="F89" s="271"/>
      <c r="G89" s="271"/>
      <c r="H89" s="271"/>
      <c r="I89" s="271"/>
      <c r="J89" s="271"/>
      <c r="K89" s="271"/>
      <c r="L89" s="271"/>
      <c r="M89" s="271"/>
      <c r="N89" s="271"/>
      <c r="O89" s="271"/>
      <c r="P89" s="331">
        <f>SUM(P76:P88)</f>
        <v>13092</v>
      </c>
      <c r="Q89" s="271"/>
      <c r="R89" s="331">
        <f>SUM(R76:R88)</f>
        <v>1479</v>
      </c>
      <c r="S89" s="274"/>
      <c r="T89" s="262"/>
    </row>
    <row r="90" spans="1:20" s="263" customFormat="1" x14ac:dyDescent="0.25">
      <c r="A90" s="275"/>
      <c r="B90" s="271" t="s">
        <v>26</v>
      </c>
      <c r="C90" s="271"/>
      <c r="D90" s="271"/>
      <c r="E90" s="271"/>
      <c r="F90" s="271"/>
      <c r="G90" s="271"/>
      <c r="H90" s="271"/>
      <c r="I90" s="271"/>
      <c r="J90" s="271"/>
      <c r="K90" s="271"/>
      <c r="L90" s="271"/>
      <c r="M90" s="271"/>
      <c r="N90" s="271"/>
      <c r="O90" s="271"/>
      <c r="P90" s="331">
        <f>-R90</f>
        <v>0</v>
      </c>
      <c r="Q90" s="271"/>
      <c r="R90" s="332">
        <v>0</v>
      </c>
      <c r="S90" s="274"/>
      <c r="T90" s="262"/>
    </row>
    <row r="91" spans="1:20" s="263" customFormat="1" x14ac:dyDescent="0.25">
      <c r="A91" s="275"/>
      <c r="B91" s="271" t="s">
        <v>153</v>
      </c>
      <c r="C91" s="271"/>
      <c r="D91" s="271"/>
      <c r="E91" s="271"/>
      <c r="F91" s="271"/>
      <c r="G91" s="271"/>
      <c r="H91" s="271"/>
      <c r="I91" s="271"/>
      <c r="J91" s="271"/>
      <c r="K91" s="271"/>
      <c r="L91" s="271"/>
      <c r="M91" s="271"/>
      <c r="N91" s="271"/>
      <c r="O91" s="271"/>
      <c r="P91" s="331"/>
      <c r="Q91" s="271"/>
      <c r="R91" s="332">
        <v>-6</v>
      </c>
      <c r="S91" s="274"/>
      <c r="T91" s="262"/>
    </row>
    <row r="92" spans="1:20" s="263" customFormat="1" x14ac:dyDescent="0.25">
      <c r="A92" s="275"/>
      <c r="B92" s="271" t="s">
        <v>27</v>
      </c>
      <c r="C92" s="271"/>
      <c r="D92" s="271"/>
      <c r="E92" s="271"/>
      <c r="F92" s="271"/>
      <c r="G92" s="271"/>
      <c r="H92" s="271"/>
      <c r="I92" s="271"/>
      <c r="J92" s="271"/>
      <c r="K92" s="271"/>
      <c r="L92" s="271"/>
      <c r="M92" s="271"/>
      <c r="N92" s="271"/>
      <c r="O92" s="271"/>
      <c r="P92" s="331">
        <f>P89+P90</f>
        <v>13092</v>
      </c>
      <c r="Q92" s="271"/>
      <c r="R92" s="331">
        <f>R89+R90+R91</f>
        <v>1473</v>
      </c>
      <c r="S92" s="274"/>
      <c r="T92" s="262"/>
    </row>
    <row r="93" spans="1:20" x14ac:dyDescent="0.25">
      <c r="A93" s="290"/>
      <c r="B93" s="340" t="s">
        <v>28</v>
      </c>
      <c r="C93" s="296"/>
      <c r="D93" s="296"/>
      <c r="E93" s="296"/>
      <c r="F93" s="296"/>
      <c r="G93" s="296"/>
      <c r="H93" s="296"/>
      <c r="I93" s="296"/>
      <c r="J93" s="296"/>
      <c r="K93" s="296"/>
      <c r="L93" s="296"/>
      <c r="M93" s="296"/>
      <c r="N93" s="296"/>
      <c r="O93" s="296"/>
      <c r="P93" s="341"/>
      <c r="Q93" s="342"/>
      <c r="R93" s="343"/>
      <c r="S93" s="298"/>
      <c r="T93" s="244"/>
    </row>
    <row r="94" spans="1:20" s="263" customFormat="1" x14ac:dyDescent="0.25">
      <c r="A94" s="275">
        <v>1</v>
      </c>
      <c r="B94" s="271" t="s">
        <v>182</v>
      </c>
      <c r="C94" s="271"/>
      <c r="D94" s="271"/>
      <c r="E94" s="271"/>
      <c r="F94" s="271"/>
      <c r="G94" s="271"/>
      <c r="H94" s="271"/>
      <c r="I94" s="271"/>
      <c r="J94" s="271"/>
      <c r="K94" s="271"/>
      <c r="L94" s="271"/>
      <c r="M94" s="271"/>
      <c r="N94" s="271"/>
      <c r="O94" s="271"/>
      <c r="P94" s="331"/>
      <c r="Q94" s="271"/>
      <c r="R94" s="332">
        <v>0</v>
      </c>
      <c r="S94" s="274"/>
      <c r="T94" s="262"/>
    </row>
    <row r="95" spans="1:20" s="263" customFormat="1" x14ac:dyDescent="0.25">
      <c r="A95" s="275">
        <v>2</v>
      </c>
      <c r="B95" s="271" t="s">
        <v>230</v>
      </c>
      <c r="C95" s="271"/>
      <c r="D95" s="271"/>
      <c r="E95" s="271"/>
      <c r="F95" s="271"/>
      <c r="G95" s="271"/>
      <c r="H95" s="271"/>
      <c r="I95" s="271"/>
      <c r="J95" s="271"/>
      <c r="K95" s="271"/>
      <c r="L95" s="271"/>
      <c r="M95" s="271"/>
      <c r="N95" s="271"/>
      <c r="O95" s="271"/>
      <c r="P95" s="271"/>
      <c r="Q95" s="271"/>
      <c r="R95" s="332">
        <v>-3</v>
      </c>
      <c r="S95" s="274"/>
      <c r="T95" s="262"/>
    </row>
    <row r="96" spans="1:20" s="263" customFormat="1" x14ac:dyDescent="0.25">
      <c r="A96" s="275">
        <v>3</v>
      </c>
      <c r="B96" s="271" t="s">
        <v>259</v>
      </c>
      <c r="C96" s="271"/>
      <c r="D96" s="271"/>
      <c r="E96" s="271"/>
      <c r="F96" s="271"/>
      <c r="G96" s="271"/>
      <c r="H96" s="271"/>
      <c r="I96" s="271"/>
      <c r="J96" s="271"/>
      <c r="K96" s="271"/>
      <c r="L96" s="271"/>
      <c r="M96" s="271"/>
      <c r="N96" s="271"/>
      <c r="O96" s="271"/>
      <c r="P96" s="271"/>
      <c r="Q96" s="271"/>
      <c r="R96" s="332">
        <f>-41-14-3</f>
        <v>-58</v>
      </c>
      <c r="S96" s="274"/>
      <c r="T96" s="262"/>
    </row>
    <row r="97" spans="1:21" s="263" customFormat="1" x14ac:dyDescent="0.25">
      <c r="A97" s="275">
        <v>4</v>
      </c>
      <c r="B97" s="271" t="s">
        <v>97</v>
      </c>
      <c r="C97" s="271"/>
      <c r="D97" s="271"/>
      <c r="E97" s="271"/>
      <c r="F97" s="271"/>
      <c r="G97" s="271"/>
      <c r="H97" s="271"/>
      <c r="I97" s="271"/>
      <c r="J97" s="271"/>
      <c r="K97" s="271"/>
      <c r="L97" s="271"/>
      <c r="M97" s="271"/>
      <c r="N97" s="271"/>
      <c r="O97" s="271"/>
      <c r="P97" s="271"/>
      <c r="Q97" s="271"/>
      <c r="R97" s="332">
        <v>-16</v>
      </c>
      <c r="S97" s="274"/>
      <c r="T97" s="262"/>
    </row>
    <row r="98" spans="1:21" s="263" customFormat="1" x14ac:dyDescent="0.25">
      <c r="A98" s="275">
        <v>5</v>
      </c>
      <c r="B98" s="271" t="s">
        <v>160</v>
      </c>
      <c r="C98" s="271"/>
      <c r="D98" s="271"/>
      <c r="E98" s="271"/>
      <c r="F98" s="271"/>
      <c r="G98" s="271"/>
      <c r="H98" s="271"/>
      <c r="I98" s="271"/>
      <c r="J98" s="271"/>
      <c r="K98" s="271"/>
      <c r="L98" s="271"/>
      <c r="M98" s="271"/>
      <c r="N98" s="271"/>
      <c r="O98" s="271"/>
      <c r="P98" s="271"/>
      <c r="Q98" s="271"/>
      <c r="R98" s="332">
        <v>-232</v>
      </c>
      <c r="S98" s="274"/>
      <c r="T98" s="262"/>
      <c r="U98" s="344"/>
    </row>
    <row r="99" spans="1:21" s="263" customFormat="1" x14ac:dyDescent="0.25">
      <c r="A99" s="275">
        <v>6</v>
      </c>
      <c r="B99" s="271" t="s">
        <v>195</v>
      </c>
      <c r="C99" s="271"/>
      <c r="D99" s="271"/>
      <c r="E99" s="271"/>
      <c r="F99" s="271"/>
      <c r="G99" s="271"/>
      <c r="H99" s="271"/>
      <c r="I99" s="271"/>
      <c r="J99" s="271"/>
      <c r="K99" s="271"/>
      <c r="L99" s="271"/>
      <c r="M99" s="271"/>
      <c r="N99" s="271"/>
      <c r="O99" s="271"/>
      <c r="P99" s="271"/>
      <c r="Q99" s="271"/>
      <c r="R99" s="332">
        <v>-92</v>
      </c>
      <c r="S99" s="274"/>
      <c r="T99" s="262"/>
      <c r="U99" s="344"/>
    </row>
    <row r="100" spans="1:21" s="263" customFormat="1" x14ac:dyDescent="0.25">
      <c r="A100" s="275">
        <v>8</v>
      </c>
      <c r="B100" s="271" t="s">
        <v>161</v>
      </c>
      <c r="C100" s="271"/>
      <c r="D100" s="271"/>
      <c r="E100" s="271"/>
      <c r="F100" s="271"/>
      <c r="G100" s="271"/>
      <c r="H100" s="271"/>
      <c r="I100" s="271"/>
      <c r="J100" s="271"/>
      <c r="K100" s="271"/>
      <c r="L100" s="271"/>
      <c r="M100" s="271"/>
      <c r="N100" s="271"/>
      <c r="O100" s="271"/>
      <c r="P100" s="271"/>
      <c r="Q100" s="271"/>
      <c r="R100" s="332">
        <v>0</v>
      </c>
      <c r="S100" s="274"/>
      <c r="T100" s="262"/>
      <c r="U100" s="344"/>
    </row>
    <row r="101" spans="1:21" s="263" customFormat="1" x14ac:dyDescent="0.25">
      <c r="A101" s="275">
        <v>9</v>
      </c>
      <c r="B101" s="271" t="s">
        <v>37</v>
      </c>
      <c r="C101" s="271"/>
      <c r="D101" s="271"/>
      <c r="E101" s="271"/>
      <c r="F101" s="271"/>
      <c r="G101" s="271"/>
      <c r="H101" s="271"/>
      <c r="I101" s="271"/>
      <c r="J101" s="271"/>
      <c r="K101" s="271"/>
      <c r="L101" s="271"/>
      <c r="M101" s="271"/>
      <c r="N101" s="271"/>
      <c r="O101" s="271"/>
      <c r="P101" s="331">
        <f>-R101</f>
        <v>30</v>
      </c>
      <c r="Q101" s="271"/>
      <c r="R101" s="332">
        <v>-30</v>
      </c>
      <c r="S101" s="274"/>
      <c r="T101" s="262"/>
    </row>
    <row r="102" spans="1:21" s="263" customFormat="1" x14ac:dyDescent="0.25">
      <c r="A102" s="275">
        <v>10</v>
      </c>
      <c r="B102" s="271" t="s">
        <v>102</v>
      </c>
      <c r="C102" s="271"/>
      <c r="D102" s="271"/>
      <c r="E102" s="271"/>
      <c r="F102" s="271"/>
      <c r="G102" s="271"/>
      <c r="H102" s="271"/>
      <c r="I102" s="271"/>
      <c r="J102" s="271"/>
      <c r="K102" s="271"/>
      <c r="L102" s="271"/>
      <c r="M102" s="271"/>
      <c r="N102" s="271"/>
      <c r="O102" s="271"/>
      <c r="P102" s="271"/>
      <c r="Q102" s="271"/>
      <c r="R102" s="332">
        <v>0</v>
      </c>
      <c r="S102" s="274"/>
      <c r="T102" s="262"/>
    </row>
    <row r="103" spans="1:21" s="263" customFormat="1" x14ac:dyDescent="0.25">
      <c r="A103" s="275">
        <v>11</v>
      </c>
      <c r="B103" s="271" t="s">
        <v>29</v>
      </c>
      <c r="C103" s="271"/>
      <c r="D103" s="271"/>
      <c r="E103" s="271"/>
      <c r="F103" s="271"/>
      <c r="G103" s="271"/>
      <c r="H103" s="271"/>
      <c r="I103" s="271"/>
      <c r="J103" s="271"/>
      <c r="K103" s="271"/>
      <c r="L103" s="271"/>
      <c r="M103" s="271"/>
      <c r="N103" s="271"/>
      <c r="O103" s="271"/>
      <c r="P103" s="271"/>
      <c r="Q103" s="271"/>
      <c r="R103" s="332">
        <v>-25</v>
      </c>
      <c r="S103" s="274"/>
      <c r="T103" s="262"/>
    </row>
    <row r="104" spans="1:21" s="263" customFormat="1" x14ac:dyDescent="0.25">
      <c r="A104" s="275">
        <v>12</v>
      </c>
      <c r="B104" s="271" t="s">
        <v>141</v>
      </c>
      <c r="C104" s="271"/>
      <c r="D104" s="271"/>
      <c r="E104" s="271"/>
      <c r="F104" s="271"/>
      <c r="G104" s="271"/>
      <c r="H104" s="271"/>
      <c r="I104" s="271"/>
      <c r="J104" s="271"/>
      <c r="K104" s="271"/>
      <c r="L104" s="271"/>
      <c r="M104" s="271"/>
      <c r="N104" s="271"/>
      <c r="O104" s="271"/>
      <c r="P104" s="271"/>
      <c r="Q104" s="271"/>
      <c r="R104" s="332">
        <v>0</v>
      </c>
      <c r="S104" s="274"/>
      <c r="T104" s="262"/>
    </row>
    <row r="105" spans="1:21" s="263" customFormat="1" x14ac:dyDescent="0.25">
      <c r="A105" s="275">
        <v>13</v>
      </c>
      <c r="B105" s="271" t="s">
        <v>196</v>
      </c>
      <c r="C105" s="271"/>
      <c r="D105" s="271"/>
      <c r="E105" s="271"/>
      <c r="F105" s="271"/>
      <c r="G105" s="271"/>
      <c r="H105" s="271"/>
      <c r="I105" s="271"/>
      <c r="J105" s="271"/>
      <c r="K105" s="271"/>
      <c r="L105" s="271"/>
      <c r="M105" s="271"/>
      <c r="N105" s="271"/>
      <c r="O105" s="271"/>
      <c r="P105" s="271"/>
      <c r="Q105" s="271"/>
      <c r="R105" s="332">
        <v>-33</v>
      </c>
      <c r="S105" s="274"/>
      <c r="T105" s="262"/>
    </row>
    <row r="106" spans="1:21" s="263" customFormat="1" x14ac:dyDescent="0.25">
      <c r="A106" s="275">
        <v>14</v>
      </c>
      <c r="B106" s="271" t="s">
        <v>162</v>
      </c>
      <c r="C106" s="271"/>
      <c r="D106" s="271"/>
      <c r="E106" s="271"/>
      <c r="F106" s="271"/>
      <c r="G106" s="271"/>
      <c r="H106" s="271"/>
      <c r="I106" s="271"/>
      <c r="J106" s="271"/>
      <c r="K106" s="271"/>
      <c r="L106" s="271"/>
      <c r="M106" s="271"/>
      <c r="N106" s="271"/>
      <c r="O106" s="271"/>
      <c r="P106" s="271"/>
      <c r="Q106" s="271"/>
      <c r="R106" s="332">
        <v>0</v>
      </c>
      <c r="S106" s="274"/>
      <c r="T106" s="262"/>
    </row>
    <row r="107" spans="1:21" s="263" customFormat="1" x14ac:dyDescent="0.25">
      <c r="A107" s="275">
        <v>15</v>
      </c>
      <c r="B107" s="271" t="s">
        <v>222</v>
      </c>
      <c r="C107" s="271"/>
      <c r="D107" s="271"/>
      <c r="E107" s="271"/>
      <c r="F107" s="271"/>
      <c r="G107" s="271"/>
      <c r="H107" s="271"/>
      <c r="I107" s="271"/>
      <c r="J107" s="271"/>
      <c r="K107" s="271"/>
      <c r="L107" s="271"/>
      <c r="M107" s="271"/>
      <c r="N107" s="271"/>
      <c r="O107" s="271"/>
      <c r="P107" s="271"/>
      <c r="Q107" s="271"/>
      <c r="R107" s="332">
        <v>-41</v>
      </c>
      <c r="S107" s="274"/>
      <c r="T107" s="262"/>
    </row>
    <row r="108" spans="1:21" s="263" customFormat="1" x14ac:dyDescent="0.25">
      <c r="A108" s="275">
        <v>16</v>
      </c>
      <c r="B108" s="271" t="s">
        <v>173</v>
      </c>
      <c r="C108" s="271"/>
      <c r="D108" s="271"/>
      <c r="E108" s="271"/>
      <c r="F108" s="271"/>
      <c r="G108" s="271"/>
      <c r="H108" s="271"/>
      <c r="I108" s="271"/>
      <c r="J108" s="271"/>
      <c r="K108" s="271"/>
      <c r="L108" s="271"/>
      <c r="M108" s="271"/>
      <c r="N108" s="271"/>
      <c r="O108" s="271"/>
      <c r="P108" s="271"/>
      <c r="Q108" s="271"/>
      <c r="R108" s="332">
        <f>-6-164</f>
        <v>-170</v>
      </c>
      <c r="S108" s="274"/>
      <c r="T108" s="262"/>
    </row>
    <row r="109" spans="1:21" s="263" customFormat="1" x14ac:dyDescent="0.25">
      <c r="A109" s="275">
        <v>17</v>
      </c>
      <c r="B109" s="271" t="s">
        <v>178</v>
      </c>
      <c r="C109" s="271"/>
      <c r="D109" s="271"/>
      <c r="E109" s="271"/>
      <c r="F109" s="271"/>
      <c r="G109" s="271"/>
      <c r="H109" s="271"/>
      <c r="I109" s="271"/>
      <c r="J109" s="271"/>
      <c r="K109" s="271"/>
      <c r="L109" s="271"/>
      <c r="M109" s="271"/>
      <c r="N109" s="271"/>
      <c r="O109" s="271"/>
      <c r="P109" s="271"/>
      <c r="Q109" s="271"/>
      <c r="R109" s="332">
        <f>-R92-SUM(R94:R108)</f>
        <v>-773</v>
      </c>
      <c r="S109" s="274"/>
      <c r="T109" s="262"/>
    </row>
    <row r="110" spans="1:21" s="263" customFormat="1" x14ac:dyDescent="0.25">
      <c r="A110" s="275">
        <v>18</v>
      </c>
      <c r="B110" s="271" t="s">
        <v>179</v>
      </c>
      <c r="C110" s="271"/>
      <c r="D110" s="271"/>
      <c r="E110" s="271"/>
      <c r="F110" s="271"/>
      <c r="G110" s="271"/>
      <c r="H110" s="271"/>
      <c r="I110" s="271"/>
      <c r="J110" s="271"/>
      <c r="K110" s="271"/>
      <c r="L110" s="271"/>
      <c r="M110" s="271"/>
      <c r="N110" s="271"/>
      <c r="O110" s="271"/>
      <c r="P110" s="331">
        <f>-R110</f>
        <v>0</v>
      </c>
      <c r="Q110" s="271"/>
      <c r="R110" s="332">
        <v>0</v>
      </c>
      <c r="S110" s="274"/>
      <c r="T110" s="262"/>
    </row>
    <row r="111" spans="1:21" x14ac:dyDescent="0.25">
      <c r="A111" s="290"/>
      <c r="B111" s="340" t="s">
        <v>30</v>
      </c>
      <c r="C111" s="296"/>
      <c r="D111" s="296"/>
      <c r="E111" s="296"/>
      <c r="F111" s="296"/>
      <c r="G111" s="296"/>
      <c r="H111" s="296"/>
      <c r="I111" s="296"/>
      <c r="J111" s="296"/>
      <c r="K111" s="296"/>
      <c r="L111" s="296"/>
      <c r="M111" s="296"/>
      <c r="N111" s="296"/>
      <c r="O111" s="296"/>
      <c r="P111" s="342"/>
      <c r="Q111" s="342"/>
      <c r="R111" s="345"/>
      <c r="S111" s="298"/>
      <c r="T111" s="244"/>
    </row>
    <row r="112" spans="1:21" s="263" customFormat="1" x14ac:dyDescent="0.25">
      <c r="A112" s="275"/>
      <c r="B112" s="271" t="s">
        <v>223</v>
      </c>
      <c r="C112" s="271"/>
      <c r="D112" s="271"/>
      <c r="E112" s="271"/>
      <c r="F112" s="271"/>
      <c r="G112" s="271"/>
      <c r="H112" s="271"/>
      <c r="I112" s="271"/>
      <c r="J112" s="271"/>
      <c r="K112" s="271"/>
      <c r="L112" s="271"/>
      <c r="M112" s="271"/>
      <c r="N112" s="271"/>
      <c r="O112" s="271"/>
      <c r="P112" s="331">
        <f>-P175</f>
        <v>0</v>
      </c>
      <c r="Q112" s="331"/>
      <c r="R112" s="332"/>
      <c r="S112" s="274"/>
      <c r="T112" s="262"/>
    </row>
    <row r="113" spans="1:20" s="263" customFormat="1" x14ac:dyDescent="0.25">
      <c r="A113" s="275"/>
      <c r="B113" s="271" t="s">
        <v>224</v>
      </c>
      <c r="C113" s="271"/>
      <c r="D113" s="271"/>
      <c r="E113" s="271"/>
      <c r="F113" s="271"/>
      <c r="G113" s="271"/>
      <c r="H113" s="271"/>
      <c r="I113" s="271"/>
      <c r="J113" s="271"/>
      <c r="K113" s="271"/>
      <c r="L113" s="271"/>
      <c r="M113" s="271"/>
      <c r="N113" s="271"/>
      <c r="O113" s="271"/>
      <c r="P113" s="331">
        <f>-O175</f>
        <v>0</v>
      </c>
      <c r="Q113" s="331"/>
      <c r="R113" s="332"/>
      <c r="S113" s="274"/>
      <c r="T113" s="262"/>
    </row>
    <row r="114" spans="1:20" s="263" customFormat="1" x14ac:dyDescent="0.25">
      <c r="A114" s="275"/>
      <c r="B114" s="271" t="s">
        <v>163</v>
      </c>
      <c r="C114" s="271"/>
      <c r="D114" s="271"/>
      <c r="E114" s="271"/>
      <c r="F114" s="271"/>
      <c r="G114" s="271"/>
      <c r="H114" s="271"/>
      <c r="I114" s="271"/>
      <c r="J114" s="271"/>
      <c r="K114" s="271"/>
      <c r="L114" s="271"/>
      <c r="M114" s="271"/>
      <c r="N114" s="271"/>
      <c r="O114" s="271"/>
      <c r="P114" s="331">
        <v>-13122</v>
      </c>
      <c r="Q114" s="331"/>
      <c r="R114" s="332"/>
      <c r="S114" s="274"/>
      <c r="T114" s="262"/>
    </row>
    <row r="115" spans="1:20" s="263" customFormat="1" x14ac:dyDescent="0.25">
      <c r="A115" s="275"/>
      <c r="B115" s="271" t="s">
        <v>187</v>
      </c>
      <c r="C115" s="271"/>
      <c r="D115" s="271"/>
      <c r="E115" s="271"/>
      <c r="F115" s="271"/>
      <c r="G115" s="271"/>
      <c r="H115" s="271"/>
      <c r="I115" s="271"/>
      <c r="J115" s="271"/>
      <c r="K115" s="271"/>
      <c r="L115" s="271"/>
      <c r="M115" s="271"/>
      <c r="N115" s="271"/>
      <c r="O115" s="271"/>
      <c r="P115" s="331">
        <v>0</v>
      </c>
      <c r="Q115" s="331"/>
      <c r="R115" s="332"/>
      <c r="S115" s="274"/>
      <c r="T115" s="262"/>
    </row>
    <row r="116" spans="1:20" s="263" customFormat="1" x14ac:dyDescent="0.25">
      <c r="A116" s="275"/>
      <c r="B116" s="271" t="s">
        <v>188</v>
      </c>
      <c r="C116" s="271"/>
      <c r="D116" s="271"/>
      <c r="E116" s="271"/>
      <c r="F116" s="271"/>
      <c r="G116" s="271"/>
      <c r="H116" s="271"/>
      <c r="I116" s="271"/>
      <c r="J116" s="271"/>
      <c r="K116" s="271"/>
      <c r="L116" s="271"/>
      <c r="M116" s="271"/>
      <c r="N116" s="271"/>
      <c r="O116" s="271"/>
      <c r="P116" s="331">
        <v>0</v>
      </c>
      <c r="Q116" s="331"/>
      <c r="R116" s="332"/>
      <c r="S116" s="274"/>
      <c r="T116" s="262"/>
    </row>
    <row r="117" spans="1:20" s="263" customFormat="1" x14ac:dyDescent="0.25">
      <c r="A117" s="275"/>
      <c r="B117" s="271" t="s">
        <v>31</v>
      </c>
      <c r="C117" s="271"/>
      <c r="D117" s="271"/>
      <c r="E117" s="271"/>
      <c r="F117" s="271"/>
      <c r="G117" s="271"/>
      <c r="H117" s="271"/>
      <c r="I117" s="271"/>
      <c r="J117" s="271"/>
      <c r="K117" s="271"/>
      <c r="L117" s="271"/>
      <c r="M117" s="271"/>
      <c r="N117" s="271"/>
      <c r="O117" s="271"/>
      <c r="P117" s="331">
        <f>SUM(P112:P116)</f>
        <v>-13122</v>
      </c>
      <c r="Q117" s="331"/>
      <c r="R117" s="331">
        <f>SUM(R93:R116)</f>
        <v>-1473</v>
      </c>
      <c r="S117" s="274"/>
      <c r="T117" s="262"/>
    </row>
    <row r="118" spans="1:20" s="263" customFormat="1" x14ac:dyDescent="0.25">
      <c r="A118" s="275"/>
      <c r="B118" s="271" t="s">
        <v>32</v>
      </c>
      <c r="C118" s="271"/>
      <c r="D118" s="271"/>
      <c r="E118" s="271"/>
      <c r="F118" s="271"/>
      <c r="G118" s="271"/>
      <c r="H118" s="271"/>
      <c r="I118" s="271"/>
      <c r="J118" s="271"/>
      <c r="K118" s="271"/>
      <c r="L118" s="271"/>
      <c r="M118" s="271"/>
      <c r="N118" s="271"/>
      <c r="O118" s="271"/>
      <c r="P118" s="331">
        <f>P92+P117+P101+P110</f>
        <v>0</v>
      </c>
      <c r="Q118" s="331"/>
      <c r="R118" s="331">
        <f>R92+R117</f>
        <v>0</v>
      </c>
      <c r="S118" s="274"/>
      <c r="T118" s="262"/>
    </row>
    <row r="119" spans="1:20" s="263" customFormat="1" x14ac:dyDescent="0.25">
      <c r="A119" s="258"/>
      <c r="B119" s="313"/>
      <c r="C119" s="313"/>
      <c r="D119" s="313"/>
      <c r="E119" s="313"/>
      <c r="F119" s="313"/>
      <c r="G119" s="313"/>
      <c r="H119" s="313"/>
      <c r="I119" s="313"/>
      <c r="J119" s="313"/>
      <c r="K119" s="313"/>
      <c r="L119" s="313"/>
      <c r="M119" s="313"/>
      <c r="N119" s="313"/>
      <c r="O119" s="313"/>
      <c r="P119" s="346"/>
      <c r="Q119" s="346"/>
      <c r="R119" s="346"/>
      <c r="S119" s="261"/>
      <c r="T119" s="262"/>
    </row>
    <row r="120" spans="1:20" s="263" customFormat="1" x14ac:dyDescent="0.25">
      <c r="A120" s="258"/>
      <c r="B120" s="259"/>
      <c r="C120" s="259"/>
      <c r="D120" s="259"/>
      <c r="E120" s="259"/>
      <c r="F120" s="259"/>
      <c r="G120" s="259"/>
      <c r="H120" s="259"/>
      <c r="I120" s="259"/>
      <c r="J120" s="259"/>
      <c r="K120" s="259"/>
      <c r="L120" s="259"/>
      <c r="M120" s="259"/>
      <c r="N120" s="259"/>
      <c r="O120" s="259"/>
      <c r="P120" s="259"/>
      <c r="Q120" s="259"/>
      <c r="R120" s="347"/>
      <c r="S120" s="261"/>
      <c r="T120" s="262"/>
    </row>
    <row r="121" spans="1:20" s="263" customFormat="1" ht="19.5" thickBot="1" x14ac:dyDescent="0.35">
      <c r="A121" s="318"/>
      <c r="B121" s="319" t="str">
        <f>B52</f>
        <v>PM20 INVESTOR REPORT QUARTER ENDING JANUARY 2018</v>
      </c>
      <c r="C121" s="320"/>
      <c r="D121" s="320"/>
      <c r="E121" s="320"/>
      <c r="F121" s="320"/>
      <c r="G121" s="320"/>
      <c r="H121" s="320"/>
      <c r="I121" s="320"/>
      <c r="J121" s="320"/>
      <c r="K121" s="320"/>
      <c r="L121" s="320"/>
      <c r="M121" s="320"/>
      <c r="N121" s="320"/>
      <c r="O121" s="320"/>
      <c r="P121" s="320"/>
      <c r="Q121" s="320"/>
      <c r="R121" s="348"/>
      <c r="S121" s="322"/>
      <c r="T121" s="262"/>
    </row>
    <row r="122" spans="1:20" x14ac:dyDescent="0.25">
      <c r="A122" s="449"/>
      <c r="B122" s="450" t="s">
        <v>33</v>
      </c>
      <c r="C122" s="451"/>
      <c r="D122" s="451"/>
      <c r="E122" s="451"/>
      <c r="F122" s="451"/>
      <c r="G122" s="451"/>
      <c r="H122" s="451"/>
      <c r="I122" s="451"/>
      <c r="J122" s="451"/>
      <c r="K122" s="451"/>
      <c r="L122" s="451"/>
      <c r="M122" s="451"/>
      <c r="N122" s="451"/>
      <c r="O122" s="451"/>
      <c r="P122" s="451"/>
      <c r="Q122" s="451"/>
      <c r="R122" s="452"/>
      <c r="S122" s="453"/>
      <c r="T122" s="244"/>
    </row>
    <row r="123" spans="1:20" x14ac:dyDescent="0.25">
      <c r="A123" s="246"/>
      <c r="B123" s="349"/>
      <c r="C123" s="248"/>
      <c r="D123" s="248"/>
      <c r="E123" s="248"/>
      <c r="F123" s="248"/>
      <c r="G123" s="248"/>
      <c r="H123" s="248"/>
      <c r="I123" s="248"/>
      <c r="J123" s="248"/>
      <c r="K123" s="248"/>
      <c r="L123" s="248"/>
      <c r="M123" s="248"/>
      <c r="N123" s="248"/>
      <c r="O123" s="248"/>
      <c r="P123" s="248"/>
      <c r="Q123" s="248"/>
      <c r="R123" s="323"/>
      <c r="S123" s="249"/>
      <c r="T123" s="244"/>
    </row>
    <row r="124" spans="1:20" x14ac:dyDescent="0.25">
      <c r="A124" s="246"/>
      <c r="B124" s="350" t="s">
        <v>34</v>
      </c>
      <c r="C124" s="248"/>
      <c r="D124" s="248"/>
      <c r="E124" s="248"/>
      <c r="F124" s="248"/>
      <c r="G124" s="248"/>
      <c r="H124" s="248"/>
      <c r="I124" s="248"/>
      <c r="J124" s="248"/>
      <c r="K124" s="248"/>
      <c r="L124" s="248"/>
      <c r="M124" s="248"/>
      <c r="N124" s="248"/>
      <c r="O124" s="248"/>
      <c r="P124" s="248"/>
      <c r="Q124" s="248"/>
      <c r="R124" s="323"/>
      <c r="S124" s="249"/>
      <c r="T124" s="244"/>
    </row>
    <row r="125" spans="1:20" s="263" customFormat="1" x14ac:dyDescent="0.25">
      <c r="A125" s="275"/>
      <c r="B125" s="271" t="s">
        <v>35</v>
      </c>
      <c r="C125" s="271"/>
      <c r="D125" s="271"/>
      <c r="E125" s="271"/>
      <c r="F125" s="271"/>
      <c r="G125" s="271"/>
      <c r="H125" s="271"/>
      <c r="I125" s="271"/>
      <c r="J125" s="271"/>
      <c r="K125" s="271"/>
      <c r="L125" s="271"/>
      <c r="M125" s="271"/>
      <c r="N125" s="271"/>
      <c r="O125" s="271"/>
      <c r="P125" s="271"/>
      <c r="Q125" s="271"/>
      <c r="R125" s="332">
        <f>+R28*0.03</f>
        <v>10500</v>
      </c>
      <c r="S125" s="274"/>
      <c r="T125" s="262"/>
    </row>
    <row r="126" spans="1:20" s="263" customFormat="1" x14ac:dyDescent="0.25">
      <c r="A126" s="275"/>
      <c r="B126" s="271" t="s">
        <v>36</v>
      </c>
      <c r="C126" s="271"/>
      <c r="D126" s="271"/>
      <c r="E126" s="271"/>
      <c r="F126" s="271"/>
      <c r="G126" s="271"/>
      <c r="H126" s="271"/>
      <c r="I126" s="271"/>
      <c r="J126" s="271"/>
      <c r="K126" s="271"/>
      <c r="L126" s="271"/>
      <c r="M126" s="271"/>
      <c r="N126" s="271"/>
      <c r="O126" s="271"/>
      <c r="P126" s="271"/>
      <c r="Q126" s="271"/>
      <c r="R126" s="332">
        <v>0</v>
      </c>
      <c r="S126" s="274"/>
      <c r="T126" s="262"/>
    </row>
    <row r="127" spans="1:20" s="263" customFormat="1" x14ac:dyDescent="0.25">
      <c r="A127" s="275"/>
      <c r="B127" s="271" t="s">
        <v>175</v>
      </c>
      <c r="C127" s="271"/>
      <c r="D127" s="271"/>
      <c r="E127" s="271"/>
      <c r="F127" s="271"/>
      <c r="G127" s="271"/>
      <c r="H127" s="271"/>
      <c r="I127" s="271"/>
      <c r="J127" s="271"/>
      <c r="K127" s="271"/>
      <c r="L127" s="271"/>
      <c r="M127" s="271"/>
      <c r="N127" s="271"/>
      <c r="O127" s="271"/>
      <c r="P127" s="271"/>
      <c r="Q127" s="271"/>
      <c r="R127" s="332">
        <f>R125-R128</f>
        <v>7883.849964</v>
      </c>
      <c r="S127" s="274"/>
      <c r="T127" s="262"/>
    </row>
    <row r="128" spans="1:20" s="263" customFormat="1" x14ac:dyDescent="0.25">
      <c r="A128" s="275"/>
      <c r="B128" s="271" t="s">
        <v>235</v>
      </c>
      <c r="C128" s="271"/>
      <c r="D128" s="271"/>
      <c r="E128" s="271"/>
      <c r="F128" s="271"/>
      <c r="G128" s="271"/>
      <c r="H128" s="271"/>
      <c r="I128" s="271"/>
      <c r="J128" s="271"/>
      <c r="K128" s="271"/>
      <c r="L128" s="271"/>
      <c r="M128" s="271"/>
      <c r="N128" s="271"/>
      <c r="O128" s="271"/>
      <c r="P128" s="271"/>
      <c r="Q128" s="271"/>
      <c r="R128" s="332">
        <f>SUM(D30:F30)*0.03</f>
        <v>2616.150036</v>
      </c>
      <c r="S128" s="274"/>
      <c r="T128" s="262"/>
    </row>
    <row r="129" spans="1:21" s="263" customFormat="1" x14ac:dyDescent="0.25">
      <c r="A129" s="275"/>
      <c r="B129" s="271" t="s">
        <v>109</v>
      </c>
      <c r="C129" s="271"/>
      <c r="D129" s="271"/>
      <c r="E129" s="271"/>
      <c r="F129" s="271"/>
      <c r="G129" s="271"/>
      <c r="H129" s="271"/>
      <c r="I129" s="271"/>
      <c r="J129" s="271"/>
      <c r="K129" s="271"/>
      <c r="L129" s="271"/>
      <c r="M129" s="271"/>
      <c r="N129" s="271"/>
      <c r="O129" s="271"/>
      <c r="P129" s="271"/>
      <c r="Q129" s="271"/>
      <c r="R129" s="332"/>
      <c r="S129" s="274"/>
      <c r="T129" s="262"/>
    </row>
    <row r="130" spans="1:21" s="263" customFormat="1" x14ac:dyDescent="0.25">
      <c r="A130" s="275"/>
      <c r="B130" s="271" t="s">
        <v>160</v>
      </c>
      <c r="C130" s="271"/>
      <c r="D130" s="271"/>
      <c r="E130" s="271"/>
      <c r="F130" s="271"/>
      <c r="G130" s="271"/>
      <c r="H130" s="271"/>
      <c r="I130" s="271"/>
      <c r="J130" s="271"/>
      <c r="K130" s="271"/>
      <c r="L130" s="271"/>
      <c r="M130" s="271"/>
      <c r="N130" s="271"/>
      <c r="O130" s="271"/>
      <c r="P130" s="271"/>
      <c r="Q130" s="271"/>
      <c r="R130" s="332">
        <v>0</v>
      </c>
      <c r="S130" s="274"/>
      <c r="T130" s="262"/>
    </row>
    <row r="131" spans="1:21" s="263" customFormat="1" x14ac:dyDescent="0.25">
      <c r="A131" s="275"/>
      <c r="B131" s="271" t="s">
        <v>195</v>
      </c>
      <c r="C131" s="271"/>
      <c r="D131" s="271"/>
      <c r="E131" s="271"/>
      <c r="F131" s="271"/>
      <c r="G131" s="271"/>
      <c r="H131" s="271"/>
      <c r="I131" s="271"/>
      <c r="J131" s="271"/>
      <c r="K131" s="271"/>
      <c r="L131" s="271"/>
      <c r="M131" s="271"/>
      <c r="N131" s="271"/>
      <c r="O131" s="271"/>
      <c r="P131" s="271"/>
      <c r="Q131" s="271"/>
      <c r="R131" s="332">
        <v>0</v>
      </c>
      <c r="S131" s="274"/>
      <c r="T131" s="262"/>
    </row>
    <row r="132" spans="1:21" s="263" customFormat="1" x14ac:dyDescent="0.25">
      <c r="A132" s="275"/>
      <c r="B132" s="271" t="s">
        <v>37</v>
      </c>
      <c r="C132" s="271"/>
      <c r="D132" s="271"/>
      <c r="E132" s="271"/>
      <c r="F132" s="271"/>
      <c r="G132" s="271"/>
      <c r="H132" s="271"/>
      <c r="I132" s="271"/>
      <c r="J132" s="271"/>
      <c r="K132" s="271"/>
      <c r="L132" s="271"/>
      <c r="M132" s="271"/>
      <c r="N132" s="271"/>
      <c r="O132" s="271"/>
      <c r="P132" s="271"/>
      <c r="Q132" s="271"/>
      <c r="R132" s="332">
        <v>0</v>
      </c>
      <c r="S132" s="274"/>
      <c r="T132" s="262"/>
    </row>
    <row r="133" spans="1:21" s="263" customFormat="1" x14ac:dyDescent="0.25">
      <c r="A133" s="275"/>
      <c r="B133" s="271" t="s">
        <v>103</v>
      </c>
      <c r="C133" s="271"/>
      <c r="D133" s="271"/>
      <c r="E133" s="271"/>
      <c r="F133" s="271"/>
      <c r="G133" s="271"/>
      <c r="H133" s="271"/>
      <c r="I133" s="271"/>
      <c r="J133" s="271"/>
      <c r="K133" s="271"/>
      <c r="L133" s="271"/>
      <c r="M133" s="271"/>
      <c r="N133" s="271"/>
      <c r="O133" s="271"/>
      <c r="P133" s="271"/>
      <c r="Q133" s="271"/>
      <c r="R133" s="332">
        <v>0</v>
      </c>
      <c r="S133" s="274"/>
      <c r="T133" s="262"/>
    </row>
    <row r="134" spans="1:21" s="263" customFormat="1" x14ac:dyDescent="0.25">
      <c r="A134" s="275"/>
      <c r="B134" s="271" t="s">
        <v>225</v>
      </c>
      <c r="C134" s="271"/>
      <c r="D134" s="271"/>
      <c r="E134" s="271"/>
      <c r="F134" s="271"/>
      <c r="G134" s="271"/>
      <c r="H134" s="271"/>
      <c r="I134" s="271"/>
      <c r="J134" s="271"/>
      <c r="K134" s="271"/>
      <c r="L134" s="271"/>
      <c r="M134" s="271"/>
      <c r="N134" s="271"/>
      <c r="O134" s="271"/>
      <c r="P134" s="271"/>
      <c r="Q134" s="271"/>
      <c r="R134" s="332">
        <v>0</v>
      </c>
      <c r="S134" s="274"/>
      <c r="T134" s="262"/>
      <c r="U134" s="344"/>
    </row>
    <row r="135" spans="1:21" s="263" customFormat="1" x14ac:dyDescent="0.25">
      <c r="A135" s="275"/>
      <c r="B135" s="271" t="s">
        <v>38</v>
      </c>
      <c r="C135" s="271"/>
      <c r="D135" s="271"/>
      <c r="E135" s="271"/>
      <c r="F135" s="271"/>
      <c r="G135" s="271"/>
      <c r="H135" s="271"/>
      <c r="I135" s="271"/>
      <c r="J135" s="271"/>
      <c r="K135" s="271"/>
      <c r="L135" s="271"/>
      <c r="M135" s="271"/>
      <c r="N135" s="271"/>
      <c r="O135" s="271"/>
      <c r="P135" s="271"/>
      <c r="Q135" s="271"/>
      <c r="R135" s="332">
        <f>SUM(R126:R134)</f>
        <v>10500</v>
      </c>
      <c r="S135" s="274"/>
      <c r="T135" s="262"/>
    </row>
    <row r="136" spans="1:21" s="263" customFormat="1" x14ac:dyDescent="0.25">
      <c r="A136" s="258"/>
      <c r="B136" s="313"/>
      <c r="C136" s="313"/>
      <c r="D136" s="313"/>
      <c r="E136" s="313"/>
      <c r="F136" s="313"/>
      <c r="G136" s="313"/>
      <c r="H136" s="313"/>
      <c r="I136" s="313"/>
      <c r="J136" s="313"/>
      <c r="K136" s="313"/>
      <c r="L136" s="313"/>
      <c r="M136" s="313"/>
      <c r="N136" s="313"/>
      <c r="O136" s="313"/>
      <c r="P136" s="313"/>
      <c r="Q136" s="313"/>
      <c r="R136" s="351"/>
      <c r="S136" s="261"/>
      <c r="T136" s="262"/>
    </row>
    <row r="137" spans="1:21" x14ac:dyDescent="0.25">
      <c r="A137" s="246"/>
      <c r="B137" s="350" t="s">
        <v>206</v>
      </c>
      <c r="C137" s="248"/>
      <c r="D137" s="248"/>
      <c r="E137" s="248"/>
      <c r="F137" s="248"/>
      <c r="G137" s="248"/>
      <c r="H137" s="248"/>
      <c r="I137" s="248"/>
      <c r="J137" s="248"/>
      <c r="K137" s="248"/>
      <c r="L137" s="248"/>
      <c r="M137" s="248"/>
      <c r="N137" s="248"/>
      <c r="O137" s="248"/>
      <c r="P137" s="248"/>
      <c r="Q137" s="248"/>
      <c r="R137" s="323"/>
      <c r="S137" s="249"/>
      <c r="T137" s="244"/>
    </row>
    <row r="138" spans="1:21" s="263" customFormat="1" x14ac:dyDescent="0.25">
      <c r="A138" s="275"/>
      <c r="B138" s="271" t="s">
        <v>174</v>
      </c>
      <c r="C138" s="271"/>
      <c r="D138" s="271"/>
      <c r="E138" s="271"/>
      <c r="F138" s="271"/>
      <c r="G138" s="271"/>
      <c r="H138" s="271"/>
      <c r="I138" s="271"/>
      <c r="J138" s="271"/>
      <c r="K138" s="271"/>
      <c r="L138" s="271"/>
      <c r="M138" s="271"/>
      <c r="N138" s="271"/>
      <c r="O138" s="271"/>
      <c r="P138" s="271"/>
      <c r="Q138" s="271"/>
      <c r="R138" s="332">
        <v>0</v>
      </c>
      <c r="S138" s="274"/>
      <c r="T138" s="262"/>
    </row>
    <row r="139" spans="1:21" s="263" customFormat="1" x14ac:dyDescent="0.25">
      <c r="A139" s="275"/>
      <c r="B139" s="271" t="s">
        <v>197</v>
      </c>
      <c r="C139" s="271"/>
      <c r="D139" s="271"/>
      <c r="E139" s="271"/>
      <c r="F139" s="271"/>
      <c r="G139" s="271"/>
      <c r="H139" s="271"/>
      <c r="I139" s="271"/>
      <c r="J139" s="271"/>
      <c r="K139" s="271"/>
      <c r="L139" s="271"/>
      <c r="M139" s="271"/>
      <c r="N139" s="271"/>
      <c r="O139" s="271"/>
      <c r="P139" s="271"/>
      <c r="Q139" s="271"/>
      <c r="R139" s="332">
        <f>+J69</f>
        <v>0</v>
      </c>
      <c r="S139" s="274"/>
      <c r="T139" s="262"/>
    </row>
    <row r="140" spans="1:21" s="263" customFormat="1" x14ac:dyDescent="0.25">
      <c r="A140" s="275"/>
      <c r="B140" s="271" t="s">
        <v>233</v>
      </c>
      <c r="C140" s="271"/>
      <c r="D140" s="271"/>
      <c r="E140" s="271"/>
      <c r="F140" s="271"/>
      <c r="G140" s="271"/>
      <c r="H140" s="271"/>
      <c r="I140" s="271"/>
      <c r="J140" s="271"/>
      <c r="K140" s="271"/>
      <c r="L140" s="271"/>
      <c r="M140" s="271"/>
      <c r="N140" s="271"/>
      <c r="O140" s="271"/>
      <c r="P140" s="271"/>
      <c r="Q140" s="271"/>
      <c r="R140" s="332">
        <f>R138+R139</f>
        <v>0</v>
      </c>
      <c r="S140" s="274"/>
      <c r="T140" s="262"/>
    </row>
    <row r="141" spans="1:21" x14ac:dyDescent="0.25">
      <c r="A141" s="246"/>
      <c r="B141" s="352"/>
      <c r="C141" s="352"/>
      <c r="D141" s="352"/>
      <c r="E141" s="352"/>
      <c r="F141" s="352"/>
      <c r="G141" s="352"/>
      <c r="H141" s="352"/>
      <c r="I141" s="352"/>
      <c r="J141" s="352"/>
      <c r="K141" s="352"/>
      <c r="L141" s="352"/>
      <c r="M141" s="352"/>
      <c r="N141" s="352"/>
      <c r="O141" s="352"/>
      <c r="P141" s="352"/>
      <c r="Q141" s="352"/>
      <c r="R141" s="353"/>
      <c r="S141" s="249"/>
      <c r="T141" s="244"/>
    </row>
    <row r="142" spans="1:21" x14ac:dyDescent="0.25">
      <c r="A142" s="246"/>
      <c r="B142" s="350" t="s">
        <v>234</v>
      </c>
      <c r="C142" s="352"/>
      <c r="D142" s="352"/>
      <c r="E142" s="352"/>
      <c r="F142" s="352"/>
      <c r="G142" s="352"/>
      <c r="H142" s="352"/>
      <c r="I142" s="352"/>
      <c r="J142" s="352"/>
      <c r="K142" s="352"/>
      <c r="L142" s="352"/>
      <c r="M142" s="352"/>
      <c r="N142" s="352"/>
      <c r="O142" s="352"/>
      <c r="P142" s="352"/>
      <c r="Q142" s="352"/>
      <c r="R142" s="353"/>
      <c r="S142" s="249"/>
      <c r="T142" s="244"/>
    </row>
    <row r="143" spans="1:21" s="263" customFormat="1" x14ac:dyDescent="0.25">
      <c r="A143" s="354"/>
      <c r="B143" s="355" t="s">
        <v>244</v>
      </c>
      <c r="C143" s="355"/>
      <c r="D143" s="355"/>
      <c r="E143" s="355"/>
      <c r="F143" s="355"/>
      <c r="G143" s="355"/>
      <c r="H143" s="355"/>
      <c r="I143" s="355"/>
      <c r="J143" s="355"/>
      <c r="K143" s="355"/>
      <c r="L143" s="355"/>
      <c r="M143" s="355"/>
      <c r="N143" s="355"/>
      <c r="O143" s="355"/>
      <c r="P143" s="355"/>
      <c r="Q143" s="355"/>
      <c r="R143" s="356">
        <f>+'July 16'!R146</f>
        <v>0</v>
      </c>
      <c r="S143" s="357"/>
      <c r="T143" s="262"/>
    </row>
    <row r="144" spans="1:21" s="263" customFormat="1" x14ac:dyDescent="0.25">
      <c r="A144" s="354"/>
      <c r="B144" s="355" t="s">
        <v>232</v>
      </c>
      <c r="C144" s="355"/>
      <c r="D144" s="355"/>
      <c r="E144" s="355"/>
      <c r="F144" s="355"/>
      <c r="G144" s="355"/>
      <c r="H144" s="355"/>
      <c r="I144" s="355"/>
      <c r="J144" s="355"/>
      <c r="K144" s="355"/>
      <c r="L144" s="355"/>
      <c r="M144" s="355"/>
      <c r="N144" s="355"/>
      <c r="O144" s="355"/>
      <c r="P144" s="355"/>
      <c r="Q144" s="355"/>
      <c r="R144" s="356">
        <f>P78</f>
        <v>0</v>
      </c>
      <c r="S144" s="357"/>
      <c r="T144" s="262"/>
    </row>
    <row r="145" spans="1:252" s="263" customFormat="1" x14ac:dyDescent="0.25">
      <c r="A145" s="358"/>
      <c r="B145" s="271" t="s">
        <v>238</v>
      </c>
      <c r="C145" s="359"/>
      <c r="D145" s="359"/>
      <c r="E145" s="359"/>
      <c r="F145" s="359"/>
      <c r="G145" s="359"/>
      <c r="H145" s="359"/>
      <c r="I145" s="359"/>
      <c r="J145" s="359"/>
      <c r="K145" s="359"/>
      <c r="L145" s="359"/>
      <c r="M145" s="359"/>
      <c r="N145" s="359"/>
      <c r="O145" s="359"/>
      <c r="P145" s="359"/>
      <c r="Q145" s="359"/>
      <c r="R145" s="360">
        <v>0</v>
      </c>
      <c r="S145" s="361"/>
      <c r="T145" s="262"/>
    </row>
    <row r="146" spans="1:252" s="263" customFormat="1" x14ac:dyDescent="0.25">
      <c r="A146" s="358"/>
      <c r="B146" s="271" t="s">
        <v>237</v>
      </c>
      <c r="C146" s="359"/>
      <c r="D146" s="359"/>
      <c r="E146" s="359"/>
      <c r="F146" s="359"/>
      <c r="G146" s="359"/>
      <c r="H146" s="359"/>
      <c r="I146" s="359"/>
      <c r="J146" s="359"/>
      <c r="K146" s="359"/>
      <c r="L146" s="359"/>
      <c r="M146" s="359"/>
      <c r="N146" s="359"/>
      <c r="O146" s="359"/>
      <c r="P146" s="359"/>
      <c r="Q146" s="359"/>
      <c r="R146" s="360">
        <f>R143+R144+R145</f>
        <v>0</v>
      </c>
      <c r="S146" s="361"/>
      <c r="T146" s="262"/>
    </row>
    <row r="147" spans="1:252" x14ac:dyDescent="0.25">
      <c r="A147" s="246"/>
      <c r="B147" s="333"/>
      <c r="C147" s="333"/>
      <c r="D147" s="333"/>
      <c r="E147" s="333"/>
      <c r="F147" s="333"/>
      <c r="G147" s="333"/>
      <c r="H147" s="333"/>
      <c r="I147" s="333"/>
      <c r="J147" s="333"/>
      <c r="K147" s="333"/>
      <c r="L147" s="333"/>
      <c r="M147" s="333"/>
      <c r="N147" s="333"/>
      <c r="O147" s="333"/>
      <c r="P147" s="333"/>
      <c r="Q147" s="333"/>
      <c r="R147" s="362"/>
      <c r="S147" s="249"/>
      <c r="T147" s="244"/>
    </row>
    <row r="148" spans="1:252" x14ac:dyDescent="0.25">
      <c r="A148" s="246"/>
      <c r="B148" s="350" t="s">
        <v>39</v>
      </c>
      <c r="C148" s="248"/>
      <c r="D148" s="248"/>
      <c r="E148" s="248"/>
      <c r="F148" s="248"/>
      <c r="G148" s="248"/>
      <c r="H148" s="248"/>
      <c r="I148" s="248"/>
      <c r="J148" s="248"/>
      <c r="K148" s="248"/>
      <c r="L148" s="248"/>
      <c r="M148" s="248"/>
      <c r="N148" s="248"/>
      <c r="O148" s="248"/>
      <c r="P148" s="248"/>
      <c r="Q148" s="248"/>
      <c r="R148" s="363"/>
      <c r="S148" s="249"/>
      <c r="T148" s="244"/>
    </row>
    <row r="149" spans="1:252" s="263" customFormat="1" x14ac:dyDescent="0.25">
      <c r="A149" s="275"/>
      <c r="B149" s="271" t="s">
        <v>40</v>
      </c>
      <c r="C149" s="271"/>
      <c r="D149" s="271"/>
      <c r="E149" s="271"/>
      <c r="F149" s="271"/>
      <c r="G149" s="271"/>
      <c r="H149" s="271"/>
      <c r="I149" s="271"/>
      <c r="J149" s="271"/>
      <c r="K149" s="271"/>
      <c r="L149" s="271"/>
      <c r="M149" s="271"/>
      <c r="N149" s="271"/>
      <c r="O149" s="271"/>
      <c r="P149" s="271"/>
      <c r="Q149" s="271"/>
      <c r="R149" s="332">
        <v>0</v>
      </c>
      <c r="S149" s="274"/>
      <c r="T149" s="262"/>
    </row>
    <row r="150" spans="1:252" s="263" customFormat="1" x14ac:dyDescent="0.25">
      <c r="A150" s="275"/>
      <c r="B150" s="271" t="s">
        <v>41</v>
      </c>
      <c r="C150" s="271"/>
      <c r="D150" s="271"/>
      <c r="E150" s="271"/>
      <c r="F150" s="271"/>
      <c r="G150" s="271"/>
      <c r="H150" s="271"/>
      <c r="I150" s="271"/>
      <c r="J150" s="271"/>
      <c r="K150" s="271"/>
      <c r="L150" s="271"/>
      <c r="M150" s="271"/>
      <c r="N150" s="271"/>
      <c r="O150" s="271"/>
      <c r="P150" s="271"/>
      <c r="Q150" s="271"/>
      <c r="R150" s="332">
        <f>+P101</f>
        <v>30</v>
      </c>
      <c r="S150" s="274"/>
      <c r="T150" s="262"/>
    </row>
    <row r="151" spans="1:252" s="263" customFormat="1" x14ac:dyDescent="0.25">
      <c r="A151" s="275"/>
      <c r="B151" s="271" t="s">
        <v>42</v>
      </c>
      <c r="C151" s="271"/>
      <c r="D151" s="271"/>
      <c r="E151" s="271"/>
      <c r="F151" s="271"/>
      <c r="G151" s="271"/>
      <c r="H151" s="271"/>
      <c r="I151" s="271"/>
      <c r="J151" s="271"/>
      <c r="K151" s="271"/>
      <c r="L151" s="271"/>
      <c r="M151" s="271"/>
      <c r="N151" s="271"/>
      <c r="O151" s="271"/>
      <c r="P151" s="271"/>
      <c r="Q151" s="271"/>
      <c r="R151" s="332">
        <f>R150+R149</f>
        <v>30</v>
      </c>
      <c r="S151" s="274"/>
      <c r="T151" s="262"/>
    </row>
    <row r="152" spans="1:252" s="263" customFormat="1" x14ac:dyDescent="0.25">
      <c r="A152" s="275"/>
      <c r="B152" s="271" t="s">
        <v>253</v>
      </c>
      <c r="C152" s="271"/>
      <c r="D152" s="271"/>
      <c r="E152" s="271"/>
      <c r="F152" s="271"/>
      <c r="G152" s="271"/>
      <c r="H152" s="271"/>
      <c r="I152" s="271"/>
      <c r="J152" s="271"/>
      <c r="K152" s="271"/>
      <c r="L152" s="271"/>
      <c r="M152" s="271"/>
      <c r="N152" s="271"/>
      <c r="O152" s="271"/>
      <c r="P152" s="271"/>
      <c r="Q152" s="271"/>
      <c r="R152" s="332">
        <f>R101</f>
        <v>-30</v>
      </c>
      <c r="S152" s="274"/>
      <c r="T152" s="262"/>
    </row>
    <row r="153" spans="1:252" s="263" customFormat="1" x14ac:dyDescent="0.25">
      <c r="A153" s="275"/>
      <c r="B153" s="271" t="s">
        <v>43</v>
      </c>
      <c r="C153" s="271"/>
      <c r="D153" s="271"/>
      <c r="E153" s="271"/>
      <c r="F153" s="271"/>
      <c r="G153" s="271"/>
      <c r="H153" s="271"/>
      <c r="I153" s="271"/>
      <c r="J153" s="271"/>
      <c r="K153" s="271"/>
      <c r="L153" s="271"/>
      <c r="M153" s="271"/>
      <c r="N153" s="271"/>
      <c r="O153" s="271"/>
      <c r="P153" s="271"/>
      <c r="Q153" s="271"/>
      <c r="R153" s="332">
        <f>R151+R152</f>
        <v>0</v>
      </c>
      <c r="S153" s="274"/>
      <c r="T153" s="262"/>
    </row>
    <row r="154" spans="1:252" s="263" customFormat="1" x14ac:dyDescent="0.25">
      <c r="A154" s="275"/>
      <c r="B154" s="271" t="s">
        <v>153</v>
      </c>
      <c r="C154" s="271"/>
      <c r="D154" s="271"/>
      <c r="E154" s="271"/>
      <c r="F154" s="271"/>
      <c r="G154" s="271"/>
      <c r="H154" s="271"/>
      <c r="I154" s="271"/>
      <c r="J154" s="271"/>
      <c r="K154" s="271"/>
      <c r="L154" s="271"/>
      <c r="M154" s="271"/>
      <c r="N154" s="271"/>
      <c r="O154" s="271"/>
      <c r="P154" s="271"/>
      <c r="Q154" s="271"/>
      <c r="R154" s="332">
        <f>-R91</f>
        <v>6</v>
      </c>
      <c r="S154" s="274"/>
      <c r="T154" s="262"/>
    </row>
    <row r="155" spans="1:252" ht="16.5" thickBot="1" x14ac:dyDescent="0.3">
      <c r="A155" s="246"/>
      <c r="B155" s="333"/>
      <c r="C155" s="333"/>
      <c r="D155" s="333"/>
      <c r="E155" s="333"/>
      <c r="F155" s="333"/>
      <c r="G155" s="333"/>
      <c r="H155" s="333"/>
      <c r="I155" s="333"/>
      <c r="J155" s="333"/>
      <c r="K155" s="333"/>
      <c r="L155" s="333"/>
      <c r="M155" s="333"/>
      <c r="N155" s="333"/>
      <c r="O155" s="333"/>
      <c r="P155" s="333"/>
      <c r="Q155" s="333"/>
      <c r="R155" s="362"/>
      <c r="S155" s="249"/>
      <c r="T155" s="244"/>
    </row>
    <row r="156" spans="1:252" x14ac:dyDescent="0.25">
      <c r="A156" s="240"/>
      <c r="B156" s="242"/>
      <c r="C156" s="242"/>
      <c r="D156" s="242"/>
      <c r="E156" s="242"/>
      <c r="F156" s="242"/>
      <c r="G156" s="242"/>
      <c r="H156" s="242"/>
      <c r="I156" s="242"/>
      <c r="J156" s="242"/>
      <c r="K156" s="242"/>
      <c r="L156" s="242"/>
      <c r="M156" s="242"/>
      <c r="N156" s="242"/>
      <c r="O156" s="242"/>
      <c r="P156" s="242"/>
      <c r="Q156" s="242"/>
      <c r="R156" s="364"/>
      <c r="S156" s="243"/>
      <c r="T156" s="244"/>
    </row>
    <row r="157" spans="1:252" s="366" customFormat="1" x14ac:dyDescent="0.25">
      <c r="A157" s="246"/>
      <c r="B157" s="350" t="s">
        <v>207</v>
      </c>
      <c r="C157" s="333"/>
      <c r="D157" s="333"/>
      <c r="E157" s="333"/>
      <c r="F157" s="333"/>
      <c r="G157" s="333"/>
      <c r="H157" s="333"/>
      <c r="I157" s="333"/>
      <c r="J157" s="333"/>
      <c r="K157" s="333"/>
      <c r="L157" s="333"/>
      <c r="M157" s="333"/>
      <c r="N157" s="333"/>
      <c r="O157" s="333"/>
      <c r="P157" s="333"/>
      <c r="Q157" s="333"/>
      <c r="R157" s="365"/>
      <c r="S157" s="249"/>
      <c r="T157" s="244"/>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245"/>
      <c r="CB157" s="245"/>
      <c r="CC157" s="245"/>
      <c r="CD157" s="245"/>
      <c r="CE157" s="245"/>
      <c r="CF157" s="245"/>
      <c r="CG157" s="245"/>
      <c r="CH157" s="245"/>
      <c r="CI157" s="245"/>
      <c r="CJ157" s="245"/>
      <c r="CK157" s="245"/>
      <c r="CL157" s="245"/>
      <c r="CM157" s="245"/>
      <c r="CN157" s="245"/>
      <c r="CO157" s="245"/>
      <c r="CP157" s="245"/>
      <c r="CQ157" s="245"/>
      <c r="CR157" s="245"/>
      <c r="CS157" s="245"/>
      <c r="CT157" s="245"/>
      <c r="CU157" s="245"/>
      <c r="CV157" s="245"/>
      <c r="CW157" s="245"/>
      <c r="CX157" s="245"/>
      <c r="CY157" s="245"/>
      <c r="CZ157" s="245"/>
      <c r="DA157" s="245"/>
      <c r="DB157" s="245"/>
      <c r="DC157" s="245"/>
      <c r="DD157" s="245"/>
      <c r="DE157" s="245"/>
      <c r="DF157" s="245"/>
      <c r="DG157" s="245"/>
      <c r="DH157" s="245"/>
      <c r="DI157" s="245"/>
      <c r="DJ157" s="245"/>
      <c r="DK157" s="245"/>
      <c r="DL157" s="245"/>
      <c r="DM157" s="245"/>
      <c r="DN157" s="245"/>
      <c r="DO157" s="245"/>
      <c r="DP157" s="245"/>
      <c r="DQ157" s="245"/>
      <c r="DR157" s="245"/>
      <c r="DS157" s="245"/>
      <c r="DT157" s="245"/>
      <c r="DU157" s="245"/>
      <c r="DV157" s="245"/>
      <c r="DW157" s="245"/>
      <c r="DX157" s="245"/>
      <c r="DY157" s="245"/>
      <c r="DZ157" s="245"/>
      <c r="EA157" s="245"/>
      <c r="EB157" s="245"/>
      <c r="EC157" s="245"/>
      <c r="ED157" s="245"/>
      <c r="EE157" s="245"/>
      <c r="EF157" s="245"/>
      <c r="EG157" s="245"/>
      <c r="EH157" s="245"/>
      <c r="EI157" s="245"/>
      <c r="EJ157" s="245"/>
      <c r="EK157" s="245"/>
      <c r="EL157" s="245"/>
      <c r="EM157" s="245"/>
      <c r="EN157" s="245"/>
      <c r="EO157" s="245"/>
      <c r="EP157" s="245"/>
      <c r="EQ157" s="245"/>
      <c r="ER157" s="245"/>
      <c r="ES157" s="245"/>
      <c r="ET157" s="245"/>
      <c r="EU157" s="245"/>
      <c r="EV157" s="245"/>
      <c r="EW157" s="245"/>
      <c r="EX157" s="245"/>
      <c r="EY157" s="245"/>
      <c r="EZ157" s="245"/>
      <c r="FA157" s="245"/>
      <c r="FB157" s="245"/>
      <c r="FC157" s="245"/>
      <c r="FD157" s="245"/>
      <c r="FE157" s="245"/>
      <c r="FF157" s="245"/>
      <c r="FG157" s="245"/>
      <c r="FH157" s="245"/>
      <c r="FI157" s="245"/>
      <c r="FJ157" s="245"/>
      <c r="FK157" s="245"/>
      <c r="FL157" s="245"/>
      <c r="FM157" s="245"/>
      <c r="FN157" s="245"/>
      <c r="FO157" s="245"/>
      <c r="FP157" s="245"/>
      <c r="FQ157" s="245"/>
      <c r="FR157" s="245"/>
      <c r="FS157" s="245"/>
      <c r="FT157" s="245"/>
      <c r="FU157" s="245"/>
      <c r="FV157" s="245"/>
      <c r="FW157" s="245"/>
      <c r="FX157" s="245"/>
      <c r="FY157" s="245"/>
      <c r="FZ157" s="245"/>
      <c r="GA157" s="245"/>
      <c r="GB157" s="245"/>
      <c r="GC157" s="245"/>
      <c r="GD157" s="245"/>
      <c r="GE157" s="245"/>
      <c r="GF157" s="245"/>
      <c r="GG157" s="245"/>
      <c r="GH157" s="245"/>
      <c r="GI157" s="245"/>
      <c r="GJ157" s="245"/>
      <c r="GK157" s="245"/>
      <c r="GL157" s="245"/>
      <c r="GM157" s="245"/>
      <c r="GN157" s="245"/>
      <c r="GO157" s="245"/>
      <c r="GP157" s="245"/>
      <c r="GQ157" s="245"/>
      <c r="GR157" s="245"/>
      <c r="GS157" s="245"/>
      <c r="GT157" s="245"/>
      <c r="GU157" s="245"/>
      <c r="GV157" s="245"/>
      <c r="GW157" s="245"/>
      <c r="GX157" s="245"/>
      <c r="GY157" s="245"/>
      <c r="GZ157" s="245"/>
      <c r="HA157" s="245"/>
      <c r="HB157" s="245"/>
      <c r="HC157" s="245"/>
      <c r="HD157" s="245"/>
      <c r="HE157" s="245"/>
      <c r="HF157" s="245"/>
      <c r="HG157" s="245"/>
      <c r="HH157" s="245"/>
      <c r="HI157" s="245"/>
      <c r="HJ157" s="245"/>
      <c r="HK157" s="245"/>
      <c r="HL157" s="245"/>
      <c r="HM157" s="245"/>
      <c r="HN157" s="245"/>
      <c r="HO157" s="245"/>
      <c r="HP157" s="245"/>
      <c r="HQ157" s="245"/>
      <c r="HR157" s="245"/>
      <c r="HS157" s="245"/>
      <c r="HT157" s="245"/>
      <c r="HU157" s="245"/>
      <c r="HV157" s="245"/>
      <c r="HW157" s="245"/>
      <c r="HX157" s="245"/>
      <c r="HY157" s="245"/>
      <c r="HZ157" s="245"/>
      <c r="IA157" s="245"/>
      <c r="IB157" s="245"/>
      <c r="IC157" s="245"/>
      <c r="ID157" s="245"/>
      <c r="IE157" s="245"/>
      <c r="IF157" s="245"/>
      <c r="IG157" s="245"/>
      <c r="IH157" s="245"/>
      <c r="II157" s="245"/>
      <c r="IJ157" s="245"/>
      <c r="IK157" s="245"/>
      <c r="IL157" s="245"/>
      <c r="IM157" s="245"/>
      <c r="IN157" s="245"/>
      <c r="IO157" s="245"/>
      <c r="IP157" s="245"/>
      <c r="IQ157" s="245"/>
      <c r="IR157" s="245"/>
    </row>
    <row r="158" spans="1:252" s="367" customFormat="1" x14ac:dyDescent="0.25">
      <c r="A158" s="275"/>
      <c r="B158" s="271" t="s">
        <v>144</v>
      </c>
      <c r="C158" s="271"/>
      <c r="D158" s="271"/>
      <c r="E158" s="271"/>
      <c r="F158" s="271"/>
      <c r="G158" s="271"/>
      <c r="H158" s="271"/>
      <c r="I158" s="271"/>
      <c r="J158" s="271"/>
      <c r="K158" s="271"/>
      <c r="L158" s="271"/>
      <c r="M158" s="271"/>
      <c r="N158" s="271"/>
      <c r="O158" s="271"/>
      <c r="P158" s="271"/>
      <c r="Q158" s="271"/>
      <c r="R158" s="332">
        <f>+'Oct 17'!R160</f>
        <v>101</v>
      </c>
      <c r="S158" s="274"/>
      <c r="T158" s="262"/>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3"/>
      <c r="BX158" s="263"/>
      <c r="BY158" s="263"/>
      <c r="BZ158" s="263"/>
      <c r="CA158" s="263"/>
      <c r="CB158" s="263"/>
      <c r="CC158" s="263"/>
      <c r="CD158" s="263"/>
      <c r="CE158" s="263"/>
      <c r="CF158" s="263"/>
      <c r="CG158" s="263"/>
      <c r="CH158" s="263"/>
      <c r="CI158" s="263"/>
      <c r="CJ158" s="263"/>
      <c r="CK158" s="263"/>
      <c r="CL158" s="263"/>
      <c r="CM158" s="263"/>
      <c r="CN158" s="263"/>
      <c r="CO158" s="263"/>
      <c r="CP158" s="263"/>
      <c r="CQ158" s="263"/>
      <c r="CR158" s="263"/>
      <c r="CS158" s="263"/>
      <c r="CT158" s="263"/>
      <c r="CU158" s="263"/>
      <c r="CV158" s="263"/>
      <c r="CW158" s="263"/>
      <c r="CX158" s="263"/>
      <c r="CY158" s="263"/>
      <c r="CZ158" s="263"/>
      <c r="DA158" s="263"/>
      <c r="DB158" s="263"/>
      <c r="DC158" s="263"/>
      <c r="DD158" s="263"/>
      <c r="DE158" s="263"/>
      <c r="DF158" s="263"/>
      <c r="DG158" s="263"/>
      <c r="DH158" s="263"/>
      <c r="DI158" s="263"/>
      <c r="DJ158" s="263"/>
      <c r="DK158" s="263"/>
      <c r="DL158" s="263"/>
      <c r="DM158" s="263"/>
      <c r="DN158" s="263"/>
      <c r="DO158" s="263"/>
      <c r="DP158" s="263"/>
      <c r="DQ158" s="263"/>
      <c r="DR158" s="263"/>
      <c r="DS158" s="263"/>
      <c r="DT158" s="263"/>
      <c r="DU158" s="263"/>
      <c r="DV158" s="263"/>
      <c r="DW158" s="263"/>
      <c r="DX158" s="263"/>
      <c r="DY158" s="263"/>
      <c r="DZ158" s="263"/>
      <c r="EA158" s="263"/>
      <c r="EB158" s="263"/>
      <c r="EC158" s="263"/>
      <c r="ED158" s="263"/>
      <c r="EE158" s="263"/>
      <c r="EF158" s="263"/>
      <c r="EG158" s="263"/>
      <c r="EH158" s="263"/>
      <c r="EI158" s="263"/>
      <c r="EJ158" s="263"/>
      <c r="EK158" s="263"/>
      <c r="EL158" s="263"/>
      <c r="EM158" s="263"/>
      <c r="EN158" s="263"/>
      <c r="EO158" s="263"/>
      <c r="EP158" s="263"/>
      <c r="EQ158" s="263"/>
      <c r="ER158" s="263"/>
      <c r="ES158" s="263"/>
      <c r="ET158" s="263"/>
      <c r="EU158" s="263"/>
      <c r="EV158" s="263"/>
      <c r="EW158" s="263"/>
      <c r="EX158" s="263"/>
      <c r="EY158" s="263"/>
      <c r="EZ158" s="263"/>
      <c r="FA158" s="263"/>
      <c r="FB158" s="263"/>
      <c r="FC158" s="263"/>
      <c r="FD158" s="263"/>
      <c r="FE158" s="263"/>
      <c r="FF158" s="263"/>
      <c r="FG158" s="263"/>
      <c r="FH158" s="263"/>
      <c r="FI158" s="263"/>
      <c r="FJ158" s="263"/>
      <c r="FK158" s="263"/>
      <c r="FL158" s="263"/>
      <c r="FM158" s="263"/>
      <c r="FN158" s="263"/>
      <c r="FO158" s="263"/>
      <c r="FP158" s="263"/>
      <c r="FQ158" s="263"/>
      <c r="FR158" s="263"/>
      <c r="FS158" s="263"/>
      <c r="FT158" s="263"/>
      <c r="FU158" s="263"/>
      <c r="FV158" s="263"/>
      <c r="FW158" s="263"/>
      <c r="FX158" s="263"/>
      <c r="FY158" s="263"/>
      <c r="FZ158" s="263"/>
      <c r="GA158" s="263"/>
      <c r="GB158" s="263"/>
      <c r="GC158" s="263"/>
      <c r="GD158" s="263"/>
      <c r="GE158" s="263"/>
      <c r="GF158" s="263"/>
      <c r="GG158" s="263"/>
      <c r="GH158" s="263"/>
      <c r="GI158" s="263"/>
      <c r="GJ158" s="263"/>
      <c r="GK158" s="263"/>
      <c r="GL158" s="263"/>
      <c r="GM158" s="263"/>
      <c r="GN158" s="263"/>
      <c r="GO158" s="263"/>
      <c r="GP158" s="263"/>
      <c r="GQ158" s="263"/>
      <c r="GR158" s="263"/>
      <c r="GS158" s="263"/>
      <c r="GT158" s="263"/>
      <c r="GU158" s="263"/>
      <c r="GV158" s="263"/>
      <c r="GW158" s="263"/>
      <c r="GX158" s="263"/>
      <c r="GY158" s="263"/>
      <c r="GZ158" s="263"/>
      <c r="HA158" s="263"/>
      <c r="HB158" s="263"/>
      <c r="HC158" s="263"/>
      <c r="HD158" s="263"/>
      <c r="HE158" s="263"/>
      <c r="HF158" s="263"/>
      <c r="HG158" s="263"/>
      <c r="HH158" s="263"/>
      <c r="HI158" s="263"/>
      <c r="HJ158" s="263"/>
      <c r="HK158" s="263"/>
      <c r="HL158" s="263"/>
      <c r="HM158" s="263"/>
      <c r="HN158" s="263"/>
      <c r="HO158" s="263"/>
      <c r="HP158" s="263"/>
      <c r="HQ158" s="263"/>
      <c r="HR158" s="263"/>
      <c r="HS158" s="263"/>
      <c r="HT158" s="263"/>
      <c r="HU158" s="263"/>
      <c r="HV158" s="263"/>
      <c r="HW158" s="263"/>
      <c r="HX158" s="263"/>
      <c r="HY158" s="263"/>
      <c r="HZ158" s="263"/>
      <c r="IA158" s="263"/>
      <c r="IB158" s="263"/>
      <c r="IC158" s="263"/>
      <c r="ID158" s="263"/>
      <c r="IE158" s="263"/>
      <c r="IF158" s="263"/>
      <c r="IG158" s="263"/>
      <c r="IH158" s="263"/>
      <c r="II158" s="263"/>
      <c r="IJ158" s="263"/>
      <c r="IK158" s="263"/>
      <c r="IL158" s="263"/>
      <c r="IM158" s="263"/>
      <c r="IN158" s="263"/>
      <c r="IO158" s="263"/>
      <c r="IP158" s="263"/>
      <c r="IQ158" s="263"/>
      <c r="IR158" s="263"/>
    </row>
    <row r="159" spans="1:252" s="367" customFormat="1" x14ac:dyDescent="0.25">
      <c r="A159" s="275"/>
      <c r="B159" s="271" t="s">
        <v>147</v>
      </c>
      <c r="C159" s="271"/>
      <c r="D159" s="271"/>
      <c r="E159" s="271"/>
      <c r="F159" s="271"/>
      <c r="G159" s="271"/>
      <c r="H159" s="271"/>
      <c r="I159" s="271"/>
      <c r="J159" s="271"/>
      <c r="K159" s="271"/>
      <c r="L159" s="271"/>
      <c r="M159" s="271"/>
      <c r="N159" s="271"/>
      <c r="O159" s="271"/>
      <c r="P159" s="271"/>
      <c r="Q159" s="271"/>
      <c r="R159" s="332">
        <f>+R84</f>
        <v>34</v>
      </c>
      <c r="S159" s="274"/>
      <c r="T159" s="262"/>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263"/>
      <c r="BA159" s="263"/>
      <c r="BB159" s="263"/>
      <c r="BC159" s="263"/>
      <c r="BD159" s="263"/>
      <c r="BE159" s="263"/>
      <c r="BF159" s="263"/>
      <c r="BG159" s="263"/>
      <c r="BH159" s="263"/>
      <c r="BI159" s="263"/>
      <c r="BJ159" s="263"/>
      <c r="BK159" s="263"/>
      <c r="BL159" s="263"/>
      <c r="BM159" s="263"/>
      <c r="BN159" s="263"/>
      <c r="BO159" s="263"/>
      <c r="BP159" s="263"/>
      <c r="BQ159" s="263"/>
      <c r="BR159" s="263"/>
      <c r="BS159" s="263"/>
      <c r="BT159" s="263"/>
      <c r="BU159" s="263"/>
      <c r="BV159" s="263"/>
      <c r="BW159" s="263"/>
      <c r="BX159" s="263"/>
      <c r="BY159" s="263"/>
      <c r="BZ159" s="263"/>
      <c r="CA159" s="263"/>
      <c r="CB159" s="263"/>
      <c r="CC159" s="263"/>
      <c r="CD159" s="263"/>
      <c r="CE159" s="263"/>
      <c r="CF159" s="263"/>
      <c r="CG159" s="263"/>
      <c r="CH159" s="263"/>
      <c r="CI159" s="263"/>
      <c r="CJ159" s="263"/>
      <c r="CK159" s="263"/>
      <c r="CL159" s="263"/>
      <c r="CM159" s="263"/>
      <c r="CN159" s="263"/>
      <c r="CO159" s="263"/>
      <c r="CP159" s="263"/>
      <c r="CQ159" s="263"/>
      <c r="CR159" s="263"/>
      <c r="CS159" s="263"/>
      <c r="CT159" s="263"/>
      <c r="CU159" s="263"/>
      <c r="CV159" s="263"/>
      <c r="CW159" s="263"/>
      <c r="CX159" s="263"/>
      <c r="CY159" s="263"/>
      <c r="CZ159" s="263"/>
      <c r="DA159" s="263"/>
      <c r="DB159" s="263"/>
      <c r="DC159" s="263"/>
      <c r="DD159" s="263"/>
      <c r="DE159" s="263"/>
      <c r="DF159" s="263"/>
      <c r="DG159" s="263"/>
      <c r="DH159" s="263"/>
      <c r="DI159" s="263"/>
      <c r="DJ159" s="263"/>
      <c r="DK159" s="263"/>
      <c r="DL159" s="263"/>
      <c r="DM159" s="263"/>
      <c r="DN159" s="263"/>
      <c r="DO159" s="263"/>
      <c r="DP159" s="263"/>
      <c r="DQ159" s="263"/>
      <c r="DR159" s="263"/>
      <c r="DS159" s="263"/>
      <c r="DT159" s="263"/>
      <c r="DU159" s="263"/>
      <c r="DV159" s="263"/>
      <c r="DW159" s="263"/>
      <c r="DX159" s="263"/>
      <c r="DY159" s="263"/>
      <c r="DZ159" s="263"/>
      <c r="EA159" s="263"/>
      <c r="EB159" s="263"/>
      <c r="EC159" s="263"/>
      <c r="ED159" s="263"/>
      <c r="EE159" s="263"/>
      <c r="EF159" s="263"/>
      <c r="EG159" s="263"/>
      <c r="EH159" s="263"/>
      <c r="EI159" s="263"/>
      <c r="EJ159" s="263"/>
      <c r="EK159" s="263"/>
      <c r="EL159" s="263"/>
      <c r="EM159" s="263"/>
      <c r="EN159" s="263"/>
      <c r="EO159" s="263"/>
      <c r="EP159" s="263"/>
      <c r="EQ159" s="263"/>
      <c r="ER159" s="263"/>
      <c r="ES159" s="263"/>
      <c r="ET159" s="263"/>
      <c r="EU159" s="263"/>
      <c r="EV159" s="263"/>
      <c r="EW159" s="263"/>
      <c r="EX159" s="263"/>
      <c r="EY159" s="263"/>
      <c r="EZ159" s="263"/>
      <c r="FA159" s="263"/>
      <c r="FB159" s="263"/>
      <c r="FC159" s="263"/>
      <c r="FD159" s="263"/>
      <c r="FE159" s="263"/>
      <c r="FF159" s="263"/>
      <c r="FG159" s="263"/>
      <c r="FH159" s="263"/>
      <c r="FI159" s="263"/>
      <c r="FJ159" s="263"/>
      <c r="FK159" s="263"/>
      <c r="FL159" s="263"/>
      <c r="FM159" s="263"/>
      <c r="FN159" s="263"/>
      <c r="FO159" s="263"/>
      <c r="FP159" s="263"/>
      <c r="FQ159" s="263"/>
      <c r="FR159" s="263"/>
      <c r="FS159" s="263"/>
      <c r="FT159" s="263"/>
      <c r="FU159" s="263"/>
      <c r="FV159" s="263"/>
      <c r="FW159" s="263"/>
      <c r="FX159" s="263"/>
      <c r="FY159" s="263"/>
      <c r="FZ159" s="263"/>
      <c r="GA159" s="263"/>
      <c r="GB159" s="263"/>
      <c r="GC159" s="263"/>
      <c r="GD159" s="263"/>
      <c r="GE159" s="263"/>
      <c r="GF159" s="263"/>
      <c r="GG159" s="263"/>
      <c r="GH159" s="263"/>
      <c r="GI159" s="263"/>
      <c r="GJ159" s="263"/>
      <c r="GK159" s="263"/>
      <c r="GL159" s="263"/>
      <c r="GM159" s="263"/>
      <c r="GN159" s="263"/>
      <c r="GO159" s="263"/>
      <c r="GP159" s="263"/>
      <c r="GQ159" s="263"/>
      <c r="GR159" s="263"/>
      <c r="GS159" s="263"/>
      <c r="GT159" s="263"/>
      <c r="GU159" s="263"/>
      <c r="GV159" s="263"/>
      <c r="GW159" s="263"/>
      <c r="GX159" s="263"/>
      <c r="GY159" s="263"/>
      <c r="GZ159" s="263"/>
      <c r="HA159" s="263"/>
      <c r="HB159" s="263"/>
      <c r="HC159" s="263"/>
      <c r="HD159" s="263"/>
      <c r="HE159" s="263"/>
      <c r="HF159" s="263"/>
      <c r="HG159" s="263"/>
      <c r="HH159" s="263"/>
      <c r="HI159" s="263"/>
      <c r="HJ159" s="263"/>
      <c r="HK159" s="263"/>
      <c r="HL159" s="263"/>
      <c r="HM159" s="263"/>
      <c r="HN159" s="263"/>
      <c r="HO159" s="263"/>
      <c r="HP159" s="263"/>
      <c r="HQ159" s="263"/>
      <c r="HR159" s="263"/>
      <c r="HS159" s="263"/>
      <c r="HT159" s="263"/>
      <c r="HU159" s="263"/>
      <c r="HV159" s="263"/>
      <c r="HW159" s="263"/>
      <c r="HX159" s="263"/>
      <c r="HY159" s="263"/>
      <c r="HZ159" s="263"/>
      <c r="IA159" s="263"/>
      <c r="IB159" s="263"/>
      <c r="IC159" s="263"/>
      <c r="ID159" s="263"/>
      <c r="IE159" s="263"/>
      <c r="IF159" s="263"/>
      <c r="IG159" s="263"/>
      <c r="IH159" s="263"/>
      <c r="II159" s="263"/>
      <c r="IJ159" s="263"/>
      <c r="IK159" s="263"/>
      <c r="IL159" s="263"/>
      <c r="IM159" s="263"/>
      <c r="IN159" s="263"/>
      <c r="IO159" s="263"/>
      <c r="IP159" s="263"/>
      <c r="IQ159" s="263"/>
      <c r="IR159" s="263"/>
    </row>
    <row r="160" spans="1:252" s="367" customFormat="1" x14ac:dyDescent="0.25">
      <c r="A160" s="275"/>
      <c r="B160" s="271" t="s">
        <v>145</v>
      </c>
      <c r="C160" s="271"/>
      <c r="D160" s="271"/>
      <c r="E160" s="271"/>
      <c r="F160" s="271"/>
      <c r="G160" s="271"/>
      <c r="H160" s="271"/>
      <c r="I160" s="271"/>
      <c r="J160" s="271"/>
      <c r="K160" s="271"/>
      <c r="L160" s="271"/>
      <c r="M160" s="271"/>
      <c r="N160" s="271"/>
      <c r="O160" s="271"/>
      <c r="P160" s="271"/>
      <c r="Q160" s="271"/>
      <c r="R160" s="332">
        <f>+R158-R159</f>
        <v>67</v>
      </c>
      <c r="S160" s="274"/>
      <c r="T160" s="262"/>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3"/>
      <c r="BO160" s="263"/>
      <c r="BP160" s="263"/>
      <c r="BQ160" s="263"/>
      <c r="BR160" s="263"/>
      <c r="BS160" s="263"/>
      <c r="BT160" s="263"/>
      <c r="BU160" s="263"/>
      <c r="BV160" s="263"/>
      <c r="BW160" s="263"/>
      <c r="BX160" s="263"/>
      <c r="BY160" s="263"/>
      <c r="BZ160" s="263"/>
      <c r="CA160" s="263"/>
      <c r="CB160" s="263"/>
      <c r="CC160" s="263"/>
      <c r="CD160" s="263"/>
      <c r="CE160" s="263"/>
      <c r="CF160" s="263"/>
      <c r="CG160" s="263"/>
      <c r="CH160" s="263"/>
      <c r="CI160" s="263"/>
      <c r="CJ160" s="263"/>
      <c r="CK160" s="263"/>
      <c r="CL160" s="263"/>
      <c r="CM160" s="263"/>
      <c r="CN160" s="263"/>
      <c r="CO160" s="263"/>
      <c r="CP160" s="263"/>
      <c r="CQ160" s="263"/>
      <c r="CR160" s="263"/>
      <c r="CS160" s="263"/>
      <c r="CT160" s="263"/>
      <c r="CU160" s="263"/>
      <c r="CV160" s="263"/>
      <c r="CW160" s="263"/>
      <c r="CX160" s="263"/>
      <c r="CY160" s="263"/>
      <c r="CZ160" s="263"/>
      <c r="DA160" s="263"/>
      <c r="DB160" s="263"/>
      <c r="DC160" s="263"/>
      <c r="DD160" s="263"/>
      <c r="DE160" s="263"/>
      <c r="DF160" s="263"/>
      <c r="DG160" s="263"/>
      <c r="DH160" s="263"/>
      <c r="DI160" s="263"/>
      <c r="DJ160" s="263"/>
      <c r="DK160" s="263"/>
      <c r="DL160" s="263"/>
      <c r="DM160" s="263"/>
      <c r="DN160" s="263"/>
      <c r="DO160" s="263"/>
      <c r="DP160" s="263"/>
      <c r="DQ160" s="263"/>
      <c r="DR160" s="263"/>
      <c r="DS160" s="263"/>
      <c r="DT160" s="263"/>
      <c r="DU160" s="263"/>
      <c r="DV160" s="263"/>
      <c r="DW160" s="263"/>
      <c r="DX160" s="263"/>
      <c r="DY160" s="263"/>
      <c r="DZ160" s="263"/>
      <c r="EA160" s="263"/>
      <c r="EB160" s="263"/>
      <c r="EC160" s="263"/>
      <c r="ED160" s="263"/>
      <c r="EE160" s="263"/>
      <c r="EF160" s="263"/>
      <c r="EG160" s="263"/>
      <c r="EH160" s="263"/>
      <c r="EI160" s="263"/>
      <c r="EJ160" s="263"/>
      <c r="EK160" s="263"/>
      <c r="EL160" s="263"/>
      <c r="EM160" s="263"/>
      <c r="EN160" s="263"/>
      <c r="EO160" s="263"/>
      <c r="EP160" s="263"/>
      <c r="EQ160" s="263"/>
      <c r="ER160" s="263"/>
      <c r="ES160" s="263"/>
      <c r="ET160" s="263"/>
      <c r="EU160" s="263"/>
      <c r="EV160" s="263"/>
      <c r="EW160" s="263"/>
      <c r="EX160" s="263"/>
      <c r="EY160" s="263"/>
      <c r="EZ160" s="263"/>
      <c r="FA160" s="263"/>
      <c r="FB160" s="263"/>
      <c r="FC160" s="263"/>
      <c r="FD160" s="263"/>
      <c r="FE160" s="263"/>
      <c r="FF160" s="263"/>
      <c r="FG160" s="263"/>
      <c r="FH160" s="263"/>
      <c r="FI160" s="263"/>
      <c r="FJ160" s="263"/>
      <c r="FK160" s="263"/>
      <c r="FL160" s="263"/>
      <c r="FM160" s="263"/>
      <c r="FN160" s="263"/>
      <c r="FO160" s="263"/>
      <c r="FP160" s="263"/>
      <c r="FQ160" s="263"/>
      <c r="FR160" s="263"/>
      <c r="FS160" s="263"/>
      <c r="FT160" s="263"/>
      <c r="FU160" s="263"/>
      <c r="FV160" s="263"/>
      <c r="FW160" s="263"/>
      <c r="FX160" s="263"/>
      <c r="FY160" s="263"/>
      <c r="FZ160" s="263"/>
      <c r="GA160" s="263"/>
      <c r="GB160" s="263"/>
      <c r="GC160" s="263"/>
      <c r="GD160" s="263"/>
      <c r="GE160" s="263"/>
      <c r="GF160" s="263"/>
      <c r="GG160" s="263"/>
      <c r="GH160" s="263"/>
      <c r="GI160" s="263"/>
      <c r="GJ160" s="263"/>
      <c r="GK160" s="263"/>
      <c r="GL160" s="263"/>
      <c r="GM160" s="263"/>
      <c r="GN160" s="263"/>
      <c r="GO160" s="263"/>
      <c r="GP160" s="263"/>
      <c r="GQ160" s="263"/>
      <c r="GR160" s="263"/>
      <c r="GS160" s="263"/>
      <c r="GT160" s="263"/>
      <c r="GU160" s="263"/>
      <c r="GV160" s="263"/>
      <c r="GW160" s="263"/>
      <c r="GX160" s="263"/>
      <c r="GY160" s="263"/>
      <c r="GZ160" s="263"/>
      <c r="HA160" s="263"/>
      <c r="HB160" s="263"/>
      <c r="HC160" s="263"/>
      <c r="HD160" s="263"/>
      <c r="HE160" s="263"/>
      <c r="HF160" s="263"/>
      <c r="HG160" s="263"/>
      <c r="HH160" s="263"/>
      <c r="HI160" s="263"/>
      <c r="HJ160" s="263"/>
      <c r="HK160" s="263"/>
      <c r="HL160" s="263"/>
      <c r="HM160" s="263"/>
      <c r="HN160" s="263"/>
      <c r="HO160" s="263"/>
      <c r="HP160" s="263"/>
      <c r="HQ160" s="263"/>
      <c r="HR160" s="263"/>
      <c r="HS160" s="263"/>
      <c r="HT160" s="263"/>
      <c r="HU160" s="263"/>
      <c r="HV160" s="263"/>
      <c r="HW160" s="263"/>
      <c r="HX160" s="263"/>
      <c r="HY160" s="263"/>
      <c r="HZ160" s="263"/>
      <c r="IA160" s="263"/>
      <c r="IB160" s="263"/>
      <c r="IC160" s="263"/>
      <c r="ID160" s="263"/>
      <c r="IE160" s="263"/>
      <c r="IF160" s="263"/>
      <c r="IG160" s="263"/>
      <c r="IH160" s="263"/>
      <c r="II160" s="263"/>
      <c r="IJ160" s="263"/>
      <c r="IK160" s="263"/>
      <c r="IL160" s="263"/>
      <c r="IM160" s="263"/>
      <c r="IN160" s="263"/>
      <c r="IO160" s="263"/>
      <c r="IP160" s="263"/>
      <c r="IQ160" s="263"/>
      <c r="IR160" s="263"/>
    </row>
    <row r="161" spans="1:252" s="368" customFormat="1" ht="16.5" thickBot="1" x14ac:dyDescent="0.3">
      <c r="A161" s="318"/>
      <c r="B161" s="313"/>
      <c r="C161" s="313"/>
      <c r="D161" s="313"/>
      <c r="E161" s="313"/>
      <c r="F161" s="313"/>
      <c r="G161" s="313"/>
      <c r="H161" s="313"/>
      <c r="I161" s="313"/>
      <c r="J161" s="313"/>
      <c r="K161" s="313"/>
      <c r="L161" s="313"/>
      <c r="M161" s="313"/>
      <c r="N161" s="313"/>
      <c r="O161" s="313"/>
      <c r="P161" s="313"/>
      <c r="Q161" s="313"/>
      <c r="R161" s="351"/>
      <c r="S161" s="261"/>
      <c r="T161" s="262"/>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3"/>
      <c r="BC161" s="263"/>
      <c r="BD161" s="263"/>
      <c r="BE161" s="263"/>
      <c r="BF161" s="263"/>
      <c r="BG161" s="263"/>
      <c r="BH161" s="263"/>
      <c r="BI161" s="263"/>
      <c r="BJ161" s="263"/>
      <c r="BK161" s="263"/>
      <c r="BL161" s="263"/>
      <c r="BM161" s="263"/>
      <c r="BN161" s="263"/>
      <c r="BO161" s="263"/>
      <c r="BP161" s="263"/>
      <c r="BQ161" s="263"/>
      <c r="BR161" s="263"/>
      <c r="BS161" s="263"/>
      <c r="BT161" s="263"/>
      <c r="BU161" s="263"/>
      <c r="BV161" s="263"/>
      <c r="BW161" s="263"/>
      <c r="BX161" s="263"/>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63"/>
      <c r="DY161" s="263"/>
      <c r="DZ161" s="263"/>
      <c r="EA161" s="263"/>
      <c r="EB161" s="263"/>
      <c r="EC161" s="263"/>
      <c r="ED161" s="263"/>
      <c r="EE161" s="263"/>
      <c r="EF161" s="263"/>
      <c r="EG161" s="263"/>
      <c r="EH161" s="263"/>
      <c r="EI161" s="263"/>
      <c r="EJ161" s="263"/>
      <c r="EK161" s="263"/>
      <c r="EL161" s="263"/>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63"/>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63"/>
      <c r="GT161" s="263"/>
      <c r="GU161" s="263"/>
      <c r="GV161" s="263"/>
      <c r="GW161" s="263"/>
      <c r="GX161" s="263"/>
      <c r="GY161" s="263"/>
      <c r="GZ161" s="263"/>
      <c r="HA161" s="263"/>
      <c r="HB161" s="263"/>
      <c r="HC161" s="263"/>
      <c r="HD161" s="263"/>
      <c r="HE161" s="263"/>
      <c r="HF161" s="263"/>
      <c r="HG161" s="263"/>
      <c r="HH161" s="263"/>
      <c r="HI161" s="263"/>
      <c r="HJ161" s="263"/>
      <c r="HK161" s="263"/>
      <c r="HL161" s="263"/>
      <c r="HM161" s="263"/>
      <c r="HN161" s="263"/>
      <c r="HO161" s="263"/>
      <c r="HP161" s="263"/>
      <c r="HQ161" s="263"/>
      <c r="HR161" s="263"/>
      <c r="HS161" s="263"/>
      <c r="HT161" s="263"/>
      <c r="HU161" s="263"/>
      <c r="HV161" s="263"/>
      <c r="HW161" s="263"/>
      <c r="HX161" s="263"/>
      <c r="HY161" s="263"/>
      <c r="HZ161" s="263"/>
      <c r="IA161" s="263"/>
      <c r="IB161" s="263"/>
      <c r="IC161" s="263"/>
      <c r="ID161" s="263"/>
      <c r="IE161" s="263"/>
      <c r="IF161" s="263"/>
      <c r="IG161" s="263"/>
      <c r="IH161" s="263"/>
      <c r="II161" s="263"/>
      <c r="IJ161" s="263"/>
      <c r="IK161" s="263"/>
      <c r="IL161" s="263"/>
      <c r="IM161" s="263"/>
      <c r="IN161" s="263"/>
      <c r="IO161" s="263"/>
      <c r="IP161" s="263"/>
      <c r="IQ161" s="263"/>
      <c r="IR161" s="263"/>
    </row>
    <row r="162" spans="1:252" s="369" customFormat="1" x14ac:dyDescent="0.25">
      <c r="A162" s="240"/>
      <c r="B162" s="242"/>
      <c r="C162" s="242"/>
      <c r="D162" s="242"/>
      <c r="E162" s="242"/>
      <c r="F162" s="242"/>
      <c r="G162" s="242"/>
      <c r="H162" s="242"/>
      <c r="I162" s="242"/>
      <c r="J162" s="242"/>
      <c r="K162" s="242"/>
      <c r="L162" s="242"/>
      <c r="M162" s="242"/>
      <c r="N162" s="242"/>
      <c r="O162" s="242"/>
      <c r="P162" s="242"/>
      <c r="Q162" s="242"/>
      <c r="R162" s="364"/>
      <c r="S162" s="243"/>
      <c r="T162" s="244"/>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B162" s="245"/>
      <c r="DC162" s="245"/>
      <c r="DD162" s="245"/>
      <c r="DE162" s="245"/>
      <c r="DF162" s="245"/>
      <c r="DG162" s="245"/>
      <c r="DH162" s="245"/>
      <c r="DI162" s="245"/>
      <c r="DJ162" s="245"/>
      <c r="DK162" s="245"/>
      <c r="DL162" s="245"/>
      <c r="DM162" s="245"/>
      <c r="DN162" s="245"/>
      <c r="DO162" s="245"/>
      <c r="DP162" s="245"/>
      <c r="DQ162" s="245"/>
      <c r="DR162" s="245"/>
      <c r="DS162" s="245"/>
      <c r="DT162" s="245"/>
      <c r="DU162" s="245"/>
      <c r="DV162" s="245"/>
      <c r="DW162" s="245"/>
      <c r="DX162" s="245"/>
      <c r="DY162" s="245"/>
      <c r="DZ162" s="245"/>
      <c r="EA162" s="245"/>
      <c r="EB162" s="245"/>
      <c r="EC162" s="245"/>
      <c r="ED162" s="245"/>
      <c r="EE162" s="245"/>
      <c r="EF162" s="245"/>
      <c r="EG162" s="245"/>
      <c r="EH162" s="245"/>
      <c r="EI162" s="245"/>
      <c r="EJ162" s="245"/>
      <c r="EK162" s="245"/>
      <c r="EL162" s="245"/>
      <c r="EM162" s="245"/>
      <c r="EN162" s="245"/>
      <c r="EO162" s="245"/>
      <c r="EP162" s="245"/>
      <c r="EQ162" s="245"/>
      <c r="ER162" s="245"/>
      <c r="ES162" s="245"/>
      <c r="ET162" s="245"/>
      <c r="EU162" s="245"/>
      <c r="EV162" s="245"/>
      <c r="EW162" s="245"/>
      <c r="EX162" s="245"/>
      <c r="EY162" s="245"/>
      <c r="EZ162" s="245"/>
      <c r="FA162" s="245"/>
      <c r="FB162" s="245"/>
      <c r="FC162" s="245"/>
      <c r="FD162" s="245"/>
      <c r="FE162" s="245"/>
      <c r="FF162" s="245"/>
      <c r="FG162" s="245"/>
      <c r="FH162" s="245"/>
      <c r="FI162" s="245"/>
      <c r="FJ162" s="245"/>
      <c r="FK162" s="245"/>
      <c r="FL162" s="245"/>
      <c r="FM162" s="245"/>
      <c r="FN162" s="245"/>
      <c r="FO162" s="245"/>
      <c r="FP162" s="245"/>
      <c r="FQ162" s="245"/>
      <c r="FR162" s="245"/>
      <c r="FS162" s="245"/>
      <c r="FT162" s="245"/>
      <c r="FU162" s="245"/>
      <c r="FV162" s="245"/>
      <c r="FW162" s="245"/>
      <c r="FX162" s="245"/>
      <c r="FY162" s="245"/>
      <c r="FZ162" s="245"/>
      <c r="GA162" s="245"/>
      <c r="GB162" s="245"/>
      <c r="GC162" s="245"/>
      <c r="GD162" s="245"/>
      <c r="GE162" s="245"/>
      <c r="GF162" s="245"/>
      <c r="GG162" s="245"/>
      <c r="GH162" s="245"/>
      <c r="GI162" s="245"/>
      <c r="GJ162" s="245"/>
      <c r="GK162" s="245"/>
      <c r="GL162" s="245"/>
      <c r="GM162" s="245"/>
      <c r="GN162" s="245"/>
      <c r="GO162" s="245"/>
      <c r="GP162" s="245"/>
      <c r="GQ162" s="245"/>
      <c r="GR162" s="245"/>
      <c r="GS162" s="245"/>
      <c r="GT162" s="245"/>
      <c r="GU162" s="245"/>
      <c r="GV162" s="245"/>
      <c r="GW162" s="245"/>
      <c r="GX162" s="245"/>
      <c r="GY162" s="245"/>
      <c r="GZ162" s="245"/>
      <c r="HA162" s="245"/>
      <c r="HB162" s="245"/>
      <c r="HC162" s="245"/>
      <c r="HD162" s="245"/>
      <c r="HE162" s="245"/>
      <c r="HF162" s="245"/>
      <c r="HG162" s="245"/>
      <c r="HH162" s="245"/>
      <c r="HI162" s="245"/>
      <c r="HJ162" s="245"/>
      <c r="HK162" s="245"/>
      <c r="HL162" s="245"/>
      <c r="HM162" s="245"/>
      <c r="HN162" s="245"/>
      <c r="HO162" s="245"/>
      <c r="HP162" s="245"/>
      <c r="HQ162" s="245"/>
      <c r="HR162" s="245"/>
      <c r="HS162" s="245"/>
      <c r="HT162" s="245"/>
      <c r="HU162" s="245"/>
      <c r="HV162" s="245"/>
      <c r="HW162" s="245"/>
      <c r="HX162" s="245"/>
      <c r="HY162" s="245"/>
      <c r="HZ162" s="245"/>
      <c r="IA162" s="245"/>
      <c r="IB162" s="245"/>
      <c r="IC162" s="245"/>
      <c r="ID162" s="245"/>
      <c r="IE162" s="245"/>
      <c r="IF162" s="245"/>
      <c r="IG162" s="245"/>
      <c r="IH162" s="245"/>
      <c r="II162" s="245"/>
      <c r="IJ162" s="245"/>
      <c r="IK162" s="245"/>
      <c r="IL162" s="245"/>
      <c r="IM162" s="245"/>
      <c r="IN162" s="245"/>
      <c r="IO162" s="245"/>
      <c r="IP162" s="245"/>
      <c r="IQ162" s="245"/>
      <c r="IR162" s="245"/>
    </row>
    <row r="163" spans="1:252" x14ac:dyDescent="0.25">
      <c r="A163" s="246"/>
      <c r="B163" s="350" t="s">
        <v>44</v>
      </c>
      <c r="C163" s="248"/>
      <c r="D163" s="248"/>
      <c r="E163" s="248"/>
      <c r="F163" s="248"/>
      <c r="G163" s="248"/>
      <c r="H163" s="248"/>
      <c r="I163" s="248"/>
      <c r="J163" s="248"/>
      <c r="K163" s="248"/>
      <c r="L163" s="248"/>
      <c r="M163" s="248"/>
      <c r="N163" s="248"/>
      <c r="O163" s="248"/>
      <c r="P163" s="248"/>
      <c r="Q163" s="248"/>
      <c r="R163" s="323"/>
      <c r="S163" s="249"/>
      <c r="T163" s="244"/>
    </row>
    <row r="164" spans="1:252" x14ac:dyDescent="0.25">
      <c r="A164" s="246"/>
      <c r="B164" s="349"/>
      <c r="C164" s="248"/>
      <c r="D164" s="248"/>
      <c r="E164" s="248"/>
      <c r="F164" s="248"/>
      <c r="G164" s="248"/>
      <c r="H164" s="248"/>
      <c r="I164" s="248"/>
      <c r="J164" s="248"/>
      <c r="K164" s="248"/>
      <c r="L164" s="248"/>
      <c r="M164" s="248"/>
      <c r="N164" s="248"/>
      <c r="O164" s="248"/>
      <c r="P164" s="248"/>
      <c r="Q164" s="248"/>
      <c r="R164" s="323"/>
      <c r="S164" s="249"/>
      <c r="T164" s="244"/>
    </row>
    <row r="165" spans="1:252" s="263" customFormat="1" x14ac:dyDescent="0.25">
      <c r="A165" s="275"/>
      <c r="B165" s="271" t="s">
        <v>180</v>
      </c>
      <c r="C165" s="271"/>
      <c r="D165" s="271"/>
      <c r="E165" s="271"/>
      <c r="F165" s="271"/>
      <c r="G165" s="271"/>
      <c r="H165" s="271"/>
      <c r="I165" s="271"/>
      <c r="J165" s="271"/>
      <c r="K165" s="271"/>
      <c r="L165" s="271"/>
      <c r="M165" s="271"/>
      <c r="N165" s="271"/>
      <c r="O165" s="271"/>
      <c r="P165" s="271"/>
      <c r="Q165" s="271"/>
      <c r="R165" s="332">
        <f>+R59</f>
        <v>94205</v>
      </c>
      <c r="S165" s="274"/>
      <c r="T165" s="262"/>
    </row>
    <row r="166" spans="1:252" s="263" customFormat="1" x14ac:dyDescent="0.25">
      <c r="A166" s="275"/>
      <c r="B166" s="271" t="s">
        <v>181</v>
      </c>
      <c r="C166" s="271"/>
      <c r="D166" s="271"/>
      <c r="E166" s="271"/>
      <c r="F166" s="271"/>
      <c r="G166" s="271"/>
      <c r="H166" s="271"/>
      <c r="I166" s="271"/>
      <c r="J166" s="271"/>
      <c r="K166" s="271"/>
      <c r="L166" s="271"/>
      <c r="M166" s="271"/>
      <c r="N166" s="271"/>
      <c r="O166" s="271"/>
      <c r="P166" s="271"/>
      <c r="Q166" s="271"/>
      <c r="R166" s="332">
        <f>+R69</f>
        <v>0</v>
      </c>
      <c r="S166" s="274"/>
      <c r="T166" s="262"/>
    </row>
    <row r="167" spans="1:252" s="263" customFormat="1" x14ac:dyDescent="0.25">
      <c r="A167" s="275"/>
      <c r="B167" s="271" t="s">
        <v>242</v>
      </c>
      <c r="C167" s="271"/>
      <c r="D167" s="271"/>
      <c r="E167" s="271"/>
      <c r="F167" s="271"/>
      <c r="G167" s="271"/>
      <c r="H167" s="271"/>
      <c r="I167" s="271"/>
      <c r="J167" s="271"/>
      <c r="K167" s="271"/>
      <c r="L167" s="271"/>
      <c r="M167" s="271"/>
      <c r="N167" s="271"/>
      <c r="O167" s="271"/>
      <c r="P167" s="271"/>
      <c r="Q167" s="271"/>
      <c r="R167" s="332">
        <f>+R70</f>
        <v>0</v>
      </c>
      <c r="S167" s="274"/>
      <c r="T167" s="262"/>
    </row>
    <row r="168" spans="1:252" s="263" customFormat="1" x14ac:dyDescent="0.25">
      <c r="A168" s="275"/>
      <c r="B168" s="271" t="s">
        <v>127</v>
      </c>
      <c r="C168" s="271"/>
      <c r="D168" s="271"/>
      <c r="E168" s="271"/>
      <c r="F168" s="271"/>
      <c r="G168" s="271"/>
      <c r="H168" s="271"/>
      <c r="I168" s="271"/>
      <c r="J168" s="271"/>
      <c r="K168" s="271"/>
      <c r="L168" s="271"/>
      <c r="M168" s="271"/>
      <c r="N168" s="271"/>
      <c r="O168" s="271"/>
      <c r="P168" s="271"/>
      <c r="Q168" s="271"/>
      <c r="R168" s="332">
        <f>+R165+R166+R167</f>
        <v>94205</v>
      </c>
      <c r="S168" s="274"/>
      <c r="T168" s="262"/>
      <c r="U168" s="344"/>
    </row>
    <row r="169" spans="1:252" s="263" customFormat="1" x14ac:dyDescent="0.25">
      <c r="A169" s="275"/>
      <c r="B169" s="271" t="s">
        <v>45</v>
      </c>
      <c r="C169" s="271"/>
      <c r="D169" s="271"/>
      <c r="E169" s="271"/>
      <c r="F169" s="271"/>
      <c r="G169" s="271"/>
      <c r="H169" s="271"/>
      <c r="I169" s="271"/>
      <c r="J169" s="271"/>
      <c r="K169" s="271"/>
      <c r="L169" s="271"/>
      <c r="M169" s="271"/>
      <c r="N169" s="271"/>
      <c r="O169" s="271"/>
      <c r="P169" s="271"/>
      <c r="Q169" s="271"/>
      <c r="R169" s="332">
        <f>R72</f>
        <v>94205</v>
      </c>
      <c r="S169" s="274"/>
      <c r="T169" s="262"/>
    </row>
    <row r="170" spans="1:252" ht="16.5" thickBot="1" x14ac:dyDescent="0.3">
      <c r="A170" s="246"/>
      <c r="B170" s="333"/>
      <c r="C170" s="333"/>
      <c r="D170" s="333"/>
      <c r="E170" s="333"/>
      <c r="F170" s="333"/>
      <c r="G170" s="333"/>
      <c r="H170" s="333"/>
      <c r="I170" s="333"/>
      <c r="J170" s="333"/>
      <c r="K170" s="333"/>
      <c r="L170" s="333"/>
      <c r="M170" s="333"/>
      <c r="N170" s="333"/>
      <c r="O170" s="333"/>
      <c r="P170" s="333"/>
      <c r="Q170" s="333"/>
      <c r="R170" s="362"/>
      <c r="S170" s="249"/>
      <c r="T170" s="244"/>
    </row>
    <row r="171" spans="1:252" x14ac:dyDescent="0.25">
      <c r="A171" s="240"/>
      <c r="B171" s="242"/>
      <c r="C171" s="242"/>
      <c r="D171" s="242"/>
      <c r="E171" s="242"/>
      <c r="F171" s="242"/>
      <c r="G171" s="242"/>
      <c r="H171" s="242"/>
      <c r="I171" s="242"/>
      <c r="J171" s="242"/>
      <c r="K171" s="242"/>
      <c r="L171" s="242"/>
      <c r="M171" s="242"/>
      <c r="N171" s="242"/>
      <c r="O171" s="242"/>
      <c r="P171" s="242"/>
      <c r="Q171" s="242"/>
      <c r="R171" s="364"/>
      <c r="S171" s="243"/>
      <c r="T171" s="244"/>
    </row>
    <row r="172" spans="1:252" x14ac:dyDescent="0.25">
      <c r="A172" s="246"/>
      <c r="B172" s="350" t="s">
        <v>46</v>
      </c>
      <c r="C172" s="370"/>
      <c r="D172" s="371"/>
      <c r="E172" s="371"/>
      <c r="F172" s="371"/>
      <c r="G172" s="371"/>
      <c r="H172" s="371"/>
      <c r="I172" s="371"/>
      <c r="J172" s="371"/>
      <c r="K172" s="371"/>
      <c r="L172" s="371"/>
      <c r="M172" s="371"/>
      <c r="N172" s="371"/>
      <c r="O172" s="372" t="s">
        <v>83</v>
      </c>
      <c r="P172" s="372" t="s">
        <v>176</v>
      </c>
      <c r="Q172" s="251"/>
      <c r="R172" s="373" t="s">
        <v>95</v>
      </c>
      <c r="S172" s="374"/>
      <c r="T172" s="244"/>
    </row>
    <row r="173" spans="1:252" s="263" customFormat="1" x14ac:dyDescent="0.25">
      <c r="A173" s="275"/>
      <c r="B173" s="271" t="s">
        <v>47</v>
      </c>
      <c r="C173" s="271"/>
      <c r="D173" s="271"/>
      <c r="E173" s="271"/>
      <c r="F173" s="271"/>
      <c r="G173" s="271"/>
      <c r="H173" s="271"/>
      <c r="I173" s="271"/>
      <c r="J173" s="271"/>
      <c r="K173" s="271"/>
      <c r="L173" s="271"/>
      <c r="M173" s="271"/>
      <c r="N173" s="271"/>
      <c r="O173" s="332">
        <f>+R28*0.08</f>
        <v>28000</v>
      </c>
      <c r="P173" s="304"/>
      <c r="Q173" s="271"/>
      <c r="R173" s="332"/>
      <c r="S173" s="274"/>
      <c r="T173" s="262"/>
    </row>
    <row r="174" spans="1:252" s="263" customFormat="1" x14ac:dyDescent="0.25">
      <c r="A174" s="275"/>
      <c r="B174" s="271" t="s">
        <v>48</v>
      </c>
      <c r="C174" s="271"/>
      <c r="D174" s="271"/>
      <c r="E174" s="271"/>
      <c r="F174" s="271"/>
      <c r="G174" s="271"/>
      <c r="H174" s="271"/>
      <c r="I174" s="271"/>
      <c r="J174" s="271"/>
      <c r="K174" s="271"/>
      <c r="L174" s="271"/>
      <c r="M174" s="271"/>
      <c r="N174" s="271"/>
      <c r="O174" s="332">
        <f>+'Oct 17'!O176</f>
        <v>2036</v>
      </c>
      <c r="P174" s="332">
        <f>+'Oct 17'!P176</f>
        <v>633</v>
      </c>
      <c r="Q174" s="271"/>
      <c r="R174" s="332">
        <f>O174+P174</f>
        <v>2669</v>
      </c>
      <c r="S174" s="274"/>
      <c r="T174" s="262"/>
    </row>
    <row r="175" spans="1:252" s="263" customFormat="1" x14ac:dyDescent="0.25">
      <c r="A175" s="275"/>
      <c r="B175" s="271" t="s">
        <v>49</v>
      </c>
      <c r="C175" s="271"/>
      <c r="D175" s="271"/>
      <c r="E175" s="271"/>
      <c r="F175" s="271"/>
      <c r="G175" s="271"/>
      <c r="H175" s="271"/>
      <c r="I175" s="271"/>
      <c r="J175" s="271"/>
      <c r="K175" s="271"/>
      <c r="L175" s="271"/>
      <c r="M175" s="271"/>
      <c r="N175" s="271"/>
      <c r="O175" s="331">
        <v>0</v>
      </c>
      <c r="P175" s="331">
        <v>0</v>
      </c>
      <c r="Q175" s="271"/>
      <c r="R175" s="332">
        <f>O175+P175</f>
        <v>0</v>
      </c>
      <c r="S175" s="274"/>
      <c r="T175" s="262"/>
    </row>
    <row r="176" spans="1:252" s="263" customFormat="1" x14ac:dyDescent="0.25">
      <c r="A176" s="275"/>
      <c r="B176" s="271" t="s">
        <v>50</v>
      </c>
      <c r="C176" s="271"/>
      <c r="D176" s="271"/>
      <c r="E176" s="271"/>
      <c r="F176" s="271"/>
      <c r="G176" s="271"/>
      <c r="H176" s="271"/>
      <c r="I176" s="271"/>
      <c r="J176" s="271"/>
      <c r="K176" s="271"/>
      <c r="L176" s="271"/>
      <c r="M176" s="271"/>
      <c r="N176" s="271"/>
      <c r="O176" s="332">
        <f>O174+O175</f>
        <v>2036</v>
      </c>
      <c r="P176" s="332">
        <f>P175+P174</f>
        <v>633</v>
      </c>
      <c r="Q176" s="271"/>
      <c r="R176" s="332">
        <f>O176+P176</f>
        <v>2669</v>
      </c>
      <c r="S176" s="274"/>
      <c r="T176" s="262"/>
    </row>
    <row r="177" spans="1:20" s="263" customFormat="1" x14ac:dyDescent="0.25">
      <c r="A177" s="275"/>
      <c r="B177" s="271" t="s">
        <v>51</v>
      </c>
      <c r="C177" s="271"/>
      <c r="D177" s="271"/>
      <c r="E177" s="271"/>
      <c r="F177" s="271"/>
      <c r="G177" s="271"/>
      <c r="H177" s="271"/>
      <c r="I177" s="271"/>
      <c r="J177" s="271"/>
      <c r="K177" s="271"/>
      <c r="L177" s="271"/>
      <c r="M177" s="271"/>
      <c r="N177" s="271"/>
      <c r="O177" s="332">
        <f>O173-O176-P176</f>
        <v>25331</v>
      </c>
      <c r="P177" s="304"/>
      <c r="Q177" s="271"/>
      <c r="R177" s="332"/>
      <c r="S177" s="274"/>
      <c r="T177" s="262"/>
    </row>
    <row r="178" spans="1:20" ht="16.5" thickBot="1" x14ac:dyDescent="0.3">
      <c r="A178" s="246"/>
      <c r="B178" s="333"/>
      <c r="C178" s="333"/>
      <c r="D178" s="333"/>
      <c r="E178" s="333"/>
      <c r="F178" s="333"/>
      <c r="G178" s="333"/>
      <c r="H178" s="333"/>
      <c r="I178" s="333"/>
      <c r="J178" s="333"/>
      <c r="K178" s="333"/>
      <c r="L178" s="333"/>
      <c r="M178" s="333"/>
      <c r="N178" s="333"/>
      <c r="O178" s="333"/>
      <c r="P178" s="333"/>
      <c r="Q178" s="333"/>
      <c r="R178" s="362"/>
      <c r="S178" s="249"/>
      <c r="T178" s="244"/>
    </row>
    <row r="179" spans="1:20" x14ac:dyDescent="0.25">
      <c r="A179" s="240"/>
      <c r="B179" s="242"/>
      <c r="C179" s="242"/>
      <c r="D179" s="242"/>
      <c r="E179" s="242"/>
      <c r="F179" s="242"/>
      <c r="G179" s="242"/>
      <c r="H179" s="242"/>
      <c r="I179" s="242"/>
      <c r="J179" s="242"/>
      <c r="K179" s="242"/>
      <c r="L179" s="242"/>
      <c r="M179" s="242"/>
      <c r="N179" s="242"/>
      <c r="O179" s="242"/>
      <c r="P179" s="242"/>
      <c r="Q179" s="242"/>
      <c r="R179" s="364"/>
      <c r="S179" s="243"/>
      <c r="T179" s="244"/>
    </row>
    <row r="180" spans="1:20" x14ac:dyDescent="0.25">
      <c r="A180" s="246"/>
      <c r="B180" s="350" t="s">
        <v>52</v>
      </c>
      <c r="C180" s="248"/>
      <c r="D180" s="248"/>
      <c r="E180" s="248"/>
      <c r="F180" s="248"/>
      <c r="G180" s="248"/>
      <c r="H180" s="248"/>
      <c r="I180" s="248"/>
      <c r="J180" s="248"/>
      <c r="K180" s="248"/>
      <c r="L180" s="248"/>
      <c r="M180" s="248"/>
      <c r="N180" s="248"/>
      <c r="O180" s="248"/>
      <c r="P180" s="248"/>
      <c r="Q180" s="248"/>
      <c r="R180" s="375"/>
      <c r="S180" s="249"/>
      <c r="T180" s="244"/>
    </row>
    <row r="181" spans="1:20" s="263" customFormat="1" x14ac:dyDescent="0.25">
      <c r="A181" s="275"/>
      <c r="B181" s="271" t="s">
        <v>53</v>
      </c>
      <c r="C181" s="271"/>
      <c r="D181" s="271"/>
      <c r="E181" s="271"/>
      <c r="F181" s="271"/>
      <c r="G181" s="271"/>
      <c r="H181" s="271"/>
      <c r="I181" s="271"/>
      <c r="J181" s="271"/>
      <c r="K181" s="271"/>
      <c r="L181" s="271"/>
      <c r="M181" s="271"/>
      <c r="N181" s="271"/>
      <c r="O181" s="271"/>
      <c r="P181" s="271"/>
      <c r="Q181" s="271"/>
      <c r="R181" s="376">
        <f>(R92+R94+R95+R96+R97)/-(R98)</f>
        <v>6.0172413793103452</v>
      </c>
      <c r="S181" s="274" t="s">
        <v>96</v>
      </c>
      <c r="T181" s="262"/>
    </row>
    <row r="182" spans="1:20" s="263" customFormat="1" x14ac:dyDescent="0.25">
      <c r="A182" s="275"/>
      <c r="B182" s="271" t="s">
        <v>54</v>
      </c>
      <c r="C182" s="271"/>
      <c r="D182" s="271"/>
      <c r="E182" s="271"/>
      <c r="F182" s="271"/>
      <c r="G182" s="271"/>
      <c r="H182" s="271"/>
      <c r="I182" s="271"/>
      <c r="J182" s="271"/>
      <c r="K182" s="271"/>
      <c r="L182" s="271"/>
      <c r="M182" s="271"/>
      <c r="N182" s="271"/>
      <c r="O182" s="271"/>
      <c r="P182" s="271"/>
      <c r="Q182" s="271"/>
      <c r="R182" s="377">
        <v>4.09</v>
      </c>
      <c r="S182" s="274" t="s">
        <v>96</v>
      </c>
      <c r="T182" s="262"/>
    </row>
    <row r="183" spans="1:20" s="263" customFormat="1" x14ac:dyDescent="0.25">
      <c r="A183" s="275"/>
      <c r="B183" s="271" t="s">
        <v>189</v>
      </c>
      <c r="C183" s="271"/>
      <c r="D183" s="271"/>
      <c r="E183" s="271"/>
      <c r="F183" s="271"/>
      <c r="G183" s="271"/>
      <c r="H183" s="271"/>
      <c r="I183" s="271"/>
      <c r="J183" s="271"/>
      <c r="K183" s="271"/>
      <c r="L183" s="271"/>
      <c r="M183" s="271"/>
      <c r="N183" s="271"/>
      <c r="O183" s="271"/>
      <c r="P183" s="271"/>
      <c r="Q183" s="271"/>
      <c r="R183" s="376">
        <f>(R92+R94+R95+R96+R97+R98)/-(R99)</f>
        <v>12.652173913043478</v>
      </c>
      <c r="S183" s="274" t="s">
        <v>96</v>
      </c>
      <c r="T183" s="262"/>
    </row>
    <row r="184" spans="1:20" s="263" customFormat="1" x14ac:dyDescent="0.25">
      <c r="A184" s="275"/>
      <c r="B184" s="271" t="s">
        <v>190</v>
      </c>
      <c r="C184" s="271"/>
      <c r="D184" s="271"/>
      <c r="E184" s="271"/>
      <c r="F184" s="271"/>
      <c r="G184" s="271"/>
      <c r="H184" s="271"/>
      <c r="I184" s="271"/>
      <c r="J184" s="271"/>
      <c r="K184" s="271"/>
      <c r="L184" s="271"/>
      <c r="M184" s="271"/>
      <c r="N184" s="271"/>
      <c r="O184" s="271"/>
      <c r="P184" s="271"/>
      <c r="Q184" s="271"/>
      <c r="R184" s="377">
        <v>22.42</v>
      </c>
      <c r="S184" s="274" t="s">
        <v>96</v>
      </c>
      <c r="T184" s="262"/>
    </row>
    <row r="185" spans="1:20" s="263" customFormat="1" x14ac:dyDescent="0.25">
      <c r="A185" s="275"/>
      <c r="B185" s="271" t="s">
        <v>191</v>
      </c>
      <c r="C185" s="271"/>
      <c r="D185" s="271"/>
      <c r="E185" s="271"/>
      <c r="F185" s="271"/>
      <c r="G185" s="271"/>
      <c r="H185" s="271"/>
      <c r="I185" s="271"/>
      <c r="J185" s="271"/>
      <c r="K185" s="271"/>
      <c r="L185" s="271"/>
      <c r="M185" s="271"/>
      <c r="N185" s="271"/>
      <c r="O185" s="271"/>
      <c r="P185" s="271"/>
      <c r="Q185" s="271"/>
      <c r="R185" s="376">
        <f>(R92+R94+R95+R96+R97+R98+R99+R100+R101+R102+R103+R104)/-(R105)</f>
        <v>30.818181818181817</v>
      </c>
      <c r="S185" s="274" t="s">
        <v>96</v>
      </c>
      <c r="T185" s="262"/>
    </row>
    <row r="186" spans="1:20" s="263" customFormat="1" x14ac:dyDescent="0.25">
      <c r="A186" s="275"/>
      <c r="B186" s="271" t="s">
        <v>192</v>
      </c>
      <c r="C186" s="271"/>
      <c r="D186" s="271"/>
      <c r="E186" s="271"/>
      <c r="F186" s="271"/>
      <c r="G186" s="271"/>
      <c r="H186" s="271"/>
      <c r="I186" s="271"/>
      <c r="J186" s="271"/>
      <c r="K186" s="271"/>
      <c r="L186" s="271"/>
      <c r="M186" s="271"/>
      <c r="N186" s="271"/>
      <c r="O186" s="271"/>
      <c r="P186" s="271"/>
      <c r="Q186" s="271"/>
      <c r="R186" s="377">
        <v>57.5</v>
      </c>
      <c r="S186" s="274" t="s">
        <v>96</v>
      </c>
      <c r="T186" s="262"/>
    </row>
    <row r="187" spans="1:20" s="263" customFormat="1" x14ac:dyDescent="0.25">
      <c r="A187" s="275"/>
      <c r="B187" s="271"/>
      <c r="C187" s="271"/>
      <c r="D187" s="271"/>
      <c r="E187" s="271"/>
      <c r="F187" s="271"/>
      <c r="G187" s="271"/>
      <c r="H187" s="271"/>
      <c r="I187" s="271"/>
      <c r="J187" s="271"/>
      <c r="K187" s="271"/>
      <c r="L187" s="271"/>
      <c r="M187" s="271"/>
      <c r="N187" s="271"/>
      <c r="O187" s="271"/>
      <c r="P187" s="271"/>
      <c r="Q187" s="271"/>
      <c r="R187" s="271"/>
      <c r="S187" s="274"/>
      <c r="T187" s="262"/>
    </row>
    <row r="188" spans="1:20" s="263" customFormat="1" x14ac:dyDescent="0.25">
      <c r="A188" s="258"/>
      <c r="B188" s="313"/>
      <c r="C188" s="313"/>
      <c r="D188" s="313"/>
      <c r="E188" s="313"/>
      <c r="F188" s="313"/>
      <c r="G188" s="313"/>
      <c r="H188" s="313"/>
      <c r="I188" s="313"/>
      <c r="J188" s="313"/>
      <c r="K188" s="313"/>
      <c r="L188" s="313"/>
      <c r="M188" s="313"/>
      <c r="N188" s="313"/>
      <c r="O188" s="313"/>
      <c r="P188" s="313"/>
      <c r="Q188" s="313"/>
      <c r="R188" s="313"/>
      <c r="S188" s="261"/>
      <c r="T188" s="262"/>
    </row>
    <row r="189" spans="1:20" s="263" customFormat="1" x14ac:dyDescent="0.25">
      <c r="A189" s="258"/>
      <c r="B189" s="259"/>
      <c r="C189" s="259"/>
      <c r="D189" s="259"/>
      <c r="E189" s="259"/>
      <c r="F189" s="259"/>
      <c r="G189" s="259"/>
      <c r="H189" s="259"/>
      <c r="I189" s="259"/>
      <c r="J189" s="259"/>
      <c r="K189" s="259"/>
      <c r="L189" s="259"/>
      <c r="M189" s="259"/>
      <c r="N189" s="259"/>
      <c r="O189" s="259"/>
      <c r="P189" s="259"/>
      <c r="Q189" s="259"/>
      <c r="R189" s="259"/>
      <c r="S189" s="261"/>
      <c r="T189" s="262"/>
    </row>
    <row r="190" spans="1:20" s="263" customFormat="1" ht="19.5" thickBot="1" x14ac:dyDescent="0.35">
      <c r="A190" s="318"/>
      <c r="B190" s="319" t="str">
        <f>B121</f>
        <v>PM20 INVESTOR REPORT QUARTER ENDING JANUARY 2018</v>
      </c>
      <c r="C190" s="320"/>
      <c r="D190" s="320"/>
      <c r="E190" s="320"/>
      <c r="F190" s="320"/>
      <c r="G190" s="320"/>
      <c r="H190" s="320"/>
      <c r="I190" s="320"/>
      <c r="J190" s="320"/>
      <c r="K190" s="320"/>
      <c r="L190" s="320"/>
      <c r="M190" s="320"/>
      <c r="N190" s="320"/>
      <c r="O190" s="320"/>
      <c r="P190" s="320"/>
      <c r="Q190" s="320"/>
      <c r="R190" s="320"/>
      <c r="S190" s="322"/>
      <c r="T190" s="262"/>
    </row>
    <row r="191" spans="1:20" x14ac:dyDescent="0.25">
      <c r="A191" s="449"/>
      <c r="B191" s="450" t="s">
        <v>55</v>
      </c>
      <c r="C191" s="454"/>
      <c r="D191" s="455"/>
      <c r="E191" s="455"/>
      <c r="F191" s="455"/>
      <c r="G191" s="455"/>
      <c r="H191" s="455"/>
      <c r="I191" s="455"/>
      <c r="J191" s="455"/>
      <c r="K191" s="455"/>
      <c r="L191" s="455"/>
      <c r="M191" s="455"/>
      <c r="N191" s="455"/>
      <c r="O191" s="455"/>
      <c r="P191" s="455">
        <v>43131</v>
      </c>
      <c r="Q191" s="451"/>
      <c r="R191" s="451"/>
      <c r="S191" s="453"/>
      <c r="T191" s="244"/>
    </row>
    <row r="192" spans="1:20" x14ac:dyDescent="0.25">
      <c r="A192" s="378"/>
      <c r="B192" s="379"/>
      <c r="C192" s="380"/>
      <c r="D192" s="381"/>
      <c r="E192" s="381"/>
      <c r="F192" s="381"/>
      <c r="G192" s="381"/>
      <c r="H192" s="381"/>
      <c r="I192" s="381"/>
      <c r="J192" s="381"/>
      <c r="K192" s="381"/>
      <c r="L192" s="381"/>
      <c r="M192" s="381"/>
      <c r="N192" s="381"/>
      <c r="O192" s="381"/>
      <c r="P192" s="381"/>
      <c r="Q192" s="248"/>
      <c r="R192" s="248"/>
      <c r="S192" s="249"/>
      <c r="T192" s="244"/>
    </row>
    <row r="193" spans="1:20" s="263" customFormat="1" x14ac:dyDescent="0.25">
      <c r="A193" s="275"/>
      <c r="B193" s="271" t="s">
        <v>56</v>
      </c>
      <c r="C193" s="382"/>
      <c r="D193" s="307"/>
      <c r="E193" s="307"/>
      <c r="F193" s="307"/>
      <c r="G193" s="307"/>
      <c r="H193" s="307"/>
      <c r="I193" s="307"/>
      <c r="J193" s="307"/>
      <c r="K193" s="307"/>
      <c r="L193" s="307"/>
      <c r="M193" s="307"/>
      <c r="N193" s="307"/>
      <c r="O193" s="307"/>
      <c r="P193" s="301">
        <v>4.5449999999999997E-2</v>
      </c>
      <c r="Q193" s="271"/>
      <c r="R193" s="271"/>
      <c r="S193" s="274"/>
      <c r="T193" s="262"/>
    </row>
    <row r="194" spans="1:20" s="263" customFormat="1" x14ac:dyDescent="0.25">
      <c r="A194" s="275"/>
      <c r="B194" s="271" t="s">
        <v>164</v>
      </c>
      <c r="C194" s="382"/>
      <c r="D194" s="307"/>
      <c r="E194" s="307"/>
      <c r="F194" s="307"/>
      <c r="G194" s="307"/>
      <c r="H194" s="307"/>
      <c r="I194" s="307"/>
      <c r="J194" s="307"/>
      <c r="K194" s="307"/>
      <c r="L194" s="307"/>
      <c r="M194" s="307"/>
      <c r="N194" s="307"/>
      <c r="O194" s="307"/>
      <c r="P194" s="301">
        <v>1.3245728571428571E-2</v>
      </c>
      <c r="Q194" s="271"/>
      <c r="R194" s="271"/>
      <c r="S194" s="274"/>
      <c r="T194" s="262"/>
    </row>
    <row r="195" spans="1:20" s="263" customFormat="1" x14ac:dyDescent="0.25">
      <c r="A195" s="275"/>
      <c r="B195" s="271" t="s">
        <v>57</v>
      </c>
      <c r="C195" s="382"/>
      <c r="D195" s="307"/>
      <c r="E195" s="307"/>
      <c r="F195" s="307"/>
      <c r="G195" s="307"/>
      <c r="H195" s="307"/>
      <c r="I195" s="307"/>
      <c r="J195" s="307"/>
      <c r="K195" s="307"/>
      <c r="L195" s="307"/>
      <c r="M195" s="307"/>
      <c r="N195" s="307"/>
      <c r="O195" s="307"/>
      <c r="P195" s="301">
        <f>P193-P194</f>
        <v>3.2204271428571428E-2</v>
      </c>
      <c r="Q195" s="271"/>
      <c r="R195" s="271"/>
      <c r="S195" s="274"/>
      <c r="T195" s="262"/>
    </row>
    <row r="196" spans="1:20" s="263" customFormat="1" x14ac:dyDescent="0.25">
      <c r="A196" s="275"/>
      <c r="B196" s="271" t="s">
        <v>167</v>
      </c>
      <c r="C196" s="382"/>
      <c r="D196" s="307"/>
      <c r="E196" s="307"/>
      <c r="F196" s="307"/>
      <c r="G196" s="307"/>
      <c r="H196" s="307"/>
      <c r="I196" s="307"/>
      <c r="J196" s="307"/>
      <c r="K196" s="307"/>
      <c r="L196" s="307"/>
      <c r="M196" s="307"/>
      <c r="N196" s="307"/>
      <c r="O196" s="307"/>
      <c r="P196" s="301">
        <v>4.5262499999999997E-2</v>
      </c>
      <c r="Q196" s="271"/>
      <c r="R196" s="271"/>
      <c r="S196" s="274"/>
      <c r="T196" s="262"/>
    </row>
    <row r="197" spans="1:20" s="263" customFormat="1" x14ac:dyDescent="0.25">
      <c r="A197" s="275"/>
      <c r="B197" s="271" t="s">
        <v>58</v>
      </c>
      <c r="C197" s="382"/>
      <c r="D197" s="307"/>
      <c r="E197" s="307"/>
      <c r="F197" s="307"/>
      <c r="G197" s="307"/>
      <c r="H197" s="307"/>
      <c r="I197" s="307"/>
      <c r="J197" s="307"/>
      <c r="K197" s="307"/>
      <c r="L197" s="307"/>
      <c r="M197" s="307"/>
      <c r="N197" s="307"/>
      <c r="O197" s="307"/>
      <c r="P197" s="301">
        <v>5.3839999999999999E-2</v>
      </c>
      <c r="Q197" s="271"/>
      <c r="R197" s="271"/>
      <c r="S197" s="274"/>
      <c r="T197" s="262"/>
    </row>
    <row r="198" spans="1:20" s="263" customFormat="1" x14ac:dyDescent="0.25">
      <c r="A198" s="275"/>
      <c r="B198" s="271" t="s">
        <v>165</v>
      </c>
      <c r="C198" s="382"/>
      <c r="D198" s="307"/>
      <c r="E198" s="307"/>
      <c r="F198" s="307"/>
      <c r="G198" s="307"/>
      <c r="H198" s="307"/>
      <c r="I198" s="307"/>
      <c r="J198" s="307"/>
      <c r="K198" s="307"/>
      <c r="L198" s="307"/>
      <c r="M198" s="307"/>
      <c r="N198" s="307"/>
      <c r="O198" s="307"/>
      <c r="P198" s="301">
        <f>R34</f>
        <v>1.3215052454031831E-2</v>
      </c>
      <c r="Q198" s="271"/>
      <c r="R198" s="271"/>
      <c r="S198" s="274"/>
      <c r="T198" s="262"/>
    </row>
    <row r="199" spans="1:20" s="263" customFormat="1" x14ac:dyDescent="0.25">
      <c r="A199" s="275"/>
      <c r="B199" s="271" t="s">
        <v>59</v>
      </c>
      <c r="C199" s="382"/>
      <c r="D199" s="307"/>
      <c r="E199" s="307"/>
      <c r="F199" s="307"/>
      <c r="G199" s="307"/>
      <c r="H199" s="307"/>
      <c r="I199" s="307"/>
      <c r="J199" s="307"/>
      <c r="K199" s="307"/>
      <c r="L199" s="307"/>
      <c r="M199" s="307"/>
      <c r="N199" s="307"/>
      <c r="O199" s="307"/>
      <c r="P199" s="301">
        <f>P197-P198</f>
        <v>4.0624947545968168E-2</v>
      </c>
      <c r="Q199" s="271"/>
      <c r="R199" s="271"/>
      <c r="S199" s="274"/>
      <c r="T199" s="262"/>
    </row>
    <row r="200" spans="1:20" s="263" customFormat="1" x14ac:dyDescent="0.25">
      <c r="A200" s="275"/>
      <c r="B200" s="271" t="s">
        <v>142</v>
      </c>
      <c r="C200" s="382"/>
      <c r="D200" s="307"/>
      <c r="E200" s="307"/>
      <c r="F200" s="307"/>
      <c r="G200" s="307"/>
      <c r="H200" s="307"/>
      <c r="I200" s="307"/>
      <c r="J200" s="307"/>
      <c r="K200" s="307"/>
      <c r="L200" s="307"/>
      <c r="M200" s="307"/>
      <c r="N200" s="307"/>
      <c r="O200" s="307"/>
      <c r="P200" s="301">
        <f>(+R92+R94)/H72</f>
        <v>1.3724412310043139E-2</v>
      </c>
      <c r="Q200" s="271"/>
      <c r="R200" s="271"/>
      <c r="S200" s="274"/>
      <c r="T200" s="262"/>
    </row>
    <row r="201" spans="1:20" s="263" customFormat="1" x14ac:dyDescent="0.25">
      <c r="A201" s="275"/>
      <c r="B201" s="271" t="s">
        <v>135</v>
      </c>
      <c r="C201" s="382"/>
      <c r="D201" s="307"/>
      <c r="E201" s="307"/>
      <c r="F201" s="307"/>
      <c r="G201" s="307"/>
      <c r="H201" s="307"/>
      <c r="I201" s="307"/>
      <c r="J201" s="307"/>
      <c r="K201" s="307"/>
      <c r="L201" s="307"/>
      <c r="M201" s="307"/>
      <c r="N201" s="307"/>
      <c r="O201" s="307"/>
      <c r="P201" s="383">
        <v>51820</v>
      </c>
      <c r="Q201" s="271"/>
      <c r="R201" s="271"/>
      <c r="S201" s="274"/>
      <c r="T201" s="262"/>
    </row>
    <row r="202" spans="1:20" s="263" customFormat="1" x14ac:dyDescent="0.25">
      <c r="A202" s="275"/>
      <c r="B202" s="271" t="s">
        <v>193</v>
      </c>
      <c r="C202" s="382"/>
      <c r="D202" s="307"/>
      <c r="E202" s="307"/>
      <c r="F202" s="307"/>
      <c r="G202" s="307"/>
      <c r="H202" s="307"/>
      <c r="I202" s="307"/>
      <c r="J202" s="307"/>
      <c r="K202" s="307"/>
      <c r="L202" s="307"/>
      <c r="M202" s="307"/>
      <c r="N202" s="307"/>
      <c r="O202" s="307"/>
      <c r="P202" s="383">
        <v>51820</v>
      </c>
      <c r="Q202" s="271"/>
      <c r="R202" s="271"/>
      <c r="S202" s="274"/>
      <c r="T202" s="262"/>
    </row>
    <row r="203" spans="1:20" s="263" customFormat="1" x14ac:dyDescent="0.25">
      <c r="A203" s="275"/>
      <c r="B203" s="271" t="s">
        <v>194</v>
      </c>
      <c r="C203" s="382"/>
      <c r="D203" s="307"/>
      <c r="E203" s="307"/>
      <c r="F203" s="307"/>
      <c r="G203" s="307"/>
      <c r="H203" s="307"/>
      <c r="I203" s="307"/>
      <c r="J203" s="307"/>
      <c r="K203" s="307"/>
      <c r="L203" s="307"/>
      <c r="M203" s="307"/>
      <c r="N203" s="307"/>
      <c r="O203" s="307"/>
      <c r="P203" s="383">
        <v>51820</v>
      </c>
      <c r="Q203" s="271"/>
      <c r="R203" s="271"/>
      <c r="S203" s="274"/>
      <c r="T203" s="262"/>
    </row>
    <row r="204" spans="1:20" s="263" customFormat="1" x14ac:dyDescent="0.25">
      <c r="A204" s="275"/>
      <c r="B204" s="271" t="s">
        <v>60</v>
      </c>
      <c r="C204" s="382"/>
      <c r="D204" s="307"/>
      <c r="E204" s="307"/>
      <c r="F204" s="307"/>
      <c r="G204" s="307"/>
      <c r="H204" s="307"/>
      <c r="I204" s="307"/>
      <c r="J204" s="307"/>
      <c r="K204" s="307"/>
      <c r="L204" s="307"/>
      <c r="M204" s="307"/>
      <c r="N204" s="307"/>
      <c r="O204" s="307"/>
      <c r="P204" s="305">
        <v>18.95</v>
      </c>
      <c r="Q204" s="271" t="s">
        <v>91</v>
      </c>
      <c r="R204" s="271"/>
      <c r="S204" s="274"/>
      <c r="T204" s="262"/>
    </row>
    <row r="205" spans="1:20" s="263" customFormat="1" x14ac:dyDescent="0.25">
      <c r="A205" s="275"/>
      <c r="B205" s="271" t="s">
        <v>61</v>
      </c>
      <c r="C205" s="382"/>
      <c r="D205" s="307"/>
      <c r="E205" s="307"/>
      <c r="F205" s="307"/>
      <c r="G205" s="307"/>
      <c r="H205" s="307"/>
      <c r="I205" s="307"/>
      <c r="J205" s="307"/>
      <c r="K205" s="307"/>
      <c r="L205" s="307"/>
      <c r="M205" s="307"/>
      <c r="N205" s="307"/>
      <c r="O205" s="307"/>
      <c r="P205" s="305">
        <v>15.03</v>
      </c>
      <c r="Q205" s="271" t="s">
        <v>91</v>
      </c>
      <c r="R205" s="271"/>
      <c r="S205" s="274"/>
      <c r="T205" s="262"/>
    </row>
    <row r="206" spans="1:20" s="263" customFormat="1" x14ac:dyDescent="0.25">
      <c r="A206" s="275"/>
      <c r="B206" s="271" t="s">
        <v>62</v>
      </c>
      <c r="C206" s="382"/>
      <c r="D206" s="307"/>
      <c r="E206" s="307"/>
      <c r="F206" s="307"/>
      <c r="G206" s="307"/>
      <c r="H206" s="307"/>
      <c r="I206" s="307"/>
      <c r="J206" s="307"/>
      <c r="K206" s="307"/>
      <c r="L206" s="307"/>
      <c r="M206" s="307"/>
      <c r="N206" s="307"/>
      <c r="O206" s="307"/>
      <c r="P206" s="301">
        <f>(+J56+L56+P56)/H56</f>
        <v>0.12226187259496678</v>
      </c>
      <c r="Q206" s="271"/>
      <c r="R206" s="271"/>
      <c r="S206" s="274"/>
      <c r="T206" s="262"/>
    </row>
    <row r="207" spans="1:20" s="263" customFormat="1" x14ac:dyDescent="0.25">
      <c r="A207" s="275"/>
      <c r="B207" s="271" t="s">
        <v>63</v>
      </c>
      <c r="C207" s="382"/>
      <c r="D207" s="307"/>
      <c r="E207" s="307"/>
      <c r="F207" s="307"/>
      <c r="G207" s="307"/>
      <c r="H207" s="307"/>
      <c r="I207" s="307"/>
      <c r="J207" s="307"/>
      <c r="K207" s="307"/>
      <c r="L207" s="307"/>
      <c r="M207" s="307"/>
      <c r="N207" s="307"/>
      <c r="O207" s="307"/>
      <c r="P207" s="301">
        <v>0.30990000000000001</v>
      </c>
      <c r="Q207" s="271"/>
      <c r="R207" s="271"/>
      <c r="S207" s="274"/>
      <c r="T207" s="262"/>
    </row>
    <row r="208" spans="1:20" x14ac:dyDescent="0.25">
      <c r="A208" s="378"/>
      <c r="B208" s="384"/>
      <c r="C208" s="384"/>
      <c r="D208" s="333"/>
      <c r="E208" s="333"/>
      <c r="F208" s="333"/>
      <c r="G208" s="333"/>
      <c r="H208" s="333"/>
      <c r="I208" s="333"/>
      <c r="J208" s="333"/>
      <c r="K208" s="333"/>
      <c r="L208" s="333"/>
      <c r="M208" s="333"/>
      <c r="N208" s="333"/>
      <c r="O208" s="333"/>
      <c r="P208" s="362"/>
      <c r="Q208" s="333"/>
      <c r="R208" s="385"/>
      <c r="S208" s="249"/>
      <c r="T208" s="244"/>
    </row>
    <row r="209" spans="1:20" x14ac:dyDescent="0.25">
      <c r="A209" s="456"/>
      <c r="B209" s="445" t="s">
        <v>64</v>
      </c>
      <c r="C209" s="446"/>
      <c r="D209" s="446"/>
      <c r="E209" s="446"/>
      <c r="F209" s="446"/>
      <c r="G209" s="446"/>
      <c r="H209" s="446"/>
      <c r="I209" s="446"/>
      <c r="J209" s="446"/>
      <c r="K209" s="446"/>
      <c r="L209" s="446"/>
      <c r="M209" s="446"/>
      <c r="N209" s="446"/>
      <c r="O209" s="446" t="s">
        <v>84</v>
      </c>
      <c r="P209" s="462" t="s">
        <v>89</v>
      </c>
      <c r="Q209" s="440"/>
      <c r="R209" s="440"/>
      <c r="S209" s="434"/>
      <c r="T209" s="244"/>
    </row>
    <row r="210" spans="1:20" s="263" customFormat="1" x14ac:dyDescent="0.25">
      <c r="A210" s="457"/>
      <c r="B210" s="313" t="s">
        <v>65</v>
      </c>
      <c r="C210" s="346"/>
      <c r="D210" s="458"/>
      <c r="E210" s="458"/>
      <c r="F210" s="458"/>
      <c r="G210" s="458"/>
      <c r="H210" s="458"/>
      <c r="I210" s="458"/>
      <c r="J210" s="458"/>
      <c r="K210" s="458"/>
      <c r="L210" s="458"/>
      <c r="M210" s="458"/>
      <c r="N210" s="458"/>
      <c r="O210" s="458">
        <v>0</v>
      </c>
      <c r="P210" s="459">
        <v>0</v>
      </c>
      <c r="Q210" s="313"/>
      <c r="R210" s="460"/>
      <c r="S210" s="461"/>
      <c r="T210" s="262"/>
    </row>
    <row r="211" spans="1:20" s="263" customFormat="1" x14ac:dyDescent="0.25">
      <c r="A211" s="386"/>
      <c r="B211" s="271" t="s">
        <v>114</v>
      </c>
      <c r="C211" s="331"/>
      <c r="D211" s="277"/>
      <c r="E211" s="277"/>
      <c r="F211" s="277"/>
      <c r="G211" s="277"/>
      <c r="H211" s="277"/>
      <c r="I211" s="277"/>
      <c r="J211" s="277"/>
      <c r="K211" s="277"/>
      <c r="L211" s="277"/>
      <c r="M211" s="277"/>
      <c r="N211" s="277"/>
      <c r="O211" s="387">
        <f>+N263</f>
        <v>2</v>
      </c>
      <c r="P211" s="388">
        <f>+P263</f>
        <v>122</v>
      </c>
      <c r="Q211" s="271"/>
      <c r="R211" s="389"/>
      <c r="S211" s="390"/>
      <c r="T211" s="262"/>
    </row>
    <row r="212" spans="1:20" s="263" customFormat="1" x14ac:dyDescent="0.25">
      <c r="A212" s="386"/>
      <c r="B212" s="271" t="s">
        <v>66</v>
      </c>
      <c r="C212" s="331"/>
      <c r="D212" s="277"/>
      <c r="E212" s="277"/>
      <c r="F212" s="277"/>
      <c r="G212" s="277"/>
      <c r="H212" s="277"/>
      <c r="I212" s="277"/>
      <c r="J212" s="277"/>
      <c r="K212" s="277"/>
      <c r="L212" s="277"/>
      <c r="M212" s="277"/>
      <c r="N212" s="277"/>
      <c r="O212" s="387">
        <f>+N275</f>
        <v>0</v>
      </c>
      <c r="P212" s="388">
        <f>+P275</f>
        <v>0</v>
      </c>
      <c r="Q212" s="271"/>
      <c r="R212" s="389"/>
      <c r="S212" s="390"/>
      <c r="T212" s="262"/>
    </row>
    <row r="213" spans="1:20" x14ac:dyDescent="0.25">
      <c r="A213" s="391"/>
      <c r="B213" s="291" t="s">
        <v>254</v>
      </c>
      <c r="C213" s="392"/>
      <c r="D213" s="296"/>
      <c r="E213" s="296"/>
      <c r="F213" s="296"/>
      <c r="G213" s="296"/>
      <c r="H213" s="296"/>
      <c r="I213" s="296"/>
      <c r="J213" s="296"/>
      <c r="K213" s="296"/>
      <c r="L213" s="296"/>
      <c r="M213" s="296"/>
      <c r="N213" s="296"/>
      <c r="O213" s="342"/>
      <c r="P213" s="388">
        <f>+P56</f>
        <v>6816</v>
      </c>
      <c r="Q213" s="296"/>
      <c r="R213" s="393"/>
      <c r="S213" s="394"/>
      <c r="T213" s="244"/>
    </row>
    <row r="214" spans="1:20" x14ac:dyDescent="0.25">
      <c r="A214" s="391"/>
      <c r="B214" s="291" t="s">
        <v>143</v>
      </c>
      <c r="C214" s="392"/>
      <c r="D214" s="296"/>
      <c r="E214" s="296"/>
      <c r="F214" s="296"/>
      <c r="G214" s="296"/>
      <c r="H214" s="296"/>
      <c r="I214" s="296"/>
      <c r="J214" s="296"/>
      <c r="K214" s="296"/>
      <c r="L214" s="296"/>
      <c r="M214" s="296"/>
      <c r="N214" s="296"/>
      <c r="O214" s="342"/>
      <c r="P214" s="388">
        <f>-J69</f>
        <v>0</v>
      </c>
      <c r="Q214" s="296"/>
      <c r="R214" s="393"/>
      <c r="S214" s="394"/>
      <c r="T214" s="244"/>
    </row>
    <row r="215" spans="1:20" x14ac:dyDescent="0.25">
      <c r="A215" s="395"/>
      <c r="B215" s="291" t="s">
        <v>68</v>
      </c>
      <c r="C215" s="396"/>
      <c r="D215" s="296"/>
      <c r="E215" s="296"/>
      <c r="F215" s="296"/>
      <c r="G215" s="296"/>
      <c r="H215" s="296"/>
      <c r="I215" s="296"/>
      <c r="J215" s="296"/>
      <c r="K215" s="296"/>
      <c r="L215" s="296"/>
      <c r="M215" s="296"/>
      <c r="N215" s="296"/>
      <c r="O215" s="342"/>
      <c r="P215" s="397"/>
      <c r="Q215" s="296"/>
      <c r="R215" s="393"/>
      <c r="S215" s="398"/>
      <c r="T215" s="244"/>
    </row>
    <row r="216" spans="1:20" s="263" customFormat="1" x14ac:dyDescent="0.25">
      <c r="A216" s="399"/>
      <c r="B216" s="271" t="s">
        <v>69</v>
      </c>
      <c r="C216" s="271"/>
      <c r="D216" s="271"/>
      <c r="E216" s="271"/>
      <c r="F216" s="271"/>
      <c r="G216" s="271"/>
      <c r="H216" s="271"/>
      <c r="I216" s="271"/>
      <c r="J216" s="271"/>
      <c r="K216" s="271"/>
      <c r="L216" s="271"/>
      <c r="M216" s="271"/>
      <c r="N216" s="271"/>
      <c r="O216" s="277"/>
      <c r="P216" s="388">
        <f>R150</f>
        <v>30</v>
      </c>
      <c r="Q216" s="271"/>
      <c r="R216" s="389"/>
      <c r="S216" s="400"/>
      <c r="T216" s="262"/>
    </row>
    <row r="217" spans="1:20" s="263" customFormat="1" x14ac:dyDescent="0.25">
      <c r="A217" s="386"/>
      <c r="B217" s="271" t="s">
        <v>70</v>
      </c>
      <c r="C217" s="331"/>
      <c r="D217" s="271"/>
      <c r="E217" s="271"/>
      <c r="F217" s="271"/>
      <c r="G217" s="271"/>
      <c r="H217" s="271"/>
      <c r="I217" s="271"/>
      <c r="J217" s="271"/>
      <c r="K217" s="271"/>
      <c r="L217" s="271"/>
      <c r="M217" s="271"/>
      <c r="N217" s="271"/>
      <c r="O217" s="277"/>
      <c r="P217" s="388">
        <f>'Oct 17'!P217+P216</f>
        <v>506</v>
      </c>
      <c r="Q217" s="271"/>
      <c r="R217" s="389"/>
      <c r="S217" s="400"/>
      <c r="T217" s="262"/>
    </row>
    <row r="218" spans="1:20" x14ac:dyDescent="0.25">
      <c r="A218" s="395"/>
      <c r="B218" s="291" t="s">
        <v>154</v>
      </c>
      <c r="C218" s="396"/>
      <c r="D218" s="296"/>
      <c r="E218" s="296"/>
      <c r="F218" s="296"/>
      <c r="G218" s="296"/>
      <c r="H218" s="296"/>
      <c r="I218" s="296"/>
      <c r="J218" s="296"/>
      <c r="K218" s="296"/>
      <c r="L218" s="296"/>
      <c r="M218" s="296"/>
      <c r="N218" s="296"/>
      <c r="O218" s="401"/>
      <c r="P218" s="397"/>
      <c r="Q218" s="296"/>
      <c r="R218" s="393"/>
      <c r="S218" s="398"/>
      <c r="T218" s="244"/>
    </row>
    <row r="219" spans="1:20" s="263" customFormat="1" x14ac:dyDescent="0.25">
      <c r="A219" s="399"/>
      <c r="B219" s="271" t="s">
        <v>166</v>
      </c>
      <c r="C219" s="271"/>
      <c r="D219" s="271"/>
      <c r="E219" s="271"/>
      <c r="F219" s="271"/>
      <c r="G219" s="271"/>
      <c r="H219" s="271"/>
      <c r="I219" s="271"/>
      <c r="J219" s="271"/>
      <c r="K219" s="271"/>
      <c r="L219" s="271"/>
      <c r="M219" s="271"/>
      <c r="N219" s="271"/>
      <c r="O219" s="277">
        <v>0</v>
      </c>
      <c r="P219" s="388">
        <v>0</v>
      </c>
      <c r="Q219" s="271"/>
      <c r="R219" s="389"/>
      <c r="S219" s="400"/>
      <c r="T219" s="262"/>
    </row>
    <row r="220" spans="1:20" s="263" customFormat="1" x14ac:dyDescent="0.25">
      <c r="A220" s="386"/>
      <c r="B220" s="271" t="s">
        <v>71</v>
      </c>
      <c r="C220" s="304"/>
      <c r="D220" s="271"/>
      <c r="E220" s="271"/>
      <c r="F220" s="271"/>
      <c r="G220" s="271"/>
      <c r="H220" s="271"/>
      <c r="I220" s="271"/>
      <c r="J220" s="271"/>
      <c r="K220" s="271"/>
      <c r="L220" s="271"/>
      <c r="M220" s="271"/>
      <c r="N220" s="271"/>
      <c r="O220" s="271"/>
      <c r="P220" s="402">
        <v>0</v>
      </c>
      <c r="Q220" s="271"/>
      <c r="R220" s="389"/>
      <c r="S220" s="400"/>
      <c r="T220" s="262"/>
    </row>
    <row r="221" spans="1:20" s="263" customFormat="1" x14ac:dyDescent="0.25">
      <c r="A221" s="386"/>
      <c r="B221" s="271" t="s">
        <v>72</v>
      </c>
      <c r="C221" s="304"/>
      <c r="D221" s="271"/>
      <c r="E221" s="271"/>
      <c r="F221" s="271"/>
      <c r="G221" s="271"/>
      <c r="H221" s="271"/>
      <c r="I221" s="271"/>
      <c r="J221" s="271"/>
      <c r="K221" s="271"/>
      <c r="L221" s="271"/>
      <c r="M221" s="271"/>
      <c r="N221" s="271"/>
      <c r="O221" s="271"/>
      <c r="P221" s="402">
        <v>0</v>
      </c>
      <c r="Q221" s="271"/>
      <c r="R221" s="389"/>
      <c r="S221" s="400"/>
      <c r="T221" s="262"/>
    </row>
    <row r="222" spans="1:20" x14ac:dyDescent="0.25">
      <c r="A222" s="391"/>
      <c r="B222" s="291" t="s">
        <v>139</v>
      </c>
      <c r="C222" s="403"/>
      <c r="D222" s="296"/>
      <c r="E222" s="296"/>
      <c r="F222" s="296"/>
      <c r="G222" s="296"/>
      <c r="H222" s="296"/>
      <c r="I222" s="296"/>
      <c r="J222" s="296"/>
      <c r="K222" s="296"/>
      <c r="L222" s="296"/>
      <c r="M222" s="296"/>
      <c r="N222" s="296"/>
      <c r="O222" s="342"/>
      <c r="P222" s="404"/>
      <c r="Q222" s="296"/>
      <c r="R222" s="393"/>
      <c r="S222" s="398"/>
      <c r="T222" s="244"/>
    </row>
    <row r="223" spans="1:20" s="263" customFormat="1" x14ac:dyDescent="0.25">
      <c r="A223" s="386"/>
      <c r="B223" s="271" t="s">
        <v>166</v>
      </c>
      <c r="C223" s="304"/>
      <c r="D223" s="271"/>
      <c r="E223" s="271"/>
      <c r="F223" s="271"/>
      <c r="G223" s="271"/>
      <c r="H223" s="271"/>
      <c r="I223" s="271"/>
      <c r="J223" s="271"/>
      <c r="K223" s="271"/>
      <c r="L223" s="271"/>
      <c r="M223" s="271"/>
      <c r="N223" s="271"/>
      <c r="O223" s="277">
        <v>1</v>
      </c>
      <c r="P223" s="388">
        <v>93</v>
      </c>
      <c r="Q223" s="271"/>
      <c r="R223" s="389"/>
      <c r="S223" s="400"/>
      <c r="T223" s="262"/>
    </row>
    <row r="224" spans="1:20" s="263" customFormat="1" x14ac:dyDescent="0.25">
      <c r="A224" s="386"/>
      <c r="B224" s="271" t="s">
        <v>140</v>
      </c>
      <c r="C224" s="304"/>
      <c r="D224" s="271"/>
      <c r="E224" s="271"/>
      <c r="F224" s="271"/>
      <c r="G224" s="271"/>
      <c r="H224" s="271"/>
      <c r="I224" s="271"/>
      <c r="J224" s="271"/>
      <c r="K224" s="271"/>
      <c r="L224" s="271"/>
      <c r="M224" s="271"/>
      <c r="N224" s="271"/>
      <c r="O224" s="271"/>
      <c r="P224" s="402">
        <v>11.41</v>
      </c>
      <c r="Q224" s="271"/>
      <c r="R224" s="389"/>
      <c r="S224" s="400"/>
      <c r="T224" s="262"/>
    </row>
    <row r="225" spans="1:20" x14ac:dyDescent="0.25">
      <c r="A225" s="391"/>
      <c r="B225" s="396"/>
      <c r="C225" s="403"/>
      <c r="D225" s="296"/>
      <c r="E225" s="296"/>
      <c r="F225" s="296"/>
      <c r="G225" s="296"/>
      <c r="H225" s="296"/>
      <c r="I225" s="296"/>
      <c r="J225" s="296"/>
      <c r="K225" s="296"/>
      <c r="L225" s="296"/>
      <c r="M225" s="296"/>
      <c r="N225" s="296"/>
      <c r="O225" s="342"/>
      <c r="P225" s="404"/>
      <c r="Q225" s="296"/>
      <c r="R225" s="393"/>
      <c r="S225" s="398"/>
      <c r="T225" s="244"/>
    </row>
    <row r="226" spans="1:20" x14ac:dyDescent="0.25">
      <c r="A226" s="391"/>
      <c r="B226" s="396"/>
      <c r="C226" s="403"/>
      <c r="D226" s="296"/>
      <c r="E226" s="296"/>
      <c r="F226" s="296"/>
      <c r="G226" s="296"/>
      <c r="H226" s="296"/>
      <c r="I226" s="296"/>
      <c r="J226" s="296"/>
      <c r="K226" s="296"/>
      <c r="L226" s="296"/>
      <c r="M226" s="296"/>
      <c r="N226" s="296"/>
      <c r="O226" s="296"/>
      <c r="P226" s="405"/>
      <c r="Q226" s="296"/>
      <c r="R226" s="393"/>
      <c r="S226" s="398"/>
      <c r="T226" s="244"/>
    </row>
    <row r="227" spans="1:20" ht="18.75" x14ac:dyDescent="0.3">
      <c r="A227" s="391"/>
      <c r="B227" s="406" t="s">
        <v>130</v>
      </c>
      <c r="C227" s="403"/>
      <c r="D227" s="296"/>
      <c r="E227" s="296"/>
      <c r="F227" s="296"/>
      <c r="G227" s="296"/>
      <c r="H227" s="296"/>
      <c r="I227" s="296"/>
      <c r="J227" s="296"/>
      <c r="K227" s="296"/>
      <c r="L227" s="407"/>
      <c r="M227" s="296"/>
      <c r="N227" s="239" t="s">
        <v>261</v>
      </c>
      <c r="O227" s="407"/>
      <c r="P227" s="405"/>
      <c r="Q227" s="296"/>
      <c r="R227" s="393"/>
      <c r="S227" s="398"/>
      <c r="T227" s="244"/>
    </row>
    <row r="228" spans="1:20" ht="18.75" x14ac:dyDescent="0.3">
      <c r="A228" s="408"/>
      <c r="B228" s="409"/>
      <c r="C228" s="410"/>
      <c r="D228" s="333"/>
      <c r="E228" s="333"/>
      <c r="F228" s="333"/>
      <c r="G228" s="333"/>
      <c r="H228" s="333"/>
      <c r="I228" s="333"/>
      <c r="J228" s="333"/>
      <c r="K228" s="333"/>
      <c r="L228" s="411"/>
      <c r="M228" s="333"/>
      <c r="N228" s="333"/>
      <c r="O228" s="333"/>
      <c r="P228" s="412"/>
      <c r="Q228" s="333"/>
      <c r="R228" s="385"/>
      <c r="S228" s="413"/>
      <c r="T228" s="244"/>
    </row>
    <row r="229" spans="1:20" x14ac:dyDescent="0.25">
      <c r="A229" s="432"/>
      <c r="B229" s="445" t="s">
        <v>156</v>
      </c>
      <c r="C229" s="446"/>
      <c r="D229" s="446"/>
      <c r="E229" s="446"/>
      <c r="F229" s="446"/>
      <c r="G229" s="446"/>
      <c r="H229" s="446"/>
      <c r="I229" s="446"/>
      <c r="J229" s="446"/>
      <c r="K229" s="446"/>
      <c r="L229" s="446"/>
      <c r="M229" s="446"/>
      <c r="N229" s="462" t="s">
        <v>84</v>
      </c>
      <c r="O229" s="446" t="s">
        <v>85</v>
      </c>
      <c r="P229" s="462" t="s">
        <v>90</v>
      </c>
      <c r="Q229" s="446" t="s">
        <v>85</v>
      </c>
      <c r="R229" s="440"/>
      <c r="S229" s="463"/>
      <c r="T229" s="244"/>
    </row>
    <row r="230" spans="1:20" s="263" customFormat="1" x14ac:dyDescent="0.25">
      <c r="A230" s="258"/>
      <c r="B230" s="346" t="s">
        <v>73</v>
      </c>
      <c r="C230" s="464"/>
      <c r="D230" s="464"/>
      <c r="E230" s="464"/>
      <c r="F230" s="464"/>
      <c r="G230" s="464"/>
      <c r="H230" s="464"/>
      <c r="I230" s="464"/>
      <c r="J230" s="464"/>
      <c r="K230" s="464"/>
      <c r="L230" s="464"/>
      <c r="M230" s="464"/>
      <c r="N230" s="346">
        <f>+N242+N254+N266</f>
        <v>662</v>
      </c>
      <c r="O230" s="465">
        <f>N230/$N$239</f>
        <v>0.99698795180722888</v>
      </c>
      <c r="P230" s="416">
        <f>+P242+P254+P266</f>
        <v>94083</v>
      </c>
      <c r="Q230" s="465">
        <f t="shared" ref="Q230:Q237" si="2">P230/$P$239</f>
        <v>0.99870495196645614</v>
      </c>
      <c r="R230" s="460"/>
      <c r="S230" s="466"/>
      <c r="T230" s="262"/>
    </row>
    <row r="231" spans="1:20" s="263" customFormat="1" x14ac:dyDescent="0.25">
      <c r="A231" s="275"/>
      <c r="B231" s="331" t="s">
        <v>74</v>
      </c>
      <c r="C231" s="414"/>
      <c r="D231" s="414"/>
      <c r="E231" s="414"/>
      <c r="F231" s="414"/>
      <c r="G231" s="414"/>
      <c r="H231" s="414"/>
      <c r="I231" s="414"/>
      <c r="J231" s="414"/>
      <c r="K231" s="414"/>
      <c r="L231" s="414"/>
      <c r="M231" s="414"/>
      <c r="N231" s="331">
        <f>+N243+N255+N267</f>
        <v>0</v>
      </c>
      <c r="O231" s="415">
        <f t="shared" ref="O231:O237" si="3">N231/$N$239</f>
        <v>0</v>
      </c>
      <c r="P231" s="332">
        <f>+P243+P255+P267</f>
        <v>0</v>
      </c>
      <c r="Q231" s="415">
        <f t="shared" si="2"/>
        <v>0</v>
      </c>
      <c r="R231" s="389"/>
      <c r="S231" s="400"/>
      <c r="T231" s="262"/>
    </row>
    <row r="232" spans="1:20" s="263" customFormat="1" x14ac:dyDescent="0.25">
      <c r="A232" s="275"/>
      <c r="B232" s="331" t="s">
        <v>75</v>
      </c>
      <c r="C232" s="414"/>
      <c r="D232" s="414"/>
      <c r="E232" s="414"/>
      <c r="F232" s="414"/>
      <c r="G232" s="414"/>
      <c r="H232" s="414"/>
      <c r="I232" s="414"/>
      <c r="J232" s="414"/>
      <c r="K232" s="414"/>
      <c r="L232" s="414"/>
      <c r="M232" s="414"/>
      <c r="N232" s="331">
        <f t="shared" ref="N232:N237" si="4">+N244+N256+N268</f>
        <v>0</v>
      </c>
      <c r="O232" s="415">
        <f t="shared" si="3"/>
        <v>0</v>
      </c>
      <c r="P232" s="332">
        <f t="shared" ref="P232:P237" si="5">+P244+P256+P268</f>
        <v>0</v>
      </c>
      <c r="Q232" s="415">
        <f t="shared" si="2"/>
        <v>0</v>
      </c>
      <c r="R232" s="389"/>
      <c r="S232" s="400"/>
      <c r="T232" s="262"/>
    </row>
    <row r="233" spans="1:20" s="263" customFormat="1" x14ac:dyDescent="0.25">
      <c r="A233" s="275"/>
      <c r="B233" s="331" t="s">
        <v>120</v>
      </c>
      <c r="C233" s="414"/>
      <c r="D233" s="414"/>
      <c r="E233" s="414"/>
      <c r="F233" s="414"/>
      <c r="G233" s="414"/>
      <c r="H233" s="414"/>
      <c r="I233" s="414"/>
      <c r="J233" s="414"/>
      <c r="K233" s="414"/>
      <c r="L233" s="414"/>
      <c r="M233" s="414"/>
      <c r="N233" s="331">
        <f t="shared" si="4"/>
        <v>0</v>
      </c>
      <c r="O233" s="415">
        <f t="shared" si="3"/>
        <v>0</v>
      </c>
      <c r="P233" s="332">
        <f t="shared" si="5"/>
        <v>0</v>
      </c>
      <c r="Q233" s="415">
        <f t="shared" si="2"/>
        <v>0</v>
      </c>
      <c r="R233" s="389"/>
      <c r="S233" s="400"/>
      <c r="T233" s="262"/>
    </row>
    <row r="234" spans="1:20" s="263" customFormat="1" x14ac:dyDescent="0.25">
      <c r="A234" s="275"/>
      <c r="B234" s="331" t="s">
        <v>121</v>
      </c>
      <c r="C234" s="414"/>
      <c r="D234" s="414"/>
      <c r="E234" s="414"/>
      <c r="F234" s="414"/>
      <c r="G234" s="414"/>
      <c r="H234" s="414"/>
      <c r="I234" s="414"/>
      <c r="J234" s="414"/>
      <c r="K234" s="414"/>
      <c r="L234" s="414"/>
      <c r="M234" s="414"/>
      <c r="N234" s="331">
        <f t="shared" si="4"/>
        <v>1</v>
      </c>
      <c r="O234" s="415">
        <f t="shared" si="3"/>
        <v>1.5060240963855422E-3</v>
      </c>
      <c r="P234" s="332">
        <f t="shared" si="5"/>
        <v>61</v>
      </c>
      <c r="Q234" s="415">
        <f t="shared" si="2"/>
        <v>6.4752401677193358E-4</v>
      </c>
      <c r="R234" s="389"/>
      <c r="S234" s="400"/>
      <c r="T234" s="262"/>
    </row>
    <row r="235" spans="1:20" s="263" customFormat="1" x14ac:dyDescent="0.25">
      <c r="A235" s="275"/>
      <c r="B235" s="331" t="s">
        <v>122</v>
      </c>
      <c r="C235" s="414"/>
      <c r="D235" s="414"/>
      <c r="E235" s="414"/>
      <c r="F235" s="414"/>
      <c r="G235" s="414"/>
      <c r="H235" s="414"/>
      <c r="I235" s="414"/>
      <c r="J235" s="414"/>
      <c r="K235" s="414"/>
      <c r="L235" s="414"/>
      <c r="M235" s="414"/>
      <c r="N235" s="331">
        <f t="shared" si="4"/>
        <v>0</v>
      </c>
      <c r="O235" s="415">
        <f t="shared" si="3"/>
        <v>0</v>
      </c>
      <c r="P235" s="332">
        <f t="shared" si="5"/>
        <v>0</v>
      </c>
      <c r="Q235" s="415">
        <f t="shared" si="2"/>
        <v>0</v>
      </c>
      <c r="R235" s="389"/>
      <c r="S235" s="400"/>
      <c r="T235" s="262"/>
    </row>
    <row r="236" spans="1:20" s="263" customFormat="1" x14ac:dyDescent="0.25">
      <c r="A236" s="275"/>
      <c r="B236" s="331" t="s">
        <v>123</v>
      </c>
      <c r="C236" s="414"/>
      <c r="D236" s="414"/>
      <c r="E236" s="414"/>
      <c r="F236" s="414"/>
      <c r="G236" s="414"/>
      <c r="H236" s="414"/>
      <c r="I236" s="414"/>
      <c r="J236" s="414"/>
      <c r="K236" s="414"/>
      <c r="L236" s="414"/>
      <c r="M236" s="414"/>
      <c r="N236" s="331">
        <f t="shared" si="4"/>
        <v>1</v>
      </c>
      <c r="O236" s="415">
        <f t="shared" si="3"/>
        <v>1.5060240963855422E-3</v>
      </c>
      <c r="P236" s="332">
        <f t="shared" si="5"/>
        <v>61</v>
      </c>
      <c r="Q236" s="415">
        <f t="shared" si="2"/>
        <v>6.4752401677193358E-4</v>
      </c>
      <c r="R236" s="389"/>
      <c r="S236" s="400"/>
      <c r="T236" s="262"/>
    </row>
    <row r="237" spans="1:20" s="263" customFormat="1" x14ac:dyDescent="0.25">
      <c r="A237" s="275"/>
      <c r="B237" s="331" t="s">
        <v>124</v>
      </c>
      <c r="C237" s="414"/>
      <c r="D237" s="414"/>
      <c r="E237" s="414"/>
      <c r="F237" s="414"/>
      <c r="G237" s="414"/>
      <c r="H237" s="414"/>
      <c r="I237" s="414"/>
      <c r="J237" s="414"/>
      <c r="K237" s="414"/>
      <c r="L237" s="414"/>
      <c r="M237" s="414"/>
      <c r="N237" s="346">
        <f t="shared" si="4"/>
        <v>0</v>
      </c>
      <c r="O237" s="415">
        <f t="shared" si="3"/>
        <v>0</v>
      </c>
      <c r="P237" s="416">
        <f t="shared" si="5"/>
        <v>0</v>
      </c>
      <c r="Q237" s="415">
        <f t="shared" si="2"/>
        <v>0</v>
      </c>
      <c r="R237" s="389"/>
      <c r="S237" s="400"/>
      <c r="T237" s="262"/>
    </row>
    <row r="238" spans="1:20" s="263" customFormat="1" x14ac:dyDescent="0.25">
      <c r="A238" s="275"/>
      <c r="B238" s="331"/>
      <c r="C238" s="414"/>
      <c r="D238" s="414"/>
      <c r="E238" s="414"/>
      <c r="F238" s="414"/>
      <c r="G238" s="414"/>
      <c r="H238" s="414"/>
      <c r="I238" s="414"/>
      <c r="J238" s="414"/>
      <c r="K238" s="414"/>
      <c r="L238" s="414"/>
      <c r="M238" s="414"/>
      <c r="N238" s="331"/>
      <c r="O238" s="415"/>
      <c r="P238" s="332"/>
      <c r="Q238" s="415"/>
      <c r="R238" s="389"/>
      <c r="S238" s="400"/>
      <c r="T238" s="262"/>
    </row>
    <row r="239" spans="1:20" s="263" customFormat="1" x14ac:dyDescent="0.25">
      <c r="A239" s="275"/>
      <c r="B239" s="271" t="s">
        <v>95</v>
      </c>
      <c r="C239" s="271"/>
      <c r="D239" s="417"/>
      <c r="E239" s="417"/>
      <c r="F239" s="417"/>
      <c r="G239" s="417"/>
      <c r="H239" s="417"/>
      <c r="I239" s="417"/>
      <c r="J239" s="417"/>
      <c r="K239" s="417"/>
      <c r="L239" s="417"/>
      <c r="M239" s="417"/>
      <c r="N239" s="331">
        <f>SUM(N230:N238)</f>
        <v>664</v>
      </c>
      <c r="O239" s="415">
        <f>SUM(O230:O238)</f>
        <v>1</v>
      </c>
      <c r="P239" s="332">
        <f>SUM(P230:P238)</f>
        <v>94205</v>
      </c>
      <c r="Q239" s="415">
        <f>SUM(Q230:Q238)</f>
        <v>1</v>
      </c>
      <c r="R239" s="271"/>
      <c r="S239" s="274"/>
      <c r="T239" s="262"/>
    </row>
    <row r="240" spans="1:20" x14ac:dyDescent="0.25">
      <c r="A240" s="246"/>
      <c r="B240" s="384"/>
      <c r="C240" s="410"/>
      <c r="D240" s="333"/>
      <c r="E240" s="333"/>
      <c r="F240" s="333"/>
      <c r="G240" s="333"/>
      <c r="H240" s="333"/>
      <c r="I240" s="333"/>
      <c r="J240" s="333"/>
      <c r="K240" s="333"/>
      <c r="L240" s="333"/>
      <c r="M240" s="333"/>
      <c r="N240" s="333"/>
      <c r="O240" s="333"/>
      <c r="P240" s="412"/>
      <c r="Q240" s="333"/>
      <c r="R240" s="333"/>
      <c r="S240" s="249"/>
      <c r="T240" s="244"/>
    </row>
    <row r="241" spans="1:21" x14ac:dyDescent="0.25">
      <c r="A241" s="432"/>
      <c r="B241" s="445" t="s">
        <v>125</v>
      </c>
      <c r="C241" s="446"/>
      <c r="D241" s="446"/>
      <c r="E241" s="446"/>
      <c r="F241" s="446"/>
      <c r="G241" s="446"/>
      <c r="H241" s="446"/>
      <c r="I241" s="446"/>
      <c r="J241" s="446"/>
      <c r="K241" s="446"/>
      <c r="L241" s="446"/>
      <c r="M241" s="446"/>
      <c r="N241" s="462" t="s">
        <v>84</v>
      </c>
      <c r="O241" s="446" t="s">
        <v>85</v>
      </c>
      <c r="P241" s="462" t="s">
        <v>90</v>
      </c>
      <c r="Q241" s="446" t="s">
        <v>85</v>
      </c>
      <c r="R241" s="440"/>
      <c r="S241" s="463"/>
      <c r="T241" s="244"/>
    </row>
    <row r="242" spans="1:21" s="263" customFormat="1" x14ac:dyDescent="0.25">
      <c r="A242" s="258"/>
      <c r="B242" s="346" t="s">
        <v>73</v>
      </c>
      <c r="C242" s="464"/>
      <c r="D242" s="464"/>
      <c r="E242" s="464"/>
      <c r="F242" s="464"/>
      <c r="G242" s="464"/>
      <c r="H242" s="464"/>
      <c r="I242" s="464"/>
      <c r="J242" s="464"/>
      <c r="K242" s="464"/>
      <c r="L242" s="464"/>
      <c r="M242" s="464"/>
      <c r="N242" s="346">
        <v>662</v>
      </c>
      <c r="O242" s="465">
        <f>N242/$N$251</f>
        <v>1</v>
      </c>
      <c r="P242" s="416">
        <v>94083</v>
      </c>
      <c r="Q242" s="465">
        <f t="shared" ref="Q242:Q249" si="6">P242/$P$251</f>
        <v>1</v>
      </c>
      <c r="R242" s="460"/>
      <c r="S242" s="466"/>
      <c r="T242" s="262"/>
    </row>
    <row r="243" spans="1:21" s="263" customFormat="1" x14ac:dyDescent="0.25">
      <c r="A243" s="275"/>
      <c r="B243" s="331" t="s">
        <v>74</v>
      </c>
      <c r="C243" s="414"/>
      <c r="D243" s="414"/>
      <c r="E243" s="414"/>
      <c r="F243" s="414"/>
      <c r="G243" s="414"/>
      <c r="H243" s="414"/>
      <c r="I243" s="414"/>
      <c r="J243" s="414"/>
      <c r="K243" s="414"/>
      <c r="L243" s="414"/>
      <c r="M243" s="414"/>
      <c r="N243" s="331">
        <v>0</v>
      </c>
      <c r="O243" s="415">
        <f t="shared" ref="O243:O249" si="7">N243/$N$251</f>
        <v>0</v>
      </c>
      <c r="P243" s="332">
        <v>0</v>
      </c>
      <c r="Q243" s="415">
        <f t="shared" si="6"/>
        <v>0</v>
      </c>
      <c r="R243" s="389"/>
      <c r="S243" s="400"/>
      <c r="T243" s="262"/>
      <c r="U243" s="344"/>
    </row>
    <row r="244" spans="1:21" s="263" customFormat="1" x14ac:dyDescent="0.25">
      <c r="A244" s="275"/>
      <c r="B244" s="331" t="s">
        <v>75</v>
      </c>
      <c r="C244" s="414"/>
      <c r="D244" s="414"/>
      <c r="E244" s="414"/>
      <c r="F244" s="414"/>
      <c r="G244" s="414"/>
      <c r="H244" s="414"/>
      <c r="I244" s="414"/>
      <c r="J244" s="414"/>
      <c r="K244" s="414"/>
      <c r="L244" s="414"/>
      <c r="M244" s="414"/>
      <c r="N244" s="331">
        <v>0</v>
      </c>
      <c r="O244" s="415">
        <f t="shared" si="7"/>
        <v>0</v>
      </c>
      <c r="P244" s="332">
        <v>0</v>
      </c>
      <c r="Q244" s="415">
        <f t="shared" si="6"/>
        <v>0</v>
      </c>
      <c r="R244" s="389"/>
      <c r="S244" s="400"/>
      <c r="T244" s="262"/>
    </row>
    <row r="245" spans="1:21" s="263" customFormat="1" x14ac:dyDescent="0.25">
      <c r="A245" s="275"/>
      <c r="B245" s="331" t="s">
        <v>120</v>
      </c>
      <c r="C245" s="414"/>
      <c r="D245" s="414"/>
      <c r="E245" s="414"/>
      <c r="F245" s="414"/>
      <c r="G245" s="414"/>
      <c r="H245" s="414"/>
      <c r="I245" s="414"/>
      <c r="J245" s="414"/>
      <c r="K245" s="414"/>
      <c r="L245" s="414"/>
      <c r="M245" s="414"/>
      <c r="N245" s="331">
        <v>0</v>
      </c>
      <c r="O245" s="415">
        <f t="shared" si="7"/>
        <v>0</v>
      </c>
      <c r="P245" s="332">
        <v>0</v>
      </c>
      <c r="Q245" s="415">
        <f t="shared" si="6"/>
        <v>0</v>
      </c>
      <c r="R245" s="389"/>
      <c r="S245" s="400"/>
      <c r="T245" s="262"/>
      <c r="U245" s="344"/>
    </row>
    <row r="246" spans="1:21" s="263" customFormat="1" x14ac:dyDescent="0.25">
      <c r="A246" s="275"/>
      <c r="B246" s="331" t="s">
        <v>121</v>
      </c>
      <c r="C246" s="414"/>
      <c r="D246" s="414"/>
      <c r="E246" s="414"/>
      <c r="F246" s="414"/>
      <c r="G246" s="414"/>
      <c r="H246" s="414"/>
      <c r="I246" s="414"/>
      <c r="J246" s="414"/>
      <c r="K246" s="414"/>
      <c r="L246" s="414"/>
      <c r="M246" s="414"/>
      <c r="N246" s="331">
        <v>0</v>
      </c>
      <c r="O246" s="415">
        <f t="shared" si="7"/>
        <v>0</v>
      </c>
      <c r="P246" s="332">
        <v>0</v>
      </c>
      <c r="Q246" s="415">
        <f t="shared" si="6"/>
        <v>0</v>
      </c>
      <c r="R246" s="389"/>
      <c r="S246" s="400"/>
      <c r="T246" s="262"/>
    </row>
    <row r="247" spans="1:21" s="263" customFormat="1" x14ac:dyDescent="0.25">
      <c r="A247" s="275"/>
      <c r="B247" s="331" t="s">
        <v>122</v>
      </c>
      <c r="C247" s="414"/>
      <c r="D247" s="414"/>
      <c r="E247" s="414"/>
      <c r="F247" s="414"/>
      <c r="G247" s="414"/>
      <c r="H247" s="414"/>
      <c r="I247" s="414"/>
      <c r="J247" s="414"/>
      <c r="K247" s="414"/>
      <c r="L247" s="414"/>
      <c r="M247" s="414"/>
      <c r="N247" s="331">
        <v>0</v>
      </c>
      <c r="O247" s="415">
        <f t="shared" si="7"/>
        <v>0</v>
      </c>
      <c r="P247" s="332">
        <v>0</v>
      </c>
      <c r="Q247" s="415">
        <f t="shared" si="6"/>
        <v>0</v>
      </c>
      <c r="R247" s="389"/>
      <c r="S247" s="400"/>
      <c r="T247" s="262"/>
      <c r="U247" s="344"/>
    </row>
    <row r="248" spans="1:21" s="263" customFormat="1" x14ac:dyDescent="0.25">
      <c r="A248" s="275"/>
      <c r="B248" s="331" t="s">
        <v>123</v>
      </c>
      <c r="C248" s="414"/>
      <c r="D248" s="414"/>
      <c r="E248" s="414"/>
      <c r="F248" s="414"/>
      <c r="G248" s="414"/>
      <c r="H248" s="414"/>
      <c r="I248" s="414"/>
      <c r="J248" s="414"/>
      <c r="K248" s="414"/>
      <c r="L248" s="414"/>
      <c r="M248" s="414"/>
      <c r="N248" s="331">
        <v>0</v>
      </c>
      <c r="O248" s="415">
        <f t="shared" si="7"/>
        <v>0</v>
      </c>
      <c r="P248" s="332">
        <v>0</v>
      </c>
      <c r="Q248" s="415">
        <f t="shared" si="6"/>
        <v>0</v>
      </c>
      <c r="R248" s="389"/>
      <c r="S248" s="400"/>
      <c r="T248" s="262"/>
    </row>
    <row r="249" spans="1:21" s="263" customFormat="1" x14ac:dyDescent="0.25">
      <c r="A249" s="275"/>
      <c r="B249" s="331" t="s">
        <v>124</v>
      </c>
      <c r="C249" s="414"/>
      <c r="D249" s="414"/>
      <c r="E249" s="414"/>
      <c r="F249" s="414"/>
      <c r="G249" s="414"/>
      <c r="H249" s="414"/>
      <c r="I249" s="414"/>
      <c r="J249" s="414"/>
      <c r="K249" s="414"/>
      <c r="L249" s="414"/>
      <c r="M249" s="414"/>
      <c r="N249" s="331">
        <v>0</v>
      </c>
      <c r="O249" s="415">
        <f t="shared" si="7"/>
        <v>0</v>
      </c>
      <c r="P249" s="332">
        <v>0</v>
      </c>
      <c r="Q249" s="415">
        <f t="shared" si="6"/>
        <v>0</v>
      </c>
      <c r="R249" s="389"/>
      <c r="S249" s="400"/>
      <c r="T249" s="262"/>
      <c r="U249" s="344"/>
    </row>
    <row r="250" spans="1:21" s="263" customFormat="1" x14ac:dyDescent="0.25">
      <c r="A250" s="275"/>
      <c r="B250" s="331"/>
      <c r="C250" s="414"/>
      <c r="D250" s="414"/>
      <c r="E250" s="414"/>
      <c r="F250" s="414"/>
      <c r="G250" s="414"/>
      <c r="H250" s="414"/>
      <c r="I250" s="414"/>
      <c r="J250" s="414"/>
      <c r="K250" s="414"/>
      <c r="L250" s="414"/>
      <c r="M250" s="414"/>
      <c r="N250" s="331"/>
      <c r="O250" s="415"/>
      <c r="P250" s="332"/>
      <c r="Q250" s="415"/>
      <c r="R250" s="389"/>
      <c r="S250" s="400"/>
      <c r="T250" s="262"/>
    </row>
    <row r="251" spans="1:21" s="263" customFormat="1" x14ac:dyDescent="0.25">
      <c r="A251" s="275"/>
      <c r="B251" s="271" t="s">
        <v>95</v>
      </c>
      <c r="C251" s="271"/>
      <c r="D251" s="417"/>
      <c r="E251" s="417"/>
      <c r="F251" s="417"/>
      <c r="G251" s="417"/>
      <c r="H251" s="417"/>
      <c r="I251" s="417"/>
      <c r="J251" s="417"/>
      <c r="K251" s="417"/>
      <c r="L251" s="417"/>
      <c r="M251" s="417"/>
      <c r="N251" s="331">
        <f>SUM(N242:N250)</f>
        <v>662</v>
      </c>
      <c r="O251" s="415">
        <f>SUM(O242:O250)</f>
        <v>1</v>
      </c>
      <c r="P251" s="332">
        <f>SUM(P242:P250)</f>
        <v>94083</v>
      </c>
      <c r="Q251" s="415">
        <f>SUM(Q242:Q250)</f>
        <v>1</v>
      </c>
      <c r="R251" s="271"/>
      <c r="S251" s="274"/>
      <c r="T251" s="262"/>
    </row>
    <row r="252" spans="1:21" x14ac:dyDescent="0.25">
      <c r="A252" s="246"/>
      <c r="B252" s="333"/>
      <c r="C252" s="333"/>
      <c r="D252" s="418"/>
      <c r="E252" s="418"/>
      <c r="F252" s="418"/>
      <c r="G252" s="418"/>
      <c r="H252" s="418"/>
      <c r="I252" s="418"/>
      <c r="J252" s="418"/>
      <c r="K252" s="418"/>
      <c r="L252" s="418"/>
      <c r="M252" s="418"/>
      <c r="N252" s="334"/>
      <c r="O252" s="419"/>
      <c r="P252" s="420"/>
      <c r="Q252" s="419"/>
      <c r="R252" s="333"/>
      <c r="S252" s="249"/>
      <c r="T252" s="244"/>
    </row>
    <row r="253" spans="1:21" x14ac:dyDescent="0.25">
      <c r="A253" s="432"/>
      <c r="B253" s="445" t="s">
        <v>149</v>
      </c>
      <c r="C253" s="446"/>
      <c r="D253" s="446"/>
      <c r="E253" s="446"/>
      <c r="F253" s="446"/>
      <c r="G253" s="446"/>
      <c r="H253" s="446"/>
      <c r="I253" s="446"/>
      <c r="J253" s="446"/>
      <c r="K253" s="446"/>
      <c r="L253" s="446"/>
      <c r="M253" s="446"/>
      <c r="N253" s="462" t="s">
        <v>84</v>
      </c>
      <c r="O253" s="446" t="s">
        <v>85</v>
      </c>
      <c r="P253" s="462" t="s">
        <v>90</v>
      </c>
      <c r="Q253" s="446" t="s">
        <v>85</v>
      </c>
      <c r="R253" s="440"/>
      <c r="S253" s="434"/>
      <c r="T253" s="244"/>
    </row>
    <row r="254" spans="1:21" s="263" customFormat="1" x14ac:dyDescent="0.25">
      <c r="A254" s="258"/>
      <c r="B254" s="346" t="s">
        <v>73</v>
      </c>
      <c r="C254" s="464"/>
      <c r="D254" s="464"/>
      <c r="E254" s="464"/>
      <c r="F254" s="464"/>
      <c r="G254" s="464"/>
      <c r="H254" s="464"/>
      <c r="I254" s="464"/>
      <c r="J254" s="464"/>
      <c r="K254" s="464"/>
      <c r="L254" s="464"/>
      <c r="M254" s="464"/>
      <c r="N254" s="346">
        <v>0</v>
      </c>
      <c r="O254" s="465">
        <v>0</v>
      </c>
      <c r="P254" s="416">
        <v>0</v>
      </c>
      <c r="Q254" s="465">
        <v>0</v>
      </c>
      <c r="R254" s="313"/>
      <c r="S254" s="261"/>
      <c r="T254" s="262"/>
    </row>
    <row r="255" spans="1:21" s="263" customFormat="1" x14ac:dyDescent="0.25">
      <c r="A255" s="275"/>
      <c r="B255" s="331" t="s">
        <v>74</v>
      </c>
      <c r="C255" s="414"/>
      <c r="D255" s="414"/>
      <c r="E255" s="414"/>
      <c r="F255" s="414"/>
      <c r="G255" s="414"/>
      <c r="H255" s="414"/>
      <c r="I255" s="414"/>
      <c r="J255" s="414"/>
      <c r="K255" s="414"/>
      <c r="L255" s="414"/>
      <c r="M255" s="414"/>
      <c r="N255" s="331">
        <v>0</v>
      </c>
      <c r="O255" s="415">
        <v>0</v>
      </c>
      <c r="P255" s="332">
        <v>0</v>
      </c>
      <c r="Q255" s="415">
        <f>P255/$P$263</f>
        <v>0</v>
      </c>
      <c r="R255" s="271"/>
      <c r="S255" s="274"/>
      <c r="T255" s="262"/>
    </row>
    <row r="256" spans="1:21" s="263" customFormat="1" x14ac:dyDescent="0.25">
      <c r="A256" s="275"/>
      <c r="B256" s="331" t="s">
        <v>75</v>
      </c>
      <c r="C256" s="414"/>
      <c r="D256" s="414"/>
      <c r="E256" s="414"/>
      <c r="F256" s="414"/>
      <c r="G256" s="414"/>
      <c r="H256" s="414"/>
      <c r="I256" s="414"/>
      <c r="J256" s="414"/>
      <c r="K256" s="414"/>
      <c r="L256" s="414"/>
      <c r="M256" s="414"/>
      <c r="N256" s="331">
        <v>0</v>
      </c>
      <c r="O256" s="415">
        <f>N256/N263</f>
        <v>0</v>
      </c>
      <c r="P256" s="332">
        <v>0</v>
      </c>
      <c r="Q256" s="415">
        <f>P256/P263</f>
        <v>0</v>
      </c>
      <c r="R256" s="271"/>
      <c r="S256" s="274"/>
      <c r="T256" s="262"/>
    </row>
    <row r="257" spans="1:20" s="263" customFormat="1" x14ac:dyDescent="0.25">
      <c r="A257" s="275"/>
      <c r="B257" s="331" t="s">
        <v>120</v>
      </c>
      <c r="C257" s="414"/>
      <c r="D257" s="414"/>
      <c r="E257" s="414"/>
      <c r="F257" s="414"/>
      <c r="G257" s="414"/>
      <c r="H257" s="414"/>
      <c r="I257" s="414"/>
      <c r="J257" s="414"/>
      <c r="K257" s="414"/>
      <c r="L257" s="414"/>
      <c r="M257" s="414"/>
      <c r="N257" s="331">
        <v>0</v>
      </c>
      <c r="O257" s="415">
        <f>N257/N263</f>
        <v>0</v>
      </c>
      <c r="P257" s="332">
        <v>0</v>
      </c>
      <c r="Q257" s="415">
        <f>P257/P263</f>
        <v>0</v>
      </c>
      <c r="R257" s="271"/>
      <c r="S257" s="274"/>
      <c r="T257" s="262"/>
    </row>
    <row r="258" spans="1:20" s="263" customFormat="1" x14ac:dyDescent="0.25">
      <c r="A258" s="275"/>
      <c r="B258" s="331" t="s">
        <v>121</v>
      </c>
      <c r="C258" s="414"/>
      <c r="D258" s="414"/>
      <c r="E258" s="414"/>
      <c r="F258" s="414"/>
      <c r="G258" s="414"/>
      <c r="H258" s="414"/>
      <c r="I258" s="414"/>
      <c r="J258" s="414"/>
      <c r="K258" s="414"/>
      <c r="L258" s="414"/>
      <c r="M258" s="414"/>
      <c r="N258" s="331">
        <v>1</v>
      </c>
      <c r="O258" s="415">
        <f>N258/N263</f>
        <v>0.5</v>
      </c>
      <c r="P258" s="332">
        <v>61</v>
      </c>
      <c r="Q258" s="415">
        <f>P258/P263</f>
        <v>0.5</v>
      </c>
      <c r="R258" s="271"/>
      <c r="S258" s="274"/>
      <c r="T258" s="262"/>
    </row>
    <row r="259" spans="1:20" s="263" customFormat="1" x14ac:dyDescent="0.25">
      <c r="A259" s="275"/>
      <c r="B259" s="331" t="s">
        <v>122</v>
      </c>
      <c r="C259" s="414"/>
      <c r="D259" s="414"/>
      <c r="E259" s="414"/>
      <c r="F259" s="414"/>
      <c r="G259" s="414"/>
      <c r="H259" s="414"/>
      <c r="I259" s="414"/>
      <c r="J259" s="414"/>
      <c r="K259" s="414"/>
      <c r="L259" s="414"/>
      <c r="M259" s="414"/>
      <c r="N259" s="331">
        <v>0</v>
      </c>
      <c r="O259" s="415">
        <f>N259/N263</f>
        <v>0</v>
      </c>
      <c r="P259" s="332">
        <v>0</v>
      </c>
      <c r="Q259" s="415">
        <f>P259/P263</f>
        <v>0</v>
      </c>
      <c r="R259" s="271"/>
      <c r="S259" s="274"/>
      <c r="T259" s="262"/>
    </row>
    <row r="260" spans="1:20" s="263" customFormat="1" x14ac:dyDescent="0.25">
      <c r="A260" s="275"/>
      <c r="B260" s="331" t="s">
        <v>123</v>
      </c>
      <c r="C260" s="414"/>
      <c r="D260" s="414"/>
      <c r="E260" s="414"/>
      <c r="F260" s="414"/>
      <c r="G260" s="414"/>
      <c r="H260" s="414"/>
      <c r="I260" s="414"/>
      <c r="J260" s="414"/>
      <c r="K260" s="414"/>
      <c r="L260" s="414"/>
      <c r="M260" s="414"/>
      <c r="N260" s="331">
        <v>1</v>
      </c>
      <c r="O260" s="415">
        <f>N260/N263</f>
        <v>0.5</v>
      </c>
      <c r="P260" s="332">
        <v>61</v>
      </c>
      <c r="Q260" s="415">
        <f>P260/P263</f>
        <v>0.5</v>
      </c>
      <c r="R260" s="271"/>
      <c r="S260" s="274"/>
      <c r="T260" s="262"/>
    </row>
    <row r="261" spans="1:20" s="263" customFormat="1" x14ac:dyDescent="0.25">
      <c r="A261" s="275"/>
      <c r="B261" s="331" t="s">
        <v>124</v>
      </c>
      <c r="C261" s="414"/>
      <c r="D261" s="414"/>
      <c r="E261" s="414"/>
      <c r="F261" s="414"/>
      <c r="G261" s="414"/>
      <c r="H261" s="414"/>
      <c r="I261" s="414"/>
      <c r="J261" s="414"/>
      <c r="K261" s="414"/>
      <c r="L261" s="414"/>
      <c r="M261" s="414"/>
      <c r="N261" s="331">
        <v>0</v>
      </c>
      <c r="O261" s="415">
        <f>N261/N263</f>
        <v>0</v>
      </c>
      <c r="P261" s="332">
        <v>0</v>
      </c>
      <c r="Q261" s="415">
        <f>P261/P263</f>
        <v>0</v>
      </c>
      <c r="R261" s="271"/>
      <c r="S261" s="274"/>
      <c r="T261" s="262"/>
    </row>
    <row r="262" spans="1:20" s="263" customFormat="1" x14ac:dyDescent="0.25">
      <c r="A262" s="275"/>
      <c r="B262" s="331"/>
      <c r="C262" s="414"/>
      <c r="D262" s="414"/>
      <c r="E262" s="414"/>
      <c r="F262" s="414"/>
      <c r="G262" s="414"/>
      <c r="H262" s="414"/>
      <c r="I262" s="414"/>
      <c r="J262" s="414"/>
      <c r="K262" s="414"/>
      <c r="L262" s="414"/>
      <c r="M262" s="414"/>
      <c r="N262" s="331"/>
      <c r="O262" s="415"/>
      <c r="P262" s="332"/>
      <c r="Q262" s="415"/>
      <c r="R262" s="271"/>
      <c r="S262" s="274"/>
      <c r="T262" s="262"/>
    </row>
    <row r="263" spans="1:20" s="263" customFormat="1" x14ac:dyDescent="0.25">
      <c r="A263" s="275"/>
      <c r="B263" s="271" t="s">
        <v>95</v>
      </c>
      <c r="C263" s="271"/>
      <c r="D263" s="417"/>
      <c r="E263" s="417"/>
      <c r="F263" s="417"/>
      <c r="G263" s="417"/>
      <c r="H263" s="417"/>
      <c r="I263" s="417"/>
      <c r="J263" s="417"/>
      <c r="K263" s="417"/>
      <c r="L263" s="417"/>
      <c r="M263" s="417"/>
      <c r="N263" s="331">
        <f>SUM(N254:N262)</f>
        <v>2</v>
      </c>
      <c r="O263" s="415">
        <f>SUM(O254:O262)</f>
        <v>1</v>
      </c>
      <c r="P263" s="332">
        <f>SUM(P254:P262)</f>
        <v>122</v>
      </c>
      <c r="Q263" s="415">
        <f>SUM(Q254:Q262)</f>
        <v>1</v>
      </c>
      <c r="R263" s="271"/>
      <c r="S263" s="274"/>
      <c r="T263" s="262"/>
    </row>
    <row r="264" spans="1:20" x14ac:dyDescent="0.25">
      <c r="A264" s="246"/>
      <c r="B264" s="333"/>
      <c r="C264" s="333"/>
      <c r="D264" s="418"/>
      <c r="E264" s="418"/>
      <c r="F264" s="418"/>
      <c r="G264" s="418"/>
      <c r="H264" s="418"/>
      <c r="I264" s="418"/>
      <c r="J264" s="418"/>
      <c r="K264" s="418"/>
      <c r="L264" s="418"/>
      <c r="M264" s="418"/>
      <c r="N264" s="334"/>
      <c r="O264" s="419"/>
      <c r="P264" s="420"/>
      <c r="Q264" s="419"/>
      <c r="R264" s="333"/>
      <c r="S264" s="249"/>
      <c r="T264" s="244"/>
    </row>
    <row r="265" spans="1:20" x14ac:dyDescent="0.25">
      <c r="A265" s="432"/>
      <c r="B265" s="445" t="s">
        <v>126</v>
      </c>
      <c r="C265" s="440"/>
      <c r="D265" s="468"/>
      <c r="E265" s="468"/>
      <c r="F265" s="468"/>
      <c r="G265" s="468"/>
      <c r="H265" s="468"/>
      <c r="I265" s="468"/>
      <c r="J265" s="468"/>
      <c r="K265" s="468"/>
      <c r="L265" s="468"/>
      <c r="M265" s="468"/>
      <c r="N265" s="462" t="s">
        <v>84</v>
      </c>
      <c r="O265" s="446" t="s">
        <v>85</v>
      </c>
      <c r="P265" s="462" t="s">
        <v>90</v>
      </c>
      <c r="Q265" s="446" t="s">
        <v>85</v>
      </c>
      <c r="R265" s="440"/>
      <c r="S265" s="434"/>
      <c r="T265" s="244"/>
    </row>
    <row r="266" spans="1:20" s="263" customFormat="1" x14ac:dyDescent="0.25">
      <c r="A266" s="258"/>
      <c r="B266" s="346" t="s">
        <v>73</v>
      </c>
      <c r="C266" s="313"/>
      <c r="D266" s="467"/>
      <c r="E266" s="467"/>
      <c r="F266" s="467"/>
      <c r="G266" s="467"/>
      <c r="H266" s="467"/>
      <c r="I266" s="467"/>
      <c r="J266" s="467"/>
      <c r="K266" s="467"/>
      <c r="L266" s="467"/>
      <c r="M266" s="467"/>
      <c r="N266" s="346">
        <v>0</v>
      </c>
      <c r="O266" s="465">
        <v>0</v>
      </c>
      <c r="P266" s="416">
        <v>0</v>
      </c>
      <c r="Q266" s="465">
        <v>0</v>
      </c>
      <c r="R266" s="313"/>
      <c r="S266" s="261"/>
      <c r="T266" s="262"/>
    </row>
    <row r="267" spans="1:20" s="263" customFormat="1" x14ac:dyDescent="0.25">
      <c r="A267" s="275"/>
      <c r="B267" s="331" t="s">
        <v>74</v>
      </c>
      <c r="C267" s="271"/>
      <c r="D267" s="417"/>
      <c r="E267" s="417"/>
      <c r="F267" s="417"/>
      <c r="G267" s="417"/>
      <c r="H267" s="417"/>
      <c r="I267" s="417"/>
      <c r="J267" s="417"/>
      <c r="K267" s="417"/>
      <c r="L267" s="417"/>
      <c r="M267" s="417"/>
      <c r="N267" s="331">
        <v>0</v>
      </c>
      <c r="O267" s="415">
        <v>0</v>
      </c>
      <c r="P267" s="332">
        <v>0</v>
      </c>
      <c r="Q267" s="415">
        <v>0</v>
      </c>
      <c r="R267" s="271"/>
      <c r="S267" s="274"/>
      <c r="T267" s="262"/>
    </row>
    <row r="268" spans="1:20" s="263" customFormat="1" x14ac:dyDescent="0.25">
      <c r="A268" s="275"/>
      <c r="B268" s="331" t="s">
        <v>75</v>
      </c>
      <c r="C268" s="271"/>
      <c r="D268" s="417"/>
      <c r="E268" s="417"/>
      <c r="F268" s="417"/>
      <c r="G268" s="417"/>
      <c r="H268" s="417"/>
      <c r="I268" s="417"/>
      <c r="J268" s="417"/>
      <c r="K268" s="417"/>
      <c r="L268" s="417"/>
      <c r="M268" s="417"/>
      <c r="N268" s="331">
        <v>0</v>
      </c>
      <c r="O268" s="415">
        <v>0</v>
      </c>
      <c r="P268" s="332">
        <v>0</v>
      </c>
      <c r="Q268" s="415">
        <v>0</v>
      </c>
      <c r="R268" s="271"/>
      <c r="S268" s="274"/>
      <c r="T268" s="262"/>
    </row>
    <row r="269" spans="1:20" s="263" customFormat="1" x14ac:dyDescent="0.25">
      <c r="A269" s="275"/>
      <c r="B269" s="331" t="s">
        <v>120</v>
      </c>
      <c r="C269" s="271"/>
      <c r="D269" s="417"/>
      <c r="E269" s="417"/>
      <c r="F269" s="417"/>
      <c r="G269" s="417"/>
      <c r="H269" s="417"/>
      <c r="I269" s="417"/>
      <c r="J269" s="417"/>
      <c r="K269" s="417"/>
      <c r="L269" s="417"/>
      <c r="M269" s="417"/>
      <c r="N269" s="331">
        <v>0</v>
      </c>
      <c r="O269" s="415">
        <v>0</v>
      </c>
      <c r="P269" s="332">
        <v>0</v>
      </c>
      <c r="Q269" s="415">
        <v>0</v>
      </c>
      <c r="R269" s="271"/>
      <c r="S269" s="274"/>
      <c r="T269" s="262"/>
    </row>
    <row r="270" spans="1:20" s="263" customFormat="1" x14ac:dyDescent="0.25">
      <c r="A270" s="275"/>
      <c r="B270" s="331" t="s">
        <v>121</v>
      </c>
      <c r="C270" s="271"/>
      <c r="D270" s="417"/>
      <c r="E270" s="417"/>
      <c r="F270" s="417"/>
      <c r="G270" s="417"/>
      <c r="H270" s="417"/>
      <c r="I270" s="417"/>
      <c r="J270" s="417"/>
      <c r="K270" s="417"/>
      <c r="L270" s="417"/>
      <c r="M270" s="417"/>
      <c r="N270" s="331">
        <v>0</v>
      </c>
      <c r="O270" s="415">
        <v>0</v>
      </c>
      <c r="P270" s="332">
        <v>0</v>
      </c>
      <c r="Q270" s="415">
        <v>0</v>
      </c>
      <c r="R270" s="271"/>
      <c r="S270" s="274"/>
      <c r="T270" s="262"/>
    </row>
    <row r="271" spans="1:20" s="263" customFormat="1" x14ac:dyDescent="0.25">
      <c r="A271" s="275"/>
      <c r="B271" s="331" t="s">
        <v>122</v>
      </c>
      <c r="C271" s="271"/>
      <c r="D271" s="417"/>
      <c r="E271" s="417"/>
      <c r="F271" s="417"/>
      <c r="G271" s="417"/>
      <c r="H271" s="417"/>
      <c r="I271" s="417"/>
      <c r="J271" s="417"/>
      <c r="K271" s="417"/>
      <c r="L271" s="417"/>
      <c r="M271" s="417"/>
      <c r="N271" s="331">
        <v>0</v>
      </c>
      <c r="O271" s="415">
        <v>0</v>
      </c>
      <c r="P271" s="332">
        <v>0</v>
      </c>
      <c r="Q271" s="415">
        <v>0</v>
      </c>
      <c r="R271" s="271"/>
      <c r="S271" s="274"/>
      <c r="T271" s="262"/>
    </row>
    <row r="272" spans="1:20" s="263" customFormat="1" x14ac:dyDescent="0.25">
      <c r="A272" s="275"/>
      <c r="B272" s="331" t="s">
        <v>123</v>
      </c>
      <c r="C272" s="271"/>
      <c r="D272" s="417"/>
      <c r="E272" s="417"/>
      <c r="F272" s="417"/>
      <c r="G272" s="417"/>
      <c r="H272" s="417"/>
      <c r="I272" s="417"/>
      <c r="J272" s="417"/>
      <c r="K272" s="417"/>
      <c r="L272" s="417"/>
      <c r="M272" s="417"/>
      <c r="N272" s="331">
        <v>0</v>
      </c>
      <c r="O272" s="415">
        <v>0</v>
      </c>
      <c r="P272" s="332">
        <v>0</v>
      </c>
      <c r="Q272" s="415">
        <v>0</v>
      </c>
      <c r="R272" s="271"/>
      <c r="S272" s="274"/>
      <c r="T272" s="262"/>
    </row>
    <row r="273" spans="1:20" s="263" customFormat="1" x14ac:dyDescent="0.25">
      <c r="A273" s="275"/>
      <c r="B273" s="331" t="s">
        <v>124</v>
      </c>
      <c r="C273" s="271"/>
      <c r="D273" s="417"/>
      <c r="E273" s="417"/>
      <c r="F273" s="417"/>
      <c r="G273" s="417"/>
      <c r="H273" s="417"/>
      <c r="I273" s="417"/>
      <c r="J273" s="417"/>
      <c r="K273" s="417"/>
      <c r="L273" s="417"/>
      <c r="M273" s="417"/>
      <c r="N273" s="331">
        <v>0</v>
      </c>
      <c r="O273" s="415">
        <v>0</v>
      </c>
      <c r="P273" s="332">
        <v>0</v>
      </c>
      <c r="Q273" s="415">
        <v>0</v>
      </c>
      <c r="R273" s="271"/>
      <c r="S273" s="274"/>
      <c r="T273" s="262"/>
    </row>
    <row r="274" spans="1:20" s="263" customFormat="1" x14ac:dyDescent="0.25">
      <c r="A274" s="275"/>
      <c r="B274" s="331"/>
      <c r="C274" s="271"/>
      <c r="D274" s="417"/>
      <c r="E274" s="417"/>
      <c r="F274" s="417"/>
      <c r="G274" s="417"/>
      <c r="H274" s="417"/>
      <c r="I274" s="417"/>
      <c r="J274" s="417"/>
      <c r="K274" s="417"/>
      <c r="L274" s="417"/>
      <c r="M274" s="417"/>
      <c r="N274" s="331"/>
      <c r="O274" s="415"/>
      <c r="P274" s="332"/>
      <c r="Q274" s="415"/>
      <c r="R274" s="271"/>
      <c r="S274" s="274"/>
      <c r="T274" s="262"/>
    </row>
    <row r="275" spans="1:20" s="263" customFormat="1" x14ac:dyDescent="0.25">
      <c r="A275" s="275"/>
      <c r="B275" s="271" t="s">
        <v>95</v>
      </c>
      <c r="C275" s="271"/>
      <c r="D275" s="417"/>
      <c r="E275" s="417"/>
      <c r="F275" s="417"/>
      <c r="G275" s="417"/>
      <c r="H275" s="417"/>
      <c r="I275" s="417"/>
      <c r="J275" s="417"/>
      <c r="K275" s="417"/>
      <c r="L275" s="417"/>
      <c r="M275" s="417"/>
      <c r="N275" s="331">
        <f>SUM(N266:N273)</f>
        <v>0</v>
      </c>
      <c r="O275" s="415">
        <f>SUM(O266:O273)</f>
        <v>0</v>
      </c>
      <c r="P275" s="332">
        <f>SUM(P266:P273)</f>
        <v>0</v>
      </c>
      <c r="Q275" s="415">
        <f>SUM(Q266:Q273)</f>
        <v>0</v>
      </c>
      <c r="R275" s="271"/>
      <c r="S275" s="274"/>
      <c r="T275" s="262"/>
    </row>
    <row r="276" spans="1:20" s="263" customFormat="1" x14ac:dyDescent="0.25">
      <c r="A276" s="275"/>
      <c r="B276" s="271"/>
      <c r="C276" s="271"/>
      <c r="D276" s="417"/>
      <c r="E276" s="417"/>
      <c r="F276" s="417"/>
      <c r="G276" s="417"/>
      <c r="H276" s="417"/>
      <c r="I276" s="417"/>
      <c r="J276" s="417"/>
      <c r="K276" s="417"/>
      <c r="L276" s="417"/>
      <c r="M276" s="417"/>
      <c r="N276" s="331"/>
      <c r="O276" s="415"/>
      <c r="P276" s="332"/>
      <c r="Q276" s="415"/>
      <c r="R276" s="271"/>
      <c r="S276" s="274"/>
      <c r="T276" s="262"/>
    </row>
    <row r="277" spans="1:20" s="263" customFormat="1" x14ac:dyDescent="0.25">
      <c r="A277" s="275"/>
      <c r="B277" s="276" t="s">
        <v>184</v>
      </c>
      <c r="C277" s="271"/>
      <c r="D277" s="417"/>
      <c r="E277" s="417"/>
      <c r="F277" s="417"/>
      <c r="G277" s="417"/>
      <c r="H277" s="417"/>
      <c r="I277" s="417"/>
      <c r="J277" s="417"/>
      <c r="K277" s="417"/>
      <c r="L277" s="417"/>
      <c r="M277" s="417"/>
      <c r="N277" s="421">
        <f>N275+N263+N251</f>
        <v>664</v>
      </c>
      <c r="O277" s="415"/>
      <c r="P277" s="422">
        <f>+P275+P263+P251</f>
        <v>94205</v>
      </c>
      <c r="Q277" s="415"/>
      <c r="R277" s="271"/>
      <c r="S277" s="274"/>
      <c r="T277" s="262"/>
    </row>
    <row r="278" spans="1:20" s="263" customFormat="1" x14ac:dyDescent="0.25">
      <c r="A278" s="275"/>
      <c r="B278" s="276" t="s">
        <v>241</v>
      </c>
      <c r="C278" s="276"/>
      <c r="D278" s="423"/>
      <c r="E278" s="423"/>
      <c r="F278" s="423"/>
      <c r="G278" s="423"/>
      <c r="H278" s="423"/>
      <c r="I278" s="423"/>
      <c r="J278" s="423"/>
      <c r="K278" s="423"/>
      <c r="L278" s="423"/>
      <c r="M278" s="423"/>
      <c r="N278" s="421"/>
      <c r="O278" s="424"/>
      <c r="P278" s="422">
        <f>+R166+R146</f>
        <v>0</v>
      </c>
      <c r="Q278" s="415"/>
      <c r="R278" s="271"/>
      <c r="S278" s="274"/>
      <c r="T278" s="262"/>
    </row>
    <row r="279" spans="1:20" s="263" customFormat="1" x14ac:dyDescent="0.25">
      <c r="A279" s="275"/>
      <c r="B279" s="276" t="s">
        <v>127</v>
      </c>
      <c r="C279" s="276"/>
      <c r="D279" s="423"/>
      <c r="E279" s="423"/>
      <c r="F279" s="423"/>
      <c r="G279" s="423"/>
      <c r="H279" s="423"/>
      <c r="I279" s="423"/>
      <c r="J279" s="423"/>
      <c r="K279" s="423"/>
      <c r="L279" s="423"/>
      <c r="M279" s="423"/>
      <c r="N279" s="421"/>
      <c r="O279" s="424"/>
      <c r="P279" s="422">
        <f>+P277+P278</f>
        <v>94205</v>
      </c>
      <c r="Q279" s="415"/>
      <c r="R279" s="271"/>
      <c r="S279" s="274"/>
      <c r="T279" s="262"/>
    </row>
    <row r="280" spans="1:20" s="263" customFormat="1" x14ac:dyDescent="0.25">
      <c r="A280" s="275"/>
      <c r="B280" s="276" t="s">
        <v>183</v>
      </c>
      <c r="C280" s="271"/>
      <c r="D280" s="417"/>
      <c r="E280" s="417"/>
      <c r="F280" s="417"/>
      <c r="G280" s="417"/>
      <c r="H280" s="417"/>
      <c r="I280" s="417"/>
      <c r="J280" s="417"/>
      <c r="K280" s="417"/>
      <c r="L280" s="417"/>
      <c r="M280" s="417"/>
      <c r="N280" s="421"/>
      <c r="O280" s="415"/>
      <c r="P280" s="422">
        <f>+R72</f>
        <v>94205</v>
      </c>
      <c r="Q280" s="415"/>
      <c r="R280" s="271"/>
      <c r="S280" s="274"/>
      <c r="T280" s="262"/>
    </row>
    <row r="281" spans="1:20" s="263" customFormat="1" x14ac:dyDescent="0.25">
      <c r="A281" s="275"/>
      <c r="B281" s="276"/>
      <c r="C281" s="271"/>
      <c r="D281" s="417"/>
      <c r="E281" s="417"/>
      <c r="F281" s="417"/>
      <c r="G281" s="417"/>
      <c r="H281" s="417"/>
      <c r="I281" s="417"/>
      <c r="J281" s="417"/>
      <c r="K281" s="417"/>
      <c r="L281" s="417"/>
      <c r="M281" s="417"/>
      <c r="N281" s="421"/>
      <c r="O281" s="415"/>
      <c r="P281" s="422"/>
      <c r="Q281" s="415"/>
      <c r="R281" s="271"/>
      <c r="S281" s="274"/>
      <c r="T281" s="262"/>
    </row>
    <row r="282" spans="1:20" s="263" customFormat="1" x14ac:dyDescent="0.25">
      <c r="A282" s="275"/>
      <c r="B282" s="276" t="s">
        <v>205</v>
      </c>
      <c r="C282" s="271"/>
      <c r="D282" s="417"/>
      <c r="E282" s="417"/>
      <c r="F282" s="417"/>
      <c r="G282" s="417"/>
      <c r="H282" s="417"/>
      <c r="I282" s="417"/>
      <c r="J282" s="417"/>
      <c r="K282" s="417"/>
      <c r="L282" s="417"/>
      <c r="M282" s="417"/>
      <c r="N282" s="421"/>
      <c r="O282" s="415"/>
      <c r="P282" s="425">
        <f>(H30+R135)/R30</f>
        <v>0.18576508441252479</v>
      </c>
      <c r="Q282" s="415"/>
      <c r="R282" s="271"/>
      <c r="S282" s="274"/>
      <c r="T282" s="262"/>
    </row>
    <row r="283" spans="1:20" s="263" customFormat="1" x14ac:dyDescent="0.25">
      <c r="A283" s="258"/>
      <c r="B283" s="259"/>
      <c r="C283" s="259"/>
      <c r="D283" s="426"/>
      <c r="E283" s="426"/>
      <c r="F283" s="426"/>
      <c r="G283" s="426"/>
      <c r="H283" s="426"/>
      <c r="I283" s="426"/>
      <c r="J283" s="426"/>
      <c r="K283" s="426"/>
      <c r="L283" s="426"/>
      <c r="M283" s="426"/>
      <c r="N283" s="426"/>
      <c r="O283" s="426"/>
      <c r="P283" s="427"/>
      <c r="Q283" s="426"/>
      <c r="R283" s="259"/>
      <c r="S283" s="261"/>
      <c r="T283" s="262"/>
    </row>
    <row r="284" spans="1:20" s="263" customFormat="1" x14ac:dyDescent="0.25">
      <c r="A284" s="258"/>
      <c r="B284" s="257" t="s">
        <v>76</v>
      </c>
      <c r="C284" s="259"/>
      <c r="D284" s="428" t="s">
        <v>80</v>
      </c>
      <c r="E284" s="257"/>
      <c r="F284" s="257" t="s">
        <v>81</v>
      </c>
      <c r="G284" s="259"/>
      <c r="H284" s="257"/>
      <c r="I284" s="259"/>
      <c r="J284" s="259"/>
      <c r="K284" s="259"/>
      <c r="L284" s="259"/>
      <c r="M284" s="259"/>
      <c r="N284" s="259"/>
      <c r="O284" s="259"/>
      <c r="P284" s="259"/>
      <c r="Q284" s="259"/>
      <c r="R284" s="259"/>
      <c r="S284" s="261"/>
      <c r="T284" s="262"/>
    </row>
    <row r="285" spans="1:20" s="263" customFormat="1" x14ac:dyDescent="0.25">
      <c r="A285" s="258"/>
      <c r="B285" s="259"/>
      <c r="C285" s="259"/>
      <c r="D285" s="259"/>
      <c r="E285" s="259"/>
      <c r="F285" s="259"/>
      <c r="G285" s="259"/>
      <c r="H285" s="259"/>
      <c r="I285" s="259"/>
      <c r="J285" s="259"/>
      <c r="K285" s="259"/>
      <c r="L285" s="259"/>
      <c r="M285" s="259"/>
      <c r="N285" s="259"/>
      <c r="O285" s="259"/>
      <c r="P285" s="259"/>
      <c r="Q285" s="259"/>
      <c r="R285" s="259"/>
      <c r="S285" s="261"/>
      <c r="T285" s="262"/>
    </row>
    <row r="286" spans="1:20" s="263" customFormat="1" x14ac:dyDescent="0.25">
      <c r="A286" s="258"/>
      <c r="B286" s="257" t="s">
        <v>199</v>
      </c>
      <c r="C286" s="257"/>
      <c r="D286" s="429" t="s">
        <v>150</v>
      </c>
      <c r="E286" s="257"/>
      <c r="F286" s="469" t="s">
        <v>262</v>
      </c>
      <c r="G286" s="257"/>
      <c r="H286" s="257"/>
      <c r="I286" s="259"/>
      <c r="J286" s="259"/>
      <c r="K286" s="259"/>
      <c r="L286" s="259"/>
      <c r="M286" s="259"/>
      <c r="N286" s="259"/>
      <c r="O286" s="259"/>
      <c r="P286" s="259"/>
      <c r="Q286" s="259"/>
      <c r="R286" s="259"/>
      <c r="S286" s="261"/>
      <c r="T286" s="262"/>
    </row>
    <row r="287" spans="1:20" s="263" customFormat="1" x14ac:dyDescent="0.25">
      <c r="A287" s="258"/>
      <c r="B287" s="257" t="s">
        <v>200</v>
      </c>
      <c r="C287" s="257"/>
      <c r="D287" s="429" t="s">
        <v>115</v>
      </c>
      <c r="E287" s="257"/>
      <c r="F287" s="469" t="s">
        <v>263</v>
      </c>
      <c r="G287" s="257"/>
      <c r="H287" s="257"/>
      <c r="I287" s="259"/>
      <c r="J287" s="259"/>
      <c r="K287" s="259"/>
      <c r="L287" s="259"/>
      <c r="M287" s="259"/>
      <c r="N287" s="259"/>
      <c r="O287" s="259"/>
      <c r="P287" s="259"/>
      <c r="Q287" s="259"/>
      <c r="R287" s="259"/>
      <c r="S287" s="261"/>
      <c r="T287" s="262"/>
    </row>
    <row r="288" spans="1:20" s="263" customFormat="1" x14ac:dyDescent="0.25">
      <c r="A288" s="258"/>
      <c r="B288" s="257"/>
      <c r="C288" s="257"/>
      <c r="D288" s="259"/>
      <c r="E288" s="259"/>
      <c r="F288" s="259"/>
      <c r="G288" s="259"/>
      <c r="H288" s="259"/>
      <c r="I288" s="259"/>
      <c r="J288" s="259"/>
      <c r="K288" s="259"/>
      <c r="L288" s="259"/>
      <c r="M288" s="259"/>
      <c r="N288" s="259"/>
      <c r="O288" s="259"/>
      <c r="P288" s="259"/>
      <c r="Q288" s="259"/>
      <c r="R288" s="259"/>
      <c r="S288" s="261"/>
      <c r="T288" s="262"/>
    </row>
    <row r="289" spans="1:20" s="263" customFormat="1" x14ac:dyDescent="0.25">
      <c r="A289" s="258"/>
      <c r="B289" s="257"/>
      <c r="C289" s="257"/>
      <c r="D289" s="259"/>
      <c r="E289" s="259"/>
      <c r="F289" s="259"/>
      <c r="G289" s="259"/>
      <c r="H289" s="259"/>
      <c r="I289" s="259"/>
      <c r="J289" s="259"/>
      <c r="K289" s="259"/>
      <c r="L289" s="259"/>
      <c r="M289" s="259"/>
      <c r="N289" s="259"/>
      <c r="O289" s="259"/>
      <c r="P289" s="259"/>
      <c r="Q289" s="259"/>
      <c r="R289" s="259"/>
      <c r="S289" s="261"/>
      <c r="T289" s="262"/>
    </row>
    <row r="290" spans="1:20" s="263" customFormat="1" ht="19.5" thickBot="1" x14ac:dyDescent="0.35">
      <c r="A290" s="258"/>
      <c r="B290" s="430" t="str">
        <f>B190</f>
        <v>PM20 INVESTOR REPORT QUARTER ENDING JANUARY 2018</v>
      </c>
      <c r="C290" s="257"/>
      <c r="D290" s="259"/>
      <c r="E290" s="259"/>
      <c r="F290" s="259"/>
      <c r="G290" s="259"/>
      <c r="H290" s="259"/>
      <c r="I290" s="259"/>
      <c r="J290" s="259"/>
      <c r="K290" s="259"/>
      <c r="L290" s="259"/>
      <c r="M290" s="259"/>
      <c r="N290" s="259"/>
      <c r="O290" s="259"/>
      <c r="P290" s="259"/>
      <c r="Q290" s="259"/>
      <c r="R290" s="259"/>
      <c r="S290" s="322"/>
      <c r="T290" s="262"/>
    </row>
    <row r="291" spans="1:20" x14ac:dyDescent="0.25">
      <c r="A291" s="431"/>
      <c r="B291" s="431"/>
      <c r="C291" s="431"/>
      <c r="D291" s="431"/>
      <c r="E291" s="431"/>
      <c r="F291" s="431"/>
      <c r="G291" s="431"/>
      <c r="H291" s="431"/>
      <c r="I291" s="431"/>
      <c r="J291" s="431"/>
      <c r="K291" s="431"/>
      <c r="L291" s="431"/>
      <c r="M291" s="431"/>
      <c r="N291" s="431"/>
      <c r="O291" s="431"/>
      <c r="P291" s="431"/>
      <c r="Q291" s="431"/>
      <c r="R291" s="431"/>
      <c r="S291" s="431"/>
    </row>
  </sheetData>
  <hyperlinks>
    <hyperlink ref="K9" r:id="rId1"/>
    <hyperlink ref="N227"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1"/>
  <sheetViews>
    <sheetView showGridLines="0" showOutlineSymbols="0" zoomScale="70" zoomScaleNormal="70" workbookViewId="0"/>
  </sheetViews>
  <sheetFormatPr defaultColWidth="9.6640625" defaultRowHeight="15.75" x14ac:dyDescent="0.25"/>
  <cols>
    <col min="1" max="1" width="4" style="245" customWidth="1"/>
    <col min="2" max="2" width="71.21875" style="245" customWidth="1"/>
    <col min="3" max="3" width="2.21875" style="245" customWidth="1"/>
    <col min="4" max="4" width="16.21875" style="245" customWidth="1"/>
    <col min="5" max="5" width="2.88671875" style="245" customWidth="1"/>
    <col min="6" max="6" width="16.21875" style="245" customWidth="1"/>
    <col min="7" max="7" width="2.21875" style="245" customWidth="1"/>
    <col min="8" max="8" width="17.88671875" style="245" customWidth="1"/>
    <col min="9" max="9" width="2.33203125" style="245" customWidth="1"/>
    <col min="10" max="10" width="14.88671875" style="245" customWidth="1"/>
    <col min="11" max="11" width="2.33203125" style="245" customWidth="1"/>
    <col min="12" max="12" width="15.5546875" style="245" customWidth="1"/>
    <col min="13" max="13" width="2.21875" style="245" customWidth="1"/>
    <col min="14" max="14" width="15.5546875" style="245" customWidth="1"/>
    <col min="15" max="16" width="12.6640625" style="245" customWidth="1"/>
    <col min="17" max="17" width="7.77734375" style="245" customWidth="1"/>
    <col min="18" max="18" width="14.6640625" style="245" customWidth="1"/>
    <col min="19" max="19" width="11.77734375" style="245" customWidth="1"/>
    <col min="20" max="16384" width="9.6640625" style="245"/>
  </cols>
  <sheetData>
    <row r="1" spans="1:20" ht="21" x14ac:dyDescent="0.35">
      <c r="A1" s="240"/>
      <c r="B1" s="241" t="s">
        <v>208</v>
      </c>
      <c r="C1" s="242"/>
      <c r="D1" s="242"/>
      <c r="E1" s="242"/>
      <c r="F1" s="242"/>
      <c r="G1" s="242"/>
      <c r="H1" s="242"/>
      <c r="I1" s="242"/>
      <c r="J1" s="242"/>
      <c r="K1" s="242"/>
      <c r="L1" s="242"/>
      <c r="M1" s="242"/>
      <c r="N1" s="242"/>
      <c r="O1" s="242"/>
      <c r="P1" s="242"/>
      <c r="Q1" s="242"/>
      <c r="R1" s="242"/>
      <c r="S1" s="243"/>
      <c r="T1" s="244"/>
    </row>
    <row r="2" spans="1:20" x14ac:dyDescent="0.25">
      <c r="A2" s="246"/>
      <c r="B2" s="247"/>
      <c r="C2" s="248"/>
      <c r="D2" s="248"/>
      <c r="E2" s="248"/>
      <c r="F2" s="248"/>
      <c r="G2" s="248"/>
      <c r="H2" s="248"/>
      <c r="I2" s="248"/>
      <c r="J2" s="248"/>
      <c r="K2" s="248"/>
      <c r="L2" s="248"/>
      <c r="M2" s="248"/>
      <c r="N2" s="248"/>
      <c r="O2" s="248"/>
      <c r="P2" s="248"/>
      <c r="Q2" s="248"/>
      <c r="R2" s="248"/>
      <c r="S2" s="249"/>
      <c r="T2" s="244"/>
    </row>
    <row r="3" spans="1:20" x14ac:dyDescent="0.25">
      <c r="A3" s="250"/>
      <c r="B3" s="251" t="s">
        <v>209</v>
      </c>
      <c r="C3" s="248"/>
      <c r="D3" s="248"/>
      <c r="E3" s="248"/>
      <c r="F3" s="248"/>
      <c r="G3" s="248"/>
      <c r="H3" s="248"/>
      <c r="I3" s="248"/>
      <c r="J3" s="248"/>
      <c r="K3" s="248"/>
      <c r="L3" s="248"/>
      <c r="M3" s="248"/>
      <c r="N3" s="248"/>
      <c r="O3" s="248"/>
      <c r="P3" s="248"/>
      <c r="Q3" s="248"/>
      <c r="R3" s="248"/>
      <c r="S3" s="249"/>
      <c r="T3" s="244"/>
    </row>
    <row r="4" spans="1:20" x14ac:dyDescent="0.25">
      <c r="A4" s="246"/>
      <c r="B4" s="247"/>
      <c r="C4" s="248"/>
      <c r="D4" s="248"/>
      <c r="E4" s="248"/>
      <c r="F4" s="248"/>
      <c r="G4" s="248"/>
      <c r="H4" s="248"/>
      <c r="I4" s="248"/>
      <c r="J4" s="248"/>
      <c r="K4" s="248"/>
      <c r="L4" s="248"/>
      <c r="M4" s="248"/>
      <c r="N4" s="248"/>
      <c r="O4" s="248"/>
      <c r="P4" s="248"/>
      <c r="Q4" s="248"/>
      <c r="R4" s="248"/>
      <c r="S4" s="249"/>
      <c r="T4" s="244"/>
    </row>
    <row r="5" spans="1:20" x14ac:dyDescent="0.25">
      <c r="A5" s="246"/>
      <c r="B5" s="252" t="s">
        <v>110</v>
      </c>
      <c r="C5" s="248"/>
      <c r="D5" s="248"/>
      <c r="E5" s="248"/>
      <c r="F5" s="248"/>
      <c r="G5" s="248"/>
      <c r="H5" s="248"/>
      <c r="I5" s="248"/>
      <c r="J5" s="248"/>
      <c r="K5" s="248"/>
      <c r="L5" s="248"/>
      <c r="M5" s="248"/>
      <c r="N5" s="248"/>
      <c r="O5" s="248"/>
      <c r="P5" s="248"/>
      <c r="Q5" s="248"/>
      <c r="R5" s="248"/>
      <c r="S5" s="249"/>
      <c r="T5" s="244"/>
    </row>
    <row r="6" spans="1:20" x14ac:dyDescent="0.25">
      <c r="A6" s="246"/>
      <c r="B6" s="252" t="s">
        <v>112</v>
      </c>
      <c r="C6" s="248"/>
      <c r="D6" s="248"/>
      <c r="E6" s="248"/>
      <c r="F6" s="248"/>
      <c r="G6" s="248"/>
      <c r="H6" s="248"/>
      <c r="I6" s="248"/>
      <c r="J6" s="248"/>
      <c r="K6" s="248"/>
      <c r="L6" s="248"/>
      <c r="M6" s="248"/>
      <c r="N6" s="248"/>
      <c r="O6" s="248"/>
      <c r="P6" s="248"/>
      <c r="Q6" s="248"/>
      <c r="R6" s="248"/>
      <c r="S6" s="249"/>
      <c r="T6" s="244"/>
    </row>
    <row r="7" spans="1:20" x14ac:dyDescent="0.25">
      <c r="A7" s="246"/>
      <c r="B7" s="252" t="s">
        <v>111</v>
      </c>
      <c r="C7" s="248"/>
      <c r="D7" s="248"/>
      <c r="E7" s="248"/>
      <c r="F7" s="248"/>
      <c r="G7" s="248"/>
      <c r="H7" s="248"/>
      <c r="I7" s="248"/>
      <c r="J7" s="248"/>
      <c r="K7" s="248"/>
      <c r="L7" s="248"/>
      <c r="M7" s="248"/>
      <c r="N7" s="248"/>
      <c r="O7" s="248"/>
      <c r="P7" s="248"/>
      <c r="Q7" s="248"/>
      <c r="R7" s="248"/>
      <c r="S7" s="249"/>
      <c r="T7" s="244"/>
    </row>
    <row r="8" spans="1:20" x14ac:dyDescent="0.25">
      <c r="A8" s="246"/>
      <c r="B8" s="253"/>
      <c r="C8" s="248"/>
      <c r="D8" s="248"/>
      <c r="E8" s="248"/>
      <c r="F8" s="248"/>
      <c r="G8" s="248"/>
      <c r="H8" s="248"/>
      <c r="I8" s="248"/>
      <c r="J8" s="248"/>
      <c r="K8" s="248"/>
      <c r="L8" s="248"/>
      <c r="M8" s="248"/>
      <c r="N8" s="248"/>
      <c r="O8" s="248"/>
      <c r="P8" s="248"/>
      <c r="Q8" s="248"/>
      <c r="R8" s="248"/>
      <c r="S8" s="249"/>
      <c r="T8" s="244"/>
    </row>
    <row r="9" spans="1:20" ht="18.75" x14ac:dyDescent="0.3">
      <c r="A9" s="246"/>
      <c r="B9" s="254" t="s">
        <v>128</v>
      </c>
      <c r="C9" s="248"/>
      <c r="D9" s="248"/>
      <c r="E9" s="255"/>
      <c r="F9" s="248"/>
      <c r="G9" s="248"/>
      <c r="H9" s="255"/>
      <c r="I9" s="248"/>
      <c r="J9" s="255"/>
      <c r="K9" s="238" t="s">
        <v>261</v>
      </c>
      <c r="L9" s="255"/>
      <c r="M9" s="248"/>
      <c r="N9" s="248"/>
      <c r="O9" s="248"/>
      <c r="P9" s="248"/>
      <c r="Q9" s="248"/>
      <c r="R9" s="248"/>
      <c r="S9" s="249"/>
      <c r="T9" s="244"/>
    </row>
    <row r="10" spans="1:20" x14ac:dyDescent="0.25">
      <c r="A10" s="246"/>
      <c r="B10" s="253"/>
      <c r="C10" s="256"/>
      <c r="D10" s="248"/>
      <c r="E10" s="248"/>
      <c r="F10" s="248"/>
      <c r="G10" s="248"/>
      <c r="H10" s="248"/>
      <c r="I10" s="248"/>
      <c r="J10" s="248"/>
      <c r="K10" s="248"/>
      <c r="L10" s="248"/>
      <c r="M10" s="248"/>
      <c r="N10" s="248"/>
      <c r="O10" s="248"/>
      <c r="P10" s="248"/>
      <c r="Q10" s="248"/>
      <c r="R10" s="248"/>
      <c r="S10" s="249"/>
      <c r="T10" s="244"/>
    </row>
    <row r="11" spans="1:20" x14ac:dyDescent="0.25">
      <c r="A11" s="246"/>
      <c r="B11" s="257" t="s">
        <v>0</v>
      </c>
      <c r="C11" s="248"/>
      <c r="D11" s="248"/>
      <c r="E11" s="248"/>
      <c r="F11" s="248"/>
      <c r="G11" s="248"/>
      <c r="H11" s="248"/>
      <c r="I11" s="248"/>
      <c r="J11" s="248"/>
      <c r="K11" s="248"/>
      <c r="L11" s="248"/>
      <c r="M11" s="248"/>
      <c r="N11" s="248"/>
      <c r="O11" s="248"/>
      <c r="P11" s="248"/>
      <c r="Q11" s="248"/>
      <c r="R11" s="248"/>
      <c r="S11" s="249"/>
      <c r="T11" s="244"/>
    </row>
    <row r="12" spans="1:20" ht="16.5" thickBot="1" x14ac:dyDescent="0.3">
      <c r="A12" s="246"/>
      <c r="B12" s="256"/>
      <c r="C12" s="248"/>
      <c r="D12" s="248"/>
      <c r="E12" s="248"/>
      <c r="F12" s="248"/>
      <c r="G12" s="248"/>
      <c r="H12" s="248"/>
      <c r="I12" s="248"/>
      <c r="J12" s="248"/>
      <c r="K12" s="248"/>
      <c r="L12" s="248"/>
      <c r="M12" s="248"/>
      <c r="N12" s="248"/>
      <c r="O12" s="248"/>
      <c r="P12" s="248"/>
      <c r="Q12" s="248"/>
      <c r="R12" s="248"/>
      <c r="S12" s="249"/>
      <c r="T12" s="244"/>
    </row>
    <row r="13" spans="1:20" x14ac:dyDescent="0.25">
      <c r="A13" s="240"/>
      <c r="B13" s="242"/>
      <c r="C13" s="242"/>
      <c r="D13" s="242"/>
      <c r="E13" s="242"/>
      <c r="F13" s="242"/>
      <c r="G13" s="242"/>
      <c r="H13" s="242"/>
      <c r="I13" s="242"/>
      <c r="J13" s="242"/>
      <c r="K13" s="242"/>
      <c r="L13" s="242"/>
      <c r="M13" s="242"/>
      <c r="N13" s="242"/>
      <c r="O13" s="242"/>
      <c r="P13" s="242"/>
      <c r="Q13" s="242"/>
      <c r="R13" s="242"/>
      <c r="S13" s="243"/>
      <c r="T13" s="244"/>
    </row>
    <row r="14" spans="1:20" s="263" customFormat="1" x14ac:dyDescent="0.25">
      <c r="A14" s="258"/>
      <c r="B14" s="257" t="s">
        <v>1</v>
      </c>
      <c r="C14" s="259"/>
      <c r="D14" s="259"/>
      <c r="E14" s="259"/>
      <c r="F14" s="259"/>
      <c r="G14" s="259"/>
      <c r="H14" s="259"/>
      <c r="I14" s="259"/>
      <c r="J14" s="259"/>
      <c r="K14" s="259"/>
      <c r="L14" s="259"/>
      <c r="M14" s="259"/>
      <c r="N14" s="259"/>
      <c r="O14" s="259"/>
      <c r="P14" s="259"/>
      <c r="Q14" s="259"/>
      <c r="R14" s="260" t="s">
        <v>210</v>
      </c>
      <c r="S14" s="261"/>
      <c r="T14" s="262"/>
    </row>
    <row r="15" spans="1:20" s="263" customFormat="1" x14ac:dyDescent="0.25">
      <c r="A15" s="258"/>
      <c r="B15" s="257" t="s">
        <v>2</v>
      </c>
      <c r="C15" s="259"/>
      <c r="D15" s="264"/>
      <c r="E15" s="264"/>
      <c r="F15" s="264"/>
      <c r="G15" s="264"/>
      <c r="H15" s="264"/>
      <c r="I15" s="264"/>
      <c r="J15" s="264"/>
      <c r="K15" s="264"/>
      <c r="L15" s="264"/>
      <c r="M15" s="264"/>
      <c r="N15" s="265" t="s">
        <v>159</v>
      </c>
      <c r="O15" s="265">
        <v>0.98799999999999999</v>
      </c>
      <c r="P15" s="265" t="s">
        <v>239</v>
      </c>
      <c r="Q15" s="265">
        <v>1.2E-2</v>
      </c>
      <c r="R15" s="260"/>
      <c r="S15" s="261"/>
      <c r="T15" s="262"/>
    </row>
    <row r="16" spans="1:20" s="263" customFormat="1" x14ac:dyDescent="0.25">
      <c r="A16" s="258"/>
      <c r="B16" s="257" t="s">
        <v>3</v>
      </c>
      <c r="C16" s="259"/>
      <c r="D16" s="264"/>
      <c r="E16" s="264"/>
      <c r="F16" s="264"/>
      <c r="G16" s="264"/>
      <c r="H16" s="264"/>
      <c r="I16" s="264"/>
      <c r="J16" s="264"/>
      <c r="K16" s="264"/>
      <c r="L16" s="264"/>
      <c r="M16" s="264"/>
      <c r="N16" s="265" t="s">
        <v>159</v>
      </c>
      <c r="O16" s="265">
        <v>0.96399999999999997</v>
      </c>
      <c r="P16" s="265" t="s">
        <v>239</v>
      </c>
      <c r="Q16" s="265">
        <v>3.5999999999999997E-2</v>
      </c>
      <c r="R16" s="260"/>
      <c r="S16" s="261"/>
      <c r="T16" s="262"/>
    </row>
    <row r="17" spans="1:23" s="263" customFormat="1" x14ac:dyDescent="0.25">
      <c r="A17" s="258"/>
      <c r="B17" s="257" t="s">
        <v>4</v>
      </c>
      <c r="C17" s="259"/>
      <c r="D17" s="259"/>
      <c r="E17" s="259"/>
      <c r="F17" s="259"/>
      <c r="G17" s="259"/>
      <c r="H17" s="259"/>
      <c r="I17" s="259"/>
      <c r="J17" s="259"/>
      <c r="K17" s="259"/>
      <c r="L17" s="259"/>
      <c r="M17" s="259"/>
      <c r="N17" s="259"/>
      <c r="O17" s="259"/>
      <c r="P17" s="259"/>
      <c r="Q17" s="259"/>
      <c r="R17" s="266">
        <v>41837</v>
      </c>
      <c r="S17" s="261"/>
      <c r="T17" s="262"/>
    </row>
    <row r="18" spans="1:23" s="263" customFormat="1" x14ac:dyDescent="0.25">
      <c r="A18" s="258"/>
      <c r="B18" s="257" t="s">
        <v>5</v>
      </c>
      <c r="C18" s="259"/>
      <c r="D18" s="259"/>
      <c r="E18" s="259"/>
      <c r="F18" s="259"/>
      <c r="G18" s="259"/>
      <c r="H18" s="259"/>
      <c r="I18" s="259"/>
      <c r="J18" s="259"/>
      <c r="K18" s="259"/>
      <c r="L18" s="259"/>
      <c r="M18" s="259"/>
      <c r="N18" s="259"/>
      <c r="O18" s="259"/>
      <c r="P18" s="259"/>
      <c r="Q18" s="259"/>
      <c r="R18" s="266">
        <v>43238</v>
      </c>
      <c r="S18" s="261"/>
      <c r="T18" s="262"/>
    </row>
    <row r="19" spans="1:23" s="263" customFormat="1" x14ac:dyDescent="0.25">
      <c r="A19" s="258"/>
      <c r="B19" s="259"/>
      <c r="C19" s="259"/>
      <c r="D19" s="259"/>
      <c r="E19" s="259"/>
      <c r="F19" s="259"/>
      <c r="G19" s="259"/>
      <c r="H19" s="259"/>
      <c r="I19" s="259"/>
      <c r="J19" s="259"/>
      <c r="K19" s="259"/>
      <c r="L19" s="259"/>
      <c r="M19" s="259"/>
      <c r="N19" s="259"/>
      <c r="O19" s="259"/>
      <c r="P19" s="259"/>
      <c r="Q19" s="259"/>
      <c r="R19" s="267"/>
      <c r="S19" s="261"/>
      <c r="T19" s="262"/>
    </row>
    <row r="20" spans="1:23" s="263" customFormat="1" x14ac:dyDescent="0.25">
      <c r="A20" s="258"/>
      <c r="B20" s="268" t="s">
        <v>6</v>
      </c>
      <c r="C20" s="259"/>
      <c r="D20" s="259"/>
      <c r="E20" s="259"/>
      <c r="F20" s="259"/>
      <c r="G20" s="259"/>
      <c r="H20" s="259"/>
      <c r="I20" s="259"/>
      <c r="J20" s="259"/>
      <c r="K20" s="259"/>
      <c r="L20" s="259"/>
      <c r="M20" s="259"/>
      <c r="N20" s="259"/>
      <c r="O20" s="259"/>
      <c r="P20" s="267" t="s">
        <v>86</v>
      </c>
      <c r="Q20" s="259"/>
      <c r="R20" s="259"/>
      <c r="S20" s="261"/>
      <c r="T20" s="262"/>
    </row>
    <row r="21" spans="1:23" x14ac:dyDescent="0.25">
      <c r="A21" s="246"/>
      <c r="B21" s="248"/>
      <c r="C21" s="248"/>
      <c r="D21" s="248"/>
      <c r="E21" s="248"/>
      <c r="F21" s="248"/>
      <c r="G21" s="248"/>
      <c r="H21" s="248"/>
      <c r="I21" s="248"/>
      <c r="J21" s="248"/>
      <c r="K21" s="248"/>
      <c r="L21" s="248"/>
      <c r="M21" s="248"/>
      <c r="N21" s="248"/>
      <c r="O21" s="248"/>
      <c r="P21" s="248"/>
      <c r="Q21" s="248"/>
      <c r="R21" s="269"/>
      <c r="S21" s="249"/>
      <c r="T21" s="244"/>
    </row>
    <row r="22" spans="1:23" x14ac:dyDescent="0.25">
      <c r="A22" s="432"/>
      <c r="B22" s="440"/>
      <c r="C22" s="441"/>
      <c r="D22" s="441" t="s">
        <v>155</v>
      </c>
      <c r="E22" s="441"/>
      <c r="F22" s="441" t="s">
        <v>185</v>
      </c>
      <c r="G22" s="441"/>
      <c r="H22" s="441" t="s">
        <v>186</v>
      </c>
      <c r="I22" s="441"/>
      <c r="J22" s="441"/>
      <c r="K22" s="441"/>
      <c r="L22" s="441"/>
      <c r="M22" s="441"/>
      <c r="N22" s="441"/>
      <c r="O22" s="442"/>
      <c r="P22" s="442"/>
      <c r="Q22" s="440"/>
      <c r="R22" s="440"/>
      <c r="S22" s="434"/>
      <c r="T22" s="244"/>
    </row>
    <row r="23" spans="1:23" s="263" customFormat="1" x14ac:dyDescent="0.25">
      <c r="A23" s="435"/>
      <c r="B23" s="436" t="s">
        <v>131</v>
      </c>
      <c r="C23" s="437"/>
      <c r="D23" s="438" t="s">
        <v>113</v>
      </c>
      <c r="E23" s="438"/>
      <c r="F23" s="438" t="s">
        <v>226</v>
      </c>
      <c r="G23" s="438"/>
      <c r="H23" s="438" t="s">
        <v>157</v>
      </c>
      <c r="I23" s="438"/>
      <c r="J23" s="438"/>
      <c r="K23" s="438"/>
      <c r="L23" s="438"/>
      <c r="M23" s="438"/>
      <c r="N23" s="438"/>
      <c r="O23" s="437"/>
      <c r="P23" s="438"/>
      <c r="Q23" s="436"/>
      <c r="R23" s="436"/>
      <c r="S23" s="439"/>
      <c r="T23" s="262"/>
    </row>
    <row r="24" spans="1:23" s="263" customFormat="1" x14ac:dyDescent="0.25">
      <c r="A24" s="270"/>
      <c r="B24" s="271" t="s">
        <v>202</v>
      </c>
      <c r="C24" s="272"/>
      <c r="D24" s="273" t="s">
        <v>204</v>
      </c>
      <c r="E24" s="273"/>
      <c r="F24" s="273" t="s">
        <v>227</v>
      </c>
      <c r="G24" s="273"/>
      <c r="H24" s="273" t="s">
        <v>157</v>
      </c>
      <c r="I24" s="273"/>
      <c r="J24" s="273"/>
      <c r="K24" s="273"/>
      <c r="L24" s="273"/>
      <c r="M24" s="273"/>
      <c r="N24" s="273"/>
      <c r="O24" s="272"/>
      <c r="P24" s="273"/>
      <c r="Q24" s="271"/>
      <c r="R24" s="271"/>
      <c r="S24" s="274"/>
      <c r="T24" s="262"/>
    </row>
    <row r="25" spans="1:23" s="263" customFormat="1" x14ac:dyDescent="0.25">
      <c r="A25" s="275"/>
      <c r="B25" s="276" t="s">
        <v>132</v>
      </c>
      <c r="C25" s="273"/>
      <c r="D25" s="272" t="s">
        <v>113</v>
      </c>
      <c r="E25" s="272"/>
      <c r="F25" s="272" t="s">
        <v>258</v>
      </c>
      <c r="G25" s="272"/>
      <c r="H25" s="272" t="s">
        <v>157</v>
      </c>
      <c r="I25" s="272"/>
      <c r="J25" s="272"/>
      <c r="K25" s="272"/>
      <c r="L25" s="272"/>
      <c r="M25" s="272"/>
      <c r="N25" s="272"/>
      <c r="O25" s="273"/>
      <c r="P25" s="277"/>
      <c r="Q25" s="271"/>
      <c r="R25" s="271"/>
      <c r="S25" s="274"/>
      <c r="T25" s="262"/>
      <c r="U25" s="278"/>
      <c r="W25" s="279"/>
    </row>
    <row r="26" spans="1:23" s="263" customFormat="1" x14ac:dyDescent="0.25">
      <c r="A26" s="275"/>
      <c r="B26" s="276" t="s">
        <v>203</v>
      </c>
      <c r="C26" s="273"/>
      <c r="D26" s="272" t="s">
        <v>204</v>
      </c>
      <c r="E26" s="272"/>
      <c r="F26" s="272" t="s">
        <v>227</v>
      </c>
      <c r="G26" s="272"/>
      <c r="H26" s="272" t="s">
        <v>157</v>
      </c>
      <c r="I26" s="272"/>
      <c r="J26" s="272"/>
      <c r="K26" s="272"/>
      <c r="L26" s="272"/>
      <c r="M26" s="272"/>
      <c r="N26" s="272"/>
      <c r="O26" s="273"/>
      <c r="P26" s="277"/>
      <c r="Q26" s="271"/>
      <c r="R26" s="271"/>
      <c r="S26" s="274"/>
      <c r="T26" s="262"/>
      <c r="U26" s="278"/>
      <c r="W26" s="279"/>
    </row>
    <row r="27" spans="1:23" s="263" customFormat="1" x14ac:dyDescent="0.25">
      <c r="A27" s="275"/>
      <c r="B27" s="271" t="s">
        <v>7</v>
      </c>
      <c r="C27" s="280"/>
      <c r="D27" s="273" t="s">
        <v>212</v>
      </c>
      <c r="E27" s="273"/>
      <c r="F27" s="273" t="s">
        <v>213</v>
      </c>
      <c r="G27" s="273"/>
      <c r="H27" s="273" t="s">
        <v>214</v>
      </c>
      <c r="I27" s="273"/>
      <c r="J27" s="273"/>
      <c r="K27" s="273"/>
      <c r="L27" s="273"/>
      <c r="M27" s="273"/>
      <c r="N27" s="273"/>
      <c r="O27" s="281"/>
      <c r="P27" s="281"/>
      <c r="Q27" s="280"/>
      <c r="R27" s="281"/>
      <c r="S27" s="282"/>
      <c r="T27" s="262"/>
      <c r="U27" s="278"/>
      <c r="W27" s="279"/>
    </row>
    <row r="28" spans="1:23" s="263" customFormat="1" x14ac:dyDescent="0.25">
      <c r="A28" s="270"/>
      <c r="B28" s="271" t="s">
        <v>107</v>
      </c>
      <c r="C28" s="283"/>
      <c r="D28" s="284">
        <v>319000</v>
      </c>
      <c r="E28" s="285"/>
      <c r="F28" s="284">
        <v>24000</v>
      </c>
      <c r="G28" s="286"/>
      <c r="H28" s="284">
        <v>7000</v>
      </c>
      <c r="I28" s="281"/>
      <c r="J28" s="284"/>
      <c r="K28" s="281"/>
      <c r="L28" s="285"/>
      <c r="M28" s="281"/>
      <c r="N28" s="285"/>
      <c r="O28" s="287"/>
      <c r="P28" s="287"/>
      <c r="Q28" s="283"/>
      <c r="R28" s="281">
        <f>SUM(D28:J28)</f>
        <v>350000</v>
      </c>
      <c r="S28" s="282"/>
      <c r="T28" s="262"/>
    </row>
    <row r="29" spans="1:23" s="263" customFormat="1" x14ac:dyDescent="0.25">
      <c r="A29" s="275"/>
      <c r="B29" s="271" t="s">
        <v>106</v>
      </c>
      <c r="C29" s="280"/>
      <c r="D29" s="284">
        <f>D28*D32</f>
        <v>63205.001199999999</v>
      </c>
      <c r="E29" s="285"/>
      <c r="F29" s="284">
        <f>F28*F32</f>
        <v>24000</v>
      </c>
      <c r="G29" s="284"/>
      <c r="H29" s="284">
        <f>H28*H32</f>
        <v>7000</v>
      </c>
      <c r="I29" s="281"/>
      <c r="J29" s="284"/>
      <c r="K29" s="281"/>
      <c r="L29" s="285"/>
      <c r="M29" s="281"/>
      <c r="N29" s="285"/>
      <c r="O29" s="281"/>
      <c r="P29" s="281"/>
      <c r="Q29" s="280"/>
      <c r="R29" s="281">
        <f>SUM(D29:J29)</f>
        <v>94205.001199999999</v>
      </c>
      <c r="S29" s="282"/>
      <c r="T29" s="262"/>
    </row>
    <row r="30" spans="1:23" s="263" customFormat="1" x14ac:dyDescent="0.25">
      <c r="A30" s="275"/>
      <c r="B30" s="276" t="s">
        <v>108</v>
      </c>
      <c r="C30" s="280"/>
      <c r="D30" s="288">
        <f>D31*D28</f>
        <v>55503.511800000007</v>
      </c>
      <c r="E30" s="288"/>
      <c r="F30" s="288">
        <f t="shared" ref="F30" si="0">F31*F28</f>
        <v>24000</v>
      </c>
      <c r="G30" s="288"/>
      <c r="H30" s="288">
        <f t="shared" ref="H30" si="1">H31*H28</f>
        <v>7000</v>
      </c>
      <c r="I30" s="288"/>
      <c r="J30" s="288"/>
      <c r="K30" s="287"/>
      <c r="L30" s="289"/>
      <c r="M30" s="287"/>
      <c r="N30" s="289"/>
      <c r="O30" s="281"/>
      <c r="P30" s="281"/>
      <c r="Q30" s="280"/>
      <c r="R30" s="287">
        <f>SUM(D30:J30)</f>
        <v>86503.511800000007</v>
      </c>
      <c r="S30" s="282"/>
      <c r="T30" s="262"/>
    </row>
    <row r="31" spans="1:23" x14ac:dyDescent="0.25">
      <c r="A31" s="290"/>
      <c r="B31" s="291" t="s">
        <v>104</v>
      </c>
      <c r="C31" s="292"/>
      <c r="D31" s="293">
        <v>0.17399220000000001</v>
      </c>
      <c r="E31" s="293"/>
      <c r="F31" s="293">
        <v>1</v>
      </c>
      <c r="G31" s="293"/>
      <c r="H31" s="293">
        <v>1</v>
      </c>
      <c r="I31" s="294"/>
      <c r="J31" s="294"/>
      <c r="K31" s="294"/>
      <c r="L31" s="294"/>
      <c r="M31" s="294"/>
      <c r="N31" s="294"/>
      <c r="O31" s="295"/>
      <c r="P31" s="295"/>
      <c r="Q31" s="296"/>
      <c r="R31" s="297"/>
      <c r="S31" s="298"/>
      <c r="T31" s="244"/>
    </row>
    <row r="32" spans="1:23" x14ac:dyDescent="0.25">
      <c r="A32" s="290"/>
      <c r="B32" s="291" t="s">
        <v>105</v>
      </c>
      <c r="C32" s="292"/>
      <c r="D32" s="293">
        <v>0.1981348</v>
      </c>
      <c r="E32" s="293"/>
      <c r="F32" s="293">
        <v>1</v>
      </c>
      <c r="G32" s="293"/>
      <c r="H32" s="293">
        <v>1</v>
      </c>
      <c r="I32" s="294"/>
      <c r="J32" s="294"/>
      <c r="K32" s="294"/>
      <c r="L32" s="294"/>
      <c r="M32" s="294"/>
      <c r="N32" s="294"/>
      <c r="O32" s="299"/>
      <c r="P32" s="300"/>
      <c r="Q32" s="296"/>
      <c r="R32" s="299"/>
      <c r="S32" s="298"/>
      <c r="T32" s="244"/>
    </row>
    <row r="33" spans="1:21" s="263" customFormat="1" x14ac:dyDescent="0.25">
      <c r="A33" s="275"/>
      <c r="B33" s="271" t="s">
        <v>8</v>
      </c>
      <c r="C33" s="271"/>
      <c r="D33" s="277" t="s">
        <v>215</v>
      </c>
      <c r="E33" s="277"/>
      <c r="F33" s="277" t="s">
        <v>216</v>
      </c>
      <c r="G33" s="277"/>
      <c r="H33" s="277" t="s">
        <v>217</v>
      </c>
      <c r="I33" s="277"/>
      <c r="J33" s="277"/>
      <c r="K33" s="277"/>
      <c r="L33" s="277"/>
      <c r="M33" s="277"/>
      <c r="N33" s="277"/>
      <c r="O33" s="301"/>
      <c r="P33" s="302"/>
      <c r="Q33" s="271"/>
      <c r="R33" s="271"/>
      <c r="S33" s="274"/>
      <c r="T33" s="262"/>
    </row>
    <row r="34" spans="1:21" s="263" customFormat="1" x14ac:dyDescent="0.25">
      <c r="A34" s="275"/>
      <c r="B34" s="271" t="s">
        <v>9</v>
      </c>
      <c r="C34" s="303"/>
      <c r="D34" s="302">
        <v>1.2266300000000001E-2</v>
      </c>
      <c r="E34" s="302"/>
      <c r="F34" s="302">
        <v>1.5466300000000001E-2</v>
      </c>
      <c r="G34" s="302"/>
      <c r="H34" s="302">
        <v>1.8966299999999998E-2</v>
      </c>
      <c r="I34" s="302"/>
      <c r="J34" s="302"/>
      <c r="K34" s="302"/>
      <c r="L34" s="302"/>
      <c r="M34" s="301"/>
      <c r="N34" s="302"/>
      <c r="O34" s="277"/>
      <c r="P34" s="277"/>
      <c r="Q34" s="271"/>
      <c r="R34" s="301">
        <f>SUMPRODUCT(D34:J34,D29:J29)/R29</f>
        <v>1.3579393768104532E-2</v>
      </c>
      <c r="S34" s="274"/>
      <c r="T34" s="262"/>
    </row>
    <row r="35" spans="1:21" s="263" customFormat="1" x14ac:dyDescent="0.25">
      <c r="A35" s="275"/>
      <c r="B35" s="271" t="s">
        <v>10</v>
      </c>
      <c r="C35" s="303"/>
      <c r="D35" s="302">
        <v>1.20625E-2</v>
      </c>
      <c r="E35" s="302"/>
      <c r="F35" s="302">
        <v>1.52625E-2</v>
      </c>
      <c r="G35" s="302"/>
      <c r="H35" s="302">
        <v>1.8762500000000001E-2</v>
      </c>
      <c r="I35" s="302"/>
      <c r="J35" s="302"/>
      <c r="K35" s="302"/>
      <c r="L35" s="302"/>
      <c r="M35" s="301"/>
      <c r="N35" s="302"/>
      <c r="O35" s="277"/>
      <c r="P35" s="277"/>
      <c r="Q35" s="271"/>
      <c r="R35" s="271"/>
      <c r="S35" s="274"/>
      <c r="T35" s="262"/>
    </row>
    <row r="36" spans="1:21" s="263" customFormat="1" x14ac:dyDescent="0.25">
      <c r="A36" s="275"/>
      <c r="B36" s="271" t="s">
        <v>158</v>
      </c>
      <c r="C36" s="271"/>
      <c r="D36" s="303">
        <v>43327</v>
      </c>
      <c r="E36" s="303"/>
      <c r="F36" s="303">
        <v>43327</v>
      </c>
      <c r="G36" s="303"/>
      <c r="H36" s="303">
        <v>43327</v>
      </c>
      <c r="I36" s="303"/>
      <c r="J36" s="303"/>
      <c r="K36" s="303"/>
      <c r="L36" s="303"/>
      <c r="M36" s="303"/>
      <c r="N36" s="303"/>
      <c r="O36" s="277"/>
      <c r="P36" s="277"/>
      <c r="Q36" s="271"/>
      <c r="R36" s="271"/>
      <c r="S36" s="274"/>
      <c r="T36" s="262"/>
    </row>
    <row r="37" spans="1:21" s="263" customFormat="1" x14ac:dyDescent="0.25">
      <c r="A37" s="275"/>
      <c r="B37" s="271" t="s">
        <v>11</v>
      </c>
      <c r="C37" s="271"/>
      <c r="D37" s="303" t="s">
        <v>98</v>
      </c>
      <c r="E37" s="303"/>
      <c r="F37" s="303" t="s">
        <v>98</v>
      </c>
      <c r="G37" s="277"/>
      <c r="H37" s="303" t="s">
        <v>98</v>
      </c>
      <c r="I37" s="277"/>
      <c r="J37" s="303"/>
      <c r="K37" s="277"/>
      <c r="L37" s="303"/>
      <c r="M37" s="277"/>
      <c r="N37" s="303"/>
      <c r="O37" s="277"/>
      <c r="P37" s="277"/>
      <c r="Q37" s="271"/>
      <c r="R37" s="271"/>
      <c r="S37" s="274"/>
      <c r="T37" s="262"/>
    </row>
    <row r="38" spans="1:21" s="263" customFormat="1" x14ac:dyDescent="0.25">
      <c r="A38" s="275"/>
      <c r="B38" s="271" t="s">
        <v>99</v>
      </c>
      <c r="C38" s="271"/>
      <c r="D38" s="277" t="s">
        <v>98</v>
      </c>
      <c r="E38" s="277"/>
      <c r="F38" s="277" t="s">
        <v>98</v>
      </c>
      <c r="G38" s="277"/>
      <c r="H38" s="277" t="s">
        <v>98</v>
      </c>
      <c r="I38" s="277"/>
      <c r="J38" s="277"/>
      <c r="K38" s="277"/>
      <c r="L38" s="277"/>
      <c r="M38" s="277"/>
      <c r="N38" s="277"/>
      <c r="O38" s="304"/>
      <c r="P38" s="304"/>
      <c r="Q38" s="304"/>
      <c r="R38" s="304"/>
      <c r="S38" s="274"/>
      <c r="T38" s="262"/>
    </row>
    <row r="39" spans="1:21" s="263" customFormat="1" x14ac:dyDescent="0.25">
      <c r="A39" s="275"/>
      <c r="B39" s="271"/>
      <c r="C39" s="271"/>
      <c r="D39" s="277"/>
      <c r="E39" s="277"/>
      <c r="F39" s="277"/>
      <c r="G39" s="277"/>
      <c r="H39" s="277"/>
      <c r="I39" s="277"/>
      <c r="J39" s="277"/>
      <c r="K39" s="277"/>
      <c r="L39" s="277"/>
      <c r="M39" s="277"/>
      <c r="N39" s="277"/>
      <c r="O39" s="271"/>
      <c r="P39" s="271"/>
      <c r="Q39" s="271"/>
      <c r="R39" s="301" t="s">
        <v>133</v>
      </c>
      <c r="S39" s="274"/>
      <c r="T39" s="262"/>
    </row>
    <row r="40" spans="1:21" s="263" customFormat="1" x14ac:dyDescent="0.25">
      <c r="A40" s="275"/>
      <c r="B40" s="271" t="s">
        <v>219</v>
      </c>
      <c r="C40" s="271"/>
      <c r="D40" s="277"/>
      <c r="E40" s="277"/>
      <c r="F40" s="277"/>
      <c r="G40" s="277"/>
      <c r="H40" s="277"/>
      <c r="I40" s="277"/>
      <c r="J40" s="277"/>
      <c r="K40" s="277"/>
      <c r="L40" s="277"/>
      <c r="M40" s="277"/>
      <c r="N40" s="277"/>
      <c r="O40" s="271"/>
      <c r="P40" s="271"/>
      <c r="Q40" s="271"/>
      <c r="R40" s="301">
        <f>SUM(F28:I28)/D28</f>
        <v>9.7178683385579931E-2</v>
      </c>
      <c r="S40" s="274"/>
      <c r="T40" s="262"/>
    </row>
    <row r="41" spans="1:21" s="263" customFormat="1" x14ac:dyDescent="0.25">
      <c r="A41" s="275"/>
      <c r="B41" s="271" t="s">
        <v>220</v>
      </c>
      <c r="C41" s="271"/>
      <c r="D41" s="271"/>
      <c r="E41" s="271"/>
      <c r="F41" s="271"/>
      <c r="G41" s="271"/>
      <c r="H41" s="271"/>
      <c r="I41" s="271"/>
      <c r="J41" s="271"/>
      <c r="K41" s="271"/>
      <c r="L41" s="271"/>
      <c r="M41" s="271"/>
      <c r="N41" s="271"/>
      <c r="O41" s="271"/>
      <c r="P41" s="271"/>
      <c r="Q41" s="271"/>
      <c r="R41" s="301">
        <f>SUM(F30:I30)/D30</f>
        <v>0.55852321762458279</v>
      </c>
      <c r="S41" s="274"/>
      <c r="T41" s="262"/>
    </row>
    <row r="42" spans="1:21" s="263" customFormat="1" x14ac:dyDescent="0.25">
      <c r="A42" s="275"/>
      <c r="B42" s="271" t="s">
        <v>221</v>
      </c>
      <c r="C42" s="271"/>
      <c r="D42" s="271"/>
      <c r="E42" s="271"/>
      <c r="F42" s="271"/>
      <c r="G42" s="271"/>
      <c r="H42" s="271"/>
      <c r="I42" s="271"/>
      <c r="J42" s="271"/>
      <c r="K42" s="271"/>
      <c r="L42" s="271"/>
      <c r="M42" s="271"/>
      <c r="N42" s="271"/>
      <c r="O42" s="271"/>
      <c r="P42" s="277"/>
      <c r="Q42" s="277"/>
      <c r="R42" s="281" t="s">
        <v>152</v>
      </c>
      <c r="S42" s="274"/>
      <c r="T42" s="262"/>
    </row>
    <row r="43" spans="1:21" s="263" customFormat="1" x14ac:dyDescent="0.25">
      <c r="A43" s="275"/>
      <c r="B43" s="271"/>
      <c r="C43" s="271"/>
      <c r="D43" s="271"/>
      <c r="E43" s="271"/>
      <c r="F43" s="271"/>
      <c r="G43" s="271"/>
      <c r="H43" s="271"/>
      <c r="I43" s="271"/>
      <c r="J43" s="271"/>
      <c r="K43" s="271"/>
      <c r="L43" s="271"/>
      <c r="M43" s="271"/>
      <c r="N43" s="271"/>
      <c r="O43" s="271"/>
      <c r="P43" s="271"/>
      <c r="Q43" s="271"/>
      <c r="R43" s="305"/>
      <c r="S43" s="274"/>
      <c r="T43" s="262"/>
    </row>
    <row r="44" spans="1:21" s="263" customFormat="1" x14ac:dyDescent="0.25">
      <c r="A44" s="275"/>
      <c r="B44" s="271" t="s">
        <v>229</v>
      </c>
      <c r="C44" s="271"/>
      <c r="D44" s="271"/>
      <c r="E44" s="271"/>
      <c r="F44" s="271"/>
      <c r="G44" s="271"/>
      <c r="H44" s="271"/>
      <c r="I44" s="271"/>
      <c r="J44" s="271"/>
      <c r="K44" s="271"/>
      <c r="L44" s="271"/>
      <c r="M44" s="271"/>
      <c r="N44" s="271"/>
      <c r="O44" s="271"/>
      <c r="P44" s="271"/>
      <c r="Q44" s="271"/>
      <c r="R44" s="306" t="s">
        <v>92</v>
      </c>
      <c r="S44" s="274"/>
      <c r="T44" s="262"/>
    </row>
    <row r="45" spans="1:21" s="263" customFormat="1" x14ac:dyDescent="0.25">
      <c r="A45" s="275"/>
      <c r="B45" s="276" t="s">
        <v>134</v>
      </c>
      <c r="C45" s="276"/>
      <c r="D45" s="276"/>
      <c r="E45" s="276"/>
      <c r="F45" s="276"/>
      <c r="G45" s="276"/>
      <c r="H45" s="276"/>
      <c r="I45" s="276"/>
      <c r="J45" s="276"/>
      <c r="K45" s="276"/>
      <c r="L45" s="276"/>
      <c r="M45" s="276"/>
      <c r="N45" s="276"/>
      <c r="O45" s="276"/>
      <c r="P45" s="307"/>
      <c r="Q45" s="307"/>
      <c r="R45" s="308">
        <v>43235</v>
      </c>
      <c r="S45" s="274"/>
      <c r="T45" s="262"/>
    </row>
    <row r="46" spans="1:21" s="263" customFormat="1" x14ac:dyDescent="0.25">
      <c r="A46" s="275"/>
      <c r="B46" s="271" t="s">
        <v>100</v>
      </c>
      <c r="C46" s="271"/>
      <c r="D46" s="309"/>
      <c r="E46" s="309"/>
      <c r="F46" s="309"/>
      <c r="G46" s="309"/>
      <c r="H46" s="309"/>
      <c r="I46" s="309"/>
      <c r="J46" s="309"/>
      <c r="K46" s="309"/>
      <c r="L46" s="309"/>
      <c r="M46" s="309"/>
      <c r="N46" s="271">
        <f>+R46-P46+1</f>
        <v>92</v>
      </c>
      <c r="O46" s="271"/>
      <c r="P46" s="310">
        <v>43054</v>
      </c>
      <c r="Q46" s="311"/>
      <c r="R46" s="310">
        <v>43145</v>
      </c>
      <c r="S46" s="274"/>
      <c r="T46" s="262"/>
    </row>
    <row r="47" spans="1:21" s="263" customFormat="1" x14ac:dyDescent="0.25">
      <c r="A47" s="275"/>
      <c r="B47" s="271" t="s">
        <v>101</v>
      </c>
      <c r="C47" s="271"/>
      <c r="D47" s="271"/>
      <c r="E47" s="271"/>
      <c r="F47" s="271"/>
      <c r="G47" s="271"/>
      <c r="H47" s="271"/>
      <c r="I47" s="271"/>
      <c r="J47" s="271"/>
      <c r="K47" s="271"/>
      <c r="L47" s="271"/>
      <c r="M47" s="271"/>
      <c r="N47" s="271">
        <f>+R47-P47+1</f>
        <v>89</v>
      </c>
      <c r="O47" s="271"/>
      <c r="P47" s="310">
        <v>43146</v>
      </c>
      <c r="Q47" s="311"/>
      <c r="R47" s="310">
        <v>43234</v>
      </c>
      <c r="S47" s="274"/>
      <c r="T47" s="262"/>
    </row>
    <row r="48" spans="1:21" s="263" customFormat="1" x14ac:dyDescent="0.25">
      <c r="A48" s="275"/>
      <c r="B48" s="271" t="s">
        <v>228</v>
      </c>
      <c r="C48" s="271"/>
      <c r="D48" s="271"/>
      <c r="E48" s="271"/>
      <c r="F48" s="271"/>
      <c r="G48" s="271"/>
      <c r="H48" s="271"/>
      <c r="I48" s="271"/>
      <c r="J48" s="271"/>
      <c r="K48" s="271"/>
      <c r="L48" s="271"/>
      <c r="M48" s="271"/>
      <c r="N48" s="271"/>
      <c r="O48" s="271"/>
      <c r="P48" s="310"/>
      <c r="Q48" s="311"/>
      <c r="R48" s="310" t="s">
        <v>119</v>
      </c>
      <c r="S48" s="274"/>
      <c r="T48" s="262"/>
      <c r="U48" s="312"/>
    </row>
    <row r="49" spans="1:20" s="263" customFormat="1" x14ac:dyDescent="0.25">
      <c r="A49" s="275"/>
      <c r="B49" s="271" t="s">
        <v>12</v>
      </c>
      <c r="C49" s="271"/>
      <c r="D49" s="271"/>
      <c r="E49" s="271"/>
      <c r="F49" s="271"/>
      <c r="G49" s="271"/>
      <c r="H49" s="271"/>
      <c r="I49" s="271"/>
      <c r="J49" s="271"/>
      <c r="K49" s="271"/>
      <c r="L49" s="271"/>
      <c r="M49" s="271"/>
      <c r="N49" s="271"/>
      <c r="O49" s="271"/>
      <c r="P49" s="310"/>
      <c r="Q49" s="311"/>
      <c r="R49" s="310">
        <v>43221</v>
      </c>
      <c r="S49" s="274"/>
      <c r="T49" s="262"/>
    </row>
    <row r="50" spans="1:20" s="263" customFormat="1" x14ac:dyDescent="0.25">
      <c r="A50" s="258"/>
      <c r="B50" s="313"/>
      <c r="C50" s="313"/>
      <c r="D50" s="313"/>
      <c r="E50" s="313"/>
      <c r="F50" s="313"/>
      <c r="G50" s="313"/>
      <c r="H50" s="313"/>
      <c r="I50" s="313"/>
      <c r="J50" s="313"/>
      <c r="K50" s="313"/>
      <c r="L50" s="313"/>
      <c r="M50" s="313"/>
      <c r="N50" s="313"/>
      <c r="O50" s="313"/>
      <c r="P50" s="314"/>
      <c r="Q50" s="315"/>
      <c r="R50" s="314"/>
      <c r="S50" s="261"/>
      <c r="T50" s="262"/>
    </row>
    <row r="51" spans="1:20" s="263" customFormat="1" x14ac:dyDescent="0.25">
      <c r="A51" s="258"/>
      <c r="B51" s="259"/>
      <c r="C51" s="259"/>
      <c r="D51" s="259"/>
      <c r="E51" s="259"/>
      <c r="F51" s="259"/>
      <c r="G51" s="259"/>
      <c r="H51" s="259"/>
      <c r="I51" s="259"/>
      <c r="J51" s="259"/>
      <c r="K51" s="259"/>
      <c r="L51" s="259"/>
      <c r="M51" s="259"/>
      <c r="N51" s="259"/>
      <c r="O51" s="259"/>
      <c r="P51" s="316"/>
      <c r="Q51" s="317"/>
      <c r="R51" s="316"/>
      <c r="S51" s="261"/>
      <c r="T51" s="262"/>
    </row>
    <row r="52" spans="1:20" s="263" customFormat="1" ht="19.5" thickBot="1" x14ac:dyDescent="0.35">
      <c r="A52" s="318"/>
      <c r="B52" s="319" t="s">
        <v>266</v>
      </c>
      <c r="C52" s="320"/>
      <c r="D52" s="320"/>
      <c r="E52" s="320"/>
      <c r="F52" s="320"/>
      <c r="G52" s="320"/>
      <c r="H52" s="320"/>
      <c r="I52" s="320"/>
      <c r="J52" s="320"/>
      <c r="K52" s="320"/>
      <c r="L52" s="320"/>
      <c r="M52" s="320"/>
      <c r="N52" s="320"/>
      <c r="O52" s="320"/>
      <c r="P52" s="320"/>
      <c r="Q52" s="320"/>
      <c r="R52" s="321"/>
      <c r="S52" s="322"/>
      <c r="T52" s="262"/>
    </row>
    <row r="53" spans="1:20" x14ac:dyDescent="0.25">
      <c r="A53" s="432"/>
      <c r="B53" s="443" t="s">
        <v>13</v>
      </c>
      <c r="C53" s="433"/>
      <c r="D53" s="433"/>
      <c r="E53" s="433"/>
      <c r="F53" s="433"/>
      <c r="G53" s="433"/>
      <c r="H53" s="433"/>
      <c r="I53" s="433"/>
      <c r="J53" s="433"/>
      <c r="K53" s="433"/>
      <c r="L53" s="433"/>
      <c r="M53" s="433"/>
      <c r="N53" s="433"/>
      <c r="O53" s="433"/>
      <c r="P53" s="433"/>
      <c r="Q53" s="433"/>
      <c r="R53" s="444"/>
      <c r="S53" s="433"/>
      <c r="T53" s="244"/>
    </row>
    <row r="54" spans="1:20" x14ac:dyDescent="0.25">
      <c r="A54" s="246"/>
      <c r="B54" s="256"/>
      <c r="C54" s="248"/>
      <c r="D54" s="248"/>
      <c r="E54" s="248"/>
      <c r="F54" s="248"/>
      <c r="G54" s="248"/>
      <c r="H54" s="248"/>
      <c r="I54" s="248"/>
      <c r="J54" s="248"/>
      <c r="K54" s="248"/>
      <c r="L54" s="248"/>
      <c r="M54" s="248"/>
      <c r="N54" s="248"/>
      <c r="O54" s="248"/>
      <c r="P54" s="248"/>
      <c r="Q54" s="248"/>
      <c r="R54" s="323"/>
      <c r="S54" s="249"/>
      <c r="T54" s="244"/>
    </row>
    <row r="55" spans="1:20" s="330" customFormat="1" ht="47.25" x14ac:dyDescent="0.25">
      <c r="A55" s="324"/>
      <c r="B55" s="325" t="s">
        <v>14</v>
      </c>
      <c r="C55" s="326"/>
      <c r="D55" s="326"/>
      <c r="E55" s="326"/>
      <c r="F55" s="326" t="s">
        <v>77</v>
      </c>
      <c r="G55" s="326"/>
      <c r="H55" s="326" t="s">
        <v>79</v>
      </c>
      <c r="I55" s="326"/>
      <c r="J55" s="326" t="s">
        <v>168</v>
      </c>
      <c r="K55" s="326"/>
      <c r="L55" s="326" t="s">
        <v>169</v>
      </c>
      <c r="M55" s="326"/>
      <c r="N55" s="326" t="s">
        <v>82</v>
      </c>
      <c r="O55" s="326"/>
      <c r="P55" s="326" t="s">
        <v>87</v>
      </c>
      <c r="Q55" s="326"/>
      <c r="R55" s="327" t="s">
        <v>93</v>
      </c>
      <c r="S55" s="328"/>
      <c r="T55" s="329"/>
    </row>
    <row r="56" spans="1:20" s="263" customFormat="1" x14ac:dyDescent="0.25">
      <c r="A56" s="275"/>
      <c r="B56" s="271" t="s">
        <v>15</v>
      </c>
      <c r="C56" s="331"/>
      <c r="D56" s="331"/>
      <c r="E56" s="331"/>
      <c r="F56" s="331">
        <v>317450</v>
      </c>
      <c r="G56" s="331"/>
      <c r="H56" s="331">
        <v>94205</v>
      </c>
      <c r="I56" s="331"/>
      <c r="J56" s="332">
        <f>117+6</f>
        <v>123</v>
      </c>
      <c r="K56" s="331"/>
      <c r="L56" s="331">
        <v>4282</v>
      </c>
      <c r="M56" s="331"/>
      <c r="N56" s="331">
        <v>0</v>
      </c>
      <c r="O56" s="331"/>
      <c r="P56" s="331">
        <f>869+1362+1065</f>
        <v>3296</v>
      </c>
      <c r="Q56" s="331"/>
      <c r="R56" s="332">
        <f>H56-J56-L56+N56-P56</f>
        <v>86504</v>
      </c>
      <c r="S56" s="274"/>
      <c r="T56" s="262"/>
    </row>
    <row r="57" spans="1:20" s="263" customFormat="1" x14ac:dyDescent="0.25">
      <c r="A57" s="275"/>
      <c r="B57" s="271" t="s">
        <v>16</v>
      </c>
      <c r="C57" s="331"/>
      <c r="D57" s="331"/>
      <c r="E57" s="331"/>
      <c r="F57" s="331">
        <v>0</v>
      </c>
      <c r="G57" s="331"/>
      <c r="H57" s="332">
        <v>0</v>
      </c>
      <c r="I57" s="331"/>
      <c r="J57" s="332">
        <v>0</v>
      </c>
      <c r="K57" s="331"/>
      <c r="L57" s="331">
        <v>0</v>
      </c>
      <c r="M57" s="331"/>
      <c r="N57" s="331">
        <v>0</v>
      </c>
      <c r="O57" s="331"/>
      <c r="P57" s="331">
        <v>0</v>
      </c>
      <c r="Q57" s="331"/>
      <c r="R57" s="332">
        <f>F57-J57-L57</f>
        <v>0</v>
      </c>
      <c r="S57" s="274"/>
      <c r="T57" s="262"/>
    </row>
    <row r="58" spans="1:20" s="263" customFormat="1" x14ac:dyDescent="0.25">
      <c r="A58" s="275"/>
      <c r="B58" s="271"/>
      <c r="C58" s="331"/>
      <c r="D58" s="331"/>
      <c r="E58" s="331"/>
      <c r="F58" s="331"/>
      <c r="G58" s="331"/>
      <c r="H58" s="332"/>
      <c r="I58" s="331"/>
      <c r="J58" s="332"/>
      <c r="K58" s="331"/>
      <c r="L58" s="331"/>
      <c r="M58" s="331"/>
      <c r="N58" s="331"/>
      <c r="O58" s="331"/>
      <c r="P58" s="331"/>
      <c r="Q58" s="331"/>
      <c r="R58" s="332"/>
      <c r="S58" s="274"/>
      <c r="T58" s="262"/>
    </row>
    <row r="59" spans="1:20" s="263" customFormat="1" x14ac:dyDescent="0.25">
      <c r="A59" s="275"/>
      <c r="B59" s="271" t="s">
        <v>17</v>
      </c>
      <c r="C59" s="331"/>
      <c r="D59" s="331"/>
      <c r="E59" s="331"/>
      <c r="F59" s="331">
        <f>SUM(F56:F58)</f>
        <v>317450</v>
      </c>
      <c r="G59" s="331"/>
      <c r="H59" s="331">
        <f>H56+H57</f>
        <v>94205</v>
      </c>
      <c r="I59" s="331"/>
      <c r="J59" s="331">
        <f>J56+J57</f>
        <v>123</v>
      </c>
      <c r="K59" s="331"/>
      <c r="L59" s="331">
        <f>SUM(L56:L58)</f>
        <v>4282</v>
      </c>
      <c r="M59" s="331"/>
      <c r="N59" s="331">
        <f>SUM(N56:N58)</f>
        <v>0</v>
      </c>
      <c r="O59" s="331"/>
      <c r="P59" s="331">
        <f>SUM(P56:P58)</f>
        <v>3296</v>
      </c>
      <c r="Q59" s="331"/>
      <c r="R59" s="331">
        <f>SUM(R56:R58)</f>
        <v>86504</v>
      </c>
      <c r="S59" s="274"/>
      <c r="T59" s="262"/>
    </row>
    <row r="60" spans="1:20" x14ac:dyDescent="0.25">
      <c r="A60" s="246"/>
      <c r="B60" s="333"/>
      <c r="C60" s="334"/>
      <c r="D60" s="334"/>
      <c r="E60" s="334"/>
      <c r="F60" s="334"/>
      <c r="G60" s="334"/>
      <c r="H60" s="334"/>
      <c r="I60" s="334"/>
      <c r="J60" s="334"/>
      <c r="K60" s="334"/>
      <c r="L60" s="334"/>
      <c r="M60" s="334"/>
      <c r="N60" s="334"/>
      <c r="O60" s="334"/>
      <c r="P60" s="334"/>
      <c r="Q60" s="334"/>
      <c r="R60" s="335"/>
      <c r="S60" s="249"/>
      <c r="T60" s="244"/>
    </row>
    <row r="61" spans="1:20" x14ac:dyDescent="0.25">
      <c r="A61" s="246"/>
      <c r="B61" s="251" t="s">
        <v>18</v>
      </c>
      <c r="C61" s="336"/>
      <c r="D61" s="336"/>
      <c r="E61" s="336"/>
      <c r="F61" s="336"/>
      <c r="G61" s="336"/>
      <c r="H61" s="336"/>
      <c r="I61" s="336"/>
      <c r="J61" s="336"/>
      <c r="K61" s="336"/>
      <c r="L61" s="336"/>
      <c r="M61" s="336"/>
      <c r="N61" s="336"/>
      <c r="O61" s="336"/>
      <c r="P61" s="336"/>
      <c r="Q61" s="336"/>
      <c r="R61" s="337"/>
      <c r="S61" s="249"/>
      <c r="T61" s="244"/>
    </row>
    <row r="62" spans="1:20" x14ac:dyDescent="0.25">
      <c r="A62" s="246"/>
      <c r="B62" s="248"/>
      <c r="C62" s="336"/>
      <c r="D62" s="336"/>
      <c r="E62" s="336"/>
      <c r="F62" s="336"/>
      <c r="G62" s="336"/>
      <c r="H62" s="336"/>
      <c r="I62" s="336"/>
      <c r="J62" s="336"/>
      <c r="K62" s="336"/>
      <c r="L62" s="336"/>
      <c r="M62" s="336"/>
      <c r="N62" s="336"/>
      <c r="O62" s="336"/>
      <c r="P62" s="336"/>
      <c r="Q62" s="336"/>
      <c r="R62" s="337"/>
      <c r="S62" s="249"/>
      <c r="T62" s="244"/>
    </row>
    <row r="63" spans="1:20" s="263" customFormat="1" x14ac:dyDescent="0.25">
      <c r="A63" s="275"/>
      <c r="B63" s="271" t="s">
        <v>15</v>
      </c>
      <c r="C63" s="331"/>
      <c r="D63" s="331"/>
      <c r="E63" s="331"/>
      <c r="F63" s="331"/>
      <c r="G63" s="331"/>
      <c r="H63" s="331"/>
      <c r="I63" s="331"/>
      <c r="J63" s="331"/>
      <c r="K63" s="331"/>
      <c r="L63" s="331"/>
      <c r="M63" s="331"/>
      <c r="N63" s="331"/>
      <c r="O63" s="331"/>
      <c r="P63" s="331"/>
      <c r="Q63" s="331"/>
      <c r="R63" s="331"/>
      <c r="S63" s="274"/>
      <c r="T63" s="262"/>
    </row>
    <row r="64" spans="1:20" s="263" customFormat="1" x14ac:dyDescent="0.25">
      <c r="A64" s="275"/>
      <c r="B64" s="271" t="s">
        <v>16</v>
      </c>
      <c r="C64" s="331"/>
      <c r="D64" s="331"/>
      <c r="E64" s="331"/>
      <c r="F64" s="331"/>
      <c r="G64" s="331"/>
      <c r="H64" s="331"/>
      <c r="I64" s="331"/>
      <c r="J64" s="331"/>
      <c r="K64" s="331"/>
      <c r="L64" s="331"/>
      <c r="M64" s="331"/>
      <c r="N64" s="331"/>
      <c r="O64" s="331"/>
      <c r="P64" s="331"/>
      <c r="Q64" s="331"/>
      <c r="R64" s="331"/>
      <c r="S64" s="274"/>
      <c r="T64" s="262"/>
    </row>
    <row r="65" spans="1:20" s="263" customFormat="1" x14ac:dyDescent="0.25">
      <c r="A65" s="275"/>
      <c r="B65" s="271"/>
      <c r="C65" s="331"/>
      <c r="D65" s="331"/>
      <c r="E65" s="331"/>
      <c r="F65" s="331"/>
      <c r="G65" s="331"/>
      <c r="H65" s="331"/>
      <c r="I65" s="331"/>
      <c r="J65" s="331"/>
      <c r="K65" s="331"/>
      <c r="L65" s="331"/>
      <c r="M65" s="331"/>
      <c r="N65" s="331"/>
      <c r="O65" s="331"/>
      <c r="P65" s="331"/>
      <c r="Q65" s="331"/>
      <c r="R65" s="331"/>
      <c r="S65" s="274"/>
      <c r="T65" s="262"/>
    </row>
    <row r="66" spans="1:20" s="263" customFormat="1" x14ac:dyDescent="0.25">
      <c r="A66" s="275"/>
      <c r="B66" s="271" t="s">
        <v>17</v>
      </c>
      <c r="C66" s="331"/>
      <c r="D66" s="331"/>
      <c r="E66" s="331"/>
      <c r="F66" s="331"/>
      <c r="G66" s="331"/>
      <c r="H66" s="331"/>
      <c r="I66" s="331"/>
      <c r="J66" s="331"/>
      <c r="K66" s="331"/>
      <c r="L66" s="331"/>
      <c r="M66" s="331"/>
      <c r="N66" s="331"/>
      <c r="O66" s="331"/>
      <c r="P66" s="331"/>
      <c r="Q66" s="331"/>
      <c r="R66" s="331"/>
      <c r="S66" s="274"/>
      <c r="T66" s="262"/>
    </row>
    <row r="67" spans="1:20" s="263" customFormat="1" x14ac:dyDescent="0.25">
      <c r="A67" s="275"/>
      <c r="B67" s="271"/>
      <c r="C67" s="331"/>
      <c r="D67" s="331"/>
      <c r="E67" s="331"/>
      <c r="F67" s="331"/>
      <c r="G67" s="331"/>
      <c r="H67" s="331"/>
      <c r="I67" s="331"/>
      <c r="J67" s="331"/>
      <c r="K67" s="331"/>
      <c r="L67" s="331"/>
      <c r="M67" s="331"/>
      <c r="N67" s="331"/>
      <c r="O67" s="331"/>
      <c r="P67" s="331"/>
      <c r="Q67" s="331"/>
      <c r="R67" s="331"/>
      <c r="S67" s="274"/>
      <c r="T67" s="262"/>
    </row>
    <row r="68" spans="1:20" s="263" customFormat="1" x14ac:dyDescent="0.25">
      <c r="A68" s="275"/>
      <c r="B68" s="271" t="s">
        <v>19</v>
      </c>
      <c r="C68" s="331"/>
      <c r="D68" s="331"/>
      <c r="E68" s="331"/>
      <c r="F68" s="331">
        <v>0</v>
      </c>
      <c r="G68" s="331"/>
      <c r="H68" s="331">
        <v>0</v>
      </c>
      <c r="I68" s="331"/>
      <c r="J68" s="331"/>
      <c r="K68" s="331"/>
      <c r="L68" s="331"/>
      <c r="M68" s="331"/>
      <c r="N68" s="331"/>
      <c r="O68" s="331"/>
      <c r="P68" s="331"/>
      <c r="Q68" s="331"/>
      <c r="R68" s="332">
        <v>0</v>
      </c>
      <c r="S68" s="274"/>
      <c r="T68" s="262"/>
    </row>
    <row r="69" spans="1:20" s="263" customFormat="1" x14ac:dyDescent="0.25">
      <c r="A69" s="275"/>
      <c r="B69" s="271" t="s">
        <v>201</v>
      </c>
      <c r="C69" s="331"/>
      <c r="D69" s="331"/>
      <c r="E69" s="331"/>
      <c r="F69" s="331">
        <v>29550</v>
      </c>
      <c r="G69" s="331"/>
      <c r="H69" s="331">
        <v>0</v>
      </c>
      <c r="I69" s="331"/>
      <c r="J69" s="331">
        <v>0</v>
      </c>
      <c r="K69" s="331"/>
      <c r="L69" s="331">
        <v>0</v>
      </c>
      <c r="M69" s="331"/>
      <c r="N69" s="331"/>
      <c r="O69" s="331"/>
      <c r="P69" s="331"/>
      <c r="Q69" s="331"/>
      <c r="R69" s="331">
        <v>0</v>
      </c>
      <c r="S69" s="274"/>
      <c r="T69" s="262"/>
    </row>
    <row r="70" spans="1:20" s="263" customFormat="1" x14ac:dyDescent="0.25">
      <c r="A70" s="275"/>
      <c r="B70" s="271" t="s">
        <v>240</v>
      </c>
      <c r="C70" s="331"/>
      <c r="D70" s="331"/>
      <c r="E70" s="331"/>
      <c r="F70" s="331">
        <v>3000</v>
      </c>
      <c r="G70" s="331"/>
      <c r="H70" s="331">
        <v>0</v>
      </c>
      <c r="I70" s="331"/>
      <c r="J70" s="331">
        <v>0</v>
      </c>
      <c r="K70" s="331"/>
      <c r="L70" s="331"/>
      <c r="M70" s="331"/>
      <c r="N70" s="331">
        <v>0</v>
      </c>
      <c r="O70" s="331"/>
      <c r="P70" s="331"/>
      <c r="Q70" s="331"/>
      <c r="R70" s="331">
        <f>H70+N70</f>
        <v>0</v>
      </c>
      <c r="S70" s="274"/>
      <c r="T70" s="262"/>
    </row>
    <row r="71" spans="1:20" s="263" customFormat="1" x14ac:dyDescent="0.25">
      <c r="A71" s="275"/>
      <c r="B71" s="271" t="s">
        <v>20</v>
      </c>
      <c r="C71" s="331"/>
      <c r="D71" s="331"/>
      <c r="E71" s="331"/>
      <c r="F71" s="331">
        <v>0</v>
      </c>
      <c r="G71" s="331"/>
      <c r="H71" s="331">
        <v>0</v>
      </c>
      <c r="I71" s="331"/>
      <c r="J71" s="331"/>
      <c r="K71" s="331"/>
      <c r="L71" s="331"/>
      <c r="M71" s="331"/>
      <c r="N71" s="331"/>
      <c r="O71" s="331"/>
      <c r="P71" s="331"/>
      <c r="Q71" s="331"/>
      <c r="R71" s="331">
        <v>0</v>
      </c>
      <c r="S71" s="274"/>
      <c r="T71" s="262"/>
    </row>
    <row r="72" spans="1:20" s="263" customFormat="1" x14ac:dyDescent="0.25">
      <c r="A72" s="275"/>
      <c r="B72" s="271" t="s">
        <v>21</v>
      </c>
      <c r="C72" s="331"/>
      <c r="D72" s="331"/>
      <c r="E72" s="331"/>
      <c r="F72" s="331">
        <f>SUM(F59:F71)</f>
        <v>350000</v>
      </c>
      <c r="G72" s="331"/>
      <c r="H72" s="331">
        <f>SUM(H59:H71)</f>
        <v>94205</v>
      </c>
      <c r="I72" s="331"/>
      <c r="J72" s="331"/>
      <c r="K72" s="331"/>
      <c r="L72" s="331"/>
      <c r="M72" s="331"/>
      <c r="N72" s="331"/>
      <c r="O72" s="331"/>
      <c r="P72" s="331"/>
      <c r="Q72" s="331"/>
      <c r="R72" s="331">
        <f>SUM(R59:R71)</f>
        <v>86504</v>
      </c>
      <c r="S72" s="274"/>
      <c r="T72" s="262"/>
    </row>
    <row r="73" spans="1:20" x14ac:dyDescent="0.25">
      <c r="A73" s="246"/>
      <c r="B73" s="333"/>
      <c r="C73" s="334"/>
      <c r="D73" s="334"/>
      <c r="E73" s="334"/>
      <c r="F73" s="334"/>
      <c r="G73" s="334"/>
      <c r="H73" s="334"/>
      <c r="I73" s="334"/>
      <c r="J73" s="334"/>
      <c r="K73" s="334"/>
      <c r="L73" s="334"/>
      <c r="M73" s="334"/>
      <c r="N73" s="334"/>
      <c r="O73" s="334"/>
      <c r="P73" s="334"/>
      <c r="Q73" s="334"/>
      <c r="R73" s="335"/>
      <c r="S73" s="249"/>
      <c r="T73" s="244"/>
    </row>
    <row r="74" spans="1:20" x14ac:dyDescent="0.25">
      <c r="A74" s="246"/>
      <c r="B74" s="248"/>
      <c r="C74" s="248"/>
      <c r="D74" s="248"/>
      <c r="E74" s="248"/>
      <c r="F74" s="248"/>
      <c r="G74" s="248"/>
      <c r="H74" s="248"/>
      <c r="I74" s="248"/>
      <c r="J74" s="248"/>
      <c r="K74" s="248"/>
      <c r="L74" s="248"/>
      <c r="M74" s="248"/>
      <c r="N74" s="248"/>
      <c r="O74" s="248"/>
      <c r="P74" s="248"/>
      <c r="Q74" s="248"/>
      <c r="R74" s="248"/>
      <c r="S74" s="249"/>
      <c r="T74" s="244"/>
    </row>
    <row r="75" spans="1:20" x14ac:dyDescent="0.25">
      <c r="A75" s="432"/>
      <c r="B75" s="445" t="s">
        <v>22</v>
      </c>
      <c r="C75" s="445"/>
      <c r="D75" s="446"/>
      <c r="E75" s="446"/>
      <c r="F75" s="446"/>
      <c r="G75" s="446"/>
      <c r="H75" s="447" t="s">
        <v>78</v>
      </c>
      <c r="I75" s="446"/>
      <c r="J75" s="448">
        <f>+P191</f>
        <v>43220</v>
      </c>
      <c r="K75" s="446"/>
      <c r="L75" s="446"/>
      <c r="M75" s="446"/>
      <c r="N75" s="446"/>
      <c r="O75" s="446"/>
      <c r="P75" s="446" t="s">
        <v>88</v>
      </c>
      <c r="Q75" s="446"/>
      <c r="R75" s="446" t="s">
        <v>94</v>
      </c>
      <c r="S75" s="434"/>
      <c r="T75" s="244"/>
    </row>
    <row r="76" spans="1:20" s="263" customFormat="1" x14ac:dyDescent="0.25">
      <c r="A76" s="258"/>
      <c r="B76" s="313" t="s">
        <v>23</v>
      </c>
      <c r="C76" s="313"/>
      <c r="D76" s="313"/>
      <c r="E76" s="313"/>
      <c r="F76" s="313"/>
      <c r="G76" s="313"/>
      <c r="H76" s="313"/>
      <c r="I76" s="313"/>
      <c r="J76" s="313"/>
      <c r="K76" s="313"/>
      <c r="L76" s="313"/>
      <c r="M76" s="313"/>
      <c r="N76" s="313"/>
      <c r="O76" s="313"/>
      <c r="P76" s="346">
        <v>0</v>
      </c>
      <c r="Q76" s="313"/>
      <c r="R76" s="416">
        <v>0</v>
      </c>
      <c r="S76" s="261"/>
      <c r="T76" s="262"/>
    </row>
    <row r="77" spans="1:20" s="263" customFormat="1" x14ac:dyDescent="0.25">
      <c r="A77" s="275"/>
      <c r="B77" s="271" t="s">
        <v>246</v>
      </c>
      <c r="C77" s="271"/>
      <c r="D77" s="304"/>
      <c r="E77" s="304"/>
      <c r="F77" s="304"/>
      <c r="G77" s="338"/>
      <c r="H77" s="304"/>
      <c r="I77" s="271"/>
      <c r="J77" s="339"/>
      <c r="K77" s="271"/>
      <c r="L77" s="271"/>
      <c r="M77" s="271"/>
      <c r="N77" s="271"/>
      <c r="O77" s="271"/>
      <c r="P77" s="331">
        <f>-N70</f>
        <v>0</v>
      </c>
      <c r="Q77" s="271"/>
      <c r="R77" s="332"/>
      <c r="S77" s="274"/>
      <c r="T77" s="262"/>
    </row>
    <row r="78" spans="1:20" s="263" customFormat="1" x14ac:dyDescent="0.25">
      <c r="A78" s="275"/>
      <c r="B78" s="271" t="s">
        <v>245</v>
      </c>
      <c r="C78" s="271"/>
      <c r="D78" s="304"/>
      <c r="E78" s="304"/>
      <c r="F78" s="304"/>
      <c r="G78" s="338"/>
      <c r="H78" s="304"/>
      <c r="I78" s="271"/>
      <c r="J78" s="339"/>
      <c r="K78" s="271"/>
      <c r="L78" s="271"/>
      <c r="M78" s="271"/>
      <c r="N78" s="271"/>
      <c r="O78" s="271"/>
      <c r="P78" s="331">
        <v>0</v>
      </c>
      <c r="Q78" s="271"/>
      <c r="R78" s="332"/>
      <c r="S78" s="274"/>
      <c r="T78" s="262"/>
    </row>
    <row r="79" spans="1:20" s="263" customFormat="1" x14ac:dyDescent="0.25">
      <c r="A79" s="275"/>
      <c r="B79" s="271" t="s">
        <v>24</v>
      </c>
      <c r="C79" s="271"/>
      <c r="D79" s="304"/>
      <c r="E79" s="304"/>
      <c r="F79" s="304"/>
      <c r="G79" s="338"/>
      <c r="H79" s="304"/>
      <c r="I79" s="271"/>
      <c r="J79" s="339"/>
      <c r="K79" s="271"/>
      <c r="L79" s="271"/>
      <c r="M79" s="271"/>
      <c r="N79" s="271"/>
      <c r="O79" s="271"/>
      <c r="P79" s="331">
        <f>+J56+L56+P56+45</f>
        <v>7746</v>
      </c>
      <c r="Q79" s="271"/>
      <c r="R79" s="332"/>
      <c r="S79" s="274"/>
      <c r="T79" s="262"/>
    </row>
    <row r="80" spans="1:20" s="263" customFormat="1" x14ac:dyDescent="0.25">
      <c r="A80" s="275"/>
      <c r="B80" s="271" t="s">
        <v>138</v>
      </c>
      <c r="C80" s="271"/>
      <c r="D80" s="304"/>
      <c r="E80" s="304"/>
      <c r="F80" s="304"/>
      <c r="G80" s="338"/>
      <c r="H80" s="304"/>
      <c r="I80" s="271"/>
      <c r="J80" s="339"/>
      <c r="K80" s="271"/>
      <c r="L80" s="271"/>
      <c r="M80" s="271"/>
      <c r="N80" s="271"/>
      <c r="O80" s="271"/>
      <c r="P80" s="331"/>
      <c r="Q80" s="271"/>
      <c r="R80" s="332">
        <f>1385+32-198-7</f>
        <v>1212</v>
      </c>
      <c r="S80" s="274"/>
      <c r="T80" s="262"/>
    </row>
    <row r="81" spans="1:20" s="263" customFormat="1" x14ac:dyDescent="0.25">
      <c r="A81" s="275"/>
      <c r="B81" s="271" t="s">
        <v>136</v>
      </c>
      <c r="C81" s="271"/>
      <c r="D81" s="304"/>
      <c r="E81" s="304"/>
      <c r="F81" s="304"/>
      <c r="G81" s="338"/>
      <c r="H81" s="304"/>
      <c r="I81" s="271"/>
      <c r="J81" s="339"/>
      <c r="K81" s="271"/>
      <c r="L81" s="271"/>
      <c r="M81" s="271"/>
      <c r="N81" s="271"/>
      <c r="O81" s="271"/>
      <c r="P81" s="331"/>
      <c r="Q81" s="271"/>
      <c r="R81" s="332">
        <v>17</v>
      </c>
      <c r="S81" s="274"/>
      <c r="T81" s="262"/>
    </row>
    <row r="82" spans="1:20" s="263" customFormat="1" x14ac:dyDescent="0.25">
      <c r="A82" s="275"/>
      <c r="B82" s="271" t="s">
        <v>137</v>
      </c>
      <c r="C82" s="271"/>
      <c r="D82" s="304"/>
      <c r="E82" s="304"/>
      <c r="F82" s="304"/>
      <c r="G82" s="338"/>
      <c r="H82" s="304"/>
      <c r="I82" s="271"/>
      <c r="J82" s="339"/>
      <c r="K82" s="271"/>
      <c r="L82" s="271"/>
      <c r="M82" s="271"/>
      <c r="N82" s="271"/>
      <c r="O82" s="271"/>
      <c r="P82" s="331"/>
      <c r="Q82" s="271"/>
      <c r="R82" s="332">
        <v>21</v>
      </c>
      <c r="S82" s="274"/>
      <c r="T82" s="262"/>
    </row>
    <row r="83" spans="1:20" s="263" customFormat="1" x14ac:dyDescent="0.25">
      <c r="A83" s="275"/>
      <c r="B83" s="271" t="s">
        <v>146</v>
      </c>
      <c r="C83" s="271"/>
      <c r="D83" s="304"/>
      <c r="E83" s="304"/>
      <c r="F83" s="304"/>
      <c r="G83" s="338"/>
      <c r="H83" s="304"/>
      <c r="I83" s="271"/>
      <c r="J83" s="339"/>
      <c r="K83" s="271"/>
      <c r="L83" s="271"/>
      <c r="M83" s="271"/>
      <c r="N83" s="271"/>
      <c r="O83" s="271"/>
      <c r="P83" s="331"/>
      <c r="Q83" s="271"/>
      <c r="R83" s="332">
        <v>0</v>
      </c>
      <c r="S83" s="274"/>
      <c r="T83" s="262"/>
    </row>
    <row r="84" spans="1:20" s="263" customFormat="1" x14ac:dyDescent="0.25">
      <c r="A84" s="275"/>
      <c r="B84" s="271" t="s">
        <v>148</v>
      </c>
      <c r="C84" s="271"/>
      <c r="D84" s="304"/>
      <c r="E84" s="304"/>
      <c r="F84" s="304"/>
      <c r="G84" s="338"/>
      <c r="H84" s="304"/>
      <c r="I84" s="271"/>
      <c r="J84" s="339"/>
      <c r="K84" s="271"/>
      <c r="L84" s="271"/>
      <c r="M84" s="271"/>
      <c r="N84" s="271"/>
      <c r="O84" s="271"/>
      <c r="P84" s="331"/>
      <c r="Q84" s="271"/>
      <c r="R84" s="332">
        <v>33</v>
      </c>
      <c r="S84" s="274"/>
      <c r="T84" s="262"/>
    </row>
    <row r="85" spans="1:20" s="263" customFormat="1" x14ac:dyDescent="0.25">
      <c r="A85" s="275"/>
      <c r="B85" s="271" t="s">
        <v>170</v>
      </c>
      <c r="C85" s="271"/>
      <c r="D85" s="304"/>
      <c r="E85" s="304"/>
      <c r="F85" s="304"/>
      <c r="G85" s="338"/>
      <c r="H85" s="304"/>
      <c r="I85" s="271"/>
      <c r="J85" s="339"/>
      <c r="K85" s="271"/>
      <c r="L85" s="271"/>
      <c r="M85" s="271"/>
      <c r="N85" s="271"/>
      <c r="O85" s="271"/>
      <c r="P85" s="331"/>
      <c r="Q85" s="271"/>
      <c r="R85" s="332">
        <v>0</v>
      </c>
      <c r="S85" s="274"/>
      <c r="T85" s="262"/>
    </row>
    <row r="86" spans="1:20" s="263" customFormat="1" x14ac:dyDescent="0.25">
      <c r="A86" s="275"/>
      <c r="B86" s="271" t="s">
        <v>171</v>
      </c>
      <c r="C86" s="271"/>
      <c r="D86" s="304"/>
      <c r="E86" s="304"/>
      <c r="F86" s="304"/>
      <c r="G86" s="338"/>
      <c r="H86" s="304"/>
      <c r="I86" s="271"/>
      <c r="J86" s="339"/>
      <c r="K86" s="271"/>
      <c r="L86" s="271"/>
      <c r="M86" s="271"/>
      <c r="N86" s="271"/>
      <c r="O86" s="271"/>
      <c r="P86" s="331"/>
      <c r="Q86" s="271"/>
      <c r="R86" s="332">
        <v>0</v>
      </c>
      <c r="S86" s="274"/>
      <c r="T86" s="262"/>
    </row>
    <row r="87" spans="1:20" s="263" customFormat="1" x14ac:dyDescent="0.25">
      <c r="A87" s="275"/>
      <c r="B87" s="271" t="s">
        <v>172</v>
      </c>
      <c r="C87" s="271"/>
      <c r="D87" s="271"/>
      <c r="E87" s="271"/>
      <c r="F87" s="271"/>
      <c r="G87" s="271"/>
      <c r="H87" s="271"/>
      <c r="I87" s="271"/>
      <c r="J87" s="271"/>
      <c r="K87" s="271"/>
      <c r="L87" s="271"/>
      <c r="M87" s="271"/>
      <c r="N87" s="271"/>
      <c r="O87" s="271"/>
      <c r="P87" s="331"/>
      <c r="Q87" s="271"/>
      <c r="R87" s="332">
        <v>0</v>
      </c>
      <c r="S87" s="274"/>
      <c r="T87" s="262"/>
    </row>
    <row r="88" spans="1:20" s="263" customFormat="1" x14ac:dyDescent="0.25">
      <c r="A88" s="275"/>
      <c r="B88" s="271" t="s">
        <v>218</v>
      </c>
      <c r="C88" s="271"/>
      <c r="D88" s="271"/>
      <c r="E88" s="271"/>
      <c r="F88" s="271"/>
      <c r="G88" s="271"/>
      <c r="H88" s="271"/>
      <c r="I88" s="271"/>
      <c r="J88" s="271"/>
      <c r="K88" s="271"/>
      <c r="L88" s="271"/>
      <c r="M88" s="271"/>
      <c r="N88" s="271"/>
      <c r="O88" s="271"/>
      <c r="P88" s="331"/>
      <c r="Q88" s="271"/>
      <c r="R88" s="332">
        <v>0</v>
      </c>
      <c r="S88" s="274"/>
      <c r="T88" s="262"/>
    </row>
    <row r="89" spans="1:20" s="263" customFormat="1" x14ac:dyDescent="0.25">
      <c r="A89" s="275"/>
      <c r="B89" s="271" t="s">
        <v>25</v>
      </c>
      <c r="C89" s="271"/>
      <c r="D89" s="271"/>
      <c r="E89" s="271"/>
      <c r="F89" s="271"/>
      <c r="G89" s="271"/>
      <c r="H89" s="271"/>
      <c r="I89" s="271"/>
      <c r="J89" s="271"/>
      <c r="K89" s="271"/>
      <c r="L89" s="271"/>
      <c r="M89" s="271"/>
      <c r="N89" s="271"/>
      <c r="O89" s="271"/>
      <c r="P89" s="331">
        <f>SUM(P76:P88)</f>
        <v>7746</v>
      </c>
      <c r="Q89" s="271"/>
      <c r="R89" s="331">
        <f>SUM(R76:R88)</f>
        <v>1283</v>
      </c>
      <c r="S89" s="274"/>
      <c r="T89" s="262"/>
    </row>
    <row r="90" spans="1:20" s="263" customFormat="1" x14ac:dyDescent="0.25">
      <c r="A90" s="275"/>
      <c r="B90" s="271" t="s">
        <v>26</v>
      </c>
      <c r="C90" s="271"/>
      <c r="D90" s="271"/>
      <c r="E90" s="271"/>
      <c r="F90" s="271"/>
      <c r="G90" s="271"/>
      <c r="H90" s="271"/>
      <c r="I90" s="271"/>
      <c r="J90" s="271"/>
      <c r="K90" s="271"/>
      <c r="L90" s="271"/>
      <c r="M90" s="271"/>
      <c r="N90" s="271"/>
      <c r="O90" s="271"/>
      <c r="P90" s="331">
        <f>-R90</f>
        <v>0</v>
      </c>
      <c r="Q90" s="271"/>
      <c r="R90" s="332">
        <v>0</v>
      </c>
      <c r="S90" s="274"/>
      <c r="T90" s="262"/>
    </row>
    <row r="91" spans="1:20" s="263" customFormat="1" x14ac:dyDescent="0.25">
      <c r="A91" s="275"/>
      <c r="B91" s="271" t="s">
        <v>153</v>
      </c>
      <c r="C91" s="271"/>
      <c r="D91" s="271"/>
      <c r="E91" s="271"/>
      <c r="F91" s="271"/>
      <c r="G91" s="271"/>
      <c r="H91" s="271"/>
      <c r="I91" s="271"/>
      <c r="J91" s="271"/>
      <c r="K91" s="271"/>
      <c r="L91" s="271"/>
      <c r="M91" s="271"/>
      <c r="N91" s="271"/>
      <c r="O91" s="271"/>
      <c r="P91" s="331"/>
      <c r="Q91" s="271"/>
      <c r="R91" s="332">
        <v>0</v>
      </c>
      <c r="S91" s="274"/>
      <c r="T91" s="262"/>
    </row>
    <row r="92" spans="1:20" s="263" customFormat="1" x14ac:dyDescent="0.25">
      <c r="A92" s="275"/>
      <c r="B92" s="271" t="s">
        <v>27</v>
      </c>
      <c r="C92" s="271"/>
      <c r="D92" s="271"/>
      <c r="E92" s="271"/>
      <c r="F92" s="271"/>
      <c r="G92" s="271"/>
      <c r="H92" s="271"/>
      <c r="I92" s="271"/>
      <c r="J92" s="271"/>
      <c r="K92" s="271"/>
      <c r="L92" s="271"/>
      <c r="M92" s="271"/>
      <c r="N92" s="271"/>
      <c r="O92" s="271"/>
      <c r="P92" s="331">
        <f>P89+P90</f>
        <v>7746</v>
      </c>
      <c r="Q92" s="271"/>
      <c r="R92" s="331">
        <f>R89+R90+R91</f>
        <v>1283</v>
      </c>
      <c r="S92" s="274"/>
      <c r="T92" s="262"/>
    </row>
    <row r="93" spans="1:20" x14ac:dyDescent="0.25">
      <c r="A93" s="290"/>
      <c r="B93" s="340" t="s">
        <v>28</v>
      </c>
      <c r="C93" s="296"/>
      <c r="D93" s="296"/>
      <c r="E93" s="296"/>
      <c r="F93" s="296"/>
      <c r="G93" s="296"/>
      <c r="H93" s="296"/>
      <c r="I93" s="296"/>
      <c r="J93" s="296"/>
      <c r="K93" s="296"/>
      <c r="L93" s="296"/>
      <c r="M93" s="296"/>
      <c r="N93" s="296"/>
      <c r="O93" s="296"/>
      <c r="P93" s="341"/>
      <c r="Q93" s="342"/>
      <c r="R93" s="343"/>
      <c r="S93" s="298"/>
      <c r="T93" s="244"/>
    </row>
    <row r="94" spans="1:20" s="263" customFormat="1" x14ac:dyDescent="0.25">
      <c r="A94" s="275">
        <v>1</v>
      </c>
      <c r="B94" s="271" t="s">
        <v>182</v>
      </c>
      <c r="C94" s="271"/>
      <c r="D94" s="271"/>
      <c r="E94" s="271"/>
      <c r="F94" s="271"/>
      <c r="G94" s="271"/>
      <c r="H94" s="271"/>
      <c r="I94" s="271"/>
      <c r="J94" s="271"/>
      <c r="K94" s="271"/>
      <c r="L94" s="271"/>
      <c r="M94" s="271"/>
      <c r="N94" s="271"/>
      <c r="O94" s="271"/>
      <c r="P94" s="331"/>
      <c r="Q94" s="271"/>
      <c r="R94" s="332">
        <v>0</v>
      </c>
      <c r="S94" s="274"/>
      <c r="T94" s="262"/>
    </row>
    <row r="95" spans="1:20" s="263" customFormat="1" x14ac:dyDescent="0.25">
      <c r="A95" s="275">
        <v>2</v>
      </c>
      <c r="B95" s="271" t="s">
        <v>230</v>
      </c>
      <c r="C95" s="271"/>
      <c r="D95" s="271"/>
      <c r="E95" s="271"/>
      <c r="F95" s="271"/>
      <c r="G95" s="271"/>
      <c r="H95" s="271"/>
      <c r="I95" s="271"/>
      <c r="J95" s="271"/>
      <c r="K95" s="271"/>
      <c r="L95" s="271"/>
      <c r="M95" s="271"/>
      <c r="N95" s="271"/>
      <c r="O95" s="271"/>
      <c r="P95" s="271"/>
      <c r="Q95" s="271"/>
      <c r="R95" s="332">
        <v>-3</v>
      </c>
      <c r="S95" s="274"/>
      <c r="T95" s="262"/>
    </row>
    <row r="96" spans="1:20" s="263" customFormat="1" x14ac:dyDescent="0.25">
      <c r="A96" s="275">
        <v>3</v>
      </c>
      <c r="B96" s="271" t="s">
        <v>259</v>
      </c>
      <c r="C96" s="271"/>
      <c r="D96" s="271"/>
      <c r="E96" s="271"/>
      <c r="F96" s="271"/>
      <c r="G96" s="271"/>
      <c r="H96" s="271"/>
      <c r="I96" s="271"/>
      <c r="J96" s="271"/>
      <c r="K96" s="271"/>
      <c r="L96" s="271"/>
      <c r="M96" s="271"/>
      <c r="N96" s="271"/>
      <c r="O96" s="271"/>
      <c r="P96" s="271"/>
      <c r="Q96" s="271"/>
      <c r="R96" s="332">
        <f>-35-13-3</f>
        <v>-51</v>
      </c>
      <c r="S96" s="274"/>
      <c r="T96" s="262"/>
    </row>
    <row r="97" spans="1:21" s="263" customFormat="1" x14ac:dyDescent="0.25">
      <c r="A97" s="275">
        <v>4</v>
      </c>
      <c r="B97" s="271" t="s">
        <v>97</v>
      </c>
      <c r="C97" s="271"/>
      <c r="D97" s="271"/>
      <c r="E97" s="271"/>
      <c r="F97" s="271"/>
      <c r="G97" s="271"/>
      <c r="H97" s="271"/>
      <c r="I97" s="271"/>
      <c r="J97" s="271"/>
      <c r="K97" s="271"/>
      <c r="L97" s="271"/>
      <c r="M97" s="271"/>
      <c r="N97" s="271"/>
      <c r="O97" s="271"/>
      <c r="P97" s="271"/>
      <c r="Q97" s="271"/>
      <c r="R97" s="332">
        <v>-15</v>
      </c>
      <c r="S97" s="274"/>
      <c r="T97" s="262"/>
    </row>
    <row r="98" spans="1:21" s="263" customFormat="1" x14ac:dyDescent="0.25">
      <c r="A98" s="275">
        <v>5</v>
      </c>
      <c r="B98" s="271" t="s">
        <v>160</v>
      </c>
      <c r="C98" s="271"/>
      <c r="D98" s="271"/>
      <c r="E98" s="271"/>
      <c r="F98" s="271"/>
      <c r="G98" s="271"/>
      <c r="H98" s="271"/>
      <c r="I98" s="271"/>
      <c r="J98" s="271"/>
      <c r="K98" s="271"/>
      <c r="L98" s="271"/>
      <c r="M98" s="271"/>
      <c r="N98" s="271"/>
      <c r="O98" s="271"/>
      <c r="P98" s="271"/>
      <c r="Q98" s="271"/>
      <c r="R98" s="332">
        <v>-189</v>
      </c>
      <c r="S98" s="274"/>
      <c r="T98" s="262"/>
      <c r="U98" s="344"/>
    </row>
    <row r="99" spans="1:21" s="263" customFormat="1" x14ac:dyDescent="0.25">
      <c r="A99" s="275">
        <v>6</v>
      </c>
      <c r="B99" s="271" t="s">
        <v>195</v>
      </c>
      <c r="C99" s="271"/>
      <c r="D99" s="271"/>
      <c r="E99" s="271"/>
      <c r="F99" s="271"/>
      <c r="G99" s="271"/>
      <c r="H99" s="271"/>
      <c r="I99" s="271"/>
      <c r="J99" s="271"/>
      <c r="K99" s="271"/>
      <c r="L99" s="271"/>
      <c r="M99" s="271"/>
      <c r="N99" s="271"/>
      <c r="O99" s="271"/>
      <c r="P99" s="271"/>
      <c r="Q99" s="271"/>
      <c r="R99" s="332">
        <v>-91</v>
      </c>
      <c r="S99" s="274"/>
      <c r="T99" s="262"/>
      <c r="U99" s="344"/>
    </row>
    <row r="100" spans="1:21" s="263" customFormat="1" x14ac:dyDescent="0.25">
      <c r="A100" s="275">
        <v>8</v>
      </c>
      <c r="B100" s="271" t="s">
        <v>161</v>
      </c>
      <c r="C100" s="271"/>
      <c r="D100" s="271"/>
      <c r="E100" s="271"/>
      <c r="F100" s="271"/>
      <c r="G100" s="271"/>
      <c r="H100" s="271"/>
      <c r="I100" s="271"/>
      <c r="J100" s="271"/>
      <c r="K100" s="271"/>
      <c r="L100" s="271"/>
      <c r="M100" s="271"/>
      <c r="N100" s="271"/>
      <c r="O100" s="271"/>
      <c r="P100" s="271"/>
      <c r="Q100" s="271"/>
      <c r="R100" s="332">
        <v>0</v>
      </c>
      <c r="S100" s="274"/>
      <c r="T100" s="262"/>
      <c r="U100" s="344"/>
    </row>
    <row r="101" spans="1:21" s="263" customFormat="1" x14ac:dyDescent="0.25">
      <c r="A101" s="275">
        <v>9</v>
      </c>
      <c r="B101" s="271" t="s">
        <v>37</v>
      </c>
      <c r="C101" s="271"/>
      <c r="D101" s="271"/>
      <c r="E101" s="271"/>
      <c r="F101" s="271"/>
      <c r="G101" s="271"/>
      <c r="H101" s="271"/>
      <c r="I101" s="271"/>
      <c r="J101" s="271"/>
      <c r="K101" s="271"/>
      <c r="L101" s="271"/>
      <c r="M101" s="271"/>
      <c r="N101" s="271"/>
      <c r="O101" s="271"/>
      <c r="P101" s="331">
        <f>-R101</f>
        <v>-45</v>
      </c>
      <c r="Q101" s="271"/>
      <c r="R101" s="332">
        <v>45</v>
      </c>
      <c r="S101" s="274"/>
      <c r="T101" s="262"/>
    </row>
    <row r="102" spans="1:21" s="263" customFormat="1" x14ac:dyDescent="0.25">
      <c r="A102" s="275">
        <v>10</v>
      </c>
      <c r="B102" s="271" t="s">
        <v>102</v>
      </c>
      <c r="C102" s="271"/>
      <c r="D102" s="271"/>
      <c r="E102" s="271"/>
      <c r="F102" s="271"/>
      <c r="G102" s="271"/>
      <c r="H102" s="271"/>
      <c r="I102" s="271"/>
      <c r="J102" s="271"/>
      <c r="K102" s="271"/>
      <c r="L102" s="271"/>
      <c r="M102" s="271"/>
      <c r="N102" s="271"/>
      <c r="O102" s="271"/>
      <c r="P102" s="271"/>
      <c r="Q102" s="271"/>
      <c r="R102" s="332">
        <v>0</v>
      </c>
      <c r="S102" s="274"/>
      <c r="T102" s="262"/>
    </row>
    <row r="103" spans="1:21" s="263" customFormat="1" x14ac:dyDescent="0.25">
      <c r="A103" s="275">
        <v>11</v>
      </c>
      <c r="B103" s="271" t="s">
        <v>29</v>
      </c>
      <c r="C103" s="271"/>
      <c r="D103" s="271"/>
      <c r="E103" s="271"/>
      <c r="F103" s="271"/>
      <c r="G103" s="271"/>
      <c r="H103" s="271"/>
      <c r="I103" s="271"/>
      <c r="J103" s="271"/>
      <c r="K103" s="271"/>
      <c r="L103" s="271"/>
      <c r="M103" s="271"/>
      <c r="N103" s="271"/>
      <c r="O103" s="271"/>
      <c r="P103" s="271"/>
      <c r="Q103" s="271"/>
      <c r="R103" s="332">
        <v>-25</v>
      </c>
      <c r="S103" s="274"/>
      <c r="T103" s="262"/>
    </row>
    <row r="104" spans="1:21" s="263" customFormat="1" x14ac:dyDescent="0.25">
      <c r="A104" s="275">
        <v>12</v>
      </c>
      <c r="B104" s="271" t="s">
        <v>141</v>
      </c>
      <c r="C104" s="271"/>
      <c r="D104" s="271"/>
      <c r="E104" s="271"/>
      <c r="F104" s="271"/>
      <c r="G104" s="271"/>
      <c r="H104" s="271"/>
      <c r="I104" s="271"/>
      <c r="J104" s="271"/>
      <c r="K104" s="271"/>
      <c r="L104" s="271"/>
      <c r="M104" s="271"/>
      <c r="N104" s="271"/>
      <c r="O104" s="271"/>
      <c r="P104" s="271"/>
      <c r="Q104" s="271"/>
      <c r="R104" s="332">
        <v>0</v>
      </c>
      <c r="S104" s="274"/>
      <c r="T104" s="262"/>
    </row>
    <row r="105" spans="1:21" s="263" customFormat="1" x14ac:dyDescent="0.25">
      <c r="A105" s="275">
        <v>13</v>
      </c>
      <c r="B105" s="271" t="s">
        <v>196</v>
      </c>
      <c r="C105" s="271"/>
      <c r="D105" s="271"/>
      <c r="E105" s="271"/>
      <c r="F105" s="271"/>
      <c r="G105" s="271"/>
      <c r="H105" s="271"/>
      <c r="I105" s="271"/>
      <c r="J105" s="271"/>
      <c r="K105" s="271"/>
      <c r="L105" s="271"/>
      <c r="M105" s="271"/>
      <c r="N105" s="271"/>
      <c r="O105" s="271"/>
      <c r="P105" s="271"/>
      <c r="Q105" s="271"/>
      <c r="R105" s="332">
        <v>-32</v>
      </c>
      <c r="S105" s="274"/>
      <c r="T105" s="262"/>
    </row>
    <row r="106" spans="1:21" s="263" customFormat="1" x14ac:dyDescent="0.25">
      <c r="A106" s="275">
        <v>14</v>
      </c>
      <c r="B106" s="271" t="s">
        <v>162</v>
      </c>
      <c r="C106" s="271"/>
      <c r="D106" s="271"/>
      <c r="E106" s="271"/>
      <c r="F106" s="271"/>
      <c r="G106" s="271"/>
      <c r="H106" s="271"/>
      <c r="I106" s="271"/>
      <c r="J106" s="271"/>
      <c r="K106" s="271"/>
      <c r="L106" s="271"/>
      <c r="M106" s="271"/>
      <c r="N106" s="271"/>
      <c r="O106" s="271"/>
      <c r="P106" s="271"/>
      <c r="Q106" s="271"/>
      <c r="R106" s="332">
        <v>0</v>
      </c>
      <c r="S106" s="274"/>
      <c r="T106" s="262"/>
    </row>
    <row r="107" spans="1:21" s="263" customFormat="1" x14ac:dyDescent="0.25">
      <c r="A107" s="275">
        <v>15</v>
      </c>
      <c r="B107" s="271" t="s">
        <v>222</v>
      </c>
      <c r="C107" s="271"/>
      <c r="D107" s="271"/>
      <c r="E107" s="271"/>
      <c r="F107" s="271"/>
      <c r="G107" s="271"/>
      <c r="H107" s="271"/>
      <c r="I107" s="271"/>
      <c r="J107" s="271"/>
      <c r="K107" s="271"/>
      <c r="L107" s="271"/>
      <c r="M107" s="271"/>
      <c r="N107" s="271"/>
      <c r="O107" s="271"/>
      <c r="P107" s="271"/>
      <c r="Q107" s="271"/>
      <c r="R107" s="332">
        <v>-34</v>
      </c>
      <c r="S107" s="274"/>
      <c r="T107" s="262"/>
    </row>
    <row r="108" spans="1:21" s="263" customFormat="1" x14ac:dyDescent="0.25">
      <c r="A108" s="275">
        <v>16</v>
      </c>
      <c r="B108" s="271" t="s">
        <v>173</v>
      </c>
      <c r="C108" s="271"/>
      <c r="D108" s="271"/>
      <c r="E108" s="271"/>
      <c r="F108" s="271"/>
      <c r="G108" s="271"/>
      <c r="H108" s="271"/>
      <c r="I108" s="271"/>
      <c r="J108" s="271"/>
      <c r="K108" s="271"/>
      <c r="L108" s="271"/>
      <c r="M108" s="271"/>
      <c r="N108" s="271"/>
      <c r="O108" s="271"/>
      <c r="P108" s="271"/>
      <c r="Q108" s="271"/>
      <c r="R108" s="332">
        <f>-4-165</f>
        <v>-169</v>
      </c>
      <c r="S108" s="274"/>
      <c r="T108" s="262"/>
    </row>
    <row r="109" spans="1:21" s="263" customFormat="1" x14ac:dyDescent="0.25">
      <c r="A109" s="275">
        <v>17</v>
      </c>
      <c r="B109" s="271" t="s">
        <v>178</v>
      </c>
      <c r="C109" s="271"/>
      <c r="D109" s="271"/>
      <c r="E109" s="271"/>
      <c r="F109" s="271"/>
      <c r="G109" s="271"/>
      <c r="H109" s="271"/>
      <c r="I109" s="271"/>
      <c r="J109" s="271"/>
      <c r="K109" s="271"/>
      <c r="L109" s="271"/>
      <c r="M109" s="271"/>
      <c r="N109" s="271"/>
      <c r="O109" s="271"/>
      <c r="P109" s="271"/>
      <c r="Q109" s="271"/>
      <c r="R109" s="332">
        <f>-R92-SUM(R94:R108)</f>
        <v>-719</v>
      </c>
      <c r="S109" s="274"/>
      <c r="T109" s="262"/>
    </row>
    <row r="110" spans="1:21" s="263" customFormat="1" x14ac:dyDescent="0.25">
      <c r="A110" s="275">
        <v>18</v>
      </c>
      <c r="B110" s="271" t="s">
        <v>179</v>
      </c>
      <c r="C110" s="271"/>
      <c r="D110" s="271"/>
      <c r="E110" s="271"/>
      <c r="F110" s="271"/>
      <c r="G110" s="271"/>
      <c r="H110" s="271"/>
      <c r="I110" s="271"/>
      <c r="J110" s="271"/>
      <c r="K110" s="271"/>
      <c r="L110" s="271"/>
      <c r="M110" s="271"/>
      <c r="N110" s="271"/>
      <c r="O110" s="271"/>
      <c r="P110" s="331">
        <f>-R110</f>
        <v>0</v>
      </c>
      <c r="Q110" s="271"/>
      <c r="R110" s="332">
        <v>0</v>
      </c>
      <c r="S110" s="274"/>
      <c r="T110" s="262"/>
    </row>
    <row r="111" spans="1:21" x14ac:dyDescent="0.25">
      <c r="A111" s="290"/>
      <c r="B111" s="340" t="s">
        <v>30</v>
      </c>
      <c r="C111" s="296"/>
      <c r="D111" s="296"/>
      <c r="E111" s="296"/>
      <c r="F111" s="296"/>
      <c r="G111" s="296"/>
      <c r="H111" s="296"/>
      <c r="I111" s="296"/>
      <c r="J111" s="296"/>
      <c r="K111" s="296"/>
      <c r="L111" s="296"/>
      <c r="M111" s="296"/>
      <c r="N111" s="296"/>
      <c r="O111" s="296"/>
      <c r="P111" s="342"/>
      <c r="Q111" s="342"/>
      <c r="R111" s="345"/>
      <c r="S111" s="298"/>
      <c r="T111" s="244"/>
    </row>
    <row r="112" spans="1:21" s="263" customFormat="1" x14ac:dyDescent="0.25">
      <c r="A112" s="275"/>
      <c r="B112" s="271" t="s">
        <v>223</v>
      </c>
      <c r="C112" s="271"/>
      <c r="D112" s="271"/>
      <c r="E112" s="271"/>
      <c r="F112" s="271"/>
      <c r="G112" s="271"/>
      <c r="H112" s="271"/>
      <c r="I112" s="271"/>
      <c r="J112" s="271"/>
      <c r="K112" s="271"/>
      <c r="L112" s="271"/>
      <c r="M112" s="271"/>
      <c r="N112" s="271"/>
      <c r="O112" s="271"/>
      <c r="P112" s="331">
        <f>-P175</f>
        <v>0</v>
      </c>
      <c r="Q112" s="331"/>
      <c r="R112" s="332"/>
      <c r="S112" s="274"/>
      <c r="T112" s="262"/>
    </row>
    <row r="113" spans="1:20" s="263" customFormat="1" x14ac:dyDescent="0.25">
      <c r="A113" s="275"/>
      <c r="B113" s="271" t="s">
        <v>224</v>
      </c>
      <c r="C113" s="271"/>
      <c r="D113" s="271"/>
      <c r="E113" s="271"/>
      <c r="F113" s="271"/>
      <c r="G113" s="271"/>
      <c r="H113" s="271"/>
      <c r="I113" s="271"/>
      <c r="J113" s="271"/>
      <c r="K113" s="271"/>
      <c r="L113" s="271"/>
      <c r="M113" s="271"/>
      <c r="N113" s="271"/>
      <c r="O113" s="271"/>
      <c r="P113" s="331">
        <f>-O175</f>
        <v>0</v>
      </c>
      <c r="Q113" s="331"/>
      <c r="R113" s="332"/>
      <c r="S113" s="274"/>
      <c r="T113" s="262"/>
    </row>
    <row r="114" spans="1:20" s="263" customFormat="1" x14ac:dyDescent="0.25">
      <c r="A114" s="275"/>
      <c r="B114" s="271" t="s">
        <v>163</v>
      </c>
      <c r="C114" s="271"/>
      <c r="D114" s="271"/>
      <c r="E114" s="271"/>
      <c r="F114" s="271"/>
      <c r="G114" s="271"/>
      <c r="H114" s="271"/>
      <c r="I114" s="271"/>
      <c r="J114" s="271"/>
      <c r="K114" s="271"/>
      <c r="L114" s="271"/>
      <c r="M114" s="271"/>
      <c r="N114" s="271"/>
      <c r="O114" s="271"/>
      <c r="P114" s="331">
        <v>-7701</v>
      </c>
      <c r="Q114" s="331"/>
      <c r="R114" s="332"/>
      <c r="S114" s="274"/>
      <c r="T114" s="262"/>
    </row>
    <row r="115" spans="1:20" s="263" customFormat="1" x14ac:dyDescent="0.25">
      <c r="A115" s="275"/>
      <c r="B115" s="271" t="s">
        <v>187</v>
      </c>
      <c r="C115" s="271"/>
      <c r="D115" s="271"/>
      <c r="E115" s="271"/>
      <c r="F115" s="271"/>
      <c r="G115" s="271"/>
      <c r="H115" s="271"/>
      <c r="I115" s="271"/>
      <c r="J115" s="271"/>
      <c r="K115" s="271"/>
      <c r="L115" s="271"/>
      <c r="M115" s="271"/>
      <c r="N115" s="271"/>
      <c r="O115" s="271"/>
      <c r="P115" s="331">
        <v>0</v>
      </c>
      <c r="Q115" s="331"/>
      <c r="R115" s="332"/>
      <c r="S115" s="274"/>
      <c r="T115" s="262"/>
    </row>
    <row r="116" spans="1:20" s="263" customFormat="1" x14ac:dyDescent="0.25">
      <c r="A116" s="275"/>
      <c r="B116" s="271" t="s">
        <v>188</v>
      </c>
      <c r="C116" s="271"/>
      <c r="D116" s="271"/>
      <c r="E116" s="271"/>
      <c r="F116" s="271"/>
      <c r="G116" s="271"/>
      <c r="H116" s="271"/>
      <c r="I116" s="271"/>
      <c r="J116" s="271"/>
      <c r="K116" s="271"/>
      <c r="L116" s="271"/>
      <c r="M116" s="271"/>
      <c r="N116" s="271"/>
      <c r="O116" s="271"/>
      <c r="P116" s="331">
        <v>0</v>
      </c>
      <c r="Q116" s="331"/>
      <c r="R116" s="332"/>
      <c r="S116" s="274"/>
      <c r="T116" s="262"/>
    </row>
    <row r="117" spans="1:20" s="263" customFormat="1" x14ac:dyDescent="0.25">
      <c r="A117" s="275"/>
      <c r="B117" s="271" t="s">
        <v>31</v>
      </c>
      <c r="C117" s="271"/>
      <c r="D117" s="271"/>
      <c r="E117" s="271"/>
      <c r="F117" s="271"/>
      <c r="G117" s="271"/>
      <c r="H117" s="271"/>
      <c r="I117" s="271"/>
      <c r="J117" s="271"/>
      <c r="K117" s="271"/>
      <c r="L117" s="271"/>
      <c r="M117" s="271"/>
      <c r="N117" s="271"/>
      <c r="O117" s="271"/>
      <c r="P117" s="331">
        <f>SUM(P112:P116)</f>
        <v>-7701</v>
      </c>
      <c r="Q117" s="331"/>
      <c r="R117" s="331">
        <f>SUM(R93:R116)</f>
        <v>-1283</v>
      </c>
      <c r="S117" s="274"/>
      <c r="T117" s="262"/>
    </row>
    <row r="118" spans="1:20" s="263" customFormat="1" x14ac:dyDescent="0.25">
      <c r="A118" s="275"/>
      <c r="B118" s="271" t="s">
        <v>32</v>
      </c>
      <c r="C118" s="271"/>
      <c r="D118" s="271"/>
      <c r="E118" s="271"/>
      <c r="F118" s="271"/>
      <c r="G118" s="271"/>
      <c r="H118" s="271"/>
      <c r="I118" s="271"/>
      <c r="J118" s="271"/>
      <c r="K118" s="271"/>
      <c r="L118" s="271"/>
      <c r="M118" s="271"/>
      <c r="N118" s="271"/>
      <c r="O118" s="271"/>
      <c r="P118" s="331">
        <f>P92+P117+P101+P110</f>
        <v>0</v>
      </c>
      <c r="Q118" s="331"/>
      <c r="R118" s="331">
        <f>R92+R117</f>
        <v>0</v>
      </c>
      <c r="S118" s="274"/>
      <c r="T118" s="262"/>
    </row>
    <row r="119" spans="1:20" s="263" customFormat="1" x14ac:dyDescent="0.25">
      <c r="A119" s="258"/>
      <c r="B119" s="313"/>
      <c r="C119" s="313"/>
      <c r="D119" s="313"/>
      <c r="E119" s="313"/>
      <c r="F119" s="313"/>
      <c r="G119" s="313"/>
      <c r="H119" s="313"/>
      <c r="I119" s="313"/>
      <c r="J119" s="313"/>
      <c r="K119" s="313"/>
      <c r="L119" s="313"/>
      <c r="M119" s="313"/>
      <c r="N119" s="313"/>
      <c r="O119" s="313"/>
      <c r="P119" s="346"/>
      <c r="Q119" s="346"/>
      <c r="R119" s="346"/>
      <c r="S119" s="261"/>
      <c r="T119" s="262"/>
    </row>
    <row r="120" spans="1:20" s="263" customFormat="1" x14ac:dyDescent="0.25">
      <c r="A120" s="258"/>
      <c r="B120" s="259"/>
      <c r="C120" s="259"/>
      <c r="D120" s="259"/>
      <c r="E120" s="259"/>
      <c r="F120" s="259"/>
      <c r="G120" s="259"/>
      <c r="H120" s="259"/>
      <c r="I120" s="259"/>
      <c r="J120" s="259"/>
      <c r="K120" s="259"/>
      <c r="L120" s="259"/>
      <c r="M120" s="259"/>
      <c r="N120" s="259"/>
      <c r="O120" s="259"/>
      <c r="P120" s="259"/>
      <c r="Q120" s="259"/>
      <c r="R120" s="347"/>
      <c r="S120" s="261"/>
      <c r="T120" s="262"/>
    </row>
    <row r="121" spans="1:20" s="263" customFormat="1" ht="19.5" thickBot="1" x14ac:dyDescent="0.35">
      <c r="A121" s="318"/>
      <c r="B121" s="319" t="str">
        <f>B52</f>
        <v>PM20 INVESTOR REPORT QUARTER ENDING APRIL 2018</v>
      </c>
      <c r="C121" s="320"/>
      <c r="D121" s="320"/>
      <c r="E121" s="320"/>
      <c r="F121" s="320"/>
      <c r="G121" s="320"/>
      <c r="H121" s="320"/>
      <c r="I121" s="320"/>
      <c r="J121" s="320"/>
      <c r="K121" s="320"/>
      <c r="L121" s="320"/>
      <c r="M121" s="320"/>
      <c r="N121" s="320"/>
      <c r="O121" s="320"/>
      <c r="P121" s="320"/>
      <c r="Q121" s="320"/>
      <c r="R121" s="348"/>
      <c r="S121" s="322"/>
      <c r="T121" s="262"/>
    </row>
    <row r="122" spans="1:20" x14ac:dyDescent="0.25">
      <c r="A122" s="449"/>
      <c r="B122" s="450" t="s">
        <v>33</v>
      </c>
      <c r="C122" s="451"/>
      <c r="D122" s="451"/>
      <c r="E122" s="451"/>
      <c r="F122" s="451"/>
      <c r="G122" s="451"/>
      <c r="H122" s="451"/>
      <c r="I122" s="451"/>
      <c r="J122" s="451"/>
      <c r="K122" s="451"/>
      <c r="L122" s="451"/>
      <c r="M122" s="451"/>
      <c r="N122" s="451"/>
      <c r="O122" s="451"/>
      <c r="P122" s="451"/>
      <c r="Q122" s="451"/>
      <c r="R122" s="452"/>
      <c r="S122" s="453"/>
      <c r="T122" s="244"/>
    </row>
    <row r="123" spans="1:20" x14ac:dyDescent="0.25">
      <c r="A123" s="246"/>
      <c r="B123" s="349"/>
      <c r="C123" s="248"/>
      <c r="D123" s="248"/>
      <c r="E123" s="248"/>
      <c r="F123" s="248"/>
      <c r="G123" s="248"/>
      <c r="H123" s="248"/>
      <c r="I123" s="248"/>
      <c r="J123" s="248"/>
      <c r="K123" s="248"/>
      <c r="L123" s="248"/>
      <c r="M123" s="248"/>
      <c r="N123" s="248"/>
      <c r="O123" s="248"/>
      <c r="P123" s="248"/>
      <c r="Q123" s="248"/>
      <c r="R123" s="323"/>
      <c r="S123" s="249"/>
      <c r="T123" s="244"/>
    </row>
    <row r="124" spans="1:20" x14ac:dyDescent="0.25">
      <c r="A124" s="246"/>
      <c r="B124" s="350" t="s">
        <v>34</v>
      </c>
      <c r="C124" s="248"/>
      <c r="D124" s="248"/>
      <c r="E124" s="248"/>
      <c r="F124" s="248"/>
      <c r="G124" s="248"/>
      <c r="H124" s="248"/>
      <c r="I124" s="248"/>
      <c r="J124" s="248"/>
      <c r="K124" s="248"/>
      <c r="L124" s="248"/>
      <c r="M124" s="248"/>
      <c r="N124" s="248"/>
      <c r="O124" s="248"/>
      <c r="P124" s="248"/>
      <c r="Q124" s="248"/>
      <c r="R124" s="323"/>
      <c r="S124" s="249"/>
      <c r="T124" s="244"/>
    </row>
    <row r="125" spans="1:20" s="263" customFormat="1" x14ac:dyDescent="0.25">
      <c r="A125" s="275"/>
      <c r="B125" s="271" t="s">
        <v>35</v>
      </c>
      <c r="C125" s="271"/>
      <c r="D125" s="271"/>
      <c r="E125" s="271"/>
      <c r="F125" s="271"/>
      <c r="G125" s="271"/>
      <c r="H125" s="271"/>
      <c r="I125" s="271"/>
      <c r="J125" s="271"/>
      <c r="K125" s="271"/>
      <c r="L125" s="271"/>
      <c r="M125" s="271"/>
      <c r="N125" s="271"/>
      <c r="O125" s="271"/>
      <c r="P125" s="271"/>
      <c r="Q125" s="271"/>
      <c r="R125" s="332">
        <f>+R28*0.03</f>
        <v>10500</v>
      </c>
      <c r="S125" s="274"/>
      <c r="T125" s="262"/>
    </row>
    <row r="126" spans="1:20" s="263" customFormat="1" x14ac:dyDescent="0.25">
      <c r="A126" s="275"/>
      <c r="B126" s="271" t="s">
        <v>36</v>
      </c>
      <c r="C126" s="271"/>
      <c r="D126" s="271"/>
      <c r="E126" s="271"/>
      <c r="F126" s="271"/>
      <c r="G126" s="271"/>
      <c r="H126" s="271"/>
      <c r="I126" s="271"/>
      <c r="J126" s="271"/>
      <c r="K126" s="271"/>
      <c r="L126" s="271"/>
      <c r="M126" s="271"/>
      <c r="N126" s="271"/>
      <c r="O126" s="271"/>
      <c r="P126" s="271"/>
      <c r="Q126" s="271"/>
      <c r="R126" s="332">
        <v>0</v>
      </c>
      <c r="S126" s="274"/>
      <c r="T126" s="262"/>
    </row>
    <row r="127" spans="1:20" s="263" customFormat="1" x14ac:dyDescent="0.25">
      <c r="A127" s="275"/>
      <c r="B127" s="271" t="s">
        <v>175</v>
      </c>
      <c r="C127" s="271"/>
      <c r="D127" s="271"/>
      <c r="E127" s="271"/>
      <c r="F127" s="271"/>
      <c r="G127" s="271"/>
      <c r="H127" s="271"/>
      <c r="I127" s="271"/>
      <c r="J127" s="271"/>
      <c r="K127" s="271"/>
      <c r="L127" s="271"/>
      <c r="M127" s="271"/>
      <c r="N127" s="271"/>
      <c r="O127" s="271"/>
      <c r="P127" s="271"/>
      <c r="Q127" s="271"/>
      <c r="R127" s="332">
        <f>R125-R128</f>
        <v>8114.8946459999997</v>
      </c>
      <c r="S127" s="274"/>
      <c r="T127" s="262"/>
    </row>
    <row r="128" spans="1:20" s="263" customFormat="1" x14ac:dyDescent="0.25">
      <c r="A128" s="275"/>
      <c r="B128" s="271" t="s">
        <v>235</v>
      </c>
      <c r="C128" s="271"/>
      <c r="D128" s="271"/>
      <c r="E128" s="271"/>
      <c r="F128" s="271"/>
      <c r="G128" s="271"/>
      <c r="H128" s="271"/>
      <c r="I128" s="271"/>
      <c r="J128" s="271"/>
      <c r="K128" s="271"/>
      <c r="L128" s="271"/>
      <c r="M128" s="271"/>
      <c r="N128" s="271"/>
      <c r="O128" s="271"/>
      <c r="P128" s="271"/>
      <c r="Q128" s="271"/>
      <c r="R128" s="332">
        <f>SUM(D30:F30)*0.03</f>
        <v>2385.1053540000003</v>
      </c>
      <c r="S128" s="274"/>
      <c r="T128" s="262"/>
    </row>
    <row r="129" spans="1:21" s="263" customFormat="1" x14ac:dyDescent="0.25">
      <c r="A129" s="275"/>
      <c r="B129" s="271" t="s">
        <v>109</v>
      </c>
      <c r="C129" s="271"/>
      <c r="D129" s="271"/>
      <c r="E129" s="271"/>
      <c r="F129" s="271"/>
      <c r="G129" s="271"/>
      <c r="H129" s="271"/>
      <c r="I129" s="271"/>
      <c r="J129" s="271"/>
      <c r="K129" s="271"/>
      <c r="L129" s="271"/>
      <c r="M129" s="271"/>
      <c r="N129" s="271"/>
      <c r="O129" s="271"/>
      <c r="P129" s="271"/>
      <c r="Q129" s="271"/>
      <c r="R129" s="332"/>
      <c r="S129" s="274"/>
      <c r="T129" s="262"/>
    </row>
    <row r="130" spans="1:21" s="263" customFormat="1" x14ac:dyDescent="0.25">
      <c r="A130" s="275"/>
      <c r="B130" s="271" t="s">
        <v>160</v>
      </c>
      <c r="C130" s="271"/>
      <c r="D130" s="271"/>
      <c r="E130" s="271"/>
      <c r="F130" s="271"/>
      <c r="G130" s="271"/>
      <c r="H130" s="271"/>
      <c r="I130" s="271"/>
      <c r="J130" s="271"/>
      <c r="K130" s="271"/>
      <c r="L130" s="271"/>
      <c r="M130" s="271"/>
      <c r="N130" s="271"/>
      <c r="O130" s="271"/>
      <c r="P130" s="271"/>
      <c r="Q130" s="271"/>
      <c r="R130" s="332">
        <v>0</v>
      </c>
      <c r="S130" s="274"/>
      <c r="T130" s="262"/>
    </row>
    <row r="131" spans="1:21" s="263" customFormat="1" x14ac:dyDescent="0.25">
      <c r="A131" s="275"/>
      <c r="B131" s="271" t="s">
        <v>195</v>
      </c>
      <c r="C131" s="271"/>
      <c r="D131" s="271"/>
      <c r="E131" s="271"/>
      <c r="F131" s="271"/>
      <c r="G131" s="271"/>
      <c r="H131" s="271"/>
      <c r="I131" s="271"/>
      <c r="J131" s="271"/>
      <c r="K131" s="271"/>
      <c r="L131" s="271"/>
      <c r="M131" s="271"/>
      <c r="N131" s="271"/>
      <c r="O131" s="271"/>
      <c r="P131" s="271"/>
      <c r="Q131" s="271"/>
      <c r="R131" s="332">
        <v>0</v>
      </c>
      <c r="S131" s="274"/>
      <c r="T131" s="262"/>
    </row>
    <row r="132" spans="1:21" s="263" customFormat="1" x14ac:dyDescent="0.25">
      <c r="A132" s="275"/>
      <c r="B132" s="271" t="s">
        <v>37</v>
      </c>
      <c r="C132" s="271"/>
      <c r="D132" s="271"/>
      <c r="E132" s="271"/>
      <c r="F132" s="271"/>
      <c r="G132" s="271"/>
      <c r="H132" s="271"/>
      <c r="I132" s="271"/>
      <c r="J132" s="271"/>
      <c r="K132" s="271"/>
      <c r="L132" s="271"/>
      <c r="M132" s="271"/>
      <c r="N132" s="271"/>
      <c r="O132" s="271"/>
      <c r="P132" s="271"/>
      <c r="Q132" s="271"/>
      <c r="R132" s="332">
        <v>0</v>
      </c>
      <c r="S132" s="274"/>
      <c r="T132" s="262"/>
    </row>
    <row r="133" spans="1:21" s="263" customFormat="1" x14ac:dyDescent="0.25">
      <c r="A133" s="275"/>
      <c r="B133" s="271" t="s">
        <v>103</v>
      </c>
      <c r="C133" s="271"/>
      <c r="D133" s="271"/>
      <c r="E133" s="271"/>
      <c r="F133" s="271"/>
      <c r="G133" s="271"/>
      <c r="H133" s="271"/>
      <c r="I133" s="271"/>
      <c r="J133" s="271"/>
      <c r="K133" s="271"/>
      <c r="L133" s="271"/>
      <c r="M133" s="271"/>
      <c r="N133" s="271"/>
      <c r="O133" s="271"/>
      <c r="P133" s="271"/>
      <c r="Q133" s="271"/>
      <c r="R133" s="332">
        <v>0</v>
      </c>
      <c r="S133" s="274"/>
      <c r="T133" s="262"/>
    </row>
    <row r="134" spans="1:21" s="263" customFormat="1" x14ac:dyDescent="0.25">
      <c r="A134" s="275"/>
      <c r="B134" s="271" t="s">
        <v>225</v>
      </c>
      <c r="C134" s="271"/>
      <c r="D134" s="271"/>
      <c r="E134" s="271"/>
      <c r="F134" s="271"/>
      <c r="G134" s="271"/>
      <c r="H134" s="271"/>
      <c r="I134" s="271"/>
      <c r="J134" s="271"/>
      <c r="K134" s="271"/>
      <c r="L134" s="271"/>
      <c r="M134" s="271"/>
      <c r="N134" s="271"/>
      <c r="O134" s="271"/>
      <c r="P134" s="271"/>
      <c r="Q134" s="271"/>
      <c r="R134" s="332">
        <v>0</v>
      </c>
      <c r="S134" s="274"/>
      <c r="T134" s="262"/>
      <c r="U134" s="344"/>
    </row>
    <row r="135" spans="1:21" s="263" customFormat="1" x14ac:dyDescent="0.25">
      <c r="A135" s="275"/>
      <c r="B135" s="271" t="s">
        <v>38</v>
      </c>
      <c r="C135" s="271"/>
      <c r="D135" s="271"/>
      <c r="E135" s="271"/>
      <c r="F135" s="271"/>
      <c r="G135" s="271"/>
      <c r="H135" s="271"/>
      <c r="I135" s="271"/>
      <c r="J135" s="271"/>
      <c r="K135" s="271"/>
      <c r="L135" s="271"/>
      <c r="M135" s="271"/>
      <c r="N135" s="271"/>
      <c r="O135" s="271"/>
      <c r="P135" s="271"/>
      <c r="Q135" s="271"/>
      <c r="R135" s="332">
        <f>SUM(R126:R134)</f>
        <v>10500</v>
      </c>
      <c r="S135" s="274"/>
      <c r="T135" s="262"/>
    </row>
    <row r="136" spans="1:21" s="263" customFormat="1" x14ac:dyDescent="0.25">
      <c r="A136" s="258"/>
      <c r="B136" s="313"/>
      <c r="C136" s="313"/>
      <c r="D136" s="313"/>
      <c r="E136" s="313"/>
      <c r="F136" s="313"/>
      <c r="G136" s="313"/>
      <c r="H136" s="313"/>
      <c r="I136" s="313"/>
      <c r="J136" s="313"/>
      <c r="K136" s="313"/>
      <c r="L136" s="313"/>
      <c r="M136" s="313"/>
      <c r="N136" s="313"/>
      <c r="O136" s="313"/>
      <c r="P136" s="313"/>
      <c r="Q136" s="313"/>
      <c r="R136" s="351"/>
      <c r="S136" s="261"/>
      <c r="T136" s="262"/>
    </row>
    <row r="137" spans="1:21" x14ac:dyDescent="0.25">
      <c r="A137" s="246"/>
      <c r="B137" s="350" t="s">
        <v>206</v>
      </c>
      <c r="C137" s="248"/>
      <c r="D137" s="248"/>
      <c r="E137" s="248"/>
      <c r="F137" s="248"/>
      <c r="G137" s="248"/>
      <c r="H137" s="248"/>
      <c r="I137" s="248"/>
      <c r="J137" s="248"/>
      <c r="K137" s="248"/>
      <c r="L137" s="248"/>
      <c r="M137" s="248"/>
      <c r="N137" s="248"/>
      <c r="O137" s="248"/>
      <c r="P137" s="248"/>
      <c r="Q137" s="248"/>
      <c r="R137" s="323"/>
      <c r="S137" s="249"/>
      <c r="T137" s="244"/>
    </row>
    <row r="138" spans="1:21" s="263" customFormat="1" x14ac:dyDescent="0.25">
      <c r="A138" s="275"/>
      <c r="B138" s="271" t="s">
        <v>174</v>
      </c>
      <c r="C138" s="271"/>
      <c r="D138" s="271"/>
      <c r="E138" s="271"/>
      <c r="F138" s="271"/>
      <c r="G138" s="271"/>
      <c r="H138" s="271"/>
      <c r="I138" s="271"/>
      <c r="J138" s="271"/>
      <c r="K138" s="271"/>
      <c r="L138" s="271"/>
      <c r="M138" s="271"/>
      <c r="N138" s="271"/>
      <c r="O138" s="271"/>
      <c r="P138" s="271"/>
      <c r="Q138" s="271"/>
      <c r="R138" s="332">
        <v>0</v>
      </c>
      <c r="S138" s="274"/>
      <c r="T138" s="262"/>
    </row>
    <row r="139" spans="1:21" s="263" customFormat="1" x14ac:dyDescent="0.25">
      <c r="A139" s="275"/>
      <c r="B139" s="271" t="s">
        <v>197</v>
      </c>
      <c r="C139" s="271"/>
      <c r="D139" s="271"/>
      <c r="E139" s="271"/>
      <c r="F139" s="271"/>
      <c r="G139" s="271"/>
      <c r="H139" s="271"/>
      <c r="I139" s="271"/>
      <c r="J139" s="271"/>
      <c r="K139" s="271"/>
      <c r="L139" s="271"/>
      <c r="M139" s="271"/>
      <c r="N139" s="271"/>
      <c r="O139" s="271"/>
      <c r="P139" s="271"/>
      <c r="Q139" s="271"/>
      <c r="R139" s="332">
        <f>+J69</f>
        <v>0</v>
      </c>
      <c r="S139" s="274"/>
      <c r="T139" s="262"/>
    </row>
    <row r="140" spans="1:21" s="263" customFormat="1" x14ac:dyDescent="0.25">
      <c r="A140" s="275"/>
      <c r="B140" s="271" t="s">
        <v>233</v>
      </c>
      <c r="C140" s="271"/>
      <c r="D140" s="271"/>
      <c r="E140" s="271"/>
      <c r="F140" s="271"/>
      <c r="G140" s="271"/>
      <c r="H140" s="271"/>
      <c r="I140" s="271"/>
      <c r="J140" s="271"/>
      <c r="K140" s="271"/>
      <c r="L140" s="271"/>
      <c r="M140" s="271"/>
      <c r="N140" s="271"/>
      <c r="O140" s="271"/>
      <c r="P140" s="271"/>
      <c r="Q140" s="271"/>
      <c r="R140" s="332">
        <f>R138+R139</f>
        <v>0</v>
      </c>
      <c r="S140" s="274"/>
      <c r="T140" s="262"/>
    </row>
    <row r="141" spans="1:21" x14ac:dyDescent="0.25">
      <c r="A141" s="246"/>
      <c r="B141" s="352"/>
      <c r="C141" s="352"/>
      <c r="D141" s="352"/>
      <c r="E141" s="352"/>
      <c r="F141" s="352"/>
      <c r="G141" s="352"/>
      <c r="H141" s="352"/>
      <c r="I141" s="352"/>
      <c r="J141" s="352"/>
      <c r="K141" s="352"/>
      <c r="L141" s="352"/>
      <c r="M141" s="352"/>
      <c r="N141" s="352"/>
      <c r="O141" s="352"/>
      <c r="P141" s="352"/>
      <c r="Q141" s="352"/>
      <c r="R141" s="353"/>
      <c r="S141" s="249"/>
      <c r="T141" s="244"/>
    </row>
    <row r="142" spans="1:21" x14ac:dyDescent="0.25">
      <c r="A142" s="246"/>
      <c r="B142" s="350" t="s">
        <v>234</v>
      </c>
      <c r="C142" s="352"/>
      <c r="D142" s="352"/>
      <c r="E142" s="352"/>
      <c r="F142" s="352"/>
      <c r="G142" s="352"/>
      <c r="H142" s="352"/>
      <c r="I142" s="352"/>
      <c r="J142" s="352"/>
      <c r="K142" s="352"/>
      <c r="L142" s="352"/>
      <c r="M142" s="352"/>
      <c r="N142" s="352"/>
      <c r="O142" s="352"/>
      <c r="P142" s="352"/>
      <c r="Q142" s="352"/>
      <c r="R142" s="353"/>
      <c r="S142" s="249"/>
      <c r="T142" s="244"/>
    </row>
    <row r="143" spans="1:21" s="263" customFormat="1" x14ac:dyDescent="0.25">
      <c r="A143" s="354"/>
      <c r="B143" s="355" t="s">
        <v>244</v>
      </c>
      <c r="C143" s="355"/>
      <c r="D143" s="355"/>
      <c r="E143" s="355"/>
      <c r="F143" s="355"/>
      <c r="G143" s="355"/>
      <c r="H143" s="355"/>
      <c r="I143" s="355"/>
      <c r="J143" s="355"/>
      <c r="K143" s="355"/>
      <c r="L143" s="355"/>
      <c r="M143" s="355"/>
      <c r="N143" s="355"/>
      <c r="O143" s="355"/>
      <c r="P143" s="355"/>
      <c r="Q143" s="355"/>
      <c r="R143" s="356">
        <f>+'July 16'!R146</f>
        <v>0</v>
      </c>
      <c r="S143" s="357"/>
      <c r="T143" s="262"/>
    </row>
    <row r="144" spans="1:21" s="263" customFormat="1" x14ac:dyDescent="0.25">
      <c r="A144" s="354"/>
      <c r="B144" s="355" t="s">
        <v>232</v>
      </c>
      <c r="C144" s="355"/>
      <c r="D144" s="355"/>
      <c r="E144" s="355"/>
      <c r="F144" s="355"/>
      <c r="G144" s="355"/>
      <c r="H144" s="355"/>
      <c r="I144" s="355"/>
      <c r="J144" s="355"/>
      <c r="K144" s="355"/>
      <c r="L144" s="355"/>
      <c r="M144" s="355"/>
      <c r="N144" s="355"/>
      <c r="O144" s="355"/>
      <c r="P144" s="355"/>
      <c r="Q144" s="355"/>
      <c r="R144" s="356">
        <f>P78</f>
        <v>0</v>
      </c>
      <c r="S144" s="357"/>
      <c r="T144" s="262"/>
    </row>
    <row r="145" spans="1:252" s="263" customFormat="1" x14ac:dyDescent="0.25">
      <c r="A145" s="358"/>
      <c r="B145" s="271" t="s">
        <v>238</v>
      </c>
      <c r="C145" s="359"/>
      <c r="D145" s="359"/>
      <c r="E145" s="359"/>
      <c r="F145" s="359"/>
      <c r="G145" s="359"/>
      <c r="H145" s="359"/>
      <c r="I145" s="359"/>
      <c r="J145" s="359"/>
      <c r="K145" s="359"/>
      <c r="L145" s="359"/>
      <c r="M145" s="359"/>
      <c r="N145" s="359"/>
      <c r="O145" s="359"/>
      <c r="P145" s="359"/>
      <c r="Q145" s="359"/>
      <c r="R145" s="360">
        <v>0</v>
      </c>
      <c r="S145" s="361"/>
      <c r="T145" s="262"/>
    </row>
    <row r="146" spans="1:252" s="263" customFormat="1" x14ac:dyDescent="0.25">
      <c r="A146" s="358"/>
      <c r="B146" s="271" t="s">
        <v>237</v>
      </c>
      <c r="C146" s="359"/>
      <c r="D146" s="359"/>
      <c r="E146" s="359"/>
      <c r="F146" s="359"/>
      <c r="G146" s="359"/>
      <c r="H146" s="359"/>
      <c r="I146" s="359"/>
      <c r="J146" s="359"/>
      <c r="K146" s="359"/>
      <c r="L146" s="359"/>
      <c r="M146" s="359"/>
      <c r="N146" s="359"/>
      <c r="O146" s="359"/>
      <c r="P146" s="359"/>
      <c r="Q146" s="359"/>
      <c r="R146" s="360">
        <f>R143+R144+R145</f>
        <v>0</v>
      </c>
      <c r="S146" s="361"/>
      <c r="T146" s="262"/>
    </row>
    <row r="147" spans="1:252" x14ac:dyDescent="0.25">
      <c r="A147" s="246"/>
      <c r="B147" s="333"/>
      <c r="C147" s="333"/>
      <c r="D147" s="333"/>
      <c r="E147" s="333"/>
      <c r="F147" s="333"/>
      <c r="G147" s="333"/>
      <c r="H147" s="333"/>
      <c r="I147" s="333"/>
      <c r="J147" s="333"/>
      <c r="K147" s="333"/>
      <c r="L147" s="333"/>
      <c r="M147" s="333"/>
      <c r="N147" s="333"/>
      <c r="O147" s="333"/>
      <c r="P147" s="333"/>
      <c r="Q147" s="333"/>
      <c r="R147" s="362"/>
      <c r="S147" s="249"/>
      <c r="T147" s="244"/>
    </row>
    <row r="148" spans="1:252" x14ac:dyDescent="0.25">
      <c r="A148" s="246"/>
      <c r="B148" s="350" t="s">
        <v>39</v>
      </c>
      <c r="C148" s="248"/>
      <c r="D148" s="248"/>
      <c r="E148" s="248"/>
      <c r="F148" s="248"/>
      <c r="G148" s="248"/>
      <c r="H148" s="248"/>
      <c r="I148" s="248"/>
      <c r="J148" s="248"/>
      <c r="K148" s="248"/>
      <c r="L148" s="248"/>
      <c r="M148" s="248"/>
      <c r="N148" s="248"/>
      <c r="O148" s="248"/>
      <c r="P148" s="248"/>
      <c r="Q148" s="248"/>
      <c r="R148" s="363"/>
      <c r="S148" s="249"/>
      <c r="T148" s="244"/>
    </row>
    <row r="149" spans="1:252" s="263" customFormat="1" x14ac:dyDescent="0.25">
      <c r="A149" s="275"/>
      <c r="B149" s="271" t="s">
        <v>40</v>
      </c>
      <c r="C149" s="271"/>
      <c r="D149" s="271"/>
      <c r="E149" s="271"/>
      <c r="F149" s="271"/>
      <c r="G149" s="271"/>
      <c r="H149" s="271"/>
      <c r="I149" s="271"/>
      <c r="J149" s="271"/>
      <c r="K149" s="271"/>
      <c r="L149" s="271"/>
      <c r="M149" s="271"/>
      <c r="N149" s="271"/>
      <c r="O149" s="271"/>
      <c r="P149" s="271"/>
      <c r="Q149" s="271"/>
      <c r="R149" s="332">
        <v>0</v>
      </c>
      <c r="S149" s="274"/>
      <c r="T149" s="262"/>
    </row>
    <row r="150" spans="1:252" s="263" customFormat="1" x14ac:dyDescent="0.25">
      <c r="A150" s="275"/>
      <c r="B150" s="271" t="s">
        <v>41</v>
      </c>
      <c r="C150" s="271"/>
      <c r="D150" s="271"/>
      <c r="E150" s="271"/>
      <c r="F150" s="271"/>
      <c r="G150" s="271"/>
      <c r="H150" s="271"/>
      <c r="I150" s="271"/>
      <c r="J150" s="271"/>
      <c r="K150" s="271"/>
      <c r="L150" s="271"/>
      <c r="M150" s="271"/>
      <c r="N150" s="271"/>
      <c r="O150" s="271"/>
      <c r="P150" s="271"/>
      <c r="Q150" s="271"/>
      <c r="R150" s="332">
        <f>+P101</f>
        <v>-45</v>
      </c>
      <c r="S150" s="274"/>
      <c r="T150" s="262"/>
    </row>
    <row r="151" spans="1:252" s="263" customFormat="1" x14ac:dyDescent="0.25">
      <c r="A151" s="275"/>
      <c r="B151" s="271" t="s">
        <v>42</v>
      </c>
      <c r="C151" s="271"/>
      <c r="D151" s="271"/>
      <c r="E151" s="271"/>
      <c r="F151" s="271"/>
      <c r="G151" s="271"/>
      <c r="H151" s="271"/>
      <c r="I151" s="271"/>
      <c r="J151" s="271"/>
      <c r="K151" s="271"/>
      <c r="L151" s="271"/>
      <c r="M151" s="271"/>
      <c r="N151" s="271"/>
      <c r="O151" s="271"/>
      <c r="P151" s="271"/>
      <c r="Q151" s="271"/>
      <c r="R151" s="332">
        <f>R150+R149</f>
        <v>-45</v>
      </c>
      <c r="S151" s="274"/>
      <c r="T151" s="262"/>
    </row>
    <row r="152" spans="1:252" s="263" customFormat="1" x14ac:dyDescent="0.25">
      <c r="A152" s="275"/>
      <c r="B152" s="271" t="s">
        <v>253</v>
      </c>
      <c r="C152" s="271"/>
      <c r="D152" s="271"/>
      <c r="E152" s="271"/>
      <c r="F152" s="271"/>
      <c r="G152" s="271"/>
      <c r="H152" s="271"/>
      <c r="I152" s="271"/>
      <c r="J152" s="271"/>
      <c r="K152" s="271"/>
      <c r="L152" s="271"/>
      <c r="M152" s="271"/>
      <c r="N152" s="271"/>
      <c r="O152" s="271"/>
      <c r="P152" s="271"/>
      <c r="Q152" s="271"/>
      <c r="R152" s="332">
        <f>R101</f>
        <v>45</v>
      </c>
      <c r="S152" s="274"/>
      <c r="T152" s="262"/>
    </row>
    <row r="153" spans="1:252" s="263" customFormat="1" x14ac:dyDescent="0.25">
      <c r="A153" s="275"/>
      <c r="B153" s="271" t="s">
        <v>43</v>
      </c>
      <c r="C153" s="271"/>
      <c r="D153" s="271"/>
      <c r="E153" s="271"/>
      <c r="F153" s="271"/>
      <c r="G153" s="271"/>
      <c r="H153" s="271"/>
      <c r="I153" s="271"/>
      <c r="J153" s="271"/>
      <c r="K153" s="271"/>
      <c r="L153" s="271"/>
      <c r="M153" s="271"/>
      <c r="N153" s="271"/>
      <c r="O153" s="271"/>
      <c r="P153" s="271"/>
      <c r="Q153" s="271"/>
      <c r="R153" s="332">
        <f>R151+R152</f>
        <v>0</v>
      </c>
      <c r="S153" s="274"/>
      <c r="T153" s="262"/>
    </row>
    <row r="154" spans="1:252" s="263" customFormat="1" x14ac:dyDescent="0.25">
      <c r="A154" s="275"/>
      <c r="B154" s="271" t="s">
        <v>153</v>
      </c>
      <c r="C154" s="271"/>
      <c r="D154" s="271"/>
      <c r="E154" s="271"/>
      <c r="F154" s="271"/>
      <c r="G154" s="271"/>
      <c r="H154" s="271"/>
      <c r="I154" s="271"/>
      <c r="J154" s="271"/>
      <c r="K154" s="271"/>
      <c r="L154" s="271"/>
      <c r="M154" s="271"/>
      <c r="N154" s="271"/>
      <c r="O154" s="271"/>
      <c r="P154" s="271"/>
      <c r="Q154" s="271"/>
      <c r="R154" s="332">
        <f>-R91</f>
        <v>0</v>
      </c>
      <c r="S154" s="274"/>
      <c r="T154" s="262"/>
    </row>
    <row r="155" spans="1:252" ht="16.5" thickBot="1" x14ac:dyDescent="0.3">
      <c r="A155" s="246"/>
      <c r="B155" s="333"/>
      <c r="C155" s="333"/>
      <c r="D155" s="333"/>
      <c r="E155" s="333"/>
      <c r="F155" s="333"/>
      <c r="G155" s="333"/>
      <c r="H155" s="333"/>
      <c r="I155" s="333"/>
      <c r="J155" s="333"/>
      <c r="K155" s="333"/>
      <c r="L155" s="333"/>
      <c r="M155" s="333"/>
      <c r="N155" s="333"/>
      <c r="O155" s="333"/>
      <c r="P155" s="333"/>
      <c r="Q155" s="333"/>
      <c r="R155" s="362"/>
      <c r="S155" s="249"/>
      <c r="T155" s="244"/>
    </row>
    <row r="156" spans="1:252" x14ac:dyDescent="0.25">
      <c r="A156" s="240"/>
      <c r="B156" s="242"/>
      <c r="C156" s="242"/>
      <c r="D156" s="242"/>
      <c r="E156" s="242"/>
      <c r="F156" s="242"/>
      <c r="G156" s="242"/>
      <c r="H156" s="242"/>
      <c r="I156" s="242"/>
      <c r="J156" s="242"/>
      <c r="K156" s="242"/>
      <c r="L156" s="242"/>
      <c r="M156" s="242"/>
      <c r="N156" s="242"/>
      <c r="O156" s="242"/>
      <c r="P156" s="242"/>
      <c r="Q156" s="242"/>
      <c r="R156" s="364"/>
      <c r="S156" s="243"/>
      <c r="T156" s="244"/>
    </row>
    <row r="157" spans="1:252" s="366" customFormat="1" x14ac:dyDescent="0.25">
      <c r="A157" s="246"/>
      <c r="B157" s="350" t="s">
        <v>207</v>
      </c>
      <c r="C157" s="333"/>
      <c r="D157" s="333"/>
      <c r="E157" s="333"/>
      <c r="F157" s="333"/>
      <c r="G157" s="333"/>
      <c r="H157" s="333"/>
      <c r="I157" s="333"/>
      <c r="J157" s="333"/>
      <c r="K157" s="333"/>
      <c r="L157" s="333"/>
      <c r="M157" s="333"/>
      <c r="N157" s="333"/>
      <c r="O157" s="333"/>
      <c r="P157" s="333"/>
      <c r="Q157" s="333"/>
      <c r="R157" s="365"/>
      <c r="S157" s="249"/>
      <c r="T157" s="244"/>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245"/>
      <c r="CB157" s="245"/>
      <c r="CC157" s="245"/>
      <c r="CD157" s="245"/>
      <c r="CE157" s="245"/>
      <c r="CF157" s="245"/>
      <c r="CG157" s="245"/>
      <c r="CH157" s="245"/>
      <c r="CI157" s="245"/>
      <c r="CJ157" s="245"/>
      <c r="CK157" s="245"/>
      <c r="CL157" s="245"/>
      <c r="CM157" s="245"/>
      <c r="CN157" s="245"/>
      <c r="CO157" s="245"/>
      <c r="CP157" s="245"/>
      <c r="CQ157" s="245"/>
      <c r="CR157" s="245"/>
      <c r="CS157" s="245"/>
      <c r="CT157" s="245"/>
      <c r="CU157" s="245"/>
      <c r="CV157" s="245"/>
      <c r="CW157" s="245"/>
      <c r="CX157" s="245"/>
      <c r="CY157" s="245"/>
      <c r="CZ157" s="245"/>
      <c r="DA157" s="245"/>
      <c r="DB157" s="245"/>
      <c r="DC157" s="245"/>
      <c r="DD157" s="245"/>
      <c r="DE157" s="245"/>
      <c r="DF157" s="245"/>
      <c r="DG157" s="245"/>
      <c r="DH157" s="245"/>
      <c r="DI157" s="245"/>
      <c r="DJ157" s="245"/>
      <c r="DK157" s="245"/>
      <c r="DL157" s="245"/>
      <c r="DM157" s="245"/>
      <c r="DN157" s="245"/>
      <c r="DO157" s="245"/>
      <c r="DP157" s="245"/>
      <c r="DQ157" s="245"/>
      <c r="DR157" s="245"/>
      <c r="DS157" s="245"/>
      <c r="DT157" s="245"/>
      <c r="DU157" s="245"/>
      <c r="DV157" s="245"/>
      <c r="DW157" s="245"/>
      <c r="DX157" s="245"/>
      <c r="DY157" s="245"/>
      <c r="DZ157" s="245"/>
      <c r="EA157" s="245"/>
      <c r="EB157" s="245"/>
      <c r="EC157" s="245"/>
      <c r="ED157" s="245"/>
      <c r="EE157" s="245"/>
      <c r="EF157" s="245"/>
      <c r="EG157" s="245"/>
      <c r="EH157" s="245"/>
      <c r="EI157" s="245"/>
      <c r="EJ157" s="245"/>
      <c r="EK157" s="245"/>
      <c r="EL157" s="245"/>
      <c r="EM157" s="245"/>
      <c r="EN157" s="245"/>
      <c r="EO157" s="245"/>
      <c r="EP157" s="245"/>
      <c r="EQ157" s="245"/>
      <c r="ER157" s="245"/>
      <c r="ES157" s="245"/>
      <c r="ET157" s="245"/>
      <c r="EU157" s="245"/>
      <c r="EV157" s="245"/>
      <c r="EW157" s="245"/>
      <c r="EX157" s="245"/>
      <c r="EY157" s="245"/>
      <c r="EZ157" s="245"/>
      <c r="FA157" s="245"/>
      <c r="FB157" s="245"/>
      <c r="FC157" s="245"/>
      <c r="FD157" s="245"/>
      <c r="FE157" s="245"/>
      <c r="FF157" s="245"/>
      <c r="FG157" s="245"/>
      <c r="FH157" s="245"/>
      <c r="FI157" s="245"/>
      <c r="FJ157" s="245"/>
      <c r="FK157" s="245"/>
      <c r="FL157" s="245"/>
      <c r="FM157" s="245"/>
      <c r="FN157" s="245"/>
      <c r="FO157" s="245"/>
      <c r="FP157" s="245"/>
      <c r="FQ157" s="245"/>
      <c r="FR157" s="245"/>
      <c r="FS157" s="245"/>
      <c r="FT157" s="245"/>
      <c r="FU157" s="245"/>
      <c r="FV157" s="245"/>
      <c r="FW157" s="245"/>
      <c r="FX157" s="245"/>
      <c r="FY157" s="245"/>
      <c r="FZ157" s="245"/>
      <c r="GA157" s="245"/>
      <c r="GB157" s="245"/>
      <c r="GC157" s="245"/>
      <c r="GD157" s="245"/>
      <c r="GE157" s="245"/>
      <c r="GF157" s="245"/>
      <c r="GG157" s="245"/>
      <c r="GH157" s="245"/>
      <c r="GI157" s="245"/>
      <c r="GJ157" s="245"/>
      <c r="GK157" s="245"/>
      <c r="GL157" s="245"/>
      <c r="GM157" s="245"/>
      <c r="GN157" s="245"/>
      <c r="GO157" s="245"/>
      <c r="GP157" s="245"/>
      <c r="GQ157" s="245"/>
      <c r="GR157" s="245"/>
      <c r="GS157" s="245"/>
      <c r="GT157" s="245"/>
      <c r="GU157" s="245"/>
      <c r="GV157" s="245"/>
      <c r="GW157" s="245"/>
      <c r="GX157" s="245"/>
      <c r="GY157" s="245"/>
      <c r="GZ157" s="245"/>
      <c r="HA157" s="245"/>
      <c r="HB157" s="245"/>
      <c r="HC157" s="245"/>
      <c r="HD157" s="245"/>
      <c r="HE157" s="245"/>
      <c r="HF157" s="245"/>
      <c r="HG157" s="245"/>
      <c r="HH157" s="245"/>
      <c r="HI157" s="245"/>
      <c r="HJ157" s="245"/>
      <c r="HK157" s="245"/>
      <c r="HL157" s="245"/>
      <c r="HM157" s="245"/>
      <c r="HN157" s="245"/>
      <c r="HO157" s="245"/>
      <c r="HP157" s="245"/>
      <c r="HQ157" s="245"/>
      <c r="HR157" s="245"/>
      <c r="HS157" s="245"/>
      <c r="HT157" s="245"/>
      <c r="HU157" s="245"/>
      <c r="HV157" s="245"/>
      <c r="HW157" s="245"/>
      <c r="HX157" s="245"/>
      <c r="HY157" s="245"/>
      <c r="HZ157" s="245"/>
      <c r="IA157" s="245"/>
      <c r="IB157" s="245"/>
      <c r="IC157" s="245"/>
      <c r="ID157" s="245"/>
      <c r="IE157" s="245"/>
      <c r="IF157" s="245"/>
      <c r="IG157" s="245"/>
      <c r="IH157" s="245"/>
      <c r="II157" s="245"/>
      <c r="IJ157" s="245"/>
      <c r="IK157" s="245"/>
      <c r="IL157" s="245"/>
      <c r="IM157" s="245"/>
      <c r="IN157" s="245"/>
      <c r="IO157" s="245"/>
      <c r="IP157" s="245"/>
      <c r="IQ157" s="245"/>
      <c r="IR157" s="245"/>
    </row>
    <row r="158" spans="1:252" s="367" customFormat="1" x14ac:dyDescent="0.25">
      <c r="A158" s="275"/>
      <c r="B158" s="271" t="s">
        <v>144</v>
      </c>
      <c r="C158" s="271"/>
      <c r="D158" s="271"/>
      <c r="E158" s="271"/>
      <c r="F158" s="271"/>
      <c r="G158" s="271"/>
      <c r="H158" s="271"/>
      <c r="I158" s="271"/>
      <c r="J158" s="271"/>
      <c r="K158" s="271"/>
      <c r="L158" s="271"/>
      <c r="M158" s="271"/>
      <c r="N158" s="271"/>
      <c r="O158" s="271"/>
      <c r="P158" s="271"/>
      <c r="Q158" s="271"/>
      <c r="R158" s="332">
        <f>+'Jan 18'!R160</f>
        <v>67</v>
      </c>
      <c r="S158" s="274"/>
      <c r="T158" s="262"/>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3"/>
      <c r="BX158" s="263"/>
      <c r="BY158" s="263"/>
      <c r="BZ158" s="263"/>
      <c r="CA158" s="263"/>
      <c r="CB158" s="263"/>
      <c r="CC158" s="263"/>
      <c r="CD158" s="263"/>
      <c r="CE158" s="263"/>
      <c r="CF158" s="263"/>
      <c r="CG158" s="263"/>
      <c r="CH158" s="263"/>
      <c r="CI158" s="263"/>
      <c r="CJ158" s="263"/>
      <c r="CK158" s="263"/>
      <c r="CL158" s="263"/>
      <c r="CM158" s="263"/>
      <c r="CN158" s="263"/>
      <c r="CO158" s="263"/>
      <c r="CP158" s="263"/>
      <c r="CQ158" s="263"/>
      <c r="CR158" s="263"/>
      <c r="CS158" s="263"/>
      <c r="CT158" s="263"/>
      <c r="CU158" s="263"/>
      <c r="CV158" s="263"/>
      <c r="CW158" s="263"/>
      <c r="CX158" s="263"/>
      <c r="CY158" s="263"/>
      <c r="CZ158" s="263"/>
      <c r="DA158" s="263"/>
      <c r="DB158" s="263"/>
      <c r="DC158" s="263"/>
      <c r="DD158" s="263"/>
      <c r="DE158" s="263"/>
      <c r="DF158" s="263"/>
      <c r="DG158" s="263"/>
      <c r="DH158" s="263"/>
      <c r="DI158" s="263"/>
      <c r="DJ158" s="263"/>
      <c r="DK158" s="263"/>
      <c r="DL158" s="263"/>
      <c r="DM158" s="263"/>
      <c r="DN158" s="263"/>
      <c r="DO158" s="263"/>
      <c r="DP158" s="263"/>
      <c r="DQ158" s="263"/>
      <c r="DR158" s="263"/>
      <c r="DS158" s="263"/>
      <c r="DT158" s="263"/>
      <c r="DU158" s="263"/>
      <c r="DV158" s="263"/>
      <c r="DW158" s="263"/>
      <c r="DX158" s="263"/>
      <c r="DY158" s="263"/>
      <c r="DZ158" s="263"/>
      <c r="EA158" s="263"/>
      <c r="EB158" s="263"/>
      <c r="EC158" s="263"/>
      <c r="ED158" s="263"/>
      <c r="EE158" s="263"/>
      <c r="EF158" s="263"/>
      <c r="EG158" s="263"/>
      <c r="EH158" s="263"/>
      <c r="EI158" s="263"/>
      <c r="EJ158" s="263"/>
      <c r="EK158" s="263"/>
      <c r="EL158" s="263"/>
      <c r="EM158" s="263"/>
      <c r="EN158" s="263"/>
      <c r="EO158" s="263"/>
      <c r="EP158" s="263"/>
      <c r="EQ158" s="263"/>
      <c r="ER158" s="263"/>
      <c r="ES158" s="263"/>
      <c r="ET158" s="263"/>
      <c r="EU158" s="263"/>
      <c r="EV158" s="263"/>
      <c r="EW158" s="263"/>
      <c r="EX158" s="263"/>
      <c r="EY158" s="263"/>
      <c r="EZ158" s="263"/>
      <c r="FA158" s="263"/>
      <c r="FB158" s="263"/>
      <c r="FC158" s="263"/>
      <c r="FD158" s="263"/>
      <c r="FE158" s="263"/>
      <c r="FF158" s="263"/>
      <c r="FG158" s="263"/>
      <c r="FH158" s="263"/>
      <c r="FI158" s="263"/>
      <c r="FJ158" s="263"/>
      <c r="FK158" s="263"/>
      <c r="FL158" s="263"/>
      <c r="FM158" s="263"/>
      <c r="FN158" s="263"/>
      <c r="FO158" s="263"/>
      <c r="FP158" s="263"/>
      <c r="FQ158" s="263"/>
      <c r="FR158" s="263"/>
      <c r="FS158" s="263"/>
      <c r="FT158" s="263"/>
      <c r="FU158" s="263"/>
      <c r="FV158" s="263"/>
      <c r="FW158" s="263"/>
      <c r="FX158" s="263"/>
      <c r="FY158" s="263"/>
      <c r="FZ158" s="263"/>
      <c r="GA158" s="263"/>
      <c r="GB158" s="263"/>
      <c r="GC158" s="263"/>
      <c r="GD158" s="263"/>
      <c r="GE158" s="263"/>
      <c r="GF158" s="263"/>
      <c r="GG158" s="263"/>
      <c r="GH158" s="263"/>
      <c r="GI158" s="263"/>
      <c r="GJ158" s="263"/>
      <c r="GK158" s="263"/>
      <c r="GL158" s="263"/>
      <c r="GM158" s="263"/>
      <c r="GN158" s="263"/>
      <c r="GO158" s="263"/>
      <c r="GP158" s="263"/>
      <c r="GQ158" s="263"/>
      <c r="GR158" s="263"/>
      <c r="GS158" s="263"/>
      <c r="GT158" s="263"/>
      <c r="GU158" s="263"/>
      <c r="GV158" s="263"/>
      <c r="GW158" s="263"/>
      <c r="GX158" s="263"/>
      <c r="GY158" s="263"/>
      <c r="GZ158" s="263"/>
      <c r="HA158" s="263"/>
      <c r="HB158" s="263"/>
      <c r="HC158" s="263"/>
      <c r="HD158" s="263"/>
      <c r="HE158" s="263"/>
      <c r="HF158" s="263"/>
      <c r="HG158" s="263"/>
      <c r="HH158" s="263"/>
      <c r="HI158" s="263"/>
      <c r="HJ158" s="263"/>
      <c r="HK158" s="263"/>
      <c r="HL158" s="263"/>
      <c r="HM158" s="263"/>
      <c r="HN158" s="263"/>
      <c r="HO158" s="263"/>
      <c r="HP158" s="263"/>
      <c r="HQ158" s="263"/>
      <c r="HR158" s="263"/>
      <c r="HS158" s="263"/>
      <c r="HT158" s="263"/>
      <c r="HU158" s="263"/>
      <c r="HV158" s="263"/>
      <c r="HW158" s="263"/>
      <c r="HX158" s="263"/>
      <c r="HY158" s="263"/>
      <c r="HZ158" s="263"/>
      <c r="IA158" s="263"/>
      <c r="IB158" s="263"/>
      <c r="IC158" s="263"/>
      <c r="ID158" s="263"/>
      <c r="IE158" s="263"/>
      <c r="IF158" s="263"/>
      <c r="IG158" s="263"/>
      <c r="IH158" s="263"/>
      <c r="II158" s="263"/>
      <c r="IJ158" s="263"/>
      <c r="IK158" s="263"/>
      <c r="IL158" s="263"/>
      <c r="IM158" s="263"/>
      <c r="IN158" s="263"/>
      <c r="IO158" s="263"/>
      <c r="IP158" s="263"/>
      <c r="IQ158" s="263"/>
      <c r="IR158" s="263"/>
    </row>
    <row r="159" spans="1:252" s="367" customFormat="1" x14ac:dyDescent="0.25">
      <c r="A159" s="275"/>
      <c r="B159" s="271" t="s">
        <v>147</v>
      </c>
      <c r="C159" s="271"/>
      <c r="D159" s="271"/>
      <c r="E159" s="271"/>
      <c r="F159" s="271"/>
      <c r="G159" s="271"/>
      <c r="H159" s="271"/>
      <c r="I159" s="271"/>
      <c r="J159" s="271"/>
      <c r="K159" s="271"/>
      <c r="L159" s="271"/>
      <c r="M159" s="271"/>
      <c r="N159" s="271"/>
      <c r="O159" s="271"/>
      <c r="P159" s="271"/>
      <c r="Q159" s="271"/>
      <c r="R159" s="332">
        <f>+R84</f>
        <v>33</v>
      </c>
      <c r="S159" s="274"/>
      <c r="T159" s="262"/>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263"/>
      <c r="BA159" s="263"/>
      <c r="BB159" s="263"/>
      <c r="BC159" s="263"/>
      <c r="BD159" s="263"/>
      <c r="BE159" s="263"/>
      <c r="BF159" s="263"/>
      <c r="BG159" s="263"/>
      <c r="BH159" s="263"/>
      <c r="BI159" s="263"/>
      <c r="BJ159" s="263"/>
      <c r="BK159" s="263"/>
      <c r="BL159" s="263"/>
      <c r="BM159" s="263"/>
      <c r="BN159" s="263"/>
      <c r="BO159" s="263"/>
      <c r="BP159" s="263"/>
      <c r="BQ159" s="263"/>
      <c r="BR159" s="263"/>
      <c r="BS159" s="263"/>
      <c r="BT159" s="263"/>
      <c r="BU159" s="263"/>
      <c r="BV159" s="263"/>
      <c r="BW159" s="263"/>
      <c r="BX159" s="263"/>
      <c r="BY159" s="263"/>
      <c r="BZ159" s="263"/>
      <c r="CA159" s="263"/>
      <c r="CB159" s="263"/>
      <c r="CC159" s="263"/>
      <c r="CD159" s="263"/>
      <c r="CE159" s="263"/>
      <c r="CF159" s="263"/>
      <c r="CG159" s="263"/>
      <c r="CH159" s="263"/>
      <c r="CI159" s="263"/>
      <c r="CJ159" s="263"/>
      <c r="CK159" s="263"/>
      <c r="CL159" s="263"/>
      <c r="CM159" s="263"/>
      <c r="CN159" s="263"/>
      <c r="CO159" s="263"/>
      <c r="CP159" s="263"/>
      <c r="CQ159" s="263"/>
      <c r="CR159" s="263"/>
      <c r="CS159" s="263"/>
      <c r="CT159" s="263"/>
      <c r="CU159" s="263"/>
      <c r="CV159" s="263"/>
      <c r="CW159" s="263"/>
      <c r="CX159" s="263"/>
      <c r="CY159" s="263"/>
      <c r="CZ159" s="263"/>
      <c r="DA159" s="263"/>
      <c r="DB159" s="263"/>
      <c r="DC159" s="263"/>
      <c r="DD159" s="263"/>
      <c r="DE159" s="263"/>
      <c r="DF159" s="263"/>
      <c r="DG159" s="263"/>
      <c r="DH159" s="263"/>
      <c r="DI159" s="263"/>
      <c r="DJ159" s="263"/>
      <c r="DK159" s="263"/>
      <c r="DL159" s="263"/>
      <c r="DM159" s="263"/>
      <c r="DN159" s="263"/>
      <c r="DO159" s="263"/>
      <c r="DP159" s="263"/>
      <c r="DQ159" s="263"/>
      <c r="DR159" s="263"/>
      <c r="DS159" s="263"/>
      <c r="DT159" s="263"/>
      <c r="DU159" s="263"/>
      <c r="DV159" s="263"/>
      <c r="DW159" s="263"/>
      <c r="DX159" s="263"/>
      <c r="DY159" s="263"/>
      <c r="DZ159" s="263"/>
      <c r="EA159" s="263"/>
      <c r="EB159" s="263"/>
      <c r="EC159" s="263"/>
      <c r="ED159" s="263"/>
      <c r="EE159" s="263"/>
      <c r="EF159" s="263"/>
      <c r="EG159" s="263"/>
      <c r="EH159" s="263"/>
      <c r="EI159" s="263"/>
      <c r="EJ159" s="263"/>
      <c r="EK159" s="263"/>
      <c r="EL159" s="263"/>
      <c r="EM159" s="263"/>
      <c r="EN159" s="263"/>
      <c r="EO159" s="263"/>
      <c r="EP159" s="263"/>
      <c r="EQ159" s="263"/>
      <c r="ER159" s="263"/>
      <c r="ES159" s="263"/>
      <c r="ET159" s="263"/>
      <c r="EU159" s="263"/>
      <c r="EV159" s="263"/>
      <c r="EW159" s="263"/>
      <c r="EX159" s="263"/>
      <c r="EY159" s="263"/>
      <c r="EZ159" s="263"/>
      <c r="FA159" s="263"/>
      <c r="FB159" s="263"/>
      <c r="FC159" s="263"/>
      <c r="FD159" s="263"/>
      <c r="FE159" s="263"/>
      <c r="FF159" s="263"/>
      <c r="FG159" s="263"/>
      <c r="FH159" s="263"/>
      <c r="FI159" s="263"/>
      <c r="FJ159" s="263"/>
      <c r="FK159" s="263"/>
      <c r="FL159" s="263"/>
      <c r="FM159" s="263"/>
      <c r="FN159" s="263"/>
      <c r="FO159" s="263"/>
      <c r="FP159" s="263"/>
      <c r="FQ159" s="263"/>
      <c r="FR159" s="263"/>
      <c r="FS159" s="263"/>
      <c r="FT159" s="263"/>
      <c r="FU159" s="263"/>
      <c r="FV159" s="263"/>
      <c r="FW159" s="263"/>
      <c r="FX159" s="263"/>
      <c r="FY159" s="263"/>
      <c r="FZ159" s="263"/>
      <c r="GA159" s="263"/>
      <c r="GB159" s="263"/>
      <c r="GC159" s="263"/>
      <c r="GD159" s="263"/>
      <c r="GE159" s="263"/>
      <c r="GF159" s="263"/>
      <c r="GG159" s="263"/>
      <c r="GH159" s="263"/>
      <c r="GI159" s="263"/>
      <c r="GJ159" s="263"/>
      <c r="GK159" s="263"/>
      <c r="GL159" s="263"/>
      <c r="GM159" s="263"/>
      <c r="GN159" s="263"/>
      <c r="GO159" s="263"/>
      <c r="GP159" s="263"/>
      <c r="GQ159" s="263"/>
      <c r="GR159" s="263"/>
      <c r="GS159" s="263"/>
      <c r="GT159" s="263"/>
      <c r="GU159" s="263"/>
      <c r="GV159" s="263"/>
      <c r="GW159" s="263"/>
      <c r="GX159" s="263"/>
      <c r="GY159" s="263"/>
      <c r="GZ159" s="263"/>
      <c r="HA159" s="263"/>
      <c r="HB159" s="263"/>
      <c r="HC159" s="263"/>
      <c r="HD159" s="263"/>
      <c r="HE159" s="263"/>
      <c r="HF159" s="263"/>
      <c r="HG159" s="263"/>
      <c r="HH159" s="263"/>
      <c r="HI159" s="263"/>
      <c r="HJ159" s="263"/>
      <c r="HK159" s="263"/>
      <c r="HL159" s="263"/>
      <c r="HM159" s="263"/>
      <c r="HN159" s="263"/>
      <c r="HO159" s="263"/>
      <c r="HP159" s="263"/>
      <c r="HQ159" s="263"/>
      <c r="HR159" s="263"/>
      <c r="HS159" s="263"/>
      <c r="HT159" s="263"/>
      <c r="HU159" s="263"/>
      <c r="HV159" s="263"/>
      <c r="HW159" s="263"/>
      <c r="HX159" s="263"/>
      <c r="HY159" s="263"/>
      <c r="HZ159" s="263"/>
      <c r="IA159" s="263"/>
      <c r="IB159" s="263"/>
      <c r="IC159" s="263"/>
      <c r="ID159" s="263"/>
      <c r="IE159" s="263"/>
      <c r="IF159" s="263"/>
      <c r="IG159" s="263"/>
      <c r="IH159" s="263"/>
      <c r="II159" s="263"/>
      <c r="IJ159" s="263"/>
      <c r="IK159" s="263"/>
      <c r="IL159" s="263"/>
      <c r="IM159" s="263"/>
      <c r="IN159" s="263"/>
      <c r="IO159" s="263"/>
      <c r="IP159" s="263"/>
      <c r="IQ159" s="263"/>
      <c r="IR159" s="263"/>
    </row>
    <row r="160" spans="1:252" s="367" customFormat="1" x14ac:dyDescent="0.25">
      <c r="A160" s="275"/>
      <c r="B160" s="271" t="s">
        <v>145</v>
      </c>
      <c r="C160" s="271"/>
      <c r="D160" s="271"/>
      <c r="E160" s="271"/>
      <c r="F160" s="271"/>
      <c r="G160" s="271"/>
      <c r="H160" s="271"/>
      <c r="I160" s="271"/>
      <c r="J160" s="271"/>
      <c r="K160" s="271"/>
      <c r="L160" s="271"/>
      <c r="M160" s="271"/>
      <c r="N160" s="271"/>
      <c r="O160" s="271"/>
      <c r="P160" s="271"/>
      <c r="Q160" s="271"/>
      <c r="R160" s="332">
        <f>+R158-R159</f>
        <v>34</v>
      </c>
      <c r="S160" s="274"/>
      <c r="T160" s="262"/>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3"/>
      <c r="BO160" s="263"/>
      <c r="BP160" s="263"/>
      <c r="BQ160" s="263"/>
      <c r="BR160" s="263"/>
      <c r="BS160" s="263"/>
      <c r="BT160" s="263"/>
      <c r="BU160" s="263"/>
      <c r="BV160" s="263"/>
      <c r="BW160" s="263"/>
      <c r="BX160" s="263"/>
      <c r="BY160" s="263"/>
      <c r="BZ160" s="263"/>
      <c r="CA160" s="263"/>
      <c r="CB160" s="263"/>
      <c r="CC160" s="263"/>
      <c r="CD160" s="263"/>
      <c r="CE160" s="263"/>
      <c r="CF160" s="263"/>
      <c r="CG160" s="263"/>
      <c r="CH160" s="263"/>
      <c r="CI160" s="263"/>
      <c r="CJ160" s="263"/>
      <c r="CK160" s="263"/>
      <c r="CL160" s="263"/>
      <c r="CM160" s="263"/>
      <c r="CN160" s="263"/>
      <c r="CO160" s="263"/>
      <c r="CP160" s="263"/>
      <c r="CQ160" s="263"/>
      <c r="CR160" s="263"/>
      <c r="CS160" s="263"/>
      <c r="CT160" s="263"/>
      <c r="CU160" s="263"/>
      <c r="CV160" s="263"/>
      <c r="CW160" s="263"/>
      <c r="CX160" s="263"/>
      <c r="CY160" s="263"/>
      <c r="CZ160" s="263"/>
      <c r="DA160" s="263"/>
      <c r="DB160" s="263"/>
      <c r="DC160" s="263"/>
      <c r="DD160" s="263"/>
      <c r="DE160" s="263"/>
      <c r="DF160" s="263"/>
      <c r="DG160" s="263"/>
      <c r="DH160" s="263"/>
      <c r="DI160" s="263"/>
      <c r="DJ160" s="263"/>
      <c r="DK160" s="263"/>
      <c r="DL160" s="263"/>
      <c r="DM160" s="263"/>
      <c r="DN160" s="263"/>
      <c r="DO160" s="263"/>
      <c r="DP160" s="263"/>
      <c r="DQ160" s="263"/>
      <c r="DR160" s="263"/>
      <c r="DS160" s="263"/>
      <c r="DT160" s="263"/>
      <c r="DU160" s="263"/>
      <c r="DV160" s="263"/>
      <c r="DW160" s="263"/>
      <c r="DX160" s="263"/>
      <c r="DY160" s="263"/>
      <c r="DZ160" s="263"/>
      <c r="EA160" s="263"/>
      <c r="EB160" s="263"/>
      <c r="EC160" s="263"/>
      <c r="ED160" s="263"/>
      <c r="EE160" s="263"/>
      <c r="EF160" s="263"/>
      <c r="EG160" s="263"/>
      <c r="EH160" s="263"/>
      <c r="EI160" s="263"/>
      <c r="EJ160" s="263"/>
      <c r="EK160" s="263"/>
      <c r="EL160" s="263"/>
      <c r="EM160" s="263"/>
      <c r="EN160" s="263"/>
      <c r="EO160" s="263"/>
      <c r="EP160" s="263"/>
      <c r="EQ160" s="263"/>
      <c r="ER160" s="263"/>
      <c r="ES160" s="263"/>
      <c r="ET160" s="263"/>
      <c r="EU160" s="263"/>
      <c r="EV160" s="263"/>
      <c r="EW160" s="263"/>
      <c r="EX160" s="263"/>
      <c r="EY160" s="263"/>
      <c r="EZ160" s="263"/>
      <c r="FA160" s="263"/>
      <c r="FB160" s="263"/>
      <c r="FC160" s="263"/>
      <c r="FD160" s="263"/>
      <c r="FE160" s="263"/>
      <c r="FF160" s="263"/>
      <c r="FG160" s="263"/>
      <c r="FH160" s="263"/>
      <c r="FI160" s="263"/>
      <c r="FJ160" s="263"/>
      <c r="FK160" s="263"/>
      <c r="FL160" s="263"/>
      <c r="FM160" s="263"/>
      <c r="FN160" s="263"/>
      <c r="FO160" s="263"/>
      <c r="FP160" s="263"/>
      <c r="FQ160" s="263"/>
      <c r="FR160" s="263"/>
      <c r="FS160" s="263"/>
      <c r="FT160" s="263"/>
      <c r="FU160" s="263"/>
      <c r="FV160" s="263"/>
      <c r="FW160" s="263"/>
      <c r="FX160" s="263"/>
      <c r="FY160" s="263"/>
      <c r="FZ160" s="263"/>
      <c r="GA160" s="263"/>
      <c r="GB160" s="263"/>
      <c r="GC160" s="263"/>
      <c r="GD160" s="263"/>
      <c r="GE160" s="263"/>
      <c r="GF160" s="263"/>
      <c r="GG160" s="263"/>
      <c r="GH160" s="263"/>
      <c r="GI160" s="263"/>
      <c r="GJ160" s="263"/>
      <c r="GK160" s="263"/>
      <c r="GL160" s="263"/>
      <c r="GM160" s="263"/>
      <c r="GN160" s="263"/>
      <c r="GO160" s="263"/>
      <c r="GP160" s="263"/>
      <c r="GQ160" s="263"/>
      <c r="GR160" s="263"/>
      <c r="GS160" s="263"/>
      <c r="GT160" s="263"/>
      <c r="GU160" s="263"/>
      <c r="GV160" s="263"/>
      <c r="GW160" s="263"/>
      <c r="GX160" s="263"/>
      <c r="GY160" s="263"/>
      <c r="GZ160" s="263"/>
      <c r="HA160" s="263"/>
      <c r="HB160" s="263"/>
      <c r="HC160" s="263"/>
      <c r="HD160" s="263"/>
      <c r="HE160" s="263"/>
      <c r="HF160" s="263"/>
      <c r="HG160" s="263"/>
      <c r="HH160" s="263"/>
      <c r="HI160" s="263"/>
      <c r="HJ160" s="263"/>
      <c r="HK160" s="263"/>
      <c r="HL160" s="263"/>
      <c r="HM160" s="263"/>
      <c r="HN160" s="263"/>
      <c r="HO160" s="263"/>
      <c r="HP160" s="263"/>
      <c r="HQ160" s="263"/>
      <c r="HR160" s="263"/>
      <c r="HS160" s="263"/>
      <c r="HT160" s="263"/>
      <c r="HU160" s="263"/>
      <c r="HV160" s="263"/>
      <c r="HW160" s="263"/>
      <c r="HX160" s="263"/>
      <c r="HY160" s="263"/>
      <c r="HZ160" s="263"/>
      <c r="IA160" s="263"/>
      <c r="IB160" s="263"/>
      <c r="IC160" s="263"/>
      <c r="ID160" s="263"/>
      <c r="IE160" s="263"/>
      <c r="IF160" s="263"/>
      <c r="IG160" s="263"/>
      <c r="IH160" s="263"/>
      <c r="II160" s="263"/>
      <c r="IJ160" s="263"/>
      <c r="IK160" s="263"/>
      <c r="IL160" s="263"/>
      <c r="IM160" s="263"/>
      <c r="IN160" s="263"/>
      <c r="IO160" s="263"/>
      <c r="IP160" s="263"/>
      <c r="IQ160" s="263"/>
      <c r="IR160" s="263"/>
    </row>
    <row r="161" spans="1:252" s="368" customFormat="1" ht="16.5" thickBot="1" x14ac:dyDescent="0.3">
      <c r="A161" s="318"/>
      <c r="B161" s="313"/>
      <c r="C161" s="313"/>
      <c r="D161" s="313"/>
      <c r="E161" s="313"/>
      <c r="F161" s="313"/>
      <c r="G161" s="313"/>
      <c r="H161" s="313"/>
      <c r="I161" s="313"/>
      <c r="J161" s="313"/>
      <c r="K161" s="313"/>
      <c r="L161" s="313"/>
      <c r="M161" s="313"/>
      <c r="N161" s="313"/>
      <c r="O161" s="313"/>
      <c r="P161" s="313"/>
      <c r="Q161" s="313"/>
      <c r="R161" s="351"/>
      <c r="S161" s="261"/>
      <c r="T161" s="262"/>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3"/>
      <c r="BC161" s="263"/>
      <c r="BD161" s="263"/>
      <c r="BE161" s="263"/>
      <c r="BF161" s="263"/>
      <c r="BG161" s="263"/>
      <c r="BH161" s="263"/>
      <c r="BI161" s="263"/>
      <c r="BJ161" s="263"/>
      <c r="BK161" s="263"/>
      <c r="BL161" s="263"/>
      <c r="BM161" s="263"/>
      <c r="BN161" s="263"/>
      <c r="BO161" s="263"/>
      <c r="BP161" s="263"/>
      <c r="BQ161" s="263"/>
      <c r="BR161" s="263"/>
      <c r="BS161" s="263"/>
      <c r="BT161" s="263"/>
      <c r="BU161" s="263"/>
      <c r="BV161" s="263"/>
      <c r="BW161" s="263"/>
      <c r="BX161" s="263"/>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63"/>
      <c r="DY161" s="263"/>
      <c r="DZ161" s="263"/>
      <c r="EA161" s="263"/>
      <c r="EB161" s="263"/>
      <c r="EC161" s="263"/>
      <c r="ED161" s="263"/>
      <c r="EE161" s="263"/>
      <c r="EF161" s="263"/>
      <c r="EG161" s="263"/>
      <c r="EH161" s="263"/>
      <c r="EI161" s="263"/>
      <c r="EJ161" s="263"/>
      <c r="EK161" s="263"/>
      <c r="EL161" s="263"/>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63"/>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63"/>
      <c r="GT161" s="263"/>
      <c r="GU161" s="263"/>
      <c r="GV161" s="263"/>
      <c r="GW161" s="263"/>
      <c r="GX161" s="263"/>
      <c r="GY161" s="263"/>
      <c r="GZ161" s="263"/>
      <c r="HA161" s="263"/>
      <c r="HB161" s="263"/>
      <c r="HC161" s="263"/>
      <c r="HD161" s="263"/>
      <c r="HE161" s="263"/>
      <c r="HF161" s="263"/>
      <c r="HG161" s="263"/>
      <c r="HH161" s="263"/>
      <c r="HI161" s="263"/>
      <c r="HJ161" s="263"/>
      <c r="HK161" s="263"/>
      <c r="HL161" s="263"/>
      <c r="HM161" s="263"/>
      <c r="HN161" s="263"/>
      <c r="HO161" s="263"/>
      <c r="HP161" s="263"/>
      <c r="HQ161" s="263"/>
      <c r="HR161" s="263"/>
      <c r="HS161" s="263"/>
      <c r="HT161" s="263"/>
      <c r="HU161" s="263"/>
      <c r="HV161" s="263"/>
      <c r="HW161" s="263"/>
      <c r="HX161" s="263"/>
      <c r="HY161" s="263"/>
      <c r="HZ161" s="263"/>
      <c r="IA161" s="263"/>
      <c r="IB161" s="263"/>
      <c r="IC161" s="263"/>
      <c r="ID161" s="263"/>
      <c r="IE161" s="263"/>
      <c r="IF161" s="263"/>
      <c r="IG161" s="263"/>
      <c r="IH161" s="263"/>
      <c r="II161" s="263"/>
      <c r="IJ161" s="263"/>
      <c r="IK161" s="263"/>
      <c r="IL161" s="263"/>
      <c r="IM161" s="263"/>
      <c r="IN161" s="263"/>
      <c r="IO161" s="263"/>
      <c r="IP161" s="263"/>
      <c r="IQ161" s="263"/>
      <c r="IR161" s="263"/>
    </row>
    <row r="162" spans="1:252" s="369" customFormat="1" x14ac:dyDescent="0.25">
      <c r="A162" s="240"/>
      <c r="B162" s="242"/>
      <c r="C162" s="242"/>
      <c r="D162" s="242"/>
      <c r="E162" s="242"/>
      <c r="F162" s="242"/>
      <c r="G162" s="242"/>
      <c r="H162" s="242"/>
      <c r="I162" s="242"/>
      <c r="J162" s="242"/>
      <c r="K162" s="242"/>
      <c r="L162" s="242"/>
      <c r="M162" s="242"/>
      <c r="N162" s="242"/>
      <c r="O162" s="242"/>
      <c r="P162" s="242"/>
      <c r="Q162" s="242"/>
      <c r="R162" s="364"/>
      <c r="S162" s="243"/>
      <c r="T162" s="244"/>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B162" s="245"/>
      <c r="DC162" s="245"/>
      <c r="DD162" s="245"/>
      <c r="DE162" s="245"/>
      <c r="DF162" s="245"/>
      <c r="DG162" s="245"/>
      <c r="DH162" s="245"/>
      <c r="DI162" s="245"/>
      <c r="DJ162" s="245"/>
      <c r="DK162" s="245"/>
      <c r="DL162" s="245"/>
      <c r="DM162" s="245"/>
      <c r="DN162" s="245"/>
      <c r="DO162" s="245"/>
      <c r="DP162" s="245"/>
      <c r="DQ162" s="245"/>
      <c r="DR162" s="245"/>
      <c r="DS162" s="245"/>
      <c r="DT162" s="245"/>
      <c r="DU162" s="245"/>
      <c r="DV162" s="245"/>
      <c r="DW162" s="245"/>
      <c r="DX162" s="245"/>
      <c r="DY162" s="245"/>
      <c r="DZ162" s="245"/>
      <c r="EA162" s="245"/>
      <c r="EB162" s="245"/>
      <c r="EC162" s="245"/>
      <c r="ED162" s="245"/>
      <c r="EE162" s="245"/>
      <c r="EF162" s="245"/>
      <c r="EG162" s="245"/>
      <c r="EH162" s="245"/>
      <c r="EI162" s="245"/>
      <c r="EJ162" s="245"/>
      <c r="EK162" s="245"/>
      <c r="EL162" s="245"/>
      <c r="EM162" s="245"/>
      <c r="EN162" s="245"/>
      <c r="EO162" s="245"/>
      <c r="EP162" s="245"/>
      <c r="EQ162" s="245"/>
      <c r="ER162" s="245"/>
      <c r="ES162" s="245"/>
      <c r="ET162" s="245"/>
      <c r="EU162" s="245"/>
      <c r="EV162" s="245"/>
      <c r="EW162" s="245"/>
      <c r="EX162" s="245"/>
      <c r="EY162" s="245"/>
      <c r="EZ162" s="245"/>
      <c r="FA162" s="245"/>
      <c r="FB162" s="245"/>
      <c r="FC162" s="245"/>
      <c r="FD162" s="245"/>
      <c r="FE162" s="245"/>
      <c r="FF162" s="245"/>
      <c r="FG162" s="245"/>
      <c r="FH162" s="245"/>
      <c r="FI162" s="245"/>
      <c r="FJ162" s="245"/>
      <c r="FK162" s="245"/>
      <c r="FL162" s="245"/>
      <c r="FM162" s="245"/>
      <c r="FN162" s="245"/>
      <c r="FO162" s="245"/>
      <c r="FP162" s="245"/>
      <c r="FQ162" s="245"/>
      <c r="FR162" s="245"/>
      <c r="FS162" s="245"/>
      <c r="FT162" s="245"/>
      <c r="FU162" s="245"/>
      <c r="FV162" s="245"/>
      <c r="FW162" s="245"/>
      <c r="FX162" s="245"/>
      <c r="FY162" s="245"/>
      <c r="FZ162" s="245"/>
      <c r="GA162" s="245"/>
      <c r="GB162" s="245"/>
      <c r="GC162" s="245"/>
      <c r="GD162" s="245"/>
      <c r="GE162" s="245"/>
      <c r="GF162" s="245"/>
      <c r="GG162" s="245"/>
      <c r="GH162" s="245"/>
      <c r="GI162" s="245"/>
      <c r="GJ162" s="245"/>
      <c r="GK162" s="245"/>
      <c r="GL162" s="245"/>
      <c r="GM162" s="245"/>
      <c r="GN162" s="245"/>
      <c r="GO162" s="245"/>
      <c r="GP162" s="245"/>
      <c r="GQ162" s="245"/>
      <c r="GR162" s="245"/>
      <c r="GS162" s="245"/>
      <c r="GT162" s="245"/>
      <c r="GU162" s="245"/>
      <c r="GV162" s="245"/>
      <c r="GW162" s="245"/>
      <c r="GX162" s="245"/>
      <c r="GY162" s="245"/>
      <c r="GZ162" s="245"/>
      <c r="HA162" s="245"/>
      <c r="HB162" s="245"/>
      <c r="HC162" s="245"/>
      <c r="HD162" s="245"/>
      <c r="HE162" s="245"/>
      <c r="HF162" s="245"/>
      <c r="HG162" s="245"/>
      <c r="HH162" s="245"/>
      <c r="HI162" s="245"/>
      <c r="HJ162" s="245"/>
      <c r="HK162" s="245"/>
      <c r="HL162" s="245"/>
      <c r="HM162" s="245"/>
      <c r="HN162" s="245"/>
      <c r="HO162" s="245"/>
      <c r="HP162" s="245"/>
      <c r="HQ162" s="245"/>
      <c r="HR162" s="245"/>
      <c r="HS162" s="245"/>
      <c r="HT162" s="245"/>
      <c r="HU162" s="245"/>
      <c r="HV162" s="245"/>
      <c r="HW162" s="245"/>
      <c r="HX162" s="245"/>
      <c r="HY162" s="245"/>
      <c r="HZ162" s="245"/>
      <c r="IA162" s="245"/>
      <c r="IB162" s="245"/>
      <c r="IC162" s="245"/>
      <c r="ID162" s="245"/>
      <c r="IE162" s="245"/>
      <c r="IF162" s="245"/>
      <c r="IG162" s="245"/>
      <c r="IH162" s="245"/>
      <c r="II162" s="245"/>
      <c r="IJ162" s="245"/>
      <c r="IK162" s="245"/>
      <c r="IL162" s="245"/>
      <c r="IM162" s="245"/>
      <c r="IN162" s="245"/>
      <c r="IO162" s="245"/>
      <c r="IP162" s="245"/>
      <c r="IQ162" s="245"/>
      <c r="IR162" s="245"/>
    </row>
    <row r="163" spans="1:252" x14ac:dyDescent="0.25">
      <c r="A163" s="246"/>
      <c r="B163" s="350" t="s">
        <v>44</v>
      </c>
      <c r="C163" s="248"/>
      <c r="D163" s="248"/>
      <c r="E163" s="248"/>
      <c r="F163" s="248"/>
      <c r="G163" s="248"/>
      <c r="H163" s="248"/>
      <c r="I163" s="248"/>
      <c r="J163" s="248"/>
      <c r="K163" s="248"/>
      <c r="L163" s="248"/>
      <c r="M163" s="248"/>
      <c r="N163" s="248"/>
      <c r="O163" s="248"/>
      <c r="P163" s="248"/>
      <c r="Q163" s="248"/>
      <c r="R163" s="323"/>
      <c r="S163" s="249"/>
      <c r="T163" s="244"/>
    </row>
    <row r="164" spans="1:252" x14ac:dyDescent="0.25">
      <c r="A164" s="246"/>
      <c r="B164" s="349"/>
      <c r="C164" s="248"/>
      <c r="D164" s="248"/>
      <c r="E164" s="248"/>
      <c r="F164" s="248"/>
      <c r="G164" s="248"/>
      <c r="H164" s="248"/>
      <c r="I164" s="248"/>
      <c r="J164" s="248"/>
      <c r="K164" s="248"/>
      <c r="L164" s="248"/>
      <c r="M164" s="248"/>
      <c r="N164" s="248"/>
      <c r="O164" s="248"/>
      <c r="P164" s="248"/>
      <c r="Q164" s="248"/>
      <c r="R164" s="323"/>
      <c r="S164" s="249"/>
      <c r="T164" s="244"/>
    </row>
    <row r="165" spans="1:252" s="263" customFormat="1" x14ac:dyDescent="0.25">
      <c r="A165" s="275"/>
      <c r="B165" s="271" t="s">
        <v>180</v>
      </c>
      <c r="C165" s="271"/>
      <c r="D165" s="271"/>
      <c r="E165" s="271"/>
      <c r="F165" s="271"/>
      <c r="G165" s="271"/>
      <c r="H165" s="271"/>
      <c r="I165" s="271"/>
      <c r="J165" s="271"/>
      <c r="K165" s="271"/>
      <c r="L165" s="271"/>
      <c r="M165" s="271"/>
      <c r="N165" s="271"/>
      <c r="O165" s="271"/>
      <c r="P165" s="271"/>
      <c r="Q165" s="271"/>
      <c r="R165" s="332">
        <f>+R59</f>
        <v>86504</v>
      </c>
      <c r="S165" s="274"/>
      <c r="T165" s="262"/>
    </row>
    <row r="166" spans="1:252" s="263" customFormat="1" x14ac:dyDescent="0.25">
      <c r="A166" s="275"/>
      <c r="B166" s="271" t="s">
        <v>181</v>
      </c>
      <c r="C166" s="271"/>
      <c r="D166" s="271"/>
      <c r="E166" s="271"/>
      <c r="F166" s="271"/>
      <c r="G166" s="271"/>
      <c r="H166" s="271"/>
      <c r="I166" s="271"/>
      <c r="J166" s="271"/>
      <c r="K166" s="271"/>
      <c r="L166" s="271"/>
      <c r="M166" s="271"/>
      <c r="N166" s="271"/>
      <c r="O166" s="271"/>
      <c r="P166" s="271"/>
      <c r="Q166" s="271"/>
      <c r="R166" s="332">
        <f>+R69</f>
        <v>0</v>
      </c>
      <c r="S166" s="274"/>
      <c r="T166" s="262"/>
    </row>
    <row r="167" spans="1:252" s="263" customFormat="1" x14ac:dyDescent="0.25">
      <c r="A167" s="275"/>
      <c r="B167" s="271" t="s">
        <v>242</v>
      </c>
      <c r="C167" s="271"/>
      <c r="D167" s="271"/>
      <c r="E167" s="271"/>
      <c r="F167" s="271"/>
      <c r="G167" s="271"/>
      <c r="H167" s="271"/>
      <c r="I167" s="271"/>
      <c r="J167" s="271"/>
      <c r="K167" s="271"/>
      <c r="L167" s="271"/>
      <c r="M167" s="271"/>
      <c r="N167" s="271"/>
      <c r="O167" s="271"/>
      <c r="P167" s="271"/>
      <c r="Q167" s="271"/>
      <c r="R167" s="332">
        <f>+R70</f>
        <v>0</v>
      </c>
      <c r="S167" s="274"/>
      <c r="T167" s="262"/>
    </row>
    <row r="168" spans="1:252" s="263" customFormat="1" x14ac:dyDescent="0.25">
      <c r="A168" s="275"/>
      <c r="B168" s="271" t="s">
        <v>127</v>
      </c>
      <c r="C168" s="271"/>
      <c r="D168" s="271"/>
      <c r="E168" s="271"/>
      <c r="F168" s="271"/>
      <c r="G168" s="271"/>
      <c r="H168" s="271"/>
      <c r="I168" s="271"/>
      <c r="J168" s="271"/>
      <c r="K168" s="271"/>
      <c r="L168" s="271"/>
      <c r="M168" s="271"/>
      <c r="N168" s="271"/>
      <c r="O168" s="271"/>
      <c r="P168" s="271"/>
      <c r="Q168" s="271"/>
      <c r="R168" s="332">
        <f>+R165+R166+R167</f>
        <v>86504</v>
      </c>
      <c r="S168" s="274"/>
      <c r="T168" s="262"/>
      <c r="U168" s="344"/>
    </row>
    <row r="169" spans="1:252" s="263" customFormat="1" x14ac:dyDescent="0.25">
      <c r="A169" s="275"/>
      <c r="B169" s="271" t="s">
        <v>45</v>
      </c>
      <c r="C169" s="271"/>
      <c r="D169" s="271"/>
      <c r="E169" s="271"/>
      <c r="F169" s="271"/>
      <c r="G169" s="271"/>
      <c r="H169" s="271"/>
      <c r="I169" s="271"/>
      <c r="J169" s="271"/>
      <c r="K169" s="271"/>
      <c r="L169" s="271"/>
      <c r="M169" s="271"/>
      <c r="N169" s="271"/>
      <c r="O169" s="271"/>
      <c r="P169" s="271"/>
      <c r="Q169" s="271"/>
      <c r="R169" s="332">
        <f>R72</f>
        <v>86504</v>
      </c>
      <c r="S169" s="274"/>
      <c r="T169" s="262"/>
    </row>
    <row r="170" spans="1:252" ht="16.5" thickBot="1" x14ac:dyDescent="0.3">
      <c r="A170" s="246"/>
      <c r="B170" s="333"/>
      <c r="C170" s="333"/>
      <c r="D170" s="333"/>
      <c r="E170" s="333"/>
      <c r="F170" s="333"/>
      <c r="G170" s="333"/>
      <c r="H170" s="333"/>
      <c r="I170" s="333"/>
      <c r="J170" s="333"/>
      <c r="K170" s="333"/>
      <c r="L170" s="333"/>
      <c r="M170" s="333"/>
      <c r="N170" s="333"/>
      <c r="O170" s="333"/>
      <c r="P170" s="333"/>
      <c r="Q170" s="333"/>
      <c r="R170" s="362"/>
      <c r="S170" s="249"/>
      <c r="T170" s="244"/>
    </row>
    <row r="171" spans="1:252" x14ac:dyDescent="0.25">
      <c r="A171" s="240"/>
      <c r="B171" s="242"/>
      <c r="C171" s="242"/>
      <c r="D171" s="242"/>
      <c r="E171" s="242"/>
      <c r="F171" s="242"/>
      <c r="G171" s="242"/>
      <c r="H171" s="242"/>
      <c r="I171" s="242"/>
      <c r="J171" s="242"/>
      <c r="K171" s="242"/>
      <c r="L171" s="242"/>
      <c r="M171" s="242"/>
      <c r="N171" s="242"/>
      <c r="O171" s="242"/>
      <c r="P171" s="242"/>
      <c r="Q171" s="242"/>
      <c r="R171" s="364"/>
      <c r="S171" s="243"/>
      <c r="T171" s="244"/>
    </row>
    <row r="172" spans="1:252" x14ac:dyDescent="0.25">
      <c r="A172" s="246"/>
      <c r="B172" s="350" t="s">
        <v>46</v>
      </c>
      <c r="C172" s="370"/>
      <c r="D172" s="371"/>
      <c r="E172" s="371"/>
      <c r="F172" s="371"/>
      <c r="G172" s="371"/>
      <c r="H172" s="371"/>
      <c r="I172" s="371"/>
      <c r="J172" s="371"/>
      <c r="K172" s="371"/>
      <c r="L172" s="371"/>
      <c r="M172" s="371"/>
      <c r="N172" s="371"/>
      <c r="O172" s="372" t="s">
        <v>83</v>
      </c>
      <c r="P172" s="372" t="s">
        <v>176</v>
      </c>
      <c r="Q172" s="251"/>
      <c r="R172" s="373" t="s">
        <v>95</v>
      </c>
      <c r="S172" s="374"/>
      <c r="T172" s="244"/>
    </row>
    <row r="173" spans="1:252" s="263" customFormat="1" x14ac:dyDescent="0.25">
      <c r="A173" s="275"/>
      <c r="B173" s="271" t="s">
        <v>47</v>
      </c>
      <c r="C173" s="271"/>
      <c r="D173" s="271"/>
      <c r="E173" s="271"/>
      <c r="F173" s="271"/>
      <c r="G173" s="271"/>
      <c r="H173" s="271"/>
      <c r="I173" s="271"/>
      <c r="J173" s="271"/>
      <c r="K173" s="271"/>
      <c r="L173" s="271"/>
      <c r="M173" s="271"/>
      <c r="N173" s="271"/>
      <c r="O173" s="332">
        <f>+R28*0.08</f>
        <v>28000</v>
      </c>
      <c r="P173" s="304"/>
      <c r="Q173" s="271"/>
      <c r="R173" s="332"/>
      <c r="S173" s="274"/>
      <c r="T173" s="262"/>
    </row>
    <row r="174" spans="1:252" s="263" customFormat="1" x14ac:dyDescent="0.25">
      <c r="A174" s="275"/>
      <c r="B174" s="271" t="s">
        <v>48</v>
      </c>
      <c r="C174" s="271"/>
      <c r="D174" s="271"/>
      <c r="E174" s="271"/>
      <c r="F174" s="271"/>
      <c r="G174" s="271"/>
      <c r="H174" s="271"/>
      <c r="I174" s="271"/>
      <c r="J174" s="271"/>
      <c r="K174" s="271"/>
      <c r="L174" s="271"/>
      <c r="M174" s="271"/>
      <c r="N174" s="271"/>
      <c r="O174" s="332">
        <f>+'Jan 18'!O176</f>
        <v>2036</v>
      </c>
      <c r="P174" s="332">
        <f>+'Jan 18'!P176</f>
        <v>633</v>
      </c>
      <c r="Q174" s="271"/>
      <c r="R174" s="332">
        <f>O174+P174</f>
        <v>2669</v>
      </c>
      <c r="S174" s="274"/>
      <c r="T174" s="262"/>
    </row>
    <row r="175" spans="1:252" s="263" customFormat="1" x14ac:dyDescent="0.25">
      <c r="A175" s="275"/>
      <c r="B175" s="271" t="s">
        <v>49</v>
      </c>
      <c r="C175" s="271"/>
      <c r="D175" s="271"/>
      <c r="E175" s="271"/>
      <c r="F175" s="271"/>
      <c r="G175" s="271"/>
      <c r="H175" s="271"/>
      <c r="I175" s="271"/>
      <c r="J175" s="271"/>
      <c r="K175" s="271"/>
      <c r="L175" s="271"/>
      <c r="M175" s="271"/>
      <c r="N175" s="271"/>
      <c r="O175" s="331">
        <v>0</v>
      </c>
      <c r="P175" s="331">
        <v>0</v>
      </c>
      <c r="Q175" s="271"/>
      <c r="R175" s="332">
        <f>O175+P175</f>
        <v>0</v>
      </c>
      <c r="S175" s="274"/>
      <c r="T175" s="262"/>
    </row>
    <row r="176" spans="1:252" s="263" customFormat="1" x14ac:dyDescent="0.25">
      <c r="A176" s="275"/>
      <c r="B176" s="271" t="s">
        <v>50</v>
      </c>
      <c r="C176" s="271"/>
      <c r="D176" s="271"/>
      <c r="E176" s="271"/>
      <c r="F176" s="271"/>
      <c r="G176" s="271"/>
      <c r="H176" s="271"/>
      <c r="I176" s="271"/>
      <c r="J176" s="271"/>
      <c r="K176" s="271"/>
      <c r="L176" s="271"/>
      <c r="M176" s="271"/>
      <c r="N176" s="271"/>
      <c r="O176" s="332">
        <f>O174+O175</f>
        <v>2036</v>
      </c>
      <c r="P176" s="332">
        <f>P175+P174</f>
        <v>633</v>
      </c>
      <c r="Q176" s="271"/>
      <c r="R176" s="332">
        <f>O176+P176</f>
        <v>2669</v>
      </c>
      <c r="S176" s="274"/>
      <c r="T176" s="262"/>
    </row>
    <row r="177" spans="1:20" s="263" customFormat="1" x14ac:dyDescent="0.25">
      <c r="A177" s="275"/>
      <c r="B177" s="271" t="s">
        <v>51</v>
      </c>
      <c r="C177" s="271"/>
      <c r="D177" s="271"/>
      <c r="E177" s="271"/>
      <c r="F177" s="271"/>
      <c r="G177" s="271"/>
      <c r="H177" s="271"/>
      <c r="I177" s="271"/>
      <c r="J177" s="271"/>
      <c r="K177" s="271"/>
      <c r="L177" s="271"/>
      <c r="M177" s="271"/>
      <c r="N177" s="271"/>
      <c r="O177" s="332">
        <f>O173-O176-P176</f>
        <v>25331</v>
      </c>
      <c r="P177" s="304"/>
      <c r="Q177" s="271"/>
      <c r="R177" s="332"/>
      <c r="S177" s="274"/>
      <c r="T177" s="262"/>
    </row>
    <row r="178" spans="1:20" ht="16.5" thickBot="1" x14ac:dyDescent="0.3">
      <c r="A178" s="246"/>
      <c r="B178" s="333"/>
      <c r="C178" s="333"/>
      <c r="D178" s="333"/>
      <c r="E178" s="333"/>
      <c r="F178" s="333"/>
      <c r="G178" s="333"/>
      <c r="H178" s="333"/>
      <c r="I178" s="333"/>
      <c r="J178" s="333"/>
      <c r="K178" s="333"/>
      <c r="L178" s="333"/>
      <c r="M178" s="333"/>
      <c r="N178" s="333"/>
      <c r="O178" s="333"/>
      <c r="P178" s="333"/>
      <c r="Q178" s="333"/>
      <c r="R178" s="362"/>
      <c r="S178" s="249"/>
      <c r="T178" s="244"/>
    </row>
    <row r="179" spans="1:20" x14ac:dyDescent="0.25">
      <c r="A179" s="240"/>
      <c r="B179" s="242"/>
      <c r="C179" s="242"/>
      <c r="D179" s="242"/>
      <c r="E179" s="242"/>
      <c r="F179" s="242"/>
      <c r="G179" s="242"/>
      <c r="H179" s="242"/>
      <c r="I179" s="242"/>
      <c r="J179" s="242"/>
      <c r="K179" s="242"/>
      <c r="L179" s="242"/>
      <c r="M179" s="242"/>
      <c r="N179" s="242"/>
      <c r="O179" s="242"/>
      <c r="P179" s="242"/>
      <c r="Q179" s="242"/>
      <c r="R179" s="364"/>
      <c r="S179" s="243"/>
      <c r="T179" s="244"/>
    </row>
    <row r="180" spans="1:20" x14ac:dyDescent="0.25">
      <c r="A180" s="246"/>
      <c r="B180" s="350" t="s">
        <v>52</v>
      </c>
      <c r="C180" s="248"/>
      <c r="D180" s="248"/>
      <c r="E180" s="248"/>
      <c r="F180" s="248"/>
      <c r="G180" s="248"/>
      <c r="H180" s="248"/>
      <c r="I180" s="248"/>
      <c r="J180" s="248"/>
      <c r="K180" s="248"/>
      <c r="L180" s="248"/>
      <c r="M180" s="248"/>
      <c r="N180" s="248"/>
      <c r="O180" s="248"/>
      <c r="P180" s="248"/>
      <c r="Q180" s="248"/>
      <c r="R180" s="375"/>
      <c r="S180" s="249"/>
      <c r="T180" s="244"/>
    </row>
    <row r="181" spans="1:20" s="263" customFormat="1" x14ac:dyDescent="0.25">
      <c r="A181" s="275"/>
      <c r="B181" s="271" t="s">
        <v>53</v>
      </c>
      <c r="C181" s="271"/>
      <c r="D181" s="271"/>
      <c r="E181" s="271"/>
      <c r="F181" s="271"/>
      <c r="G181" s="271"/>
      <c r="H181" s="271"/>
      <c r="I181" s="271"/>
      <c r="J181" s="271"/>
      <c r="K181" s="271"/>
      <c r="L181" s="271"/>
      <c r="M181" s="271"/>
      <c r="N181" s="271"/>
      <c r="O181" s="271"/>
      <c r="P181" s="271"/>
      <c r="Q181" s="271"/>
      <c r="R181" s="376">
        <f>(R92+R94+R95+R96+R97)/-(R98)</f>
        <v>6.4232804232804233</v>
      </c>
      <c r="S181" s="274" t="s">
        <v>96</v>
      </c>
      <c r="T181" s="262"/>
    </row>
    <row r="182" spans="1:20" s="263" customFormat="1" x14ac:dyDescent="0.25">
      <c r="A182" s="275"/>
      <c r="B182" s="271" t="s">
        <v>54</v>
      </c>
      <c r="C182" s="271"/>
      <c r="D182" s="271"/>
      <c r="E182" s="271"/>
      <c r="F182" s="271"/>
      <c r="G182" s="271"/>
      <c r="H182" s="271"/>
      <c r="I182" s="271"/>
      <c r="J182" s="271"/>
      <c r="K182" s="271"/>
      <c r="L182" s="271"/>
      <c r="M182" s="271"/>
      <c r="N182" s="271"/>
      <c r="O182" s="271"/>
      <c r="P182" s="271"/>
      <c r="Q182" s="271"/>
      <c r="R182" s="377">
        <v>4.13</v>
      </c>
      <c r="S182" s="274" t="s">
        <v>96</v>
      </c>
      <c r="T182" s="262"/>
    </row>
    <row r="183" spans="1:20" s="263" customFormat="1" x14ac:dyDescent="0.25">
      <c r="A183" s="275"/>
      <c r="B183" s="271" t="s">
        <v>189</v>
      </c>
      <c r="C183" s="271"/>
      <c r="D183" s="271"/>
      <c r="E183" s="271"/>
      <c r="F183" s="271"/>
      <c r="G183" s="271"/>
      <c r="H183" s="271"/>
      <c r="I183" s="271"/>
      <c r="J183" s="271"/>
      <c r="K183" s="271"/>
      <c r="L183" s="271"/>
      <c r="M183" s="271"/>
      <c r="N183" s="271"/>
      <c r="O183" s="271"/>
      <c r="P183" s="271"/>
      <c r="Q183" s="271"/>
      <c r="R183" s="376">
        <f>(R92+R94+R95+R96+R97+R98)/-(R99)</f>
        <v>11.263736263736265</v>
      </c>
      <c r="S183" s="274" t="s">
        <v>96</v>
      </c>
      <c r="T183" s="262"/>
    </row>
    <row r="184" spans="1:20" s="263" customFormat="1" x14ac:dyDescent="0.25">
      <c r="A184" s="275"/>
      <c r="B184" s="271" t="s">
        <v>190</v>
      </c>
      <c r="C184" s="271"/>
      <c r="D184" s="271"/>
      <c r="E184" s="271"/>
      <c r="F184" s="271"/>
      <c r="G184" s="271"/>
      <c r="H184" s="271"/>
      <c r="I184" s="271"/>
      <c r="J184" s="271"/>
      <c r="K184" s="271"/>
      <c r="L184" s="271"/>
      <c r="M184" s="271"/>
      <c r="N184" s="271"/>
      <c r="O184" s="271"/>
      <c r="P184" s="271"/>
      <c r="Q184" s="271"/>
      <c r="R184" s="377">
        <v>21.68</v>
      </c>
      <c r="S184" s="274" t="s">
        <v>96</v>
      </c>
      <c r="T184" s="262"/>
    </row>
    <row r="185" spans="1:20" s="263" customFormat="1" x14ac:dyDescent="0.25">
      <c r="A185" s="275"/>
      <c r="B185" s="271" t="s">
        <v>191</v>
      </c>
      <c r="C185" s="271"/>
      <c r="D185" s="271"/>
      <c r="E185" s="271"/>
      <c r="F185" s="271"/>
      <c r="G185" s="271"/>
      <c r="H185" s="271"/>
      <c r="I185" s="271"/>
      <c r="J185" s="271"/>
      <c r="K185" s="271"/>
      <c r="L185" s="271"/>
      <c r="M185" s="271"/>
      <c r="N185" s="271"/>
      <c r="O185" s="271"/>
      <c r="P185" s="271"/>
      <c r="Q185" s="271"/>
      <c r="R185" s="376">
        <f>(R92+R94+R95+R96+R97+R98+R99+R100+R101+R102+R103+R104)/-(R105)</f>
        <v>29.8125</v>
      </c>
      <c r="S185" s="274" t="s">
        <v>96</v>
      </c>
      <c r="T185" s="262"/>
    </row>
    <row r="186" spans="1:20" s="263" customFormat="1" x14ac:dyDescent="0.25">
      <c r="A186" s="275"/>
      <c r="B186" s="271" t="s">
        <v>192</v>
      </c>
      <c r="C186" s="271"/>
      <c r="D186" s="271"/>
      <c r="E186" s="271"/>
      <c r="F186" s="271"/>
      <c r="G186" s="271"/>
      <c r="H186" s="271"/>
      <c r="I186" s="271"/>
      <c r="J186" s="271"/>
      <c r="K186" s="271"/>
      <c r="L186" s="271"/>
      <c r="M186" s="271"/>
      <c r="N186" s="271"/>
      <c r="O186" s="271"/>
      <c r="P186" s="271"/>
      <c r="Q186" s="271"/>
      <c r="R186" s="377">
        <v>55.72</v>
      </c>
      <c r="S186" s="274" t="s">
        <v>96</v>
      </c>
      <c r="T186" s="262"/>
    </row>
    <row r="187" spans="1:20" s="263" customFormat="1" x14ac:dyDescent="0.25">
      <c r="A187" s="275"/>
      <c r="B187" s="271"/>
      <c r="C187" s="271"/>
      <c r="D187" s="271"/>
      <c r="E187" s="271"/>
      <c r="F187" s="271"/>
      <c r="G187" s="271"/>
      <c r="H187" s="271"/>
      <c r="I187" s="271"/>
      <c r="J187" s="271"/>
      <c r="K187" s="271"/>
      <c r="L187" s="271"/>
      <c r="M187" s="271"/>
      <c r="N187" s="271"/>
      <c r="O187" s="271"/>
      <c r="P187" s="271"/>
      <c r="Q187" s="271"/>
      <c r="R187" s="271"/>
      <c r="S187" s="274"/>
      <c r="T187" s="262"/>
    </row>
    <row r="188" spans="1:20" s="263" customFormat="1" x14ac:dyDescent="0.25">
      <c r="A188" s="258"/>
      <c r="B188" s="313"/>
      <c r="C188" s="313"/>
      <c r="D188" s="313"/>
      <c r="E188" s="313"/>
      <c r="F188" s="313"/>
      <c r="G188" s="313"/>
      <c r="H188" s="313"/>
      <c r="I188" s="313"/>
      <c r="J188" s="313"/>
      <c r="K188" s="313"/>
      <c r="L188" s="313"/>
      <c r="M188" s="313"/>
      <c r="N188" s="313"/>
      <c r="O188" s="313"/>
      <c r="P188" s="313"/>
      <c r="Q188" s="313"/>
      <c r="R188" s="313"/>
      <c r="S188" s="261"/>
      <c r="T188" s="262"/>
    </row>
    <row r="189" spans="1:20" s="263" customFormat="1" x14ac:dyDescent="0.25">
      <c r="A189" s="258"/>
      <c r="B189" s="259"/>
      <c r="C189" s="259"/>
      <c r="D189" s="259"/>
      <c r="E189" s="259"/>
      <c r="F189" s="259"/>
      <c r="G189" s="259"/>
      <c r="H189" s="259"/>
      <c r="I189" s="259"/>
      <c r="J189" s="259"/>
      <c r="K189" s="259"/>
      <c r="L189" s="259"/>
      <c r="M189" s="259"/>
      <c r="N189" s="259"/>
      <c r="O189" s="259"/>
      <c r="P189" s="259"/>
      <c r="Q189" s="259"/>
      <c r="R189" s="259"/>
      <c r="S189" s="261"/>
      <c r="T189" s="262"/>
    </row>
    <row r="190" spans="1:20" s="263" customFormat="1" ht="19.5" thickBot="1" x14ac:dyDescent="0.35">
      <c r="A190" s="318"/>
      <c r="B190" s="319" t="str">
        <f>B121</f>
        <v>PM20 INVESTOR REPORT QUARTER ENDING APRIL 2018</v>
      </c>
      <c r="C190" s="320"/>
      <c r="D190" s="320"/>
      <c r="E190" s="320"/>
      <c r="F190" s="320"/>
      <c r="G190" s="320"/>
      <c r="H190" s="320"/>
      <c r="I190" s="320"/>
      <c r="J190" s="320"/>
      <c r="K190" s="320"/>
      <c r="L190" s="320"/>
      <c r="M190" s="320"/>
      <c r="N190" s="320"/>
      <c r="O190" s="320"/>
      <c r="P190" s="320"/>
      <c r="Q190" s="320"/>
      <c r="R190" s="320"/>
      <c r="S190" s="322"/>
      <c r="T190" s="262"/>
    </row>
    <row r="191" spans="1:20" x14ac:dyDescent="0.25">
      <c r="A191" s="449"/>
      <c r="B191" s="450" t="s">
        <v>55</v>
      </c>
      <c r="C191" s="454"/>
      <c r="D191" s="455"/>
      <c r="E191" s="455"/>
      <c r="F191" s="455"/>
      <c r="G191" s="455"/>
      <c r="H191" s="455"/>
      <c r="I191" s="455"/>
      <c r="J191" s="455"/>
      <c r="K191" s="455"/>
      <c r="L191" s="455"/>
      <c r="M191" s="455"/>
      <c r="N191" s="455"/>
      <c r="O191" s="455"/>
      <c r="P191" s="455">
        <v>43220</v>
      </c>
      <c r="Q191" s="451"/>
      <c r="R191" s="451"/>
      <c r="S191" s="453"/>
      <c r="T191" s="244"/>
    </row>
    <row r="192" spans="1:20" x14ac:dyDescent="0.25">
      <c r="A192" s="378"/>
      <c r="B192" s="379"/>
      <c r="C192" s="380"/>
      <c r="D192" s="381"/>
      <c r="E192" s="381"/>
      <c r="F192" s="381"/>
      <c r="G192" s="381"/>
      <c r="H192" s="381"/>
      <c r="I192" s="381"/>
      <c r="J192" s="381"/>
      <c r="K192" s="381"/>
      <c r="L192" s="381"/>
      <c r="M192" s="381"/>
      <c r="N192" s="381"/>
      <c r="O192" s="381"/>
      <c r="P192" s="381"/>
      <c r="Q192" s="248"/>
      <c r="R192" s="248"/>
      <c r="S192" s="249"/>
      <c r="T192" s="244"/>
    </row>
    <row r="193" spans="1:20" s="263" customFormat="1" x14ac:dyDescent="0.25">
      <c r="A193" s="275"/>
      <c r="B193" s="271" t="s">
        <v>56</v>
      </c>
      <c r="C193" s="382"/>
      <c r="D193" s="307"/>
      <c r="E193" s="307"/>
      <c r="F193" s="307"/>
      <c r="G193" s="307"/>
      <c r="H193" s="307"/>
      <c r="I193" s="307"/>
      <c r="J193" s="307"/>
      <c r="K193" s="307"/>
      <c r="L193" s="307"/>
      <c r="M193" s="307"/>
      <c r="N193" s="307"/>
      <c r="O193" s="307"/>
      <c r="P193" s="301">
        <v>4.5449999999999997E-2</v>
      </c>
      <c r="Q193" s="271"/>
      <c r="R193" s="271"/>
      <c r="S193" s="274"/>
      <c r="T193" s="262"/>
    </row>
    <row r="194" spans="1:20" s="263" customFormat="1" x14ac:dyDescent="0.25">
      <c r="A194" s="275"/>
      <c r="B194" s="271" t="s">
        <v>164</v>
      </c>
      <c r="C194" s="382"/>
      <c r="D194" s="307"/>
      <c r="E194" s="307"/>
      <c r="F194" s="307"/>
      <c r="G194" s="307"/>
      <c r="H194" s="307"/>
      <c r="I194" s="307"/>
      <c r="J194" s="307"/>
      <c r="K194" s="307"/>
      <c r="L194" s="307"/>
      <c r="M194" s="307"/>
      <c r="N194" s="307"/>
      <c r="O194" s="307"/>
      <c r="P194" s="301">
        <v>1.3245728571428571E-2</v>
      </c>
      <c r="Q194" s="271"/>
      <c r="R194" s="271"/>
      <c r="S194" s="274"/>
      <c r="T194" s="262"/>
    </row>
    <row r="195" spans="1:20" s="263" customFormat="1" x14ac:dyDescent="0.25">
      <c r="A195" s="275"/>
      <c r="B195" s="271" t="s">
        <v>57</v>
      </c>
      <c r="C195" s="382"/>
      <c r="D195" s="307"/>
      <c r="E195" s="307"/>
      <c r="F195" s="307"/>
      <c r="G195" s="307"/>
      <c r="H195" s="307"/>
      <c r="I195" s="307"/>
      <c r="J195" s="307"/>
      <c r="K195" s="307"/>
      <c r="L195" s="307"/>
      <c r="M195" s="307"/>
      <c r="N195" s="307"/>
      <c r="O195" s="307"/>
      <c r="P195" s="301">
        <f>P193-P194</f>
        <v>3.2204271428571428E-2</v>
      </c>
      <c r="Q195" s="271"/>
      <c r="R195" s="271"/>
      <c r="S195" s="274"/>
      <c r="T195" s="262"/>
    </row>
    <row r="196" spans="1:20" s="263" customFormat="1" x14ac:dyDescent="0.25">
      <c r="A196" s="275"/>
      <c r="B196" s="271" t="s">
        <v>167</v>
      </c>
      <c r="C196" s="382"/>
      <c r="D196" s="307"/>
      <c r="E196" s="307"/>
      <c r="F196" s="307"/>
      <c r="G196" s="307"/>
      <c r="H196" s="307"/>
      <c r="I196" s="307"/>
      <c r="J196" s="307"/>
      <c r="K196" s="307"/>
      <c r="L196" s="307"/>
      <c r="M196" s="307"/>
      <c r="N196" s="307"/>
      <c r="O196" s="307"/>
      <c r="P196" s="301">
        <v>4.5466300000000001E-2</v>
      </c>
      <c r="Q196" s="271"/>
      <c r="R196" s="271"/>
      <c r="S196" s="274"/>
      <c r="T196" s="262"/>
    </row>
    <row r="197" spans="1:20" s="263" customFormat="1" x14ac:dyDescent="0.25">
      <c r="A197" s="275"/>
      <c r="B197" s="271" t="s">
        <v>58</v>
      </c>
      <c r="C197" s="382"/>
      <c r="D197" s="307"/>
      <c r="E197" s="307"/>
      <c r="F197" s="307"/>
      <c r="G197" s="307"/>
      <c r="H197" s="307"/>
      <c r="I197" s="307"/>
      <c r="J197" s="307"/>
      <c r="K197" s="307"/>
      <c r="L197" s="307"/>
      <c r="M197" s="307"/>
      <c r="N197" s="307"/>
      <c r="O197" s="307"/>
      <c r="P197" s="301">
        <v>5.4829999999999997E-2</v>
      </c>
      <c r="Q197" s="271"/>
      <c r="R197" s="271"/>
      <c r="S197" s="274"/>
      <c r="T197" s="262"/>
    </row>
    <row r="198" spans="1:20" s="263" customFormat="1" x14ac:dyDescent="0.25">
      <c r="A198" s="275"/>
      <c r="B198" s="271" t="s">
        <v>165</v>
      </c>
      <c r="C198" s="382"/>
      <c r="D198" s="307"/>
      <c r="E198" s="307"/>
      <c r="F198" s="307"/>
      <c r="G198" s="307"/>
      <c r="H198" s="307"/>
      <c r="I198" s="307"/>
      <c r="J198" s="307"/>
      <c r="K198" s="307"/>
      <c r="L198" s="307"/>
      <c r="M198" s="307"/>
      <c r="N198" s="307"/>
      <c r="O198" s="307"/>
      <c r="P198" s="301">
        <f>R34</f>
        <v>1.3579393768104532E-2</v>
      </c>
      <c r="Q198" s="271"/>
      <c r="R198" s="271"/>
      <c r="S198" s="274"/>
      <c r="T198" s="262"/>
    </row>
    <row r="199" spans="1:20" s="263" customFormat="1" x14ac:dyDescent="0.25">
      <c r="A199" s="275"/>
      <c r="B199" s="271" t="s">
        <v>59</v>
      </c>
      <c r="C199" s="382"/>
      <c r="D199" s="307"/>
      <c r="E199" s="307"/>
      <c r="F199" s="307"/>
      <c r="G199" s="307"/>
      <c r="H199" s="307"/>
      <c r="I199" s="307"/>
      <c r="J199" s="307"/>
      <c r="K199" s="307"/>
      <c r="L199" s="307"/>
      <c r="M199" s="307"/>
      <c r="N199" s="307"/>
      <c r="O199" s="307"/>
      <c r="P199" s="301">
        <f>P197-P198</f>
        <v>4.1250606231895463E-2</v>
      </c>
      <c r="Q199" s="271"/>
      <c r="R199" s="271"/>
      <c r="S199" s="274"/>
      <c r="T199" s="262"/>
    </row>
    <row r="200" spans="1:20" s="263" customFormat="1" x14ac:dyDescent="0.25">
      <c r="A200" s="275"/>
      <c r="B200" s="271" t="s">
        <v>142</v>
      </c>
      <c r="C200" s="382"/>
      <c r="D200" s="307"/>
      <c r="E200" s="307"/>
      <c r="F200" s="307"/>
      <c r="G200" s="307"/>
      <c r="H200" s="307"/>
      <c r="I200" s="307"/>
      <c r="J200" s="307"/>
      <c r="K200" s="307"/>
      <c r="L200" s="307"/>
      <c r="M200" s="307"/>
      <c r="N200" s="307"/>
      <c r="O200" s="307"/>
      <c r="P200" s="301">
        <f>(+R92+R94)/H72</f>
        <v>1.3619234647842472E-2</v>
      </c>
      <c r="Q200" s="271"/>
      <c r="R200" s="271"/>
      <c r="S200" s="274"/>
      <c r="T200" s="262"/>
    </row>
    <row r="201" spans="1:20" s="263" customFormat="1" x14ac:dyDescent="0.25">
      <c r="A201" s="275"/>
      <c r="B201" s="271" t="s">
        <v>135</v>
      </c>
      <c r="C201" s="382"/>
      <c r="D201" s="307"/>
      <c r="E201" s="307"/>
      <c r="F201" s="307"/>
      <c r="G201" s="307"/>
      <c r="H201" s="307"/>
      <c r="I201" s="307"/>
      <c r="J201" s="307"/>
      <c r="K201" s="307"/>
      <c r="L201" s="307"/>
      <c r="M201" s="307"/>
      <c r="N201" s="307"/>
      <c r="O201" s="307"/>
      <c r="P201" s="383">
        <v>51820</v>
      </c>
      <c r="Q201" s="271"/>
      <c r="R201" s="271"/>
      <c r="S201" s="274"/>
      <c r="T201" s="262"/>
    </row>
    <row r="202" spans="1:20" s="263" customFormat="1" x14ac:dyDescent="0.25">
      <c r="A202" s="275"/>
      <c r="B202" s="271" t="s">
        <v>193</v>
      </c>
      <c r="C202" s="382"/>
      <c r="D202" s="307"/>
      <c r="E202" s="307"/>
      <c r="F202" s="307"/>
      <c r="G202" s="307"/>
      <c r="H202" s="307"/>
      <c r="I202" s="307"/>
      <c r="J202" s="307"/>
      <c r="K202" s="307"/>
      <c r="L202" s="307"/>
      <c r="M202" s="307"/>
      <c r="N202" s="307"/>
      <c r="O202" s="307"/>
      <c r="P202" s="383">
        <v>51820</v>
      </c>
      <c r="Q202" s="271"/>
      <c r="R202" s="271"/>
      <c r="S202" s="274"/>
      <c r="T202" s="262"/>
    </row>
    <row r="203" spans="1:20" s="263" customFormat="1" x14ac:dyDescent="0.25">
      <c r="A203" s="275"/>
      <c r="B203" s="271" t="s">
        <v>194</v>
      </c>
      <c r="C203" s="382"/>
      <c r="D203" s="307"/>
      <c r="E203" s="307"/>
      <c r="F203" s="307"/>
      <c r="G203" s="307"/>
      <c r="H203" s="307"/>
      <c r="I203" s="307"/>
      <c r="J203" s="307"/>
      <c r="K203" s="307"/>
      <c r="L203" s="307"/>
      <c r="M203" s="307"/>
      <c r="N203" s="307"/>
      <c r="O203" s="307"/>
      <c r="P203" s="383">
        <v>51820</v>
      </c>
      <c r="Q203" s="271"/>
      <c r="R203" s="271"/>
      <c r="S203" s="274"/>
      <c r="T203" s="262"/>
    </row>
    <row r="204" spans="1:20" s="263" customFormat="1" x14ac:dyDescent="0.25">
      <c r="A204" s="275"/>
      <c r="B204" s="271" t="s">
        <v>60</v>
      </c>
      <c r="C204" s="382"/>
      <c r="D204" s="307"/>
      <c r="E204" s="307"/>
      <c r="F204" s="307"/>
      <c r="G204" s="307"/>
      <c r="H204" s="307"/>
      <c r="I204" s="307"/>
      <c r="J204" s="307"/>
      <c r="K204" s="307"/>
      <c r="L204" s="307"/>
      <c r="M204" s="307"/>
      <c r="N204" s="307"/>
      <c r="O204" s="307"/>
      <c r="P204" s="305">
        <v>18.95</v>
      </c>
      <c r="Q204" s="271" t="s">
        <v>91</v>
      </c>
      <c r="R204" s="271"/>
      <c r="S204" s="274"/>
      <c r="T204" s="262"/>
    </row>
    <row r="205" spans="1:20" s="263" customFormat="1" x14ac:dyDescent="0.25">
      <c r="A205" s="275"/>
      <c r="B205" s="271" t="s">
        <v>61</v>
      </c>
      <c r="C205" s="382"/>
      <c r="D205" s="307"/>
      <c r="E205" s="307"/>
      <c r="F205" s="307"/>
      <c r="G205" s="307"/>
      <c r="H205" s="307"/>
      <c r="I205" s="307"/>
      <c r="J205" s="307"/>
      <c r="K205" s="307"/>
      <c r="L205" s="307"/>
      <c r="M205" s="307"/>
      <c r="N205" s="307"/>
      <c r="O205" s="307"/>
      <c r="P205" s="305">
        <v>14.69</v>
      </c>
      <c r="Q205" s="271" t="s">
        <v>91</v>
      </c>
      <c r="R205" s="271"/>
      <c r="S205" s="274"/>
      <c r="T205" s="262"/>
    </row>
    <row r="206" spans="1:20" s="263" customFormat="1" x14ac:dyDescent="0.25">
      <c r="A206" s="275"/>
      <c r="B206" s="271" t="s">
        <v>62</v>
      </c>
      <c r="C206" s="382"/>
      <c r="D206" s="307"/>
      <c r="E206" s="307"/>
      <c r="F206" s="307"/>
      <c r="G206" s="307"/>
      <c r="H206" s="307"/>
      <c r="I206" s="307"/>
      <c r="J206" s="307"/>
      <c r="K206" s="307"/>
      <c r="L206" s="307"/>
      <c r="M206" s="307"/>
      <c r="N206" s="307"/>
      <c r="O206" s="307"/>
      <c r="P206" s="301">
        <f>(+J56+L56+P56)/H56</f>
        <v>8.1747253330502631E-2</v>
      </c>
      <c r="Q206" s="271"/>
      <c r="R206" s="271"/>
      <c r="S206" s="274"/>
      <c r="T206" s="262"/>
    </row>
    <row r="207" spans="1:20" s="263" customFormat="1" x14ac:dyDescent="0.25">
      <c r="A207" s="275"/>
      <c r="B207" s="271" t="s">
        <v>63</v>
      </c>
      <c r="C207" s="382"/>
      <c r="D207" s="307"/>
      <c r="E207" s="307"/>
      <c r="F207" s="307"/>
      <c r="G207" s="307"/>
      <c r="H207" s="307"/>
      <c r="I207" s="307"/>
      <c r="J207" s="307"/>
      <c r="K207" s="307"/>
      <c r="L207" s="307"/>
      <c r="M207" s="307"/>
      <c r="N207" s="307"/>
      <c r="O207" s="307"/>
      <c r="P207" s="301">
        <v>0.3085</v>
      </c>
      <c r="Q207" s="271"/>
      <c r="R207" s="271"/>
      <c r="S207" s="274"/>
      <c r="T207" s="262"/>
    </row>
    <row r="208" spans="1:20" x14ac:dyDescent="0.25">
      <c r="A208" s="378"/>
      <c r="B208" s="384"/>
      <c r="C208" s="384"/>
      <c r="D208" s="333"/>
      <c r="E208" s="333"/>
      <c r="F208" s="333"/>
      <c r="G208" s="333"/>
      <c r="H208" s="333"/>
      <c r="I208" s="333"/>
      <c r="J208" s="333"/>
      <c r="K208" s="333"/>
      <c r="L208" s="333"/>
      <c r="M208" s="333"/>
      <c r="N208" s="333"/>
      <c r="O208" s="333"/>
      <c r="P208" s="362"/>
      <c r="Q208" s="333"/>
      <c r="R208" s="385"/>
      <c r="S208" s="249"/>
      <c r="T208" s="244"/>
    </row>
    <row r="209" spans="1:20" x14ac:dyDescent="0.25">
      <c r="A209" s="456"/>
      <c r="B209" s="445" t="s">
        <v>64</v>
      </c>
      <c r="C209" s="446"/>
      <c r="D209" s="446"/>
      <c r="E209" s="446"/>
      <c r="F209" s="446"/>
      <c r="G209" s="446"/>
      <c r="H209" s="446"/>
      <c r="I209" s="446"/>
      <c r="J209" s="446"/>
      <c r="K209" s="446"/>
      <c r="L209" s="446"/>
      <c r="M209" s="446"/>
      <c r="N209" s="446"/>
      <c r="O209" s="446" t="s">
        <v>84</v>
      </c>
      <c r="P209" s="462" t="s">
        <v>89</v>
      </c>
      <c r="Q209" s="440"/>
      <c r="R209" s="440"/>
      <c r="S209" s="434"/>
      <c r="T209" s="244"/>
    </row>
    <row r="210" spans="1:20" s="263" customFormat="1" x14ac:dyDescent="0.25">
      <c r="A210" s="457"/>
      <c r="B210" s="313" t="s">
        <v>65</v>
      </c>
      <c r="C210" s="346"/>
      <c r="D210" s="458"/>
      <c r="E210" s="458"/>
      <c r="F210" s="458"/>
      <c r="G210" s="458"/>
      <c r="H210" s="458"/>
      <c r="I210" s="458"/>
      <c r="J210" s="458"/>
      <c r="K210" s="458"/>
      <c r="L210" s="458"/>
      <c r="M210" s="458"/>
      <c r="N210" s="458"/>
      <c r="O210" s="458">
        <v>0</v>
      </c>
      <c r="P210" s="459">
        <v>0</v>
      </c>
      <c r="Q210" s="313"/>
      <c r="R210" s="460"/>
      <c r="S210" s="461"/>
      <c r="T210" s="262"/>
    </row>
    <row r="211" spans="1:20" s="263" customFormat="1" x14ac:dyDescent="0.25">
      <c r="A211" s="386"/>
      <c r="B211" s="271" t="s">
        <v>114</v>
      </c>
      <c r="C211" s="331"/>
      <c r="D211" s="277"/>
      <c r="E211" s="277"/>
      <c r="F211" s="277"/>
      <c r="G211" s="277"/>
      <c r="H211" s="277"/>
      <c r="I211" s="277"/>
      <c r="J211" s="277"/>
      <c r="K211" s="277"/>
      <c r="L211" s="277"/>
      <c r="M211" s="277"/>
      <c r="N211" s="277"/>
      <c r="O211" s="387">
        <f>+N263</f>
        <v>3</v>
      </c>
      <c r="P211" s="388">
        <f>+P263</f>
        <v>388</v>
      </c>
      <c r="Q211" s="271"/>
      <c r="R211" s="389"/>
      <c r="S211" s="390"/>
      <c r="T211" s="262"/>
    </row>
    <row r="212" spans="1:20" s="263" customFormat="1" x14ac:dyDescent="0.25">
      <c r="A212" s="386"/>
      <c r="B212" s="271" t="s">
        <v>66</v>
      </c>
      <c r="C212" s="331"/>
      <c r="D212" s="277"/>
      <c r="E212" s="277"/>
      <c r="F212" s="277"/>
      <c r="G212" s="277"/>
      <c r="H212" s="277"/>
      <c r="I212" s="277"/>
      <c r="J212" s="277"/>
      <c r="K212" s="277"/>
      <c r="L212" s="277"/>
      <c r="M212" s="277"/>
      <c r="N212" s="277"/>
      <c r="O212" s="387">
        <f>+N275</f>
        <v>0</v>
      </c>
      <c r="P212" s="388">
        <f>+P275</f>
        <v>0</v>
      </c>
      <c r="Q212" s="271"/>
      <c r="R212" s="389"/>
      <c r="S212" s="390"/>
      <c r="T212" s="262"/>
    </row>
    <row r="213" spans="1:20" x14ac:dyDescent="0.25">
      <c r="A213" s="391"/>
      <c r="B213" s="291" t="s">
        <v>254</v>
      </c>
      <c r="C213" s="392"/>
      <c r="D213" s="296"/>
      <c r="E213" s="296"/>
      <c r="F213" s="296"/>
      <c r="G213" s="296"/>
      <c r="H213" s="296"/>
      <c r="I213" s="296"/>
      <c r="J213" s="296"/>
      <c r="K213" s="296"/>
      <c r="L213" s="296"/>
      <c r="M213" s="296"/>
      <c r="N213" s="296"/>
      <c r="O213" s="342"/>
      <c r="P213" s="388">
        <f>+P56</f>
        <v>3296</v>
      </c>
      <c r="Q213" s="296"/>
      <c r="R213" s="393"/>
      <c r="S213" s="394"/>
      <c r="T213" s="244"/>
    </row>
    <row r="214" spans="1:20" x14ac:dyDescent="0.25">
      <c r="A214" s="391"/>
      <c r="B214" s="291" t="s">
        <v>143</v>
      </c>
      <c r="C214" s="392"/>
      <c r="D214" s="296"/>
      <c r="E214" s="296"/>
      <c r="F214" s="296"/>
      <c r="G214" s="296"/>
      <c r="H214" s="296"/>
      <c r="I214" s="296"/>
      <c r="J214" s="296"/>
      <c r="K214" s="296"/>
      <c r="L214" s="296"/>
      <c r="M214" s="296"/>
      <c r="N214" s="296"/>
      <c r="O214" s="342"/>
      <c r="P214" s="388">
        <f>-J69</f>
        <v>0</v>
      </c>
      <c r="Q214" s="296"/>
      <c r="R214" s="393"/>
      <c r="S214" s="394"/>
      <c r="T214" s="244"/>
    </row>
    <row r="215" spans="1:20" x14ac:dyDescent="0.25">
      <c r="A215" s="395"/>
      <c r="B215" s="291" t="s">
        <v>68</v>
      </c>
      <c r="C215" s="396"/>
      <c r="D215" s="296"/>
      <c r="E215" s="296"/>
      <c r="F215" s="296"/>
      <c r="G215" s="296"/>
      <c r="H215" s="296"/>
      <c r="I215" s="296"/>
      <c r="J215" s="296"/>
      <c r="K215" s="296"/>
      <c r="L215" s="296"/>
      <c r="M215" s="296"/>
      <c r="N215" s="296"/>
      <c r="O215" s="342"/>
      <c r="P215" s="397"/>
      <c r="Q215" s="296"/>
      <c r="R215" s="393"/>
      <c r="S215" s="398"/>
      <c r="T215" s="244"/>
    </row>
    <row r="216" spans="1:20" s="263" customFormat="1" x14ac:dyDescent="0.25">
      <c r="A216" s="399"/>
      <c r="B216" s="271" t="s">
        <v>69</v>
      </c>
      <c r="C216" s="271"/>
      <c r="D216" s="271"/>
      <c r="E216" s="271"/>
      <c r="F216" s="271"/>
      <c r="G216" s="271"/>
      <c r="H216" s="271"/>
      <c r="I216" s="271"/>
      <c r="J216" s="271"/>
      <c r="K216" s="271"/>
      <c r="L216" s="271"/>
      <c r="M216" s="271"/>
      <c r="N216" s="271"/>
      <c r="O216" s="277"/>
      <c r="P216" s="388">
        <f>R150</f>
        <v>-45</v>
      </c>
      <c r="Q216" s="271"/>
      <c r="R216" s="389"/>
      <c r="S216" s="400"/>
      <c r="T216" s="262"/>
    </row>
    <row r="217" spans="1:20" s="263" customFormat="1" x14ac:dyDescent="0.25">
      <c r="A217" s="386"/>
      <c r="B217" s="271" t="s">
        <v>70</v>
      </c>
      <c r="C217" s="331"/>
      <c r="D217" s="271"/>
      <c r="E217" s="271"/>
      <c r="F217" s="271"/>
      <c r="G217" s="271"/>
      <c r="H217" s="271"/>
      <c r="I217" s="271"/>
      <c r="J217" s="271"/>
      <c r="K217" s="271"/>
      <c r="L217" s="271"/>
      <c r="M217" s="271"/>
      <c r="N217" s="271"/>
      <c r="O217" s="277"/>
      <c r="P217" s="388">
        <f>'Jan 18'!P217+P216</f>
        <v>461</v>
      </c>
      <c r="Q217" s="271"/>
      <c r="R217" s="389"/>
      <c r="S217" s="400"/>
      <c r="T217" s="262"/>
    </row>
    <row r="218" spans="1:20" x14ac:dyDescent="0.25">
      <c r="A218" s="395"/>
      <c r="B218" s="291" t="s">
        <v>154</v>
      </c>
      <c r="C218" s="396"/>
      <c r="D218" s="296"/>
      <c r="E218" s="296"/>
      <c r="F218" s="296"/>
      <c r="G218" s="296"/>
      <c r="H218" s="296"/>
      <c r="I218" s="296"/>
      <c r="J218" s="296"/>
      <c r="K218" s="296"/>
      <c r="L218" s="296"/>
      <c r="M218" s="296"/>
      <c r="N218" s="296"/>
      <c r="O218" s="401"/>
      <c r="P218" s="397"/>
      <c r="Q218" s="296"/>
      <c r="R218" s="393"/>
      <c r="S218" s="398"/>
      <c r="T218" s="244"/>
    </row>
    <row r="219" spans="1:20" s="263" customFormat="1" x14ac:dyDescent="0.25">
      <c r="A219" s="399"/>
      <c r="B219" s="271" t="s">
        <v>166</v>
      </c>
      <c r="C219" s="271"/>
      <c r="D219" s="271"/>
      <c r="E219" s="271"/>
      <c r="F219" s="271"/>
      <c r="G219" s="271"/>
      <c r="H219" s="271"/>
      <c r="I219" s="271"/>
      <c r="J219" s="271"/>
      <c r="K219" s="271"/>
      <c r="L219" s="271"/>
      <c r="M219" s="271"/>
      <c r="N219" s="271"/>
      <c r="O219" s="277">
        <v>0</v>
      </c>
      <c r="P219" s="388">
        <v>0</v>
      </c>
      <c r="Q219" s="271"/>
      <c r="R219" s="389"/>
      <c r="S219" s="400"/>
      <c r="T219" s="262"/>
    </row>
    <row r="220" spans="1:20" s="263" customFormat="1" x14ac:dyDescent="0.25">
      <c r="A220" s="386"/>
      <c r="B220" s="271" t="s">
        <v>71</v>
      </c>
      <c r="C220" s="304"/>
      <c r="D220" s="271"/>
      <c r="E220" s="271"/>
      <c r="F220" s="271"/>
      <c r="G220" s="271"/>
      <c r="H220" s="271"/>
      <c r="I220" s="271"/>
      <c r="J220" s="271"/>
      <c r="K220" s="271"/>
      <c r="L220" s="271"/>
      <c r="M220" s="271"/>
      <c r="N220" s="271"/>
      <c r="O220" s="271"/>
      <c r="P220" s="402">
        <v>0</v>
      </c>
      <c r="Q220" s="271"/>
      <c r="R220" s="389"/>
      <c r="S220" s="400"/>
      <c r="T220" s="262"/>
    </row>
    <row r="221" spans="1:20" s="263" customFormat="1" x14ac:dyDescent="0.25">
      <c r="A221" s="386"/>
      <c r="B221" s="271" t="s">
        <v>72</v>
      </c>
      <c r="C221" s="304"/>
      <c r="D221" s="271"/>
      <c r="E221" s="271"/>
      <c r="F221" s="271"/>
      <c r="G221" s="271"/>
      <c r="H221" s="271"/>
      <c r="I221" s="271"/>
      <c r="J221" s="271"/>
      <c r="K221" s="271"/>
      <c r="L221" s="271"/>
      <c r="M221" s="271"/>
      <c r="N221" s="271"/>
      <c r="O221" s="271"/>
      <c r="P221" s="402">
        <v>0</v>
      </c>
      <c r="Q221" s="271"/>
      <c r="R221" s="389"/>
      <c r="S221" s="400"/>
      <c r="T221" s="262"/>
    </row>
    <row r="222" spans="1:20" x14ac:dyDescent="0.25">
      <c r="A222" s="391"/>
      <c r="B222" s="291" t="s">
        <v>139</v>
      </c>
      <c r="C222" s="403"/>
      <c r="D222" s="296"/>
      <c r="E222" s="296"/>
      <c r="F222" s="296"/>
      <c r="G222" s="296"/>
      <c r="H222" s="296"/>
      <c r="I222" s="296"/>
      <c r="J222" s="296"/>
      <c r="K222" s="296"/>
      <c r="L222" s="296"/>
      <c r="M222" s="296"/>
      <c r="N222" s="296"/>
      <c r="O222" s="342"/>
      <c r="P222" s="404"/>
      <c r="Q222" s="296"/>
      <c r="R222" s="393"/>
      <c r="S222" s="398"/>
      <c r="T222" s="244"/>
    </row>
    <row r="223" spans="1:20" s="263" customFormat="1" x14ac:dyDescent="0.25">
      <c r="A223" s="386"/>
      <c r="B223" s="271" t="s">
        <v>166</v>
      </c>
      <c r="C223" s="304"/>
      <c r="D223" s="271"/>
      <c r="E223" s="271"/>
      <c r="F223" s="271"/>
      <c r="G223" s="271"/>
      <c r="H223" s="271"/>
      <c r="I223" s="271"/>
      <c r="J223" s="271"/>
      <c r="K223" s="271"/>
      <c r="L223" s="271"/>
      <c r="M223" s="271"/>
      <c r="N223" s="271"/>
      <c r="O223" s="277">
        <v>0</v>
      </c>
      <c r="P223" s="388">
        <v>0</v>
      </c>
      <c r="Q223" s="271"/>
      <c r="R223" s="389"/>
      <c r="S223" s="400"/>
      <c r="T223" s="262"/>
    </row>
    <row r="224" spans="1:20" s="263" customFormat="1" x14ac:dyDescent="0.25">
      <c r="A224" s="386"/>
      <c r="B224" s="271" t="s">
        <v>140</v>
      </c>
      <c r="C224" s="304"/>
      <c r="D224" s="271"/>
      <c r="E224" s="271"/>
      <c r="F224" s="271"/>
      <c r="G224" s="271"/>
      <c r="H224" s="271"/>
      <c r="I224" s="271"/>
      <c r="J224" s="271"/>
      <c r="K224" s="271"/>
      <c r="L224" s="271"/>
      <c r="M224" s="271"/>
      <c r="N224" s="271"/>
      <c r="O224" s="271"/>
      <c r="P224" s="402">
        <v>0</v>
      </c>
      <c r="Q224" s="271"/>
      <c r="R224" s="389"/>
      <c r="S224" s="400"/>
      <c r="T224" s="262"/>
    </row>
    <row r="225" spans="1:20" x14ac:dyDescent="0.25">
      <c r="A225" s="391"/>
      <c r="B225" s="396"/>
      <c r="C225" s="403"/>
      <c r="D225" s="296"/>
      <c r="E225" s="296"/>
      <c r="F225" s="296"/>
      <c r="G225" s="296"/>
      <c r="H225" s="296"/>
      <c r="I225" s="296"/>
      <c r="J225" s="296"/>
      <c r="K225" s="296"/>
      <c r="L225" s="296"/>
      <c r="M225" s="296"/>
      <c r="N225" s="296"/>
      <c r="O225" s="342"/>
      <c r="P225" s="404"/>
      <c r="Q225" s="296"/>
      <c r="R225" s="393"/>
      <c r="S225" s="398"/>
      <c r="T225" s="244"/>
    </row>
    <row r="226" spans="1:20" x14ac:dyDescent="0.25">
      <c r="A226" s="391"/>
      <c r="B226" s="396"/>
      <c r="C226" s="403"/>
      <c r="D226" s="296"/>
      <c r="E226" s="296"/>
      <c r="F226" s="296"/>
      <c r="G226" s="296"/>
      <c r="H226" s="296"/>
      <c r="I226" s="296"/>
      <c r="J226" s="296"/>
      <c r="K226" s="296"/>
      <c r="L226" s="296"/>
      <c r="M226" s="296"/>
      <c r="N226" s="296"/>
      <c r="O226" s="296"/>
      <c r="P226" s="405"/>
      <c r="Q226" s="296"/>
      <c r="R226" s="393"/>
      <c r="S226" s="398"/>
      <c r="T226" s="244"/>
    </row>
    <row r="227" spans="1:20" ht="18.75" x14ac:dyDescent="0.3">
      <c r="A227" s="391"/>
      <c r="B227" s="406" t="s">
        <v>130</v>
      </c>
      <c r="C227" s="403"/>
      <c r="D227" s="296"/>
      <c r="E227" s="296"/>
      <c r="F227" s="296"/>
      <c r="G227" s="296"/>
      <c r="H227" s="296"/>
      <c r="I227" s="296"/>
      <c r="J227" s="296"/>
      <c r="K227" s="296"/>
      <c r="L227" s="407"/>
      <c r="M227" s="296"/>
      <c r="N227" s="239" t="s">
        <v>261</v>
      </c>
      <c r="O227" s="407"/>
      <c r="P227" s="405"/>
      <c r="Q227" s="296"/>
      <c r="R227" s="393"/>
      <c r="S227" s="398"/>
      <c r="T227" s="244"/>
    </row>
    <row r="228" spans="1:20" ht="18.75" x14ac:dyDescent="0.3">
      <c r="A228" s="408"/>
      <c r="B228" s="409"/>
      <c r="C228" s="410"/>
      <c r="D228" s="333"/>
      <c r="E228" s="333"/>
      <c r="F228" s="333"/>
      <c r="G228" s="333"/>
      <c r="H228" s="333"/>
      <c r="I228" s="333"/>
      <c r="J228" s="333"/>
      <c r="K228" s="333"/>
      <c r="L228" s="411"/>
      <c r="M228" s="333"/>
      <c r="N228" s="333"/>
      <c r="O228" s="333"/>
      <c r="P228" s="412"/>
      <c r="Q228" s="333"/>
      <c r="R228" s="385"/>
      <c r="S228" s="413"/>
      <c r="T228" s="244"/>
    </row>
    <row r="229" spans="1:20" x14ac:dyDescent="0.25">
      <c r="A229" s="432"/>
      <c r="B229" s="445" t="s">
        <v>156</v>
      </c>
      <c r="C229" s="446"/>
      <c r="D229" s="446"/>
      <c r="E229" s="446"/>
      <c r="F229" s="446"/>
      <c r="G229" s="446"/>
      <c r="H229" s="446"/>
      <c r="I229" s="446"/>
      <c r="J229" s="446"/>
      <c r="K229" s="446"/>
      <c r="L229" s="446"/>
      <c r="M229" s="446"/>
      <c r="N229" s="462" t="s">
        <v>84</v>
      </c>
      <c r="O229" s="446" t="s">
        <v>85</v>
      </c>
      <c r="P229" s="462" t="s">
        <v>90</v>
      </c>
      <c r="Q229" s="446" t="s">
        <v>85</v>
      </c>
      <c r="R229" s="440"/>
      <c r="S229" s="463"/>
      <c r="T229" s="244"/>
    </row>
    <row r="230" spans="1:20" s="263" customFormat="1" x14ac:dyDescent="0.25">
      <c r="A230" s="258"/>
      <c r="B230" s="346" t="s">
        <v>73</v>
      </c>
      <c r="C230" s="464"/>
      <c r="D230" s="464"/>
      <c r="E230" s="464"/>
      <c r="F230" s="464"/>
      <c r="G230" s="464"/>
      <c r="H230" s="464"/>
      <c r="I230" s="464"/>
      <c r="J230" s="464"/>
      <c r="K230" s="464"/>
      <c r="L230" s="464"/>
      <c r="M230" s="464"/>
      <c r="N230" s="346">
        <f>+N242+N254+N266</f>
        <v>606</v>
      </c>
      <c r="O230" s="465">
        <f>N230/$N$239</f>
        <v>0.99507389162561577</v>
      </c>
      <c r="P230" s="416">
        <f>+P242+P254+P266</f>
        <v>86116</v>
      </c>
      <c r="Q230" s="465">
        <f t="shared" ref="Q230:Q237" si="2">P230/$P$239</f>
        <v>0.99551465828169794</v>
      </c>
      <c r="R230" s="460"/>
      <c r="S230" s="466"/>
      <c r="T230" s="262"/>
    </row>
    <row r="231" spans="1:20" s="263" customFormat="1" x14ac:dyDescent="0.25">
      <c r="A231" s="275"/>
      <c r="B231" s="331" t="s">
        <v>74</v>
      </c>
      <c r="C231" s="414"/>
      <c r="D231" s="414"/>
      <c r="E231" s="414"/>
      <c r="F231" s="414"/>
      <c r="G231" s="414"/>
      <c r="H231" s="414"/>
      <c r="I231" s="414"/>
      <c r="J231" s="414"/>
      <c r="K231" s="414"/>
      <c r="L231" s="414"/>
      <c r="M231" s="414"/>
      <c r="N231" s="331">
        <f>+N243+N255+N267</f>
        <v>1</v>
      </c>
      <c r="O231" s="415">
        <f t="shared" ref="O231:O237" si="3">N231/$N$239</f>
        <v>1.6420361247947454E-3</v>
      </c>
      <c r="P231" s="332">
        <f>+P243+P255+P267</f>
        <v>265</v>
      </c>
      <c r="Q231" s="415">
        <f t="shared" si="2"/>
        <v>3.0634421529640247E-3</v>
      </c>
      <c r="R231" s="389"/>
      <c r="S231" s="400"/>
      <c r="T231" s="262"/>
    </row>
    <row r="232" spans="1:20" s="263" customFormat="1" x14ac:dyDescent="0.25">
      <c r="A232" s="275"/>
      <c r="B232" s="331" t="s">
        <v>75</v>
      </c>
      <c r="C232" s="414"/>
      <c r="D232" s="414"/>
      <c r="E232" s="414"/>
      <c r="F232" s="414"/>
      <c r="G232" s="414"/>
      <c r="H232" s="414"/>
      <c r="I232" s="414"/>
      <c r="J232" s="414"/>
      <c r="K232" s="414"/>
      <c r="L232" s="414"/>
      <c r="M232" s="414"/>
      <c r="N232" s="331">
        <f t="shared" ref="N232:N237" si="4">+N244+N256+N268</f>
        <v>0</v>
      </c>
      <c r="O232" s="415">
        <f t="shared" si="3"/>
        <v>0</v>
      </c>
      <c r="P232" s="332">
        <f t="shared" ref="P232:P237" si="5">+P244+P256+P268</f>
        <v>0</v>
      </c>
      <c r="Q232" s="415">
        <f t="shared" si="2"/>
        <v>0</v>
      </c>
      <c r="R232" s="389"/>
      <c r="S232" s="400"/>
      <c r="T232" s="262"/>
    </row>
    <row r="233" spans="1:20" s="263" customFormat="1" x14ac:dyDescent="0.25">
      <c r="A233" s="275"/>
      <c r="B233" s="331" t="s">
        <v>120</v>
      </c>
      <c r="C233" s="414"/>
      <c r="D233" s="414"/>
      <c r="E233" s="414"/>
      <c r="F233" s="414"/>
      <c r="G233" s="414"/>
      <c r="H233" s="414"/>
      <c r="I233" s="414"/>
      <c r="J233" s="414"/>
      <c r="K233" s="414"/>
      <c r="L233" s="414"/>
      <c r="M233" s="414"/>
      <c r="N233" s="331">
        <f t="shared" si="4"/>
        <v>0</v>
      </c>
      <c r="O233" s="415">
        <f t="shared" si="3"/>
        <v>0</v>
      </c>
      <c r="P233" s="332">
        <f t="shared" si="5"/>
        <v>0</v>
      </c>
      <c r="Q233" s="415">
        <f t="shared" si="2"/>
        <v>0</v>
      </c>
      <c r="R233" s="389"/>
      <c r="S233" s="400"/>
      <c r="T233" s="262"/>
    </row>
    <row r="234" spans="1:20" s="263" customFormat="1" x14ac:dyDescent="0.25">
      <c r="A234" s="275"/>
      <c r="B234" s="331" t="s">
        <v>121</v>
      </c>
      <c r="C234" s="414"/>
      <c r="D234" s="414"/>
      <c r="E234" s="414"/>
      <c r="F234" s="414"/>
      <c r="G234" s="414"/>
      <c r="H234" s="414"/>
      <c r="I234" s="414"/>
      <c r="J234" s="414"/>
      <c r="K234" s="414"/>
      <c r="L234" s="414"/>
      <c r="M234" s="414"/>
      <c r="N234" s="331">
        <f t="shared" si="4"/>
        <v>0</v>
      </c>
      <c r="O234" s="415">
        <f t="shared" si="3"/>
        <v>0</v>
      </c>
      <c r="P234" s="332">
        <f t="shared" si="5"/>
        <v>0</v>
      </c>
      <c r="Q234" s="415">
        <f t="shared" si="2"/>
        <v>0</v>
      </c>
      <c r="R234" s="389"/>
      <c r="S234" s="400"/>
      <c r="T234" s="262"/>
    </row>
    <row r="235" spans="1:20" s="263" customFormat="1" x14ac:dyDescent="0.25">
      <c r="A235" s="275"/>
      <c r="B235" s="331" t="s">
        <v>122</v>
      </c>
      <c r="C235" s="414"/>
      <c r="D235" s="414"/>
      <c r="E235" s="414"/>
      <c r="F235" s="414"/>
      <c r="G235" s="414"/>
      <c r="H235" s="414"/>
      <c r="I235" s="414"/>
      <c r="J235" s="414"/>
      <c r="K235" s="414"/>
      <c r="L235" s="414"/>
      <c r="M235" s="414"/>
      <c r="N235" s="331">
        <f t="shared" si="4"/>
        <v>0</v>
      </c>
      <c r="O235" s="415">
        <f t="shared" si="3"/>
        <v>0</v>
      </c>
      <c r="P235" s="332">
        <f t="shared" si="5"/>
        <v>0</v>
      </c>
      <c r="Q235" s="415">
        <f t="shared" si="2"/>
        <v>0</v>
      </c>
      <c r="R235" s="389"/>
      <c r="S235" s="400"/>
      <c r="T235" s="262"/>
    </row>
    <row r="236" spans="1:20" s="263" customFormat="1" x14ac:dyDescent="0.25">
      <c r="A236" s="275"/>
      <c r="B236" s="331" t="s">
        <v>123</v>
      </c>
      <c r="C236" s="414"/>
      <c r="D236" s="414"/>
      <c r="E236" s="414"/>
      <c r="F236" s="414"/>
      <c r="G236" s="414"/>
      <c r="H236" s="414"/>
      <c r="I236" s="414"/>
      <c r="J236" s="414"/>
      <c r="K236" s="414"/>
      <c r="L236" s="414"/>
      <c r="M236" s="414"/>
      <c r="N236" s="331">
        <f t="shared" si="4"/>
        <v>2</v>
      </c>
      <c r="O236" s="415">
        <f t="shared" si="3"/>
        <v>3.2840722495894909E-3</v>
      </c>
      <c r="P236" s="332">
        <f t="shared" si="5"/>
        <v>123</v>
      </c>
      <c r="Q236" s="415">
        <f t="shared" si="2"/>
        <v>1.4218995653380191E-3</v>
      </c>
      <c r="R236" s="389"/>
      <c r="S236" s="400"/>
      <c r="T236" s="262"/>
    </row>
    <row r="237" spans="1:20" s="263" customFormat="1" x14ac:dyDescent="0.25">
      <c r="A237" s="275"/>
      <c r="B237" s="331" t="s">
        <v>124</v>
      </c>
      <c r="C237" s="414"/>
      <c r="D237" s="414"/>
      <c r="E237" s="414"/>
      <c r="F237" s="414"/>
      <c r="G237" s="414"/>
      <c r="H237" s="414"/>
      <c r="I237" s="414"/>
      <c r="J237" s="414"/>
      <c r="K237" s="414"/>
      <c r="L237" s="414"/>
      <c r="M237" s="414"/>
      <c r="N237" s="346">
        <f t="shared" si="4"/>
        <v>0</v>
      </c>
      <c r="O237" s="415">
        <f t="shared" si="3"/>
        <v>0</v>
      </c>
      <c r="P237" s="416">
        <f t="shared" si="5"/>
        <v>0</v>
      </c>
      <c r="Q237" s="415">
        <f t="shared" si="2"/>
        <v>0</v>
      </c>
      <c r="R237" s="389"/>
      <c r="S237" s="400"/>
      <c r="T237" s="262"/>
    </row>
    <row r="238" spans="1:20" s="263" customFormat="1" x14ac:dyDescent="0.25">
      <c r="A238" s="275"/>
      <c r="B238" s="331"/>
      <c r="C238" s="414"/>
      <c r="D238" s="414"/>
      <c r="E238" s="414"/>
      <c r="F238" s="414"/>
      <c r="G238" s="414"/>
      <c r="H238" s="414"/>
      <c r="I238" s="414"/>
      <c r="J238" s="414"/>
      <c r="K238" s="414"/>
      <c r="L238" s="414"/>
      <c r="M238" s="414"/>
      <c r="N238" s="331"/>
      <c r="O238" s="415"/>
      <c r="P238" s="332"/>
      <c r="Q238" s="415"/>
      <c r="R238" s="389"/>
      <c r="S238" s="400"/>
      <c r="T238" s="262"/>
    </row>
    <row r="239" spans="1:20" s="263" customFormat="1" x14ac:dyDescent="0.25">
      <c r="A239" s="275"/>
      <c r="B239" s="271" t="s">
        <v>95</v>
      </c>
      <c r="C239" s="271"/>
      <c r="D239" s="417"/>
      <c r="E239" s="417"/>
      <c r="F239" s="417"/>
      <c r="G239" s="417"/>
      <c r="H239" s="417"/>
      <c r="I239" s="417"/>
      <c r="J239" s="417"/>
      <c r="K239" s="417"/>
      <c r="L239" s="417"/>
      <c r="M239" s="417"/>
      <c r="N239" s="331">
        <f>SUM(N230:N238)</f>
        <v>609</v>
      </c>
      <c r="O239" s="415">
        <f>SUM(O230:O238)</f>
        <v>1</v>
      </c>
      <c r="P239" s="332">
        <f>SUM(P230:P238)</f>
        <v>86504</v>
      </c>
      <c r="Q239" s="415">
        <f>SUM(Q230:Q238)</f>
        <v>1</v>
      </c>
      <c r="R239" s="271"/>
      <c r="S239" s="274"/>
      <c r="T239" s="262"/>
    </row>
    <row r="240" spans="1:20" x14ac:dyDescent="0.25">
      <c r="A240" s="246"/>
      <c r="B240" s="384"/>
      <c r="C240" s="410"/>
      <c r="D240" s="333"/>
      <c r="E240" s="333"/>
      <c r="F240" s="333"/>
      <c r="G240" s="333"/>
      <c r="H240" s="333"/>
      <c r="I240" s="333"/>
      <c r="J240" s="333"/>
      <c r="K240" s="333"/>
      <c r="L240" s="333"/>
      <c r="M240" s="333"/>
      <c r="N240" s="333"/>
      <c r="O240" s="333"/>
      <c r="P240" s="412"/>
      <c r="Q240" s="333"/>
      <c r="R240" s="333"/>
      <c r="S240" s="249"/>
      <c r="T240" s="244"/>
    </row>
    <row r="241" spans="1:21" x14ac:dyDescent="0.25">
      <c r="A241" s="432"/>
      <c r="B241" s="445" t="s">
        <v>125</v>
      </c>
      <c r="C241" s="446"/>
      <c r="D241" s="446"/>
      <c r="E241" s="446"/>
      <c r="F241" s="446"/>
      <c r="G241" s="446"/>
      <c r="H241" s="446"/>
      <c r="I241" s="446"/>
      <c r="J241" s="446"/>
      <c r="K241" s="446"/>
      <c r="L241" s="446"/>
      <c r="M241" s="446"/>
      <c r="N241" s="462" t="s">
        <v>84</v>
      </c>
      <c r="O241" s="446" t="s">
        <v>85</v>
      </c>
      <c r="P241" s="462" t="s">
        <v>90</v>
      </c>
      <c r="Q241" s="446" t="s">
        <v>85</v>
      </c>
      <c r="R241" s="440"/>
      <c r="S241" s="463"/>
      <c r="T241" s="244"/>
    </row>
    <row r="242" spans="1:21" s="263" customFormat="1" x14ac:dyDescent="0.25">
      <c r="A242" s="258"/>
      <c r="B242" s="346" t="s">
        <v>73</v>
      </c>
      <c r="C242" s="464"/>
      <c r="D242" s="464"/>
      <c r="E242" s="464"/>
      <c r="F242" s="464"/>
      <c r="G242" s="464"/>
      <c r="H242" s="464"/>
      <c r="I242" s="464"/>
      <c r="J242" s="464"/>
      <c r="K242" s="464"/>
      <c r="L242" s="464"/>
      <c r="M242" s="464"/>
      <c r="N242" s="346">
        <v>606</v>
      </c>
      <c r="O242" s="465">
        <f>N242/$N$251</f>
        <v>1</v>
      </c>
      <c r="P242" s="416">
        <v>86116</v>
      </c>
      <c r="Q242" s="465">
        <f t="shared" ref="Q242:Q249" si="6">P242/$P$251</f>
        <v>1</v>
      </c>
      <c r="R242" s="460"/>
      <c r="S242" s="466"/>
      <c r="T242" s="262"/>
    </row>
    <row r="243" spans="1:21" s="263" customFormat="1" x14ac:dyDescent="0.25">
      <c r="A243" s="275"/>
      <c r="B243" s="331" t="s">
        <v>74</v>
      </c>
      <c r="C243" s="414"/>
      <c r="D243" s="414"/>
      <c r="E243" s="414"/>
      <c r="F243" s="414"/>
      <c r="G243" s="414"/>
      <c r="H243" s="414"/>
      <c r="I243" s="414"/>
      <c r="J243" s="414"/>
      <c r="K243" s="414"/>
      <c r="L243" s="414"/>
      <c r="M243" s="414"/>
      <c r="N243" s="331">
        <v>0</v>
      </c>
      <c r="O243" s="415">
        <f t="shared" ref="O243:O249" si="7">N243/$N$251</f>
        <v>0</v>
      </c>
      <c r="P243" s="332">
        <v>0</v>
      </c>
      <c r="Q243" s="415">
        <f t="shared" si="6"/>
        <v>0</v>
      </c>
      <c r="R243" s="389"/>
      <c r="S243" s="400"/>
      <c r="T243" s="262"/>
      <c r="U243" s="344"/>
    </row>
    <row r="244" spans="1:21" s="263" customFormat="1" x14ac:dyDescent="0.25">
      <c r="A244" s="275"/>
      <c r="B244" s="331" t="s">
        <v>75</v>
      </c>
      <c r="C244" s="414"/>
      <c r="D244" s="414"/>
      <c r="E244" s="414"/>
      <c r="F244" s="414"/>
      <c r="G244" s="414"/>
      <c r="H244" s="414"/>
      <c r="I244" s="414"/>
      <c r="J244" s="414"/>
      <c r="K244" s="414"/>
      <c r="L244" s="414"/>
      <c r="M244" s="414"/>
      <c r="N244" s="331">
        <v>0</v>
      </c>
      <c r="O244" s="415">
        <f t="shared" si="7"/>
        <v>0</v>
      </c>
      <c r="P244" s="332">
        <v>0</v>
      </c>
      <c r="Q244" s="415">
        <f t="shared" si="6"/>
        <v>0</v>
      </c>
      <c r="R244" s="389"/>
      <c r="S244" s="400"/>
      <c r="T244" s="262"/>
    </row>
    <row r="245" spans="1:21" s="263" customFormat="1" x14ac:dyDescent="0.25">
      <c r="A245" s="275"/>
      <c r="B245" s="331" t="s">
        <v>120</v>
      </c>
      <c r="C245" s="414"/>
      <c r="D245" s="414"/>
      <c r="E245" s="414"/>
      <c r="F245" s="414"/>
      <c r="G245" s="414"/>
      <c r="H245" s="414"/>
      <c r="I245" s="414"/>
      <c r="J245" s="414"/>
      <c r="K245" s="414"/>
      <c r="L245" s="414"/>
      <c r="M245" s="414"/>
      <c r="N245" s="331">
        <v>0</v>
      </c>
      <c r="O245" s="415">
        <f t="shared" si="7"/>
        <v>0</v>
      </c>
      <c r="P245" s="332">
        <v>0</v>
      </c>
      <c r="Q245" s="415">
        <f t="shared" si="6"/>
        <v>0</v>
      </c>
      <c r="R245" s="389"/>
      <c r="S245" s="400"/>
      <c r="T245" s="262"/>
      <c r="U245" s="344"/>
    </row>
    <row r="246" spans="1:21" s="263" customFormat="1" x14ac:dyDescent="0.25">
      <c r="A246" s="275"/>
      <c r="B246" s="331" t="s">
        <v>121</v>
      </c>
      <c r="C246" s="414"/>
      <c r="D246" s="414"/>
      <c r="E246" s="414"/>
      <c r="F246" s="414"/>
      <c r="G246" s="414"/>
      <c r="H246" s="414"/>
      <c r="I246" s="414"/>
      <c r="J246" s="414"/>
      <c r="K246" s="414"/>
      <c r="L246" s="414"/>
      <c r="M246" s="414"/>
      <c r="N246" s="331">
        <v>0</v>
      </c>
      <c r="O246" s="415">
        <f t="shared" si="7"/>
        <v>0</v>
      </c>
      <c r="P246" s="332">
        <v>0</v>
      </c>
      <c r="Q246" s="415">
        <f t="shared" si="6"/>
        <v>0</v>
      </c>
      <c r="R246" s="389"/>
      <c r="S246" s="400"/>
      <c r="T246" s="262"/>
    </row>
    <row r="247" spans="1:21" s="263" customFormat="1" x14ac:dyDescent="0.25">
      <c r="A247" s="275"/>
      <c r="B247" s="331" t="s">
        <v>122</v>
      </c>
      <c r="C247" s="414"/>
      <c r="D247" s="414"/>
      <c r="E247" s="414"/>
      <c r="F247" s="414"/>
      <c r="G247" s="414"/>
      <c r="H247" s="414"/>
      <c r="I247" s="414"/>
      <c r="J247" s="414"/>
      <c r="K247" s="414"/>
      <c r="L247" s="414"/>
      <c r="M247" s="414"/>
      <c r="N247" s="331">
        <v>0</v>
      </c>
      <c r="O247" s="415">
        <f t="shared" si="7"/>
        <v>0</v>
      </c>
      <c r="P247" s="332">
        <v>0</v>
      </c>
      <c r="Q247" s="415">
        <f t="shared" si="6"/>
        <v>0</v>
      </c>
      <c r="R247" s="389"/>
      <c r="S247" s="400"/>
      <c r="T247" s="262"/>
      <c r="U247" s="344"/>
    </row>
    <row r="248" spans="1:21" s="263" customFormat="1" x14ac:dyDescent="0.25">
      <c r="A248" s="275"/>
      <c r="B248" s="331" t="s">
        <v>123</v>
      </c>
      <c r="C248" s="414"/>
      <c r="D248" s="414"/>
      <c r="E248" s="414"/>
      <c r="F248" s="414"/>
      <c r="G248" s="414"/>
      <c r="H248" s="414"/>
      <c r="I248" s="414"/>
      <c r="J248" s="414"/>
      <c r="K248" s="414"/>
      <c r="L248" s="414"/>
      <c r="M248" s="414"/>
      <c r="N248" s="331">
        <v>0</v>
      </c>
      <c r="O248" s="415">
        <f t="shared" si="7"/>
        <v>0</v>
      </c>
      <c r="P248" s="332">
        <v>0</v>
      </c>
      <c r="Q248" s="415">
        <f t="shared" si="6"/>
        <v>0</v>
      </c>
      <c r="R248" s="389"/>
      <c r="S248" s="400"/>
      <c r="T248" s="262"/>
    </row>
    <row r="249" spans="1:21" s="263" customFormat="1" x14ac:dyDescent="0.25">
      <c r="A249" s="275"/>
      <c r="B249" s="331" t="s">
        <v>124</v>
      </c>
      <c r="C249" s="414"/>
      <c r="D249" s="414"/>
      <c r="E249" s="414"/>
      <c r="F249" s="414"/>
      <c r="G249" s="414"/>
      <c r="H249" s="414"/>
      <c r="I249" s="414"/>
      <c r="J249" s="414"/>
      <c r="K249" s="414"/>
      <c r="L249" s="414"/>
      <c r="M249" s="414"/>
      <c r="N249" s="331">
        <v>0</v>
      </c>
      <c r="O249" s="415">
        <f t="shared" si="7"/>
        <v>0</v>
      </c>
      <c r="P249" s="332">
        <v>0</v>
      </c>
      <c r="Q249" s="415">
        <f t="shared" si="6"/>
        <v>0</v>
      </c>
      <c r="R249" s="389"/>
      <c r="S249" s="400"/>
      <c r="T249" s="262"/>
      <c r="U249" s="344"/>
    </row>
    <row r="250" spans="1:21" s="263" customFormat="1" x14ac:dyDescent="0.25">
      <c r="A250" s="275"/>
      <c r="B250" s="331"/>
      <c r="C250" s="414"/>
      <c r="D250" s="414"/>
      <c r="E250" s="414"/>
      <c r="F250" s="414"/>
      <c r="G250" s="414"/>
      <c r="H250" s="414"/>
      <c r="I250" s="414"/>
      <c r="J250" s="414"/>
      <c r="K250" s="414"/>
      <c r="L250" s="414"/>
      <c r="M250" s="414"/>
      <c r="N250" s="331"/>
      <c r="O250" s="415"/>
      <c r="P250" s="332"/>
      <c r="Q250" s="415"/>
      <c r="R250" s="389"/>
      <c r="S250" s="400"/>
      <c r="T250" s="262"/>
    </row>
    <row r="251" spans="1:21" s="263" customFormat="1" x14ac:dyDescent="0.25">
      <c r="A251" s="275"/>
      <c r="B251" s="271" t="s">
        <v>95</v>
      </c>
      <c r="C251" s="271"/>
      <c r="D251" s="417"/>
      <c r="E251" s="417"/>
      <c r="F251" s="417"/>
      <c r="G251" s="417"/>
      <c r="H251" s="417"/>
      <c r="I251" s="417"/>
      <c r="J251" s="417"/>
      <c r="K251" s="417"/>
      <c r="L251" s="417"/>
      <c r="M251" s="417"/>
      <c r="N251" s="331">
        <f>SUM(N242:N250)</f>
        <v>606</v>
      </c>
      <c r="O251" s="415">
        <f>SUM(O242:O250)</f>
        <v>1</v>
      </c>
      <c r="P251" s="332">
        <f>SUM(P242:P250)</f>
        <v>86116</v>
      </c>
      <c r="Q251" s="415">
        <f>SUM(Q242:Q250)</f>
        <v>1</v>
      </c>
      <c r="R251" s="271"/>
      <c r="S251" s="274"/>
      <c r="T251" s="262"/>
    </row>
    <row r="252" spans="1:21" x14ac:dyDescent="0.25">
      <c r="A252" s="246"/>
      <c r="B252" s="333"/>
      <c r="C252" s="333"/>
      <c r="D252" s="418"/>
      <c r="E252" s="418"/>
      <c r="F252" s="418"/>
      <c r="G252" s="418"/>
      <c r="H252" s="418"/>
      <c r="I252" s="418"/>
      <c r="J252" s="418"/>
      <c r="K252" s="418"/>
      <c r="L252" s="418"/>
      <c r="M252" s="418"/>
      <c r="N252" s="334"/>
      <c r="O252" s="419"/>
      <c r="P252" s="420"/>
      <c r="Q252" s="419"/>
      <c r="R252" s="333"/>
      <c r="S252" s="249"/>
      <c r="T252" s="244"/>
    </row>
    <row r="253" spans="1:21" x14ac:dyDescent="0.25">
      <c r="A253" s="432"/>
      <c r="B253" s="445" t="s">
        <v>149</v>
      </c>
      <c r="C253" s="446"/>
      <c r="D253" s="446"/>
      <c r="E253" s="446"/>
      <c r="F253" s="446"/>
      <c r="G253" s="446"/>
      <c r="H253" s="446"/>
      <c r="I253" s="446"/>
      <c r="J253" s="446"/>
      <c r="K253" s="446"/>
      <c r="L253" s="446"/>
      <c r="M253" s="446"/>
      <c r="N253" s="462" t="s">
        <v>84</v>
      </c>
      <c r="O253" s="446" t="s">
        <v>85</v>
      </c>
      <c r="P253" s="462" t="s">
        <v>90</v>
      </c>
      <c r="Q253" s="446" t="s">
        <v>85</v>
      </c>
      <c r="R253" s="440"/>
      <c r="S253" s="434"/>
      <c r="T253" s="244"/>
    </row>
    <row r="254" spans="1:21" s="263" customFormat="1" x14ac:dyDescent="0.25">
      <c r="A254" s="258"/>
      <c r="B254" s="346" t="s">
        <v>73</v>
      </c>
      <c r="C254" s="464"/>
      <c r="D254" s="464"/>
      <c r="E254" s="464"/>
      <c r="F254" s="464"/>
      <c r="G254" s="464"/>
      <c r="H254" s="464"/>
      <c r="I254" s="464"/>
      <c r="J254" s="464"/>
      <c r="K254" s="464"/>
      <c r="L254" s="464"/>
      <c r="M254" s="464"/>
      <c r="N254" s="346">
        <v>0</v>
      </c>
      <c r="O254" s="465">
        <v>0</v>
      </c>
      <c r="P254" s="416">
        <v>0</v>
      </c>
      <c r="Q254" s="465">
        <v>0</v>
      </c>
      <c r="R254" s="313"/>
      <c r="S254" s="261"/>
      <c r="T254" s="262"/>
    </row>
    <row r="255" spans="1:21" s="263" customFormat="1" x14ac:dyDescent="0.25">
      <c r="A255" s="275"/>
      <c r="B255" s="331" t="s">
        <v>74</v>
      </c>
      <c r="C255" s="414"/>
      <c r="D255" s="414"/>
      <c r="E255" s="414"/>
      <c r="F255" s="414"/>
      <c r="G255" s="414"/>
      <c r="H255" s="414"/>
      <c r="I255" s="414"/>
      <c r="J255" s="414"/>
      <c r="K255" s="414"/>
      <c r="L255" s="414"/>
      <c r="M255" s="414"/>
      <c r="N255" s="331">
        <v>1</v>
      </c>
      <c r="O255" s="415">
        <f>N255/N263</f>
        <v>0.33333333333333331</v>
      </c>
      <c r="P255" s="332">
        <v>265</v>
      </c>
      <c r="Q255" s="415">
        <f>P255/$P$263</f>
        <v>0.6829896907216495</v>
      </c>
      <c r="R255" s="271"/>
      <c r="S255" s="274"/>
      <c r="T255" s="262"/>
    </row>
    <row r="256" spans="1:21" s="263" customFormat="1" x14ac:dyDescent="0.25">
      <c r="A256" s="275"/>
      <c r="B256" s="331" t="s">
        <v>75</v>
      </c>
      <c r="C256" s="414"/>
      <c r="D256" s="414"/>
      <c r="E256" s="414"/>
      <c r="F256" s="414"/>
      <c r="G256" s="414"/>
      <c r="H256" s="414"/>
      <c r="I256" s="414"/>
      <c r="J256" s="414"/>
      <c r="K256" s="414"/>
      <c r="L256" s="414"/>
      <c r="M256" s="414"/>
      <c r="N256" s="331">
        <v>0</v>
      </c>
      <c r="O256" s="415">
        <f>N256/N263</f>
        <v>0</v>
      </c>
      <c r="P256" s="332">
        <v>0</v>
      </c>
      <c r="Q256" s="415">
        <f>P256/P263</f>
        <v>0</v>
      </c>
      <c r="R256" s="271"/>
      <c r="S256" s="274"/>
      <c r="T256" s="262"/>
    </row>
    <row r="257" spans="1:20" s="263" customFormat="1" x14ac:dyDescent="0.25">
      <c r="A257" s="275"/>
      <c r="B257" s="331" t="s">
        <v>120</v>
      </c>
      <c r="C257" s="414"/>
      <c r="D257" s="414"/>
      <c r="E257" s="414"/>
      <c r="F257" s="414"/>
      <c r="G257" s="414"/>
      <c r="H257" s="414"/>
      <c r="I257" s="414"/>
      <c r="J257" s="414"/>
      <c r="K257" s="414"/>
      <c r="L257" s="414"/>
      <c r="M257" s="414"/>
      <c r="N257" s="331">
        <v>0</v>
      </c>
      <c r="O257" s="415">
        <f>N257/N263</f>
        <v>0</v>
      </c>
      <c r="P257" s="332">
        <v>0</v>
      </c>
      <c r="Q257" s="415">
        <f>P257/P263</f>
        <v>0</v>
      </c>
      <c r="R257" s="271"/>
      <c r="S257" s="274"/>
      <c r="T257" s="262"/>
    </row>
    <row r="258" spans="1:20" s="263" customFormat="1" x14ac:dyDescent="0.25">
      <c r="A258" s="275"/>
      <c r="B258" s="331" t="s">
        <v>121</v>
      </c>
      <c r="C258" s="414"/>
      <c r="D258" s="414"/>
      <c r="E258" s="414"/>
      <c r="F258" s="414"/>
      <c r="G258" s="414"/>
      <c r="H258" s="414"/>
      <c r="I258" s="414"/>
      <c r="J258" s="414"/>
      <c r="K258" s="414"/>
      <c r="L258" s="414"/>
      <c r="M258" s="414"/>
      <c r="N258" s="331">
        <v>0</v>
      </c>
      <c r="O258" s="415">
        <f>N258/N263</f>
        <v>0</v>
      </c>
      <c r="P258" s="332">
        <v>0</v>
      </c>
      <c r="Q258" s="415">
        <f>P258/P263</f>
        <v>0</v>
      </c>
      <c r="R258" s="271"/>
      <c r="S258" s="274"/>
      <c r="T258" s="262"/>
    </row>
    <row r="259" spans="1:20" s="263" customFormat="1" x14ac:dyDescent="0.25">
      <c r="A259" s="275"/>
      <c r="B259" s="331" t="s">
        <v>122</v>
      </c>
      <c r="C259" s="414"/>
      <c r="D259" s="414"/>
      <c r="E259" s="414"/>
      <c r="F259" s="414"/>
      <c r="G259" s="414"/>
      <c r="H259" s="414"/>
      <c r="I259" s="414"/>
      <c r="J259" s="414"/>
      <c r="K259" s="414"/>
      <c r="L259" s="414"/>
      <c r="M259" s="414"/>
      <c r="N259" s="331">
        <v>0</v>
      </c>
      <c r="O259" s="415">
        <f>N259/N263</f>
        <v>0</v>
      </c>
      <c r="P259" s="332">
        <v>0</v>
      </c>
      <c r="Q259" s="415">
        <f>P259/P263</f>
        <v>0</v>
      </c>
      <c r="R259" s="271"/>
      <c r="S259" s="274"/>
      <c r="T259" s="262"/>
    </row>
    <row r="260" spans="1:20" s="263" customFormat="1" x14ac:dyDescent="0.25">
      <c r="A260" s="275"/>
      <c r="B260" s="331" t="s">
        <v>123</v>
      </c>
      <c r="C260" s="414"/>
      <c r="D260" s="414"/>
      <c r="E260" s="414"/>
      <c r="F260" s="414"/>
      <c r="G260" s="414"/>
      <c r="H260" s="414"/>
      <c r="I260" s="414"/>
      <c r="J260" s="414"/>
      <c r="K260" s="414"/>
      <c r="L260" s="414"/>
      <c r="M260" s="414"/>
      <c r="N260" s="331">
        <v>2</v>
      </c>
      <c r="O260" s="415">
        <f>N260/N263</f>
        <v>0.66666666666666663</v>
      </c>
      <c r="P260" s="332">
        <v>123</v>
      </c>
      <c r="Q260" s="415">
        <f>P260/P263</f>
        <v>0.3170103092783505</v>
      </c>
      <c r="R260" s="271"/>
      <c r="S260" s="274"/>
      <c r="T260" s="262"/>
    </row>
    <row r="261" spans="1:20" s="263" customFormat="1" x14ac:dyDescent="0.25">
      <c r="A261" s="275"/>
      <c r="B261" s="331" t="s">
        <v>124</v>
      </c>
      <c r="C261" s="414"/>
      <c r="D261" s="414"/>
      <c r="E261" s="414"/>
      <c r="F261" s="414"/>
      <c r="G261" s="414"/>
      <c r="H261" s="414"/>
      <c r="I261" s="414"/>
      <c r="J261" s="414"/>
      <c r="K261" s="414"/>
      <c r="L261" s="414"/>
      <c r="M261" s="414"/>
      <c r="N261" s="331">
        <v>0</v>
      </c>
      <c r="O261" s="415">
        <f>N261/N263</f>
        <v>0</v>
      </c>
      <c r="P261" s="332">
        <v>0</v>
      </c>
      <c r="Q261" s="415">
        <f>P261/P263</f>
        <v>0</v>
      </c>
      <c r="R261" s="271"/>
      <c r="S261" s="274"/>
      <c r="T261" s="262"/>
    </row>
    <row r="262" spans="1:20" s="263" customFormat="1" x14ac:dyDescent="0.25">
      <c r="A262" s="275"/>
      <c r="B262" s="331"/>
      <c r="C262" s="414"/>
      <c r="D262" s="414"/>
      <c r="E262" s="414"/>
      <c r="F262" s="414"/>
      <c r="G262" s="414"/>
      <c r="H262" s="414"/>
      <c r="I262" s="414"/>
      <c r="J262" s="414"/>
      <c r="K262" s="414"/>
      <c r="L262" s="414"/>
      <c r="M262" s="414"/>
      <c r="N262" s="331"/>
      <c r="O262" s="415"/>
      <c r="P262" s="332"/>
      <c r="Q262" s="415"/>
      <c r="R262" s="271"/>
      <c r="S262" s="274"/>
      <c r="T262" s="262"/>
    </row>
    <row r="263" spans="1:20" s="263" customFormat="1" x14ac:dyDescent="0.25">
      <c r="A263" s="275"/>
      <c r="B263" s="271" t="s">
        <v>95</v>
      </c>
      <c r="C263" s="271"/>
      <c r="D263" s="417"/>
      <c r="E263" s="417"/>
      <c r="F263" s="417"/>
      <c r="G263" s="417"/>
      <c r="H263" s="417"/>
      <c r="I263" s="417"/>
      <c r="J263" s="417"/>
      <c r="K263" s="417"/>
      <c r="L263" s="417"/>
      <c r="M263" s="417"/>
      <c r="N263" s="331">
        <f>SUM(N254:N262)</f>
        <v>3</v>
      </c>
      <c r="O263" s="415">
        <f>SUM(O254:O262)</f>
        <v>1</v>
      </c>
      <c r="P263" s="332">
        <f>SUM(P254:P262)</f>
        <v>388</v>
      </c>
      <c r="Q263" s="415">
        <f>SUM(Q254:Q262)</f>
        <v>1</v>
      </c>
      <c r="R263" s="271"/>
      <c r="S263" s="274"/>
      <c r="T263" s="262"/>
    </row>
    <row r="264" spans="1:20" x14ac:dyDescent="0.25">
      <c r="A264" s="246"/>
      <c r="B264" s="333"/>
      <c r="C264" s="333"/>
      <c r="D264" s="418"/>
      <c r="E264" s="418"/>
      <c r="F264" s="418"/>
      <c r="G264" s="418"/>
      <c r="H264" s="418"/>
      <c r="I264" s="418"/>
      <c r="J264" s="418"/>
      <c r="K264" s="418"/>
      <c r="L264" s="418"/>
      <c r="M264" s="418"/>
      <c r="N264" s="334"/>
      <c r="O264" s="419"/>
      <c r="P264" s="420"/>
      <c r="Q264" s="419"/>
      <c r="R264" s="333"/>
      <c r="S264" s="249"/>
      <c r="T264" s="244"/>
    </row>
    <row r="265" spans="1:20" x14ac:dyDescent="0.25">
      <c r="A265" s="432"/>
      <c r="B265" s="445" t="s">
        <v>126</v>
      </c>
      <c r="C265" s="440"/>
      <c r="D265" s="468"/>
      <c r="E265" s="468"/>
      <c r="F265" s="468"/>
      <c r="G265" s="468"/>
      <c r="H265" s="468"/>
      <c r="I265" s="468"/>
      <c r="J265" s="468"/>
      <c r="K265" s="468"/>
      <c r="L265" s="468"/>
      <c r="M265" s="468"/>
      <c r="N265" s="462" t="s">
        <v>84</v>
      </c>
      <c r="O265" s="446" t="s">
        <v>85</v>
      </c>
      <c r="P265" s="462" t="s">
        <v>90</v>
      </c>
      <c r="Q265" s="446" t="s">
        <v>85</v>
      </c>
      <c r="R265" s="440"/>
      <c r="S265" s="434"/>
      <c r="T265" s="244"/>
    </row>
    <row r="266" spans="1:20" s="263" customFormat="1" x14ac:dyDescent="0.25">
      <c r="A266" s="258"/>
      <c r="B266" s="346" t="s">
        <v>73</v>
      </c>
      <c r="C266" s="313"/>
      <c r="D266" s="467"/>
      <c r="E266" s="467"/>
      <c r="F266" s="467"/>
      <c r="G266" s="467"/>
      <c r="H266" s="467"/>
      <c r="I266" s="467"/>
      <c r="J266" s="467"/>
      <c r="K266" s="467"/>
      <c r="L266" s="467"/>
      <c r="M266" s="467"/>
      <c r="N266" s="346">
        <v>0</v>
      </c>
      <c r="O266" s="465">
        <v>0</v>
      </c>
      <c r="P266" s="416">
        <v>0</v>
      </c>
      <c r="Q266" s="465">
        <v>0</v>
      </c>
      <c r="R266" s="313"/>
      <c r="S266" s="261"/>
      <c r="T266" s="262"/>
    </row>
    <row r="267" spans="1:20" s="263" customFormat="1" x14ac:dyDescent="0.25">
      <c r="A267" s="275"/>
      <c r="B267" s="331" t="s">
        <v>74</v>
      </c>
      <c r="C267" s="271"/>
      <c r="D267" s="417"/>
      <c r="E267" s="417"/>
      <c r="F267" s="417"/>
      <c r="G267" s="417"/>
      <c r="H267" s="417"/>
      <c r="I267" s="417"/>
      <c r="J267" s="417"/>
      <c r="K267" s="417"/>
      <c r="L267" s="417"/>
      <c r="M267" s="417"/>
      <c r="N267" s="331">
        <v>0</v>
      </c>
      <c r="O267" s="415">
        <v>0</v>
      </c>
      <c r="P267" s="332">
        <v>0</v>
      </c>
      <c r="Q267" s="415">
        <v>0</v>
      </c>
      <c r="R267" s="271"/>
      <c r="S267" s="274"/>
      <c r="T267" s="262"/>
    </row>
    <row r="268" spans="1:20" s="263" customFormat="1" x14ac:dyDescent="0.25">
      <c r="A268" s="275"/>
      <c r="B268" s="331" t="s">
        <v>75</v>
      </c>
      <c r="C268" s="271"/>
      <c r="D268" s="417"/>
      <c r="E268" s="417"/>
      <c r="F268" s="417"/>
      <c r="G268" s="417"/>
      <c r="H268" s="417"/>
      <c r="I268" s="417"/>
      <c r="J268" s="417"/>
      <c r="K268" s="417"/>
      <c r="L268" s="417"/>
      <c r="M268" s="417"/>
      <c r="N268" s="331">
        <v>0</v>
      </c>
      <c r="O268" s="415">
        <v>0</v>
      </c>
      <c r="P268" s="332">
        <v>0</v>
      </c>
      <c r="Q268" s="415">
        <v>0</v>
      </c>
      <c r="R268" s="271"/>
      <c r="S268" s="274"/>
      <c r="T268" s="262"/>
    </row>
    <row r="269" spans="1:20" s="263" customFormat="1" x14ac:dyDescent="0.25">
      <c r="A269" s="275"/>
      <c r="B269" s="331" t="s">
        <v>120</v>
      </c>
      <c r="C269" s="271"/>
      <c r="D269" s="417"/>
      <c r="E269" s="417"/>
      <c r="F269" s="417"/>
      <c r="G269" s="417"/>
      <c r="H269" s="417"/>
      <c r="I269" s="417"/>
      <c r="J269" s="417"/>
      <c r="K269" s="417"/>
      <c r="L269" s="417"/>
      <c r="M269" s="417"/>
      <c r="N269" s="331">
        <v>0</v>
      </c>
      <c r="O269" s="415">
        <v>0</v>
      </c>
      <c r="P269" s="332">
        <v>0</v>
      </c>
      <c r="Q269" s="415">
        <v>0</v>
      </c>
      <c r="R269" s="271"/>
      <c r="S269" s="274"/>
      <c r="T269" s="262"/>
    </row>
    <row r="270" spans="1:20" s="263" customFormat="1" x14ac:dyDescent="0.25">
      <c r="A270" s="275"/>
      <c r="B270" s="331" t="s">
        <v>121</v>
      </c>
      <c r="C270" s="271"/>
      <c r="D270" s="417"/>
      <c r="E270" s="417"/>
      <c r="F270" s="417"/>
      <c r="G270" s="417"/>
      <c r="H270" s="417"/>
      <c r="I270" s="417"/>
      <c r="J270" s="417"/>
      <c r="K270" s="417"/>
      <c r="L270" s="417"/>
      <c r="M270" s="417"/>
      <c r="N270" s="331">
        <v>0</v>
      </c>
      <c r="O270" s="415">
        <v>0</v>
      </c>
      <c r="P270" s="332">
        <v>0</v>
      </c>
      <c r="Q270" s="415">
        <v>0</v>
      </c>
      <c r="R270" s="271"/>
      <c r="S270" s="274"/>
      <c r="T270" s="262"/>
    </row>
    <row r="271" spans="1:20" s="263" customFormat="1" x14ac:dyDescent="0.25">
      <c r="A271" s="275"/>
      <c r="B271" s="331" t="s">
        <v>122</v>
      </c>
      <c r="C271" s="271"/>
      <c r="D271" s="417"/>
      <c r="E271" s="417"/>
      <c r="F271" s="417"/>
      <c r="G271" s="417"/>
      <c r="H271" s="417"/>
      <c r="I271" s="417"/>
      <c r="J271" s="417"/>
      <c r="K271" s="417"/>
      <c r="L271" s="417"/>
      <c r="M271" s="417"/>
      <c r="N271" s="331">
        <v>0</v>
      </c>
      <c r="O271" s="415">
        <v>0</v>
      </c>
      <c r="P271" s="332">
        <v>0</v>
      </c>
      <c r="Q271" s="415">
        <v>0</v>
      </c>
      <c r="R271" s="271"/>
      <c r="S271" s="274"/>
      <c r="T271" s="262"/>
    </row>
    <row r="272" spans="1:20" s="263" customFormat="1" x14ac:dyDescent="0.25">
      <c r="A272" s="275"/>
      <c r="B272" s="331" t="s">
        <v>123</v>
      </c>
      <c r="C272" s="271"/>
      <c r="D272" s="417"/>
      <c r="E272" s="417"/>
      <c r="F272" s="417"/>
      <c r="G272" s="417"/>
      <c r="H272" s="417"/>
      <c r="I272" s="417"/>
      <c r="J272" s="417"/>
      <c r="K272" s="417"/>
      <c r="L272" s="417"/>
      <c r="M272" s="417"/>
      <c r="N272" s="331">
        <v>0</v>
      </c>
      <c r="O272" s="415">
        <v>0</v>
      </c>
      <c r="P272" s="332">
        <v>0</v>
      </c>
      <c r="Q272" s="415">
        <v>0</v>
      </c>
      <c r="R272" s="271"/>
      <c r="S272" s="274"/>
      <c r="T272" s="262"/>
    </row>
    <row r="273" spans="1:20" s="263" customFormat="1" x14ac:dyDescent="0.25">
      <c r="A273" s="275"/>
      <c r="B273" s="331" t="s">
        <v>124</v>
      </c>
      <c r="C273" s="271"/>
      <c r="D273" s="417"/>
      <c r="E273" s="417"/>
      <c r="F273" s="417"/>
      <c r="G273" s="417"/>
      <c r="H273" s="417"/>
      <c r="I273" s="417"/>
      <c r="J273" s="417"/>
      <c r="K273" s="417"/>
      <c r="L273" s="417"/>
      <c r="M273" s="417"/>
      <c r="N273" s="331">
        <v>0</v>
      </c>
      <c r="O273" s="415">
        <v>0</v>
      </c>
      <c r="P273" s="332">
        <v>0</v>
      </c>
      <c r="Q273" s="415">
        <v>0</v>
      </c>
      <c r="R273" s="271"/>
      <c r="S273" s="274"/>
      <c r="T273" s="262"/>
    </row>
    <row r="274" spans="1:20" s="263" customFormat="1" x14ac:dyDescent="0.25">
      <c r="A274" s="275"/>
      <c r="B274" s="331"/>
      <c r="C274" s="271"/>
      <c r="D274" s="417"/>
      <c r="E274" s="417"/>
      <c r="F274" s="417"/>
      <c r="G274" s="417"/>
      <c r="H274" s="417"/>
      <c r="I274" s="417"/>
      <c r="J274" s="417"/>
      <c r="K274" s="417"/>
      <c r="L274" s="417"/>
      <c r="M274" s="417"/>
      <c r="N274" s="331"/>
      <c r="O274" s="415"/>
      <c r="P274" s="332"/>
      <c r="Q274" s="415"/>
      <c r="R274" s="271"/>
      <c r="S274" s="274"/>
      <c r="T274" s="262"/>
    </row>
    <row r="275" spans="1:20" s="263" customFormat="1" x14ac:dyDescent="0.25">
      <c r="A275" s="275"/>
      <c r="B275" s="271" t="s">
        <v>95</v>
      </c>
      <c r="C275" s="271"/>
      <c r="D275" s="417"/>
      <c r="E275" s="417"/>
      <c r="F275" s="417"/>
      <c r="G275" s="417"/>
      <c r="H275" s="417"/>
      <c r="I275" s="417"/>
      <c r="J275" s="417"/>
      <c r="K275" s="417"/>
      <c r="L275" s="417"/>
      <c r="M275" s="417"/>
      <c r="N275" s="331">
        <f>SUM(N266:N273)</f>
        <v>0</v>
      </c>
      <c r="O275" s="415">
        <f>SUM(O266:O273)</f>
        <v>0</v>
      </c>
      <c r="P275" s="332">
        <f>SUM(P266:P273)</f>
        <v>0</v>
      </c>
      <c r="Q275" s="415">
        <f>SUM(Q266:Q273)</f>
        <v>0</v>
      </c>
      <c r="R275" s="271"/>
      <c r="S275" s="274"/>
      <c r="T275" s="262"/>
    </row>
    <row r="276" spans="1:20" s="263" customFormat="1" x14ac:dyDescent="0.25">
      <c r="A276" s="275"/>
      <c r="B276" s="271"/>
      <c r="C276" s="271"/>
      <c r="D276" s="417"/>
      <c r="E276" s="417"/>
      <c r="F276" s="417"/>
      <c r="G276" s="417"/>
      <c r="H276" s="417"/>
      <c r="I276" s="417"/>
      <c r="J276" s="417"/>
      <c r="K276" s="417"/>
      <c r="L276" s="417"/>
      <c r="M276" s="417"/>
      <c r="N276" s="331"/>
      <c r="O276" s="415"/>
      <c r="P276" s="332"/>
      <c r="Q276" s="415"/>
      <c r="R276" s="271"/>
      <c r="S276" s="274"/>
      <c r="T276" s="262"/>
    </row>
    <row r="277" spans="1:20" s="263" customFormat="1" x14ac:dyDescent="0.25">
      <c r="A277" s="275"/>
      <c r="B277" s="276" t="s">
        <v>184</v>
      </c>
      <c r="C277" s="271"/>
      <c r="D277" s="417"/>
      <c r="E277" s="417"/>
      <c r="F277" s="417"/>
      <c r="G277" s="417"/>
      <c r="H277" s="417"/>
      <c r="I277" s="417"/>
      <c r="J277" s="417"/>
      <c r="K277" s="417"/>
      <c r="L277" s="417"/>
      <c r="M277" s="417"/>
      <c r="N277" s="421">
        <f>N275+N263+N251</f>
        <v>609</v>
      </c>
      <c r="O277" s="415"/>
      <c r="P277" s="422">
        <f>+P275+P263+P251</f>
        <v>86504</v>
      </c>
      <c r="Q277" s="415"/>
      <c r="R277" s="271"/>
      <c r="S277" s="274"/>
      <c r="T277" s="262"/>
    </row>
    <row r="278" spans="1:20" s="263" customFormat="1" x14ac:dyDescent="0.25">
      <c r="A278" s="275"/>
      <c r="B278" s="276" t="s">
        <v>241</v>
      </c>
      <c r="C278" s="276"/>
      <c r="D278" s="423"/>
      <c r="E278" s="423"/>
      <c r="F278" s="423"/>
      <c r="G278" s="423"/>
      <c r="H278" s="423"/>
      <c r="I278" s="423"/>
      <c r="J278" s="423"/>
      <c r="K278" s="423"/>
      <c r="L278" s="423"/>
      <c r="M278" s="423"/>
      <c r="N278" s="421"/>
      <c r="O278" s="424"/>
      <c r="P278" s="422">
        <f>+R166+R146</f>
        <v>0</v>
      </c>
      <c r="Q278" s="415"/>
      <c r="R278" s="271"/>
      <c r="S278" s="274"/>
      <c r="T278" s="262"/>
    </row>
    <row r="279" spans="1:20" s="263" customFormat="1" x14ac:dyDescent="0.25">
      <c r="A279" s="275"/>
      <c r="B279" s="276" t="s">
        <v>127</v>
      </c>
      <c r="C279" s="276"/>
      <c r="D279" s="423"/>
      <c r="E279" s="423"/>
      <c r="F279" s="423"/>
      <c r="G279" s="423"/>
      <c r="H279" s="423"/>
      <c r="I279" s="423"/>
      <c r="J279" s="423"/>
      <c r="K279" s="423"/>
      <c r="L279" s="423"/>
      <c r="M279" s="423"/>
      <c r="N279" s="421"/>
      <c r="O279" s="424"/>
      <c r="P279" s="422">
        <f>+P277+P278</f>
        <v>86504</v>
      </c>
      <c r="Q279" s="415"/>
      <c r="R279" s="271"/>
      <c r="S279" s="274"/>
      <c r="T279" s="262"/>
    </row>
    <row r="280" spans="1:20" s="263" customFormat="1" x14ac:dyDescent="0.25">
      <c r="A280" s="275"/>
      <c r="B280" s="276" t="s">
        <v>183</v>
      </c>
      <c r="C280" s="271"/>
      <c r="D280" s="417"/>
      <c r="E280" s="417"/>
      <c r="F280" s="417"/>
      <c r="G280" s="417"/>
      <c r="H280" s="417"/>
      <c r="I280" s="417"/>
      <c r="J280" s="417"/>
      <c r="K280" s="417"/>
      <c r="L280" s="417"/>
      <c r="M280" s="417"/>
      <c r="N280" s="421"/>
      <c r="O280" s="415"/>
      <c r="P280" s="422">
        <f>+R72</f>
        <v>86504</v>
      </c>
      <c r="Q280" s="415"/>
      <c r="R280" s="271"/>
      <c r="S280" s="274"/>
      <c r="T280" s="262"/>
    </row>
    <row r="281" spans="1:20" s="263" customFormat="1" x14ac:dyDescent="0.25">
      <c r="A281" s="275"/>
      <c r="B281" s="276"/>
      <c r="C281" s="271"/>
      <c r="D281" s="417"/>
      <c r="E281" s="417"/>
      <c r="F281" s="417"/>
      <c r="G281" s="417"/>
      <c r="H281" s="417"/>
      <c r="I281" s="417"/>
      <c r="J281" s="417"/>
      <c r="K281" s="417"/>
      <c r="L281" s="417"/>
      <c r="M281" s="417"/>
      <c r="N281" s="421"/>
      <c r="O281" s="415"/>
      <c r="P281" s="422"/>
      <c r="Q281" s="415"/>
      <c r="R281" s="271"/>
      <c r="S281" s="274"/>
      <c r="T281" s="262"/>
    </row>
    <row r="282" spans="1:20" s="263" customFormat="1" x14ac:dyDescent="0.25">
      <c r="A282" s="275"/>
      <c r="B282" s="276" t="s">
        <v>205</v>
      </c>
      <c r="C282" s="271"/>
      <c r="D282" s="417"/>
      <c r="E282" s="417"/>
      <c r="F282" s="417"/>
      <c r="G282" s="417"/>
      <c r="H282" s="417"/>
      <c r="I282" s="417"/>
      <c r="J282" s="417"/>
      <c r="K282" s="417"/>
      <c r="L282" s="417"/>
      <c r="M282" s="417"/>
      <c r="N282" s="421"/>
      <c r="O282" s="415"/>
      <c r="P282" s="425">
        <f>(H30+R135)/R30</f>
        <v>0.20230392542282888</v>
      </c>
      <c r="Q282" s="415"/>
      <c r="R282" s="271"/>
      <c r="S282" s="274"/>
      <c r="T282" s="262"/>
    </row>
    <row r="283" spans="1:20" s="263" customFormat="1" x14ac:dyDescent="0.25">
      <c r="A283" s="258"/>
      <c r="B283" s="259"/>
      <c r="C283" s="259"/>
      <c r="D283" s="426"/>
      <c r="E283" s="426"/>
      <c r="F283" s="426"/>
      <c r="G283" s="426"/>
      <c r="H283" s="426"/>
      <c r="I283" s="426"/>
      <c r="J283" s="426"/>
      <c r="K283" s="426"/>
      <c r="L283" s="426"/>
      <c r="M283" s="426"/>
      <c r="N283" s="426"/>
      <c r="O283" s="426"/>
      <c r="P283" s="427"/>
      <c r="Q283" s="426"/>
      <c r="R283" s="259"/>
      <c r="S283" s="261"/>
      <c r="T283" s="262"/>
    </row>
    <row r="284" spans="1:20" s="263" customFormat="1" x14ac:dyDescent="0.25">
      <c r="A284" s="258"/>
      <c r="B284" s="257" t="s">
        <v>76</v>
      </c>
      <c r="C284" s="259"/>
      <c r="D284" s="428" t="s">
        <v>80</v>
      </c>
      <c r="E284" s="257"/>
      <c r="F284" s="257" t="s">
        <v>81</v>
      </c>
      <c r="G284" s="259"/>
      <c r="H284" s="257"/>
      <c r="I284" s="259"/>
      <c r="J284" s="259"/>
      <c r="K284" s="259"/>
      <c r="L284" s="259"/>
      <c r="M284" s="259"/>
      <c r="N284" s="259"/>
      <c r="O284" s="259"/>
      <c r="P284" s="259"/>
      <c r="Q284" s="259"/>
      <c r="R284" s="259"/>
      <c r="S284" s="261"/>
      <c r="T284" s="262"/>
    </row>
    <row r="285" spans="1:20" s="263" customFormat="1" x14ac:dyDescent="0.25">
      <c r="A285" s="258"/>
      <c r="B285" s="259"/>
      <c r="C285" s="259"/>
      <c r="D285" s="259"/>
      <c r="E285" s="259"/>
      <c r="F285" s="259"/>
      <c r="G285" s="259"/>
      <c r="H285" s="259"/>
      <c r="I285" s="259"/>
      <c r="J285" s="259"/>
      <c r="K285" s="259"/>
      <c r="L285" s="259"/>
      <c r="M285" s="259"/>
      <c r="N285" s="259"/>
      <c r="O285" s="259"/>
      <c r="P285" s="259"/>
      <c r="Q285" s="259"/>
      <c r="R285" s="259"/>
      <c r="S285" s="261"/>
      <c r="T285" s="262"/>
    </row>
    <row r="286" spans="1:20" s="263" customFormat="1" x14ac:dyDescent="0.25">
      <c r="A286" s="258"/>
      <c r="B286" s="257" t="s">
        <v>199</v>
      </c>
      <c r="C286" s="257"/>
      <c r="D286" s="429" t="s">
        <v>150</v>
      </c>
      <c r="E286" s="257"/>
      <c r="F286" s="469" t="s">
        <v>262</v>
      </c>
      <c r="G286" s="257"/>
      <c r="H286" s="257"/>
      <c r="I286" s="259"/>
      <c r="J286" s="259"/>
      <c r="K286" s="259"/>
      <c r="L286" s="259"/>
      <c r="M286" s="259"/>
      <c r="N286" s="259"/>
      <c r="O286" s="259"/>
      <c r="P286" s="259"/>
      <c r="Q286" s="259"/>
      <c r="R286" s="259"/>
      <c r="S286" s="261"/>
      <c r="T286" s="262"/>
    </row>
    <row r="287" spans="1:20" s="263" customFormat="1" x14ac:dyDescent="0.25">
      <c r="A287" s="258"/>
      <c r="B287" s="257" t="s">
        <v>200</v>
      </c>
      <c r="C287" s="257"/>
      <c r="D287" s="429" t="s">
        <v>115</v>
      </c>
      <c r="E287" s="257"/>
      <c r="F287" s="469" t="s">
        <v>263</v>
      </c>
      <c r="G287" s="257"/>
      <c r="H287" s="257"/>
      <c r="I287" s="259"/>
      <c r="J287" s="259"/>
      <c r="K287" s="259"/>
      <c r="L287" s="259"/>
      <c r="M287" s="259"/>
      <c r="N287" s="259"/>
      <c r="O287" s="259"/>
      <c r="P287" s="259"/>
      <c r="Q287" s="259"/>
      <c r="R287" s="259"/>
      <c r="S287" s="261"/>
      <c r="T287" s="262"/>
    </row>
    <row r="288" spans="1:20" s="263" customFormat="1" x14ac:dyDescent="0.25">
      <c r="A288" s="258"/>
      <c r="B288" s="257"/>
      <c r="C288" s="257"/>
      <c r="D288" s="259"/>
      <c r="E288" s="259"/>
      <c r="F288" s="259"/>
      <c r="G288" s="259"/>
      <c r="H288" s="259"/>
      <c r="I288" s="259"/>
      <c r="J288" s="259"/>
      <c r="K288" s="259"/>
      <c r="L288" s="259"/>
      <c r="M288" s="259"/>
      <c r="N288" s="259"/>
      <c r="O288" s="259"/>
      <c r="P288" s="259"/>
      <c r="Q288" s="259"/>
      <c r="R288" s="259"/>
      <c r="S288" s="261"/>
      <c r="T288" s="262"/>
    </row>
    <row r="289" spans="1:20" s="263" customFormat="1" x14ac:dyDescent="0.25">
      <c r="A289" s="258"/>
      <c r="B289" s="257"/>
      <c r="C289" s="257"/>
      <c r="D289" s="259"/>
      <c r="E289" s="259"/>
      <c r="F289" s="259"/>
      <c r="G289" s="259"/>
      <c r="H289" s="259"/>
      <c r="I289" s="259"/>
      <c r="J289" s="259"/>
      <c r="K289" s="259"/>
      <c r="L289" s="259"/>
      <c r="M289" s="259"/>
      <c r="N289" s="259"/>
      <c r="O289" s="259"/>
      <c r="P289" s="259"/>
      <c r="Q289" s="259"/>
      <c r="R289" s="259"/>
      <c r="S289" s="261"/>
      <c r="T289" s="262"/>
    </row>
    <row r="290" spans="1:20" s="263" customFormat="1" ht="19.5" thickBot="1" x14ac:dyDescent="0.35">
      <c r="A290" s="258"/>
      <c r="B290" s="430" t="str">
        <f>B190</f>
        <v>PM20 INVESTOR REPORT QUARTER ENDING APRIL 2018</v>
      </c>
      <c r="C290" s="257"/>
      <c r="D290" s="259"/>
      <c r="E290" s="259"/>
      <c r="F290" s="259"/>
      <c r="G290" s="259"/>
      <c r="H290" s="259"/>
      <c r="I290" s="259"/>
      <c r="J290" s="259"/>
      <c r="K290" s="259"/>
      <c r="L290" s="259"/>
      <c r="M290" s="259"/>
      <c r="N290" s="259"/>
      <c r="O290" s="259"/>
      <c r="P290" s="259"/>
      <c r="Q290" s="259"/>
      <c r="R290" s="259"/>
      <c r="S290" s="322"/>
      <c r="T290" s="262"/>
    </row>
    <row r="291" spans="1:20" x14ac:dyDescent="0.25">
      <c r="A291" s="431"/>
      <c r="B291" s="431"/>
      <c r="C291" s="431"/>
      <c r="D291" s="431"/>
      <c r="E291" s="431"/>
      <c r="F291" s="431"/>
      <c r="G291" s="431"/>
      <c r="H291" s="431"/>
      <c r="I291" s="431"/>
      <c r="J291" s="431"/>
      <c r="K291" s="431"/>
      <c r="L291" s="431"/>
      <c r="M291" s="431"/>
      <c r="N291" s="431"/>
      <c r="O291" s="431"/>
      <c r="P291" s="431"/>
      <c r="Q291" s="431"/>
      <c r="R291" s="431"/>
      <c r="S291" s="431"/>
    </row>
  </sheetData>
  <hyperlinks>
    <hyperlink ref="K9" r:id="rId1"/>
    <hyperlink ref="N227"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3"/>
  <sheetViews>
    <sheetView showGridLines="0" tabSelected="1" showOutlineSymbols="0" zoomScale="70" zoomScaleNormal="70" workbookViewId="0"/>
  </sheetViews>
  <sheetFormatPr defaultColWidth="9.6640625" defaultRowHeight="15.75" x14ac:dyDescent="0.25"/>
  <cols>
    <col min="1" max="1" width="4" style="245" customWidth="1"/>
    <col min="2" max="2" width="71.21875" style="245" customWidth="1"/>
    <col min="3" max="3" width="2.21875" style="245" customWidth="1"/>
    <col min="4" max="4" width="16.21875" style="245" customWidth="1"/>
    <col min="5" max="5" width="2.88671875" style="245" customWidth="1"/>
    <col min="6" max="6" width="16.21875" style="245" customWidth="1"/>
    <col min="7" max="7" width="2.21875" style="245" customWidth="1"/>
    <col min="8" max="8" width="17.88671875" style="245" customWidth="1"/>
    <col min="9" max="9" width="2.33203125" style="245" customWidth="1"/>
    <col min="10" max="10" width="14.88671875" style="245" customWidth="1"/>
    <col min="11" max="11" width="2.33203125" style="245" customWidth="1"/>
    <col min="12" max="12" width="15.5546875" style="245" customWidth="1"/>
    <col min="13" max="13" width="2.21875" style="245" customWidth="1"/>
    <col min="14" max="14" width="15.5546875" style="245" customWidth="1"/>
    <col min="15" max="16" width="12.6640625" style="245" customWidth="1"/>
    <col min="17" max="17" width="7.77734375" style="245" customWidth="1"/>
    <col min="18" max="18" width="14.6640625" style="245" customWidth="1"/>
    <col min="19" max="19" width="11.77734375" style="245" customWidth="1"/>
    <col min="20" max="16384" width="9.6640625" style="245"/>
  </cols>
  <sheetData>
    <row r="1" spans="1:20" ht="21" x14ac:dyDescent="0.35">
      <c r="A1" s="240"/>
      <c r="B1" s="241" t="s">
        <v>208</v>
      </c>
      <c r="C1" s="242"/>
      <c r="D1" s="242"/>
      <c r="E1" s="242"/>
      <c r="F1" s="242"/>
      <c r="G1" s="242"/>
      <c r="H1" s="242"/>
      <c r="I1" s="242"/>
      <c r="J1" s="242"/>
      <c r="K1" s="242"/>
      <c r="L1" s="242"/>
      <c r="M1" s="242"/>
      <c r="N1" s="242"/>
      <c r="O1" s="242"/>
      <c r="P1" s="242"/>
      <c r="Q1" s="242"/>
      <c r="R1" s="242"/>
      <c r="S1" s="243"/>
      <c r="T1" s="244"/>
    </row>
    <row r="2" spans="1:20" x14ac:dyDescent="0.25">
      <c r="A2" s="246"/>
      <c r="B2" s="247"/>
      <c r="C2" s="248"/>
      <c r="D2" s="248"/>
      <c r="E2" s="248"/>
      <c r="F2" s="248"/>
      <c r="G2" s="248"/>
      <c r="H2" s="248"/>
      <c r="I2" s="248"/>
      <c r="J2" s="248"/>
      <c r="K2" s="248"/>
      <c r="L2" s="248"/>
      <c r="M2" s="248"/>
      <c r="N2" s="248"/>
      <c r="O2" s="248"/>
      <c r="P2" s="248"/>
      <c r="Q2" s="248"/>
      <c r="R2" s="248"/>
      <c r="S2" s="249"/>
      <c r="T2" s="244"/>
    </row>
    <row r="3" spans="1:20" x14ac:dyDescent="0.25">
      <c r="A3" s="250"/>
      <c r="B3" s="251" t="s">
        <v>209</v>
      </c>
      <c r="C3" s="248"/>
      <c r="D3" s="248"/>
      <c r="E3" s="248"/>
      <c r="F3" s="248"/>
      <c r="G3" s="248"/>
      <c r="H3" s="248"/>
      <c r="I3" s="248"/>
      <c r="J3" s="248"/>
      <c r="K3" s="248"/>
      <c r="L3" s="248"/>
      <c r="M3" s="248"/>
      <c r="N3" s="248"/>
      <c r="O3" s="248"/>
      <c r="P3" s="248"/>
      <c r="Q3" s="248"/>
      <c r="R3" s="248"/>
      <c r="S3" s="249"/>
      <c r="T3" s="244"/>
    </row>
    <row r="4" spans="1:20" x14ac:dyDescent="0.25">
      <c r="A4" s="246"/>
      <c r="B4" s="247"/>
      <c r="C4" s="248"/>
      <c r="D4" s="248"/>
      <c r="E4" s="248"/>
      <c r="F4" s="248"/>
      <c r="G4" s="248"/>
      <c r="H4" s="248"/>
      <c r="I4" s="248"/>
      <c r="J4" s="248"/>
      <c r="K4" s="248"/>
      <c r="L4" s="248"/>
      <c r="M4" s="248"/>
      <c r="N4" s="248"/>
      <c r="O4" s="248"/>
      <c r="P4" s="248"/>
      <c r="Q4" s="248"/>
      <c r="R4" s="248"/>
      <c r="S4" s="249"/>
      <c r="T4" s="244"/>
    </row>
    <row r="5" spans="1:20" x14ac:dyDescent="0.25">
      <c r="A5" s="246"/>
      <c r="B5" s="252" t="s">
        <v>110</v>
      </c>
      <c r="C5" s="248"/>
      <c r="D5" s="248"/>
      <c r="E5" s="248"/>
      <c r="F5" s="248"/>
      <c r="G5" s="248"/>
      <c r="H5" s="248"/>
      <c r="I5" s="248"/>
      <c r="J5" s="248"/>
      <c r="K5" s="248"/>
      <c r="L5" s="248"/>
      <c r="M5" s="248"/>
      <c r="N5" s="248"/>
      <c r="O5" s="248"/>
      <c r="P5" s="248"/>
      <c r="Q5" s="248"/>
      <c r="R5" s="248"/>
      <c r="S5" s="249"/>
      <c r="T5" s="244"/>
    </row>
    <row r="6" spans="1:20" x14ac:dyDescent="0.25">
      <c r="A6" s="246"/>
      <c r="B6" s="252" t="s">
        <v>112</v>
      </c>
      <c r="C6" s="248"/>
      <c r="D6" s="248"/>
      <c r="E6" s="248"/>
      <c r="F6" s="248"/>
      <c r="G6" s="248"/>
      <c r="H6" s="248"/>
      <c r="I6" s="248"/>
      <c r="J6" s="248"/>
      <c r="K6" s="248"/>
      <c r="L6" s="248"/>
      <c r="M6" s="248"/>
      <c r="N6" s="248"/>
      <c r="O6" s="248"/>
      <c r="P6" s="248"/>
      <c r="Q6" s="248"/>
      <c r="R6" s="248"/>
      <c r="S6" s="249"/>
      <c r="T6" s="244"/>
    </row>
    <row r="7" spans="1:20" x14ac:dyDescent="0.25">
      <c r="A7" s="246"/>
      <c r="B7" s="252" t="s">
        <v>111</v>
      </c>
      <c r="C7" s="248"/>
      <c r="D7" s="248"/>
      <c r="E7" s="248"/>
      <c r="F7" s="248"/>
      <c r="G7" s="248"/>
      <c r="H7" s="248"/>
      <c r="I7" s="248"/>
      <c r="J7" s="248"/>
      <c r="K7" s="248"/>
      <c r="L7" s="248"/>
      <c r="M7" s="248"/>
      <c r="N7" s="248"/>
      <c r="O7" s="248"/>
      <c r="P7" s="248"/>
      <c r="Q7" s="248"/>
      <c r="R7" s="248"/>
      <c r="S7" s="249"/>
      <c r="T7" s="244"/>
    </row>
    <row r="8" spans="1:20" x14ac:dyDescent="0.25">
      <c r="A8" s="246"/>
      <c r="B8" s="253"/>
      <c r="C8" s="248"/>
      <c r="D8" s="248"/>
      <c r="E8" s="248"/>
      <c r="F8" s="248"/>
      <c r="G8" s="248"/>
      <c r="H8" s="248"/>
      <c r="I8" s="248"/>
      <c r="J8" s="248"/>
      <c r="K8" s="248"/>
      <c r="L8" s="248"/>
      <c r="M8" s="248"/>
      <c r="N8" s="248"/>
      <c r="O8" s="248"/>
      <c r="P8" s="248"/>
      <c r="Q8" s="248"/>
      <c r="R8" s="248"/>
      <c r="S8" s="249"/>
      <c r="T8" s="244"/>
    </row>
    <row r="9" spans="1:20" ht="18.75" x14ac:dyDescent="0.3">
      <c r="A9" s="246"/>
      <c r="B9" s="254" t="s">
        <v>128</v>
      </c>
      <c r="C9" s="248"/>
      <c r="D9" s="248"/>
      <c r="E9" s="255"/>
      <c r="F9" s="248"/>
      <c r="G9" s="248"/>
      <c r="H9" s="255"/>
      <c r="I9" s="248"/>
      <c r="J9" s="255"/>
      <c r="K9" s="238" t="s">
        <v>261</v>
      </c>
      <c r="L9" s="255"/>
      <c r="M9" s="248"/>
      <c r="N9" s="248"/>
      <c r="O9" s="248"/>
      <c r="P9" s="248"/>
      <c r="Q9" s="248"/>
      <c r="R9" s="248"/>
      <c r="S9" s="249"/>
      <c r="T9" s="244"/>
    </row>
    <row r="10" spans="1:20" x14ac:dyDescent="0.25">
      <c r="A10" s="246"/>
      <c r="B10" s="253"/>
      <c r="C10" s="256"/>
      <c r="D10" s="248"/>
      <c r="E10" s="248"/>
      <c r="F10" s="248"/>
      <c r="G10" s="248"/>
      <c r="H10" s="248"/>
      <c r="I10" s="248"/>
      <c r="J10" s="248"/>
      <c r="K10" s="248"/>
      <c r="L10" s="248"/>
      <c r="M10" s="248"/>
      <c r="N10" s="248"/>
      <c r="O10" s="248"/>
      <c r="P10" s="248"/>
      <c r="Q10" s="248"/>
      <c r="R10" s="248"/>
      <c r="S10" s="249"/>
      <c r="T10" s="244"/>
    </row>
    <row r="11" spans="1:20" x14ac:dyDescent="0.25">
      <c r="A11" s="246"/>
      <c r="B11" s="257" t="s">
        <v>0</v>
      </c>
      <c r="C11" s="248"/>
      <c r="D11" s="248"/>
      <c r="E11" s="248"/>
      <c r="F11" s="248"/>
      <c r="G11" s="248"/>
      <c r="H11" s="248"/>
      <c r="I11" s="248"/>
      <c r="J11" s="248"/>
      <c r="K11" s="248"/>
      <c r="L11" s="248"/>
      <c r="M11" s="248"/>
      <c r="N11" s="248"/>
      <c r="O11" s="248"/>
      <c r="P11" s="248"/>
      <c r="Q11" s="248"/>
      <c r="R11" s="248"/>
      <c r="S11" s="249"/>
      <c r="T11" s="244"/>
    </row>
    <row r="12" spans="1:20" ht="16.5" thickBot="1" x14ac:dyDescent="0.3">
      <c r="A12" s="246"/>
      <c r="B12" s="256"/>
      <c r="C12" s="248"/>
      <c r="D12" s="248"/>
      <c r="E12" s="248"/>
      <c r="F12" s="248"/>
      <c r="G12" s="248"/>
      <c r="H12" s="248"/>
      <c r="I12" s="248"/>
      <c r="J12" s="248"/>
      <c r="K12" s="248"/>
      <c r="L12" s="248"/>
      <c r="M12" s="248"/>
      <c r="N12" s="248"/>
      <c r="O12" s="248"/>
      <c r="P12" s="248"/>
      <c r="Q12" s="248"/>
      <c r="R12" s="248"/>
      <c r="S12" s="249"/>
      <c r="T12" s="244"/>
    </row>
    <row r="13" spans="1:20" x14ac:dyDescent="0.25">
      <c r="A13" s="240"/>
      <c r="B13" s="242"/>
      <c r="C13" s="242"/>
      <c r="D13" s="242"/>
      <c r="E13" s="242"/>
      <c r="F13" s="242"/>
      <c r="G13" s="242"/>
      <c r="H13" s="242"/>
      <c r="I13" s="242"/>
      <c r="J13" s="242"/>
      <c r="K13" s="242"/>
      <c r="L13" s="242"/>
      <c r="M13" s="242"/>
      <c r="N13" s="242"/>
      <c r="O13" s="242"/>
      <c r="P13" s="242"/>
      <c r="Q13" s="242"/>
      <c r="R13" s="242"/>
      <c r="S13" s="243"/>
      <c r="T13" s="244"/>
    </row>
    <row r="14" spans="1:20" s="263" customFormat="1" x14ac:dyDescent="0.25">
      <c r="A14" s="258"/>
      <c r="B14" s="257" t="s">
        <v>1</v>
      </c>
      <c r="C14" s="259"/>
      <c r="D14" s="259"/>
      <c r="E14" s="259"/>
      <c r="F14" s="259"/>
      <c r="G14" s="259"/>
      <c r="H14" s="259"/>
      <c r="I14" s="259"/>
      <c r="J14" s="259"/>
      <c r="K14" s="259"/>
      <c r="L14" s="259"/>
      <c r="M14" s="259"/>
      <c r="N14" s="259"/>
      <c r="O14" s="259"/>
      <c r="P14" s="259"/>
      <c r="Q14" s="259"/>
      <c r="R14" s="260" t="s">
        <v>210</v>
      </c>
      <c r="S14" s="261"/>
      <c r="T14" s="262"/>
    </row>
    <row r="15" spans="1:20" s="263" customFormat="1" x14ac:dyDescent="0.25">
      <c r="A15" s="258"/>
      <c r="B15" s="257" t="s">
        <v>2</v>
      </c>
      <c r="C15" s="259"/>
      <c r="D15" s="264"/>
      <c r="E15" s="264"/>
      <c r="F15" s="264"/>
      <c r="G15" s="264"/>
      <c r="H15" s="264"/>
      <c r="I15" s="264"/>
      <c r="J15" s="264"/>
      <c r="K15" s="264"/>
      <c r="L15" s="264"/>
      <c r="M15" s="264"/>
      <c r="N15" s="265" t="s">
        <v>159</v>
      </c>
      <c r="O15" s="265">
        <v>0.98799999999999999</v>
      </c>
      <c r="P15" s="265" t="s">
        <v>239</v>
      </c>
      <c r="Q15" s="265">
        <v>1.2E-2</v>
      </c>
      <c r="R15" s="260"/>
      <c r="S15" s="261"/>
      <c r="T15" s="262"/>
    </row>
    <row r="16" spans="1:20" s="263" customFormat="1" x14ac:dyDescent="0.25">
      <c r="A16" s="258"/>
      <c r="B16" s="257" t="s">
        <v>3</v>
      </c>
      <c r="C16" s="259"/>
      <c r="D16" s="264"/>
      <c r="E16" s="264"/>
      <c r="F16" s="264"/>
      <c r="G16" s="264"/>
      <c r="H16" s="264"/>
      <c r="I16" s="264"/>
      <c r="J16" s="264"/>
      <c r="K16" s="264"/>
      <c r="L16" s="264"/>
      <c r="M16" s="264"/>
      <c r="N16" s="265" t="s">
        <v>159</v>
      </c>
      <c r="O16" s="265">
        <v>0</v>
      </c>
      <c r="P16" s="265" t="s">
        <v>239</v>
      </c>
      <c r="Q16" s="265">
        <v>0</v>
      </c>
      <c r="R16" s="260"/>
      <c r="S16" s="261"/>
      <c r="T16" s="262"/>
    </row>
    <row r="17" spans="1:23" s="263" customFormat="1" x14ac:dyDescent="0.25">
      <c r="A17" s="258"/>
      <c r="B17" s="257" t="s">
        <v>4</v>
      </c>
      <c r="C17" s="259"/>
      <c r="D17" s="259"/>
      <c r="E17" s="259"/>
      <c r="F17" s="259"/>
      <c r="G17" s="259"/>
      <c r="H17" s="259"/>
      <c r="I17" s="259"/>
      <c r="J17" s="259"/>
      <c r="K17" s="259"/>
      <c r="L17" s="259"/>
      <c r="M17" s="259"/>
      <c r="N17" s="259"/>
      <c r="O17" s="259"/>
      <c r="P17" s="259"/>
      <c r="Q17" s="259"/>
      <c r="R17" s="266">
        <v>41837</v>
      </c>
      <c r="S17" s="261"/>
      <c r="T17" s="262"/>
    </row>
    <row r="18" spans="1:23" s="263" customFormat="1" x14ac:dyDescent="0.25">
      <c r="A18" s="258"/>
      <c r="B18" s="257" t="s">
        <v>5</v>
      </c>
      <c r="C18" s="259"/>
      <c r="D18" s="259"/>
      <c r="E18" s="259"/>
      <c r="F18" s="259"/>
      <c r="G18" s="259"/>
      <c r="H18" s="259"/>
      <c r="I18" s="259"/>
      <c r="J18" s="259"/>
      <c r="K18" s="259"/>
      <c r="L18" s="259"/>
      <c r="M18" s="259"/>
      <c r="N18" s="259"/>
      <c r="O18" s="259"/>
      <c r="P18" s="259"/>
      <c r="Q18" s="259"/>
      <c r="R18" s="266">
        <v>43332</v>
      </c>
      <c r="S18" s="261"/>
      <c r="T18" s="262"/>
    </row>
    <row r="19" spans="1:23" s="263" customFormat="1" x14ac:dyDescent="0.25">
      <c r="A19" s="258"/>
      <c r="B19" s="259"/>
      <c r="C19" s="259"/>
      <c r="D19" s="259"/>
      <c r="E19" s="259"/>
      <c r="F19" s="259"/>
      <c r="G19" s="259"/>
      <c r="H19" s="259"/>
      <c r="I19" s="259"/>
      <c r="J19" s="259"/>
      <c r="K19" s="259"/>
      <c r="L19" s="259"/>
      <c r="M19" s="259"/>
      <c r="N19" s="259"/>
      <c r="O19" s="259"/>
      <c r="P19" s="259"/>
      <c r="Q19" s="259"/>
      <c r="R19" s="267"/>
      <c r="S19" s="261"/>
      <c r="T19" s="262"/>
    </row>
    <row r="20" spans="1:23" s="263" customFormat="1" x14ac:dyDescent="0.25">
      <c r="A20" s="258"/>
      <c r="B20" s="268" t="s">
        <v>6</v>
      </c>
      <c r="C20" s="259"/>
      <c r="D20" s="259"/>
      <c r="E20" s="259"/>
      <c r="F20" s="259"/>
      <c r="G20" s="259"/>
      <c r="H20" s="259"/>
      <c r="I20" s="259"/>
      <c r="J20" s="259"/>
      <c r="K20" s="259"/>
      <c r="L20" s="259"/>
      <c r="M20" s="259"/>
      <c r="N20" s="259"/>
      <c r="O20" s="259"/>
      <c r="P20" s="267" t="s">
        <v>86</v>
      </c>
      <c r="Q20" s="259"/>
      <c r="R20" s="259"/>
      <c r="S20" s="261"/>
      <c r="T20" s="262"/>
    </row>
    <row r="21" spans="1:23" x14ac:dyDescent="0.25">
      <c r="A21" s="246"/>
      <c r="B21" s="248"/>
      <c r="C21" s="248"/>
      <c r="D21" s="248"/>
      <c r="E21" s="248"/>
      <c r="F21" s="248"/>
      <c r="G21" s="248"/>
      <c r="H21" s="248"/>
      <c r="I21" s="248"/>
      <c r="J21" s="248"/>
      <c r="K21" s="248"/>
      <c r="L21" s="248"/>
      <c r="M21" s="248"/>
      <c r="N21" s="248"/>
      <c r="O21" s="248"/>
      <c r="P21" s="248"/>
      <c r="Q21" s="248"/>
      <c r="R21" s="269"/>
      <c r="S21" s="249"/>
      <c r="T21" s="244"/>
    </row>
    <row r="22" spans="1:23" x14ac:dyDescent="0.25">
      <c r="A22" s="432"/>
      <c r="B22" s="440"/>
      <c r="C22" s="441"/>
      <c r="D22" s="441" t="s">
        <v>155</v>
      </c>
      <c r="E22" s="441"/>
      <c r="F22" s="441" t="s">
        <v>185</v>
      </c>
      <c r="G22" s="441"/>
      <c r="H22" s="441" t="s">
        <v>186</v>
      </c>
      <c r="I22" s="441"/>
      <c r="J22" s="441"/>
      <c r="K22" s="441"/>
      <c r="L22" s="441"/>
      <c r="M22" s="441"/>
      <c r="N22" s="441"/>
      <c r="O22" s="442"/>
      <c r="P22" s="442"/>
      <c r="Q22" s="440"/>
      <c r="R22" s="440"/>
      <c r="S22" s="434"/>
      <c r="T22" s="244"/>
    </row>
    <row r="23" spans="1:23" s="263" customFormat="1" x14ac:dyDescent="0.25">
      <c r="A23" s="435"/>
      <c r="B23" s="436" t="s">
        <v>131</v>
      </c>
      <c r="C23" s="437"/>
      <c r="D23" s="438" t="s">
        <v>113</v>
      </c>
      <c r="E23" s="438"/>
      <c r="F23" s="438" t="s">
        <v>226</v>
      </c>
      <c r="G23" s="438"/>
      <c r="H23" s="438" t="s">
        <v>157</v>
      </c>
      <c r="I23" s="438"/>
      <c r="J23" s="438"/>
      <c r="K23" s="438"/>
      <c r="L23" s="438"/>
      <c r="M23" s="438"/>
      <c r="N23" s="438"/>
      <c r="O23" s="437"/>
      <c r="P23" s="438"/>
      <c r="Q23" s="436"/>
      <c r="R23" s="436"/>
      <c r="S23" s="439"/>
      <c r="T23" s="262"/>
    </row>
    <row r="24" spans="1:23" s="263" customFormat="1" x14ac:dyDescent="0.25">
      <c r="A24" s="270"/>
      <c r="B24" s="271" t="s">
        <v>202</v>
      </c>
      <c r="C24" s="272"/>
      <c r="D24" s="273" t="s">
        <v>204</v>
      </c>
      <c r="E24" s="273"/>
      <c r="F24" s="273" t="s">
        <v>227</v>
      </c>
      <c r="G24" s="273"/>
      <c r="H24" s="273" t="s">
        <v>157</v>
      </c>
      <c r="I24" s="273"/>
      <c r="J24" s="273"/>
      <c r="K24" s="273"/>
      <c r="L24" s="273"/>
      <c r="M24" s="273"/>
      <c r="N24" s="273"/>
      <c r="O24" s="272"/>
      <c r="P24" s="273"/>
      <c r="Q24" s="271"/>
      <c r="R24" s="271"/>
      <c r="S24" s="274"/>
      <c r="T24" s="262"/>
    </row>
    <row r="25" spans="1:23" s="263" customFormat="1" x14ac:dyDescent="0.25">
      <c r="A25" s="275"/>
      <c r="B25" s="276" t="s">
        <v>132</v>
      </c>
      <c r="C25" s="273"/>
      <c r="D25" s="272" t="s">
        <v>113</v>
      </c>
      <c r="E25" s="272"/>
      <c r="F25" s="272" t="s">
        <v>258</v>
      </c>
      <c r="G25" s="272"/>
      <c r="H25" s="272" t="s">
        <v>157</v>
      </c>
      <c r="I25" s="272"/>
      <c r="J25" s="272"/>
      <c r="K25" s="272"/>
      <c r="L25" s="272"/>
      <c r="M25" s="272"/>
      <c r="N25" s="272"/>
      <c r="O25" s="273"/>
      <c r="P25" s="277"/>
      <c r="Q25" s="271"/>
      <c r="R25" s="271"/>
      <c r="S25" s="274"/>
      <c r="T25" s="262"/>
      <c r="U25" s="278"/>
      <c r="W25" s="279"/>
    </row>
    <row r="26" spans="1:23" s="263" customFormat="1" x14ac:dyDescent="0.25">
      <c r="A26" s="275"/>
      <c r="B26" s="276" t="s">
        <v>203</v>
      </c>
      <c r="C26" s="273"/>
      <c r="D26" s="272" t="s">
        <v>204</v>
      </c>
      <c r="E26" s="272"/>
      <c r="F26" s="272" t="s">
        <v>227</v>
      </c>
      <c r="G26" s="272"/>
      <c r="H26" s="272" t="s">
        <v>157</v>
      </c>
      <c r="I26" s="272"/>
      <c r="J26" s="272"/>
      <c r="K26" s="272"/>
      <c r="L26" s="272"/>
      <c r="M26" s="272"/>
      <c r="N26" s="272"/>
      <c r="O26" s="273"/>
      <c r="P26" s="277"/>
      <c r="Q26" s="271"/>
      <c r="R26" s="271"/>
      <c r="S26" s="274"/>
      <c r="T26" s="262"/>
      <c r="U26" s="278"/>
      <c r="W26" s="279"/>
    </row>
    <row r="27" spans="1:23" s="263" customFormat="1" x14ac:dyDescent="0.25">
      <c r="A27" s="275"/>
      <c r="B27" s="271" t="s">
        <v>7</v>
      </c>
      <c r="C27" s="280"/>
      <c r="D27" s="273" t="s">
        <v>212</v>
      </c>
      <c r="E27" s="273"/>
      <c r="F27" s="273" t="s">
        <v>213</v>
      </c>
      <c r="G27" s="273"/>
      <c r="H27" s="273" t="s">
        <v>214</v>
      </c>
      <c r="I27" s="273"/>
      <c r="J27" s="273"/>
      <c r="K27" s="273"/>
      <c r="L27" s="273"/>
      <c r="M27" s="273"/>
      <c r="N27" s="273"/>
      <c r="O27" s="281"/>
      <c r="P27" s="281"/>
      <c r="Q27" s="280"/>
      <c r="R27" s="281"/>
      <c r="S27" s="282"/>
      <c r="T27" s="262"/>
      <c r="U27" s="278"/>
      <c r="W27" s="279"/>
    </row>
    <row r="28" spans="1:23" s="263" customFormat="1" x14ac:dyDescent="0.25">
      <c r="A28" s="270"/>
      <c r="B28" s="271" t="s">
        <v>107</v>
      </c>
      <c r="C28" s="283"/>
      <c r="D28" s="284">
        <v>319000</v>
      </c>
      <c r="E28" s="285"/>
      <c r="F28" s="284">
        <v>24000</v>
      </c>
      <c r="G28" s="286"/>
      <c r="H28" s="284">
        <v>7000</v>
      </c>
      <c r="I28" s="281"/>
      <c r="J28" s="284"/>
      <c r="K28" s="281"/>
      <c r="L28" s="285"/>
      <c r="M28" s="281"/>
      <c r="N28" s="285"/>
      <c r="O28" s="287"/>
      <c r="P28" s="287"/>
      <c r="Q28" s="283"/>
      <c r="R28" s="281">
        <f>SUM(D28:J28)</f>
        <v>350000</v>
      </c>
      <c r="S28" s="282"/>
      <c r="T28" s="262"/>
    </row>
    <row r="29" spans="1:23" s="263" customFormat="1" x14ac:dyDescent="0.25">
      <c r="A29" s="275"/>
      <c r="B29" s="271" t="s">
        <v>106</v>
      </c>
      <c r="C29" s="280"/>
      <c r="D29" s="284">
        <f>D28*D32</f>
        <v>55503.511800000007</v>
      </c>
      <c r="E29" s="285"/>
      <c r="F29" s="284">
        <f>F28*F32</f>
        <v>24000</v>
      </c>
      <c r="G29" s="284"/>
      <c r="H29" s="284">
        <f>H28*H32</f>
        <v>7000</v>
      </c>
      <c r="I29" s="281"/>
      <c r="J29" s="284"/>
      <c r="K29" s="281"/>
      <c r="L29" s="285"/>
      <c r="M29" s="281"/>
      <c r="N29" s="285"/>
      <c r="O29" s="281"/>
      <c r="P29" s="281"/>
      <c r="Q29" s="280"/>
      <c r="R29" s="281">
        <f>SUM(D29:J29)</f>
        <v>86503.511800000007</v>
      </c>
      <c r="S29" s="282"/>
      <c r="T29" s="262"/>
    </row>
    <row r="30" spans="1:23" s="263" customFormat="1" x14ac:dyDescent="0.25">
      <c r="A30" s="275"/>
      <c r="B30" s="276" t="s">
        <v>108</v>
      </c>
      <c r="C30" s="280"/>
      <c r="D30" s="288">
        <f>D31*D28</f>
        <v>0</v>
      </c>
      <c r="E30" s="288"/>
      <c r="F30" s="288">
        <f t="shared" ref="F30" si="0">F31*F28</f>
        <v>0</v>
      </c>
      <c r="G30" s="288"/>
      <c r="H30" s="288">
        <f t="shared" ref="H30" si="1">H31*H28</f>
        <v>0</v>
      </c>
      <c r="I30" s="288"/>
      <c r="J30" s="288"/>
      <c r="K30" s="287"/>
      <c r="L30" s="289"/>
      <c r="M30" s="287"/>
      <c r="N30" s="289"/>
      <c r="O30" s="281"/>
      <c r="P30" s="281"/>
      <c r="Q30" s="280"/>
      <c r="R30" s="287">
        <f>SUM(D30:J30)</f>
        <v>0</v>
      </c>
      <c r="S30" s="282"/>
      <c r="T30" s="262"/>
    </row>
    <row r="31" spans="1:23" x14ac:dyDescent="0.25">
      <c r="A31" s="290"/>
      <c r="B31" s="291" t="s">
        <v>104</v>
      </c>
      <c r="C31" s="292"/>
      <c r="D31" s="293">
        <v>0</v>
      </c>
      <c r="E31" s="293"/>
      <c r="F31" s="293">
        <v>0</v>
      </c>
      <c r="G31" s="293"/>
      <c r="H31" s="293">
        <v>0</v>
      </c>
      <c r="I31" s="294"/>
      <c r="J31" s="294"/>
      <c r="K31" s="294"/>
      <c r="L31" s="294"/>
      <c r="M31" s="294"/>
      <c r="N31" s="294"/>
      <c r="O31" s="295"/>
      <c r="P31" s="295"/>
      <c r="Q31" s="296"/>
      <c r="R31" s="297"/>
      <c r="S31" s="298"/>
      <c r="T31" s="244"/>
    </row>
    <row r="32" spans="1:23" x14ac:dyDescent="0.25">
      <c r="A32" s="290"/>
      <c r="B32" s="291" t="s">
        <v>105</v>
      </c>
      <c r="C32" s="292"/>
      <c r="D32" s="293">
        <v>0.17399220000000001</v>
      </c>
      <c r="E32" s="293"/>
      <c r="F32" s="293">
        <v>1</v>
      </c>
      <c r="G32" s="293"/>
      <c r="H32" s="293">
        <v>1</v>
      </c>
      <c r="I32" s="294"/>
      <c r="J32" s="294"/>
      <c r="K32" s="294"/>
      <c r="L32" s="294"/>
      <c r="M32" s="294"/>
      <c r="N32" s="294"/>
      <c r="O32" s="299"/>
      <c r="P32" s="300"/>
      <c r="Q32" s="296"/>
      <c r="R32" s="299"/>
      <c r="S32" s="298"/>
      <c r="T32" s="244"/>
    </row>
    <row r="33" spans="1:21" s="263" customFormat="1" x14ac:dyDescent="0.25">
      <c r="A33" s="275"/>
      <c r="B33" s="271" t="s">
        <v>8</v>
      </c>
      <c r="C33" s="271"/>
      <c r="D33" s="277" t="s">
        <v>215</v>
      </c>
      <c r="E33" s="277"/>
      <c r="F33" s="277" t="s">
        <v>216</v>
      </c>
      <c r="G33" s="277"/>
      <c r="H33" s="277" t="s">
        <v>217</v>
      </c>
      <c r="I33" s="277"/>
      <c r="J33" s="277"/>
      <c r="K33" s="277"/>
      <c r="L33" s="277"/>
      <c r="M33" s="277"/>
      <c r="N33" s="277"/>
      <c r="O33" s="301"/>
      <c r="P33" s="302"/>
      <c r="Q33" s="271"/>
      <c r="R33" s="271"/>
      <c r="S33" s="274"/>
      <c r="T33" s="262"/>
    </row>
    <row r="34" spans="1:21" s="263" customFormat="1" x14ac:dyDescent="0.25">
      <c r="A34" s="275"/>
      <c r="B34" s="271" t="s">
        <v>9</v>
      </c>
      <c r="C34" s="303"/>
      <c r="D34" s="302">
        <v>1.3203100000000001E-2</v>
      </c>
      <c r="E34" s="302"/>
      <c r="F34" s="302">
        <v>1.64031E-2</v>
      </c>
      <c r="G34" s="302"/>
      <c r="H34" s="302">
        <v>1.99031E-2</v>
      </c>
      <c r="I34" s="302"/>
      <c r="J34" s="302"/>
      <c r="K34" s="302"/>
      <c r="L34" s="302"/>
      <c r="M34" s="301"/>
      <c r="N34" s="302"/>
      <c r="O34" s="277"/>
      <c r="P34" s="277"/>
      <c r="Q34" s="271"/>
      <c r="R34" s="301">
        <f>SUMPRODUCT(D34:J34,D29:J29)/R29</f>
        <v>1.4633099747131654E-2</v>
      </c>
      <c r="S34" s="274"/>
      <c r="T34" s="262"/>
    </row>
    <row r="35" spans="1:21" s="263" customFormat="1" x14ac:dyDescent="0.25">
      <c r="A35" s="275"/>
      <c r="B35" s="271" t="s">
        <v>10</v>
      </c>
      <c r="C35" s="303"/>
      <c r="D35" s="302">
        <v>1.2266300000000001E-2</v>
      </c>
      <c r="E35" s="302"/>
      <c r="F35" s="302">
        <v>1.5466300000000001E-2</v>
      </c>
      <c r="G35" s="302"/>
      <c r="H35" s="302">
        <v>1.8966299999999998E-2</v>
      </c>
      <c r="I35" s="302"/>
      <c r="J35" s="302"/>
      <c r="K35" s="302"/>
      <c r="L35" s="302"/>
      <c r="M35" s="301"/>
      <c r="N35" s="302"/>
      <c r="O35" s="277"/>
      <c r="P35" s="277"/>
      <c r="Q35" s="271"/>
      <c r="R35" s="271"/>
      <c r="S35" s="274"/>
      <c r="T35" s="262"/>
    </row>
    <row r="36" spans="1:21" s="263" customFormat="1" x14ac:dyDescent="0.25">
      <c r="A36" s="275"/>
      <c r="B36" s="271" t="s">
        <v>158</v>
      </c>
      <c r="C36" s="271"/>
      <c r="D36" s="303">
        <v>43327</v>
      </c>
      <c r="E36" s="303"/>
      <c r="F36" s="303">
        <v>43327</v>
      </c>
      <c r="G36" s="303"/>
      <c r="H36" s="303">
        <v>43327</v>
      </c>
      <c r="I36" s="303"/>
      <c r="J36" s="303"/>
      <c r="K36" s="303"/>
      <c r="L36" s="303"/>
      <c r="M36" s="303"/>
      <c r="N36" s="303"/>
      <c r="O36" s="277"/>
      <c r="P36" s="277"/>
      <c r="Q36" s="271"/>
      <c r="R36" s="271"/>
      <c r="S36" s="274"/>
      <c r="T36" s="262"/>
    </row>
    <row r="37" spans="1:21" s="263" customFormat="1" x14ac:dyDescent="0.25">
      <c r="A37" s="275"/>
      <c r="B37" s="271" t="s">
        <v>11</v>
      </c>
      <c r="C37" s="271"/>
      <c r="D37" s="303" t="s">
        <v>98</v>
      </c>
      <c r="E37" s="303"/>
      <c r="F37" s="303" t="s">
        <v>98</v>
      </c>
      <c r="G37" s="277"/>
      <c r="H37" s="303" t="s">
        <v>98</v>
      </c>
      <c r="I37" s="277"/>
      <c r="J37" s="303"/>
      <c r="K37" s="277"/>
      <c r="L37" s="303"/>
      <c r="M37" s="277"/>
      <c r="N37" s="303"/>
      <c r="O37" s="277"/>
      <c r="P37" s="277"/>
      <c r="Q37" s="271"/>
      <c r="R37" s="271"/>
      <c r="S37" s="274"/>
      <c r="T37" s="262"/>
    </row>
    <row r="38" spans="1:21" s="263" customFormat="1" x14ac:dyDescent="0.25">
      <c r="A38" s="275"/>
      <c r="B38" s="271" t="s">
        <v>99</v>
      </c>
      <c r="C38" s="271"/>
      <c r="D38" s="277" t="s">
        <v>98</v>
      </c>
      <c r="E38" s="277"/>
      <c r="F38" s="277" t="s">
        <v>98</v>
      </c>
      <c r="G38" s="277"/>
      <c r="H38" s="277" t="s">
        <v>98</v>
      </c>
      <c r="I38" s="277"/>
      <c r="J38" s="277"/>
      <c r="K38" s="277"/>
      <c r="L38" s="277"/>
      <c r="M38" s="277"/>
      <c r="N38" s="277"/>
      <c r="O38" s="304"/>
      <c r="P38" s="304"/>
      <c r="Q38" s="304"/>
      <c r="R38" s="304"/>
      <c r="S38" s="274"/>
      <c r="T38" s="262"/>
    </row>
    <row r="39" spans="1:21" s="263" customFormat="1" x14ac:dyDescent="0.25">
      <c r="A39" s="275"/>
      <c r="B39" s="271"/>
      <c r="C39" s="271"/>
      <c r="D39" s="277"/>
      <c r="E39" s="277"/>
      <c r="F39" s="277"/>
      <c r="G39" s="277"/>
      <c r="H39" s="277"/>
      <c r="I39" s="277"/>
      <c r="J39" s="277"/>
      <c r="K39" s="277"/>
      <c r="L39" s="277"/>
      <c r="M39" s="277"/>
      <c r="N39" s="277"/>
      <c r="O39" s="271"/>
      <c r="P39" s="271"/>
      <c r="Q39" s="271"/>
      <c r="R39" s="301" t="s">
        <v>133</v>
      </c>
      <c r="S39" s="274"/>
      <c r="T39" s="262"/>
    </row>
    <row r="40" spans="1:21" s="263" customFormat="1" x14ac:dyDescent="0.25">
      <c r="A40" s="275"/>
      <c r="B40" s="271" t="s">
        <v>219</v>
      </c>
      <c r="C40" s="271"/>
      <c r="D40" s="277"/>
      <c r="E40" s="277"/>
      <c r="F40" s="277"/>
      <c r="G40" s="277"/>
      <c r="H40" s="277"/>
      <c r="I40" s="277"/>
      <c r="J40" s="277"/>
      <c r="K40" s="277"/>
      <c r="L40" s="277"/>
      <c r="M40" s="277"/>
      <c r="N40" s="277"/>
      <c r="O40" s="271"/>
      <c r="P40" s="271"/>
      <c r="Q40" s="271"/>
      <c r="R40" s="301">
        <f>SUM(F28:I28)/D28</f>
        <v>9.7178683385579931E-2</v>
      </c>
      <c r="S40" s="274"/>
      <c r="T40" s="262"/>
    </row>
    <row r="41" spans="1:21" s="263" customFormat="1" x14ac:dyDescent="0.25">
      <c r="A41" s="275"/>
      <c r="B41" s="271" t="s">
        <v>220</v>
      </c>
      <c r="C41" s="271"/>
      <c r="D41" s="271"/>
      <c r="E41" s="271"/>
      <c r="F41" s="271"/>
      <c r="G41" s="271"/>
      <c r="H41" s="271"/>
      <c r="I41" s="271"/>
      <c r="J41" s="271"/>
      <c r="K41" s="271"/>
      <c r="L41" s="271"/>
      <c r="M41" s="271"/>
      <c r="N41" s="271"/>
      <c r="O41" s="271"/>
      <c r="P41" s="271"/>
      <c r="Q41" s="271"/>
      <c r="R41" s="301" t="s">
        <v>98</v>
      </c>
      <c r="S41" s="274"/>
      <c r="T41" s="262"/>
    </row>
    <row r="42" spans="1:21" s="263" customFormat="1" x14ac:dyDescent="0.25">
      <c r="A42" s="275"/>
      <c r="B42" s="271" t="s">
        <v>221</v>
      </c>
      <c r="C42" s="271"/>
      <c r="D42" s="271"/>
      <c r="E42" s="271"/>
      <c r="F42" s="271"/>
      <c r="G42" s="271"/>
      <c r="H42" s="271"/>
      <c r="I42" s="271"/>
      <c r="J42" s="271"/>
      <c r="K42" s="271"/>
      <c r="L42" s="271"/>
      <c r="M42" s="271"/>
      <c r="N42" s="271"/>
      <c r="O42" s="271"/>
      <c r="P42" s="277"/>
      <c r="Q42" s="277"/>
      <c r="R42" s="281" t="s">
        <v>152</v>
      </c>
      <c r="S42" s="274"/>
      <c r="T42" s="262"/>
    </row>
    <row r="43" spans="1:21" s="263" customFormat="1" x14ac:dyDescent="0.25">
      <c r="A43" s="275"/>
      <c r="B43" s="271"/>
      <c r="C43" s="271"/>
      <c r="D43" s="271"/>
      <c r="E43" s="271"/>
      <c r="F43" s="271"/>
      <c r="G43" s="271"/>
      <c r="H43" s="271"/>
      <c r="I43" s="271"/>
      <c r="J43" s="271"/>
      <c r="K43" s="271"/>
      <c r="L43" s="271"/>
      <c r="M43" s="271"/>
      <c r="N43" s="271"/>
      <c r="O43" s="271"/>
      <c r="P43" s="271"/>
      <c r="Q43" s="271"/>
      <c r="R43" s="305"/>
      <c r="S43" s="274"/>
      <c r="T43" s="262"/>
    </row>
    <row r="44" spans="1:21" s="263" customFormat="1" x14ac:dyDescent="0.25">
      <c r="A44" s="275"/>
      <c r="B44" s="271" t="s">
        <v>229</v>
      </c>
      <c r="C44" s="271"/>
      <c r="D44" s="271"/>
      <c r="E44" s="271"/>
      <c r="F44" s="271"/>
      <c r="G44" s="271"/>
      <c r="H44" s="271"/>
      <c r="I44" s="271"/>
      <c r="J44" s="271"/>
      <c r="K44" s="271"/>
      <c r="L44" s="271"/>
      <c r="M44" s="271"/>
      <c r="N44" s="271"/>
      <c r="O44" s="271"/>
      <c r="P44" s="271"/>
      <c r="Q44" s="271"/>
      <c r="R44" s="306" t="s">
        <v>92</v>
      </c>
      <c r="S44" s="274"/>
      <c r="T44" s="262"/>
    </row>
    <row r="45" spans="1:21" s="263" customFormat="1" x14ac:dyDescent="0.25">
      <c r="A45" s="275"/>
      <c r="B45" s="276" t="s">
        <v>134</v>
      </c>
      <c r="C45" s="276"/>
      <c r="D45" s="276"/>
      <c r="E45" s="276"/>
      <c r="F45" s="276"/>
      <c r="G45" s="276"/>
      <c r="H45" s="276"/>
      <c r="I45" s="276"/>
      <c r="J45" s="276"/>
      <c r="K45" s="276"/>
      <c r="L45" s="276"/>
      <c r="M45" s="276"/>
      <c r="N45" s="276"/>
      <c r="O45" s="276"/>
      <c r="P45" s="307"/>
      <c r="Q45" s="307"/>
      <c r="R45" s="308">
        <v>43327</v>
      </c>
      <c r="S45" s="274"/>
      <c r="T45" s="262"/>
    </row>
    <row r="46" spans="1:21" s="263" customFormat="1" x14ac:dyDescent="0.25">
      <c r="A46" s="275"/>
      <c r="B46" s="271" t="s">
        <v>100</v>
      </c>
      <c r="C46" s="271"/>
      <c r="D46" s="309"/>
      <c r="E46" s="309"/>
      <c r="F46" s="309"/>
      <c r="G46" s="309"/>
      <c r="H46" s="309"/>
      <c r="I46" s="309"/>
      <c r="J46" s="309"/>
      <c r="K46" s="309"/>
      <c r="L46" s="309"/>
      <c r="M46" s="309"/>
      <c r="N46" s="271">
        <f>+R46-P46+1</f>
        <v>89</v>
      </c>
      <c r="O46" s="271"/>
      <c r="P46" s="310">
        <v>43146</v>
      </c>
      <c r="Q46" s="311"/>
      <c r="R46" s="310">
        <v>43234</v>
      </c>
      <c r="S46" s="274"/>
      <c r="T46" s="262"/>
    </row>
    <row r="47" spans="1:21" s="263" customFormat="1" x14ac:dyDescent="0.25">
      <c r="A47" s="275"/>
      <c r="B47" s="271" t="s">
        <v>101</v>
      </c>
      <c r="C47" s="271"/>
      <c r="D47" s="271"/>
      <c r="E47" s="271"/>
      <c r="F47" s="271"/>
      <c r="G47" s="271"/>
      <c r="H47" s="271"/>
      <c r="I47" s="271"/>
      <c r="J47" s="271"/>
      <c r="K47" s="271"/>
      <c r="L47" s="271"/>
      <c r="M47" s="271"/>
      <c r="N47" s="271">
        <f>+R47-P47+1</f>
        <v>92</v>
      </c>
      <c r="O47" s="271"/>
      <c r="P47" s="310">
        <v>43235</v>
      </c>
      <c r="Q47" s="311"/>
      <c r="R47" s="310">
        <v>43326</v>
      </c>
      <c r="S47" s="274"/>
      <c r="T47" s="262"/>
    </row>
    <row r="48" spans="1:21" s="263" customFormat="1" x14ac:dyDescent="0.25">
      <c r="A48" s="275"/>
      <c r="B48" s="271" t="s">
        <v>228</v>
      </c>
      <c r="C48" s="271"/>
      <c r="D48" s="271"/>
      <c r="E48" s="271"/>
      <c r="F48" s="271"/>
      <c r="G48" s="271"/>
      <c r="H48" s="271"/>
      <c r="I48" s="271"/>
      <c r="J48" s="271"/>
      <c r="K48" s="271"/>
      <c r="L48" s="271"/>
      <c r="M48" s="271"/>
      <c r="N48" s="271"/>
      <c r="O48" s="271"/>
      <c r="P48" s="310"/>
      <c r="Q48" s="311"/>
      <c r="R48" s="310" t="s">
        <v>119</v>
      </c>
      <c r="S48" s="274"/>
      <c r="T48" s="262"/>
      <c r="U48" s="312"/>
    </row>
    <row r="49" spans="1:20" s="263" customFormat="1" x14ac:dyDescent="0.25">
      <c r="A49" s="275"/>
      <c r="B49" s="271" t="s">
        <v>12</v>
      </c>
      <c r="C49" s="271"/>
      <c r="D49" s="271"/>
      <c r="E49" s="271"/>
      <c r="F49" s="271"/>
      <c r="G49" s="271"/>
      <c r="H49" s="271"/>
      <c r="I49" s="271"/>
      <c r="J49" s="271"/>
      <c r="K49" s="271"/>
      <c r="L49" s="271"/>
      <c r="M49" s="271"/>
      <c r="N49" s="271"/>
      <c r="O49" s="271"/>
      <c r="P49" s="310"/>
      <c r="Q49" s="311"/>
      <c r="R49" s="310">
        <v>43313</v>
      </c>
      <c r="S49" s="274"/>
      <c r="T49" s="262"/>
    </row>
    <row r="50" spans="1:20" s="263" customFormat="1" x14ac:dyDescent="0.25">
      <c r="A50" s="258"/>
      <c r="B50" s="313"/>
      <c r="C50" s="313"/>
      <c r="D50" s="313"/>
      <c r="E50" s="313"/>
      <c r="F50" s="313"/>
      <c r="G50" s="313"/>
      <c r="H50" s="313"/>
      <c r="I50" s="313"/>
      <c r="J50" s="313"/>
      <c r="K50" s="313"/>
      <c r="L50" s="313"/>
      <c r="M50" s="313"/>
      <c r="N50" s="313"/>
      <c r="O50" s="313"/>
      <c r="P50" s="314"/>
      <c r="Q50" s="315"/>
      <c r="R50" s="314"/>
      <c r="S50" s="261"/>
      <c r="T50" s="262"/>
    </row>
    <row r="51" spans="1:20" s="263" customFormat="1" x14ac:dyDescent="0.25">
      <c r="A51" s="258"/>
      <c r="B51" s="259"/>
      <c r="C51" s="259"/>
      <c r="D51" s="259"/>
      <c r="E51" s="259"/>
      <c r="F51" s="259"/>
      <c r="G51" s="259"/>
      <c r="H51" s="259"/>
      <c r="I51" s="259"/>
      <c r="J51" s="259"/>
      <c r="K51" s="259"/>
      <c r="L51" s="259"/>
      <c r="M51" s="259"/>
      <c r="N51" s="259"/>
      <c r="O51" s="259"/>
      <c r="P51" s="316"/>
      <c r="Q51" s="317"/>
      <c r="R51" s="316"/>
      <c r="S51" s="261"/>
      <c r="T51" s="262"/>
    </row>
    <row r="52" spans="1:20" s="263" customFormat="1" ht="19.5" thickBot="1" x14ac:dyDescent="0.35">
      <c r="A52" s="318"/>
      <c r="B52" s="319" t="s">
        <v>267</v>
      </c>
      <c r="C52" s="320"/>
      <c r="D52" s="320"/>
      <c r="E52" s="320"/>
      <c r="F52" s="320"/>
      <c r="G52" s="320"/>
      <c r="H52" s="320"/>
      <c r="I52" s="320"/>
      <c r="J52" s="320"/>
      <c r="K52" s="320"/>
      <c r="L52" s="320"/>
      <c r="M52" s="320"/>
      <c r="N52" s="320"/>
      <c r="O52" s="320"/>
      <c r="P52" s="320"/>
      <c r="Q52" s="320"/>
      <c r="R52" s="321"/>
      <c r="S52" s="322"/>
      <c r="T52" s="262"/>
    </row>
    <row r="53" spans="1:20" x14ac:dyDescent="0.25">
      <c r="A53" s="432"/>
      <c r="B53" s="443" t="s">
        <v>13</v>
      </c>
      <c r="C53" s="433"/>
      <c r="D53" s="433"/>
      <c r="E53" s="433"/>
      <c r="F53" s="433"/>
      <c r="G53" s="433"/>
      <c r="H53" s="433"/>
      <c r="I53" s="433"/>
      <c r="J53" s="433"/>
      <c r="K53" s="433"/>
      <c r="L53" s="433"/>
      <c r="M53" s="433"/>
      <c r="N53" s="433"/>
      <c r="O53" s="433"/>
      <c r="P53" s="433"/>
      <c r="Q53" s="433"/>
      <c r="R53" s="444"/>
      <c r="S53" s="433"/>
      <c r="T53" s="244"/>
    </row>
    <row r="54" spans="1:20" x14ac:dyDescent="0.25">
      <c r="A54" s="246"/>
      <c r="B54" s="256"/>
      <c r="C54" s="248"/>
      <c r="D54" s="248"/>
      <c r="E54" s="248"/>
      <c r="F54" s="248"/>
      <c r="G54" s="248"/>
      <c r="H54" s="248"/>
      <c r="I54" s="248"/>
      <c r="J54" s="248"/>
      <c r="K54" s="248"/>
      <c r="L54" s="248"/>
      <c r="M54" s="248"/>
      <c r="N54" s="248"/>
      <c r="O54" s="248"/>
      <c r="P54" s="248"/>
      <c r="Q54" s="248"/>
      <c r="R54" s="323"/>
      <c r="S54" s="249"/>
      <c r="T54" s="244"/>
    </row>
    <row r="55" spans="1:20" s="330" customFormat="1" ht="47.25" x14ac:dyDescent="0.25">
      <c r="A55" s="324"/>
      <c r="B55" s="325" t="s">
        <v>14</v>
      </c>
      <c r="C55" s="326"/>
      <c r="D55" s="326"/>
      <c r="E55" s="326"/>
      <c r="F55" s="326" t="s">
        <v>77</v>
      </c>
      <c r="G55" s="326"/>
      <c r="H55" s="326" t="s">
        <v>79</v>
      </c>
      <c r="I55" s="326"/>
      <c r="J55" s="326" t="s">
        <v>168</v>
      </c>
      <c r="K55" s="326"/>
      <c r="L55" s="326" t="s">
        <v>169</v>
      </c>
      <c r="M55" s="326"/>
      <c r="N55" s="326" t="s">
        <v>82</v>
      </c>
      <c r="O55" s="326"/>
      <c r="P55" s="326" t="s">
        <v>87</v>
      </c>
      <c r="Q55" s="326"/>
      <c r="R55" s="327" t="s">
        <v>93</v>
      </c>
      <c r="S55" s="328"/>
      <c r="T55" s="329"/>
    </row>
    <row r="56" spans="1:20" s="263" customFormat="1" x14ac:dyDescent="0.25">
      <c r="A56" s="275"/>
      <c r="B56" s="271" t="s">
        <v>15</v>
      </c>
      <c r="C56" s="331"/>
      <c r="D56" s="331"/>
      <c r="E56" s="331"/>
      <c r="F56" s="331">
        <v>317450</v>
      </c>
      <c r="G56" s="331"/>
      <c r="H56" s="331">
        <v>86504</v>
      </c>
      <c r="I56" s="331"/>
      <c r="J56" s="332">
        <f>112+6</f>
        <v>118</v>
      </c>
      <c r="K56" s="331"/>
      <c r="L56" s="331">
        <v>82876</v>
      </c>
      <c r="M56" s="331"/>
      <c r="N56" s="331">
        <v>0</v>
      </c>
      <c r="O56" s="331"/>
      <c r="P56" s="331">
        <f>2678+632+200</f>
        <v>3510</v>
      </c>
      <c r="Q56" s="331"/>
      <c r="R56" s="332">
        <f>H56-J56-L56+N56-P56</f>
        <v>0</v>
      </c>
      <c r="S56" s="274"/>
      <c r="T56" s="262"/>
    </row>
    <row r="57" spans="1:20" s="263" customFormat="1" x14ac:dyDescent="0.25">
      <c r="A57" s="275"/>
      <c r="B57" s="271" t="s">
        <v>16</v>
      </c>
      <c r="C57" s="331"/>
      <c r="D57" s="331"/>
      <c r="E57" s="331"/>
      <c r="F57" s="331">
        <v>0</v>
      </c>
      <c r="G57" s="331"/>
      <c r="H57" s="332">
        <v>0</v>
      </c>
      <c r="I57" s="331"/>
      <c r="J57" s="332">
        <v>0</v>
      </c>
      <c r="K57" s="331"/>
      <c r="L57" s="331">
        <v>0</v>
      </c>
      <c r="M57" s="331"/>
      <c r="N57" s="331">
        <v>0</v>
      </c>
      <c r="O57" s="331"/>
      <c r="P57" s="331">
        <v>0</v>
      </c>
      <c r="Q57" s="331"/>
      <c r="R57" s="332">
        <f>F57-J57-L57</f>
        <v>0</v>
      </c>
      <c r="S57" s="274"/>
      <c r="T57" s="262"/>
    </row>
    <row r="58" spans="1:20" s="263" customFormat="1" x14ac:dyDescent="0.25">
      <c r="A58" s="275"/>
      <c r="B58" s="271"/>
      <c r="C58" s="331"/>
      <c r="D58" s="331"/>
      <c r="E58" s="331"/>
      <c r="F58" s="331"/>
      <c r="G58" s="331"/>
      <c r="H58" s="332"/>
      <c r="I58" s="331"/>
      <c r="J58" s="332"/>
      <c r="K58" s="331"/>
      <c r="L58" s="331"/>
      <c r="M58" s="331"/>
      <c r="N58" s="331"/>
      <c r="O58" s="331"/>
      <c r="P58" s="331"/>
      <c r="Q58" s="331"/>
      <c r="R58" s="332"/>
      <c r="S58" s="274"/>
      <c r="T58" s="262"/>
    </row>
    <row r="59" spans="1:20" s="263" customFormat="1" x14ac:dyDescent="0.25">
      <c r="A59" s="275"/>
      <c r="B59" s="271" t="s">
        <v>17</v>
      </c>
      <c r="C59" s="331"/>
      <c r="D59" s="331"/>
      <c r="E59" s="331"/>
      <c r="F59" s="331">
        <f>SUM(F56:F58)</f>
        <v>317450</v>
      </c>
      <c r="G59" s="331"/>
      <c r="H59" s="331">
        <f>H56+H57</f>
        <v>86504</v>
      </c>
      <c r="I59" s="331"/>
      <c r="J59" s="331">
        <f>J56+J57</f>
        <v>118</v>
      </c>
      <c r="K59" s="331"/>
      <c r="L59" s="331">
        <f>SUM(L56:L58)</f>
        <v>82876</v>
      </c>
      <c r="M59" s="331"/>
      <c r="N59" s="331">
        <f>SUM(N56:N58)</f>
        <v>0</v>
      </c>
      <c r="O59" s="331"/>
      <c r="P59" s="331">
        <f>SUM(P56:P58)</f>
        <v>3510</v>
      </c>
      <c r="Q59" s="331"/>
      <c r="R59" s="331">
        <f>SUM(R56:R58)</f>
        <v>0</v>
      </c>
      <c r="S59" s="274"/>
      <c r="T59" s="262"/>
    </row>
    <row r="60" spans="1:20" x14ac:dyDescent="0.25">
      <c r="A60" s="246"/>
      <c r="B60" s="333"/>
      <c r="C60" s="334"/>
      <c r="D60" s="334"/>
      <c r="E60" s="334"/>
      <c r="F60" s="334"/>
      <c r="G60" s="334"/>
      <c r="H60" s="334"/>
      <c r="I60" s="334"/>
      <c r="J60" s="334"/>
      <c r="K60" s="334"/>
      <c r="L60" s="334"/>
      <c r="M60" s="334"/>
      <c r="N60" s="334"/>
      <c r="O60" s="334"/>
      <c r="P60" s="334"/>
      <c r="Q60" s="334"/>
      <c r="R60" s="335"/>
      <c r="S60" s="249"/>
      <c r="T60" s="244"/>
    </row>
    <row r="61" spans="1:20" x14ac:dyDescent="0.25">
      <c r="A61" s="246"/>
      <c r="B61" s="251" t="s">
        <v>18</v>
      </c>
      <c r="C61" s="336"/>
      <c r="D61" s="336"/>
      <c r="E61" s="336"/>
      <c r="F61" s="336"/>
      <c r="G61" s="336"/>
      <c r="H61" s="336"/>
      <c r="I61" s="336"/>
      <c r="J61" s="336"/>
      <c r="K61" s="336"/>
      <c r="L61" s="336"/>
      <c r="M61" s="336"/>
      <c r="N61" s="336"/>
      <c r="O61" s="336"/>
      <c r="P61" s="336"/>
      <c r="Q61" s="336"/>
      <c r="R61" s="337"/>
      <c r="S61" s="249"/>
      <c r="T61" s="244"/>
    </row>
    <row r="62" spans="1:20" x14ac:dyDescent="0.25">
      <c r="A62" s="246"/>
      <c r="B62" s="248"/>
      <c r="C62" s="336"/>
      <c r="D62" s="336"/>
      <c r="E62" s="336"/>
      <c r="F62" s="336"/>
      <c r="G62" s="336"/>
      <c r="H62" s="336"/>
      <c r="I62" s="336"/>
      <c r="J62" s="336"/>
      <c r="K62" s="336"/>
      <c r="L62" s="336"/>
      <c r="M62" s="336"/>
      <c r="N62" s="336"/>
      <c r="O62" s="336"/>
      <c r="P62" s="336"/>
      <c r="Q62" s="336"/>
      <c r="R62" s="337"/>
      <c r="S62" s="249"/>
      <c r="T62" s="244"/>
    </row>
    <row r="63" spans="1:20" s="263" customFormat="1" x14ac:dyDescent="0.25">
      <c r="A63" s="275"/>
      <c r="B63" s="271" t="s">
        <v>15</v>
      </c>
      <c r="C63" s="331"/>
      <c r="D63" s="331"/>
      <c r="E63" s="331"/>
      <c r="F63" s="331"/>
      <c r="G63" s="331"/>
      <c r="H63" s="331"/>
      <c r="I63" s="331"/>
      <c r="J63" s="331"/>
      <c r="K63" s="331"/>
      <c r="L63" s="331"/>
      <c r="M63" s="331"/>
      <c r="N63" s="331"/>
      <c r="O63" s="331"/>
      <c r="P63" s="331"/>
      <c r="Q63" s="331"/>
      <c r="R63" s="331"/>
      <c r="S63" s="274"/>
      <c r="T63" s="262"/>
    </row>
    <row r="64" spans="1:20" s="263" customFormat="1" x14ac:dyDescent="0.25">
      <c r="A64" s="275"/>
      <c r="B64" s="271" t="s">
        <v>16</v>
      </c>
      <c r="C64" s="331"/>
      <c r="D64" s="331"/>
      <c r="E64" s="331"/>
      <c r="F64" s="331"/>
      <c r="G64" s="331"/>
      <c r="H64" s="331"/>
      <c r="I64" s="331"/>
      <c r="J64" s="331"/>
      <c r="K64" s="331"/>
      <c r="L64" s="331"/>
      <c r="M64" s="331"/>
      <c r="N64" s="331"/>
      <c r="O64" s="331"/>
      <c r="P64" s="331"/>
      <c r="Q64" s="331"/>
      <c r="R64" s="331"/>
      <c r="S64" s="274"/>
      <c r="T64" s="262"/>
    </row>
    <row r="65" spans="1:20" s="263" customFormat="1" x14ac:dyDescent="0.25">
      <c r="A65" s="275"/>
      <c r="B65" s="271"/>
      <c r="C65" s="331"/>
      <c r="D65" s="331"/>
      <c r="E65" s="331"/>
      <c r="F65" s="331"/>
      <c r="G65" s="331"/>
      <c r="H65" s="331"/>
      <c r="I65" s="331"/>
      <c r="J65" s="331"/>
      <c r="K65" s="331"/>
      <c r="L65" s="331"/>
      <c r="M65" s="331"/>
      <c r="N65" s="331"/>
      <c r="O65" s="331"/>
      <c r="P65" s="331"/>
      <c r="Q65" s="331"/>
      <c r="R65" s="331"/>
      <c r="S65" s="274"/>
      <c r="T65" s="262"/>
    </row>
    <row r="66" spans="1:20" s="263" customFormat="1" x14ac:dyDescent="0.25">
      <c r="A66" s="275"/>
      <c r="B66" s="271" t="s">
        <v>17</v>
      </c>
      <c r="C66" s="331"/>
      <c r="D66" s="331"/>
      <c r="E66" s="331"/>
      <c r="F66" s="331"/>
      <c r="G66" s="331"/>
      <c r="H66" s="331"/>
      <c r="I66" s="331"/>
      <c r="J66" s="331"/>
      <c r="K66" s="331"/>
      <c r="L66" s="331"/>
      <c r="M66" s="331"/>
      <c r="N66" s="331"/>
      <c r="O66" s="331"/>
      <c r="P66" s="331"/>
      <c r="Q66" s="331"/>
      <c r="R66" s="331"/>
      <c r="S66" s="274"/>
      <c r="T66" s="262"/>
    </row>
    <row r="67" spans="1:20" s="263" customFormat="1" x14ac:dyDescent="0.25">
      <c r="A67" s="275"/>
      <c r="B67" s="271"/>
      <c r="C67" s="331"/>
      <c r="D67" s="331"/>
      <c r="E67" s="331"/>
      <c r="F67" s="331"/>
      <c r="G67" s="331"/>
      <c r="H67" s="331"/>
      <c r="I67" s="331"/>
      <c r="J67" s="331"/>
      <c r="K67" s="331"/>
      <c r="L67" s="331"/>
      <c r="M67" s="331"/>
      <c r="N67" s="331"/>
      <c r="O67" s="331"/>
      <c r="P67" s="331"/>
      <c r="Q67" s="331"/>
      <c r="R67" s="331"/>
      <c r="S67" s="274"/>
      <c r="T67" s="262"/>
    </row>
    <row r="68" spans="1:20" s="263" customFormat="1" x14ac:dyDescent="0.25">
      <c r="A68" s="275"/>
      <c r="B68" s="271" t="s">
        <v>19</v>
      </c>
      <c r="C68" s="331"/>
      <c r="D68" s="331"/>
      <c r="E68" s="331"/>
      <c r="F68" s="331">
        <v>0</v>
      </c>
      <c r="G68" s="331"/>
      <c r="H68" s="331">
        <v>0</v>
      </c>
      <c r="I68" s="331"/>
      <c r="J68" s="331"/>
      <c r="K68" s="331"/>
      <c r="L68" s="331"/>
      <c r="M68" s="331"/>
      <c r="N68" s="331"/>
      <c r="O68" s="331"/>
      <c r="P68" s="331"/>
      <c r="Q68" s="331"/>
      <c r="R68" s="332">
        <v>0</v>
      </c>
      <c r="S68" s="274"/>
      <c r="T68" s="262"/>
    </row>
    <row r="69" spans="1:20" s="263" customFormat="1" x14ac:dyDescent="0.25">
      <c r="A69" s="275"/>
      <c r="B69" s="271" t="s">
        <v>201</v>
      </c>
      <c r="C69" s="331"/>
      <c r="D69" s="331"/>
      <c r="E69" s="331"/>
      <c r="F69" s="331">
        <v>29550</v>
      </c>
      <c r="G69" s="331"/>
      <c r="H69" s="331">
        <v>0</v>
      </c>
      <c r="I69" s="331"/>
      <c r="J69" s="331">
        <v>0</v>
      </c>
      <c r="K69" s="331"/>
      <c r="L69" s="331">
        <v>0</v>
      </c>
      <c r="M69" s="331"/>
      <c r="N69" s="331"/>
      <c r="O69" s="331"/>
      <c r="P69" s="331"/>
      <c r="Q69" s="331"/>
      <c r="R69" s="331">
        <v>0</v>
      </c>
      <c r="S69" s="274"/>
      <c r="T69" s="262"/>
    </row>
    <row r="70" spans="1:20" s="263" customFormat="1" x14ac:dyDescent="0.25">
      <c r="A70" s="275"/>
      <c r="B70" s="271" t="s">
        <v>240</v>
      </c>
      <c r="C70" s="331"/>
      <c r="D70" s="331"/>
      <c r="E70" s="331"/>
      <c r="F70" s="331">
        <v>3000</v>
      </c>
      <c r="G70" s="331"/>
      <c r="H70" s="331">
        <v>0</v>
      </c>
      <c r="I70" s="331"/>
      <c r="J70" s="331">
        <v>0</v>
      </c>
      <c r="K70" s="331"/>
      <c r="L70" s="331"/>
      <c r="M70" s="331"/>
      <c r="N70" s="331">
        <v>0</v>
      </c>
      <c r="O70" s="331"/>
      <c r="P70" s="331"/>
      <c r="Q70" s="331"/>
      <c r="R70" s="331">
        <f>H70+N70</f>
        <v>0</v>
      </c>
      <c r="S70" s="274"/>
      <c r="T70" s="262"/>
    </row>
    <row r="71" spans="1:20" s="263" customFormat="1" x14ac:dyDescent="0.25">
      <c r="A71" s="275"/>
      <c r="B71" s="271" t="s">
        <v>20</v>
      </c>
      <c r="C71" s="331"/>
      <c r="D71" s="331"/>
      <c r="E71" s="331"/>
      <c r="F71" s="331">
        <v>0</v>
      </c>
      <c r="G71" s="331"/>
      <c r="H71" s="331">
        <v>0</v>
      </c>
      <c r="I71" s="331"/>
      <c r="J71" s="331"/>
      <c r="K71" s="331"/>
      <c r="L71" s="331"/>
      <c r="M71" s="331"/>
      <c r="N71" s="331"/>
      <c r="O71" s="331"/>
      <c r="P71" s="331"/>
      <c r="Q71" s="331"/>
      <c r="R71" s="331">
        <v>0</v>
      </c>
      <c r="S71" s="274"/>
      <c r="T71" s="262"/>
    </row>
    <row r="72" spans="1:20" s="263" customFormat="1" x14ac:dyDescent="0.25">
      <c r="A72" s="275"/>
      <c r="B72" s="271" t="s">
        <v>21</v>
      </c>
      <c r="C72" s="331"/>
      <c r="D72" s="331"/>
      <c r="E72" s="331"/>
      <c r="F72" s="331">
        <f>SUM(F59:F71)</f>
        <v>350000</v>
      </c>
      <c r="G72" s="331"/>
      <c r="H72" s="331">
        <f>SUM(H59:H71)</f>
        <v>86504</v>
      </c>
      <c r="I72" s="331"/>
      <c r="J72" s="331"/>
      <c r="K72" s="331"/>
      <c r="L72" s="331"/>
      <c r="M72" s="331"/>
      <c r="N72" s="331"/>
      <c r="O72" s="331"/>
      <c r="P72" s="331"/>
      <c r="Q72" s="331"/>
      <c r="R72" s="331">
        <f>SUM(R59:R71)</f>
        <v>0</v>
      </c>
      <c r="S72" s="274"/>
      <c r="T72" s="262"/>
    </row>
    <row r="73" spans="1:20" x14ac:dyDescent="0.25">
      <c r="A73" s="246"/>
      <c r="B73" s="333"/>
      <c r="C73" s="334"/>
      <c r="D73" s="334"/>
      <c r="E73" s="334"/>
      <c r="F73" s="334"/>
      <c r="G73" s="334"/>
      <c r="H73" s="334"/>
      <c r="I73" s="334"/>
      <c r="J73" s="334"/>
      <c r="K73" s="334"/>
      <c r="L73" s="334"/>
      <c r="M73" s="334"/>
      <c r="N73" s="334"/>
      <c r="O73" s="334"/>
      <c r="P73" s="334"/>
      <c r="Q73" s="334"/>
      <c r="R73" s="335"/>
      <c r="S73" s="249"/>
      <c r="T73" s="244"/>
    </row>
    <row r="74" spans="1:20" x14ac:dyDescent="0.25">
      <c r="A74" s="246"/>
      <c r="B74" s="248"/>
      <c r="C74" s="248"/>
      <c r="D74" s="248"/>
      <c r="E74" s="248"/>
      <c r="F74" s="248"/>
      <c r="G74" s="248"/>
      <c r="H74" s="248"/>
      <c r="I74" s="248"/>
      <c r="J74" s="248"/>
      <c r="K74" s="248"/>
      <c r="L74" s="248"/>
      <c r="M74" s="248"/>
      <c r="N74" s="248"/>
      <c r="O74" s="248"/>
      <c r="P74" s="248"/>
      <c r="Q74" s="248"/>
      <c r="R74" s="248"/>
      <c r="S74" s="249"/>
      <c r="T74" s="244"/>
    </row>
    <row r="75" spans="1:20" x14ac:dyDescent="0.25">
      <c r="A75" s="432"/>
      <c r="B75" s="445" t="s">
        <v>22</v>
      </c>
      <c r="C75" s="445"/>
      <c r="D75" s="446"/>
      <c r="E75" s="446"/>
      <c r="F75" s="446"/>
      <c r="G75" s="446"/>
      <c r="H75" s="447" t="s">
        <v>78</v>
      </c>
      <c r="I75" s="446"/>
      <c r="J75" s="448">
        <f>+P193</f>
        <v>43312</v>
      </c>
      <c r="K75" s="446"/>
      <c r="L75" s="446"/>
      <c r="M75" s="446"/>
      <c r="N75" s="446"/>
      <c r="O75" s="446"/>
      <c r="P75" s="446" t="s">
        <v>88</v>
      </c>
      <c r="Q75" s="446"/>
      <c r="R75" s="446" t="s">
        <v>94</v>
      </c>
      <c r="S75" s="434"/>
      <c r="T75" s="244"/>
    </row>
    <row r="76" spans="1:20" s="263" customFormat="1" x14ac:dyDescent="0.25">
      <c r="A76" s="258"/>
      <c r="B76" s="313" t="s">
        <v>23</v>
      </c>
      <c r="C76" s="313"/>
      <c r="D76" s="313"/>
      <c r="E76" s="313"/>
      <c r="F76" s="313"/>
      <c r="G76" s="313"/>
      <c r="H76" s="313"/>
      <c r="I76" s="313"/>
      <c r="J76" s="313"/>
      <c r="K76" s="313"/>
      <c r="L76" s="313"/>
      <c r="M76" s="313"/>
      <c r="N76" s="313"/>
      <c r="O76" s="313"/>
      <c r="P76" s="346">
        <v>0</v>
      </c>
      <c r="Q76" s="313"/>
      <c r="R76" s="416">
        <v>0</v>
      </c>
      <c r="S76" s="261"/>
      <c r="T76" s="262"/>
    </row>
    <row r="77" spans="1:20" s="263" customFormat="1" x14ac:dyDescent="0.25">
      <c r="A77" s="275"/>
      <c r="B77" s="271" t="s">
        <v>246</v>
      </c>
      <c r="C77" s="271"/>
      <c r="D77" s="304"/>
      <c r="E77" s="304"/>
      <c r="F77" s="304"/>
      <c r="G77" s="338"/>
      <c r="H77" s="304"/>
      <c r="I77" s="271"/>
      <c r="J77" s="339"/>
      <c r="K77" s="271"/>
      <c r="L77" s="271"/>
      <c r="M77" s="271"/>
      <c r="N77" s="271"/>
      <c r="O77" s="271"/>
      <c r="P77" s="331">
        <f>-N70</f>
        <v>0</v>
      </c>
      <c r="Q77" s="271"/>
      <c r="R77" s="332"/>
      <c r="S77" s="274"/>
      <c r="T77" s="262"/>
    </row>
    <row r="78" spans="1:20" s="263" customFormat="1" x14ac:dyDescent="0.25">
      <c r="A78" s="275"/>
      <c r="B78" s="271" t="s">
        <v>245</v>
      </c>
      <c r="C78" s="271"/>
      <c r="D78" s="304"/>
      <c r="E78" s="304"/>
      <c r="F78" s="304"/>
      <c r="G78" s="338"/>
      <c r="H78" s="304"/>
      <c r="I78" s="271"/>
      <c r="J78" s="339"/>
      <c r="K78" s="271"/>
      <c r="L78" s="271"/>
      <c r="M78" s="271"/>
      <c r="N78" s="271"/>
      <c r="O78" s="271"/>
      <c r="P78" s="331">
        <v>0</v>
      </c>
      <c r="Q78" s="271"/>
      <c r="R78" s="332"/>
      <c r="S78" s="274"/>
      <c r="T78" s="262"/>
    </row>
    <row r="79" spans="1:20" s="263" customFormat="1" x14ac:dyDescent="0.25">
      <c r="A79" s="275"/>
      <c r="B79" s="271" t="s">
        <v>24</v>
      </c>
      <c r="C79" s="271"/>
      <c r="D79" s="304"/>
      <c r="E79" s="304"/>
      <c r="F79" s="304"/>
      <c r="G79" s="338"/>
      <c r="H79" s="304"/>
      <c r="I79" s="271"/>
      <c r="J79" s="339"/>
      <c r="K79" s="271"/>
      <c r="L79" s="271"/>
      <c r="M79" s="271"/>
      <c r="N79" s="271"/>
      <c r="O79" s="271"/>
      <c r="P79" s="331">
        <f>+J56+L56+P56-14</f>
        <v>86490</v>
      </c>
      <c r="Q79" s="271"/>
      <c r="R79" s="332"/>
      <c r="S79" s="274"/>
      <c r="T79" s="262"/>
    </row>
    <row r="80" spans="1:20" s="263" customFormat="1" x14ac:dyDescent="0.25">
      <c r="A80" s="275"/>
      <c r="B80" s="271" t="s">
        <v>138</v>
      </c>
      <c r="C80" s="271"/>
      <c r="D80" s="304"/>
      <c r="E80" s="304"/>
      <c r="F80" s="304"/>
      <c r="G80" s="338"/>
      <c r="H80" s="304"/>
      <c r="I80" s="271"/>
      <c r="J80" s="339"/>
      <c r="K80" s="271"/>
      <c r="L80" s="271"/>
      <c r="M80" s="271"/>
      <c r="N80" s="271"/>
      <c r="O80" s="271"/>
      <c r="P80" s="331"/>
      <c r="Q80" s="271"/>
      <c r="R80" s="332">
        <f>1338+33-265-6</f>
        <v>1100</v>
      </c>
      <c r="S80" s="274"/>
      <c r="T80" s="262"/>
    </row>
    <row r="81" spans="1:20" s="263" customFormat="1" x14ac:dyDescent="0.25">
      <c r="A81" s="275"/>
      <c r="B81" s="271" t="s">
        <v>136</v>
      </c>
      <c r="C81" s="271"/>
      <c r="D81" s="304"/>
      <c r="E81" s="304"/>
      <c r="F81" s="304"/>
      <c r="G81" s="338"/>
      <c r="H81" s="304"/>
      <c r="I81" s="271"/>
      <c r="J81" s="339"/>
      <c r="K81" s="271"/>
      <c r="L81" s="271"/>
      <c r="M81" s="271"/>
      <c r="N81" s="271"/>
      <c r="O81" s="271"/>
      <c r="P81" s="331"/>
      <c r="Q81" s="271"/>
      <c r="R81" s="332">
        <v>26</v>
      </c>
      <c r="S81" s="274"/>
      <c r="T81" s="262"/>
    </row>
    <row r="82" spans="1:20" s="263" customFormat="1" x14ac:dyDescent="0.25">
      <c r="A82" s="275"/>
      <c r="B82" s="271" t="s">
        <v>137</v>
      </c>
      <c r="C82" s="271"/>
      <c r="D82" s="304"/>
      <c r="E82" s="304"/>
      <c r="F82" s="304"/>
      <c r="G82" s="338"/>
      <c r="H82" s="304"/>
      <c r="I82" s="271"/>
      <c r="J82" s="339"/>
      <c r="K82" s="271"/>
      <c r="L82" s="271"/>
      <c r="M82" s="271"/>
      <c r="N82" s="271"/>
      <c r="O82" s="271"/>
      <c r="P82" s="331"/>
      <c r="Q82" s="271"/>
      <c r="R82" s="332">
        <v>19</v>
      </c>
      <c r="S82" s="274"/>
      <c r="T82" s="262"/>
    </row>
    <row r="83" spans="1:20" s="263" customFormat="1" x14ac:dyDescent="0.25">
      <c r="A83" s="275"/>
      <c r="B83" s="271" t="s">
        <v>146</v>
      </c>
      <c r="C83" s="271"/>
      <c r="D83" s="304"/>
      <c r="E83" s="304"/>
      <c r="F83" s="304"/>
      <c r="G83" s="338"/>
      <c r="H83" s="304"/>
      <c r="I83" s="271"/>
      <c r="J83" s="339"/>
      <c r="K83" s="271"/>
      <c r="L83" s="271"/>
      <c r="M83" s="271"/>
      <c r="N83" s="271"/>
      <c r="O83" s="271"/>
      <c r="P83" s="331"/>
      <c r="Q83" s="271"/>
      <c r="R83" s="332">
        <v>0</v>
      </c>
      <c r="S83" s="274"/>
      <c r="T83" s="262"/>
    </row>
    <row r="84" spans="1:20" s="263" customFormat="1" x14ac:dyDescent="0.25">
      <c r="A84" s="275"/>
      <c r="B84" s="271" t="s">
        <v>148</v>
      </c>
      <c r="C84" s="271"/>
      <c r="D84" s="304"/>
      <c r="E84" s="304"/>
      <c r="F84" s="304"/>
      <c r="G84" s="338"/>
      <c r="H84" s="304"/>
      <c r="I84" s="271"/>
      <c r="J84" s="339"/>
      <c r="K84" s="271"/>
      <c r="L84" s="271"/>
      <c r="M84" s="271"/>
      <c r="N84" s="271"/>
      <c r="O84" s="271"/>
      <c r="P84" s="331"/>
      <c r="Q84" s="271"/>
      <c r="R84" s="332">
        <v>34</v>
      </c>
      <c r="S84" s="274"/>
      <c r="T84" s="262"/>
    </row>
    <row r="85" spans="1:20" s="263" customFormat="1" x14ac:dyDescent="0.25">
      <c r="A85" s="275"/>
      <c r="B85" s="271" t="s">
        <v>170</v>
      </c>
      <c r="C85" s="271"/>
      <c r="D85" s="304"/>
      <c r="E85" s="304"/>
      <c r="F85" s="304"/>
      <c r="G85" s="338"/>
      <c r="H85" s="304"/>
      <c r="I85" s="271"/>
      <c r="J85" s="339"/>
      <c r="K85" s="271"/>
      <c r="L85" s="271"/>
      <c r="M85" s="271"/>
      <c r="N85" s="271"/>
      <c r="O85" s="271"/>
      <c r="P85" s="331"/>
      <c r="Q85" s="271"/>
      <c r="R85" s="332">
        <v>0</v>
      </c>
      <c r="S85" s="274"/>
      <c r="T85" s="262"/>
    </row>
    <row r="86" spans="1:20" s="263" customFormat="1" x14ac:dyDescent="0.25">
      <c r="A86" s="275"/>
      <c r="B86" s="271" t="s">
        <v>171</v>
      </c>
      <c r="C86" s="271"/>
      <c r="D86" s="304"/>
      <c r="E86" s="304"/>
      <c r="F86" s="304"/>
      <c r="G86" s="338"/>
      <c r="H86" s="304"/>
      <c r="I86" s="271"/>
      <c r="J86" s="339"/>
      <c r="K86" s="271"/>
      <c r="L86" s="271"/>
      <c r="M86" s="271"/>
      <c r="N86" s="271"/>
      <c r="O86" s="271"/>
      <c r="P86" s="331"/>
      <c r="Q86" s="271"/>
      <c r="R86" s="332">
        <v>0</v>
      </c>
      <c r="S86" s="274"/>
      <c r="T86" s="262"/>
    </row>
    <row r="87" spans="1:20" s="263" customFormat="1" x14ac:dyDescent="0.25">
      <c r="A87" s="275"/>
      <c r="B87" s="271" t="s">
        <v>172</v>
      </c>
      <c r="C87" s="271"/>
      <c r="D87" s="271"/>
      <c r="E87" s="271"/>
      <c r="F87" s="271"/>
      <c r="G87" s="271"/>
      <c r="H87" s="271"/>
      <c r="I87" s="271"/>
      <c r="J87" s="271"/>
      <c r="K87" s="271"/>
      <c r="L87" s="271"/>
      <c r="M87" s="271"/>
      <c r="N87" s="271"/>
      <c r="O87" s="271"/>
      <c r="P87" s="331"/>
      <c r="Q87" s="271"/>
      <c r="R87" s="332">
        <v>0</v>
      </c>
      <c r="S87" s="274"/>
      <c r="T87" s="262"/>
    </row>
    <row r="88" spans="1:20" s="263" customFormat="1" x14ac:dyDescent="0.25">
      <c r="A88" s="275"/>
      <c r="B88" s="271" t="s">
        <v>218</v>
      </c>
      <c r="C88" s="271"/>
      <c r="D88" s="271"/>
      <c r="E88" s="271"/>
      <c r="F88" s="271"/>
      <c r="G88" s="271"/>
      <c r="H88" s="271"/>
      <c r="I88" s="271"/>
      <c r="J88" s="271"/>
      <c r="K88" s="271"/>
      <c r="L88" s="271"/>
      <c r="M88" s="271"/>
      <c r="N88" s="271"/>
      <c r="O88" s="271"/>
      <c r="P88" s="331"/>
      <c r="Q88" s="271"/>
      <c r="R88" s="332">
        <v>0</v>
      </c>
      <c r="S88" s="274"/>
      <c r="T88" s="262"/>
    </row>
    <row r="89" spans="1:20" s="263" customFormat="1" x14ac:dyDescent="0.25">
      <c r="A89" s="275"/>
      <c r="B89" s="271" t="s">
        <v>269</v>
      </c>
      <c r="C89" s="271"/>
      <c r="D89" s="271"/>
      <c r="E89" s="271"/>
      <c r="F89" s="271"/>
      <c r="G89" s="271"/>
      <c r="H89" s="271"/>
      <c r="I89" s="271"/>
      <c r="J89" s="271"/>
      <c r="K89" s="271"/>
      <c r="L89" s="271"/>
      <c r="M89" s="271"/>
      <c r="N89" s="271"/>
      <c r="O89" s="271"/>
      <c r="P89" s="331"/>
      <c r="Q89" s="271"/>
      <c r="R89" s="332">
        <f>-R130</f>
        <v>10500</v>
      </c>
      <c r="S89" s="274"/>
      <c r="T89" s="262"/>
    </row>
    <row r="90" spans="1:20" s="263" customFormat="1" x14ac:dyDescent="0.25">
      <c r="A90" s="275"/>
      <c r="B90" s="271" t="s">
        <v>25</v>
      </c>
      <c r="C90" s="271"/>
      <c r="D90" s="271"/>
      <c r="E90" s="271"/>
      <c r="F90" s="271"/>
      <c r="G90" s="271"/>
      <c r="H90" s="271"/>
      <c r="I90" s="271"/>
      <c r="J90" s="271"/>
      <c r="K90" s="271"/>
      <c r="L90" s="271"/>
      <c r="M90" s="271"/>
      <c r="N90" s="271"/>
      <c r="O90" s="271"/>
      <c r="P90" s="331">
        <f>SUM(P76:P88)</f>
        <v>86490</v>
      </c>
      <c r="Q90" s="271"/>
      <c r="R90" s="331">
        <f>SUM(R76:R89)</f>
        <v>11679</v>
      </c>
      <c r="S90" s="274"/>
      <c r="T90" s="262"/>
    </row>
    <row r="91" spans="1:20" s="263" customFormat="1" x14ac:dyDescent="0.25">
      <c r="A91" s="275"/>
      <c r="B91" s="271" t="s">
        <v>26</v>
      </c>
      <c r="C91" s="271"/>
      <c r="D91" s="271"/>
      <c r="E91" s="271"/>
      <c r="F91" s="271"/>
      <c r="G91" s="271"/>
      <c r="H91" s="271"/>
      <c r="I91" s="271"/>
      <c r="J91" s="271"/>
      <c r="K91" s="271"/>
      <c r="L91" s="271"/>
      <c r="M91" s="271"/>
      <c r="N91" s="271"/>
      <c r="O91" s="271"/>
      <c r="P91" s="331">
        <f>-R91</f>
        <v>0</v>
      </c>
      <c r="Q91" s="271"/>
      <c r="R91" s="332">
        <v>0</v>
      </c>
      <c r="S91" s="274"/>
      <c r="T91" s="262"/>
    </row>
    <row r="92" spans="1:20" s="263" customFormat="1" x14ac:dyDescent="0.25">
      <c r="A92" s="275"/>
      <c r="B92" s="271" t="s">
        <v>153</v>
      </c>
      <c r="C92" s="271"/>
      <c r="D92" s="271"/>
      <c r="E92" s="271"/>
      <c r="F92" s="271"/>
      <c r="G92" s="271"/>
      <c r="H92" s="271"/>
      <c r="I92" s="271"/>
      <c r="J92" s="271"/>
      <c r="K92" s="271"/>
      <c r="L92" s="271"/>
      <c r="M92" s="271"/>
      <c r="N92" s="271"/>
      <c r="O92" s="271"/>
      <c r="P92" s="331"/>
      <c r="Q92" s="271"/>
      <c r="R92" s="332">
        <v>6</v>
      </c>
      <c r="S92" s="274"/>
      <c r="T92" s="262"/>
    </row>
    <row r="93" spans="1:20" s="263" customFormat="1" x14ac:dyDescent="0.25">
      <c r="A93" s="275"/>
      <c r="B93" s="271" t="s">
        <v>27</v>
      </c>
      <c r="C93" s="271"/>
      <c r="D93" s="271"/>
      <c r="E93" s="271"/>
      <c r="F93" s="271"/>
      <c r="G93" s="271"/>
      <c r="H93" s="271"/>
      <c r="I93" s="271"/>
      <c r="J93" s="271"/>
      <c r="K93" s="271"/>
      <c r="L93" s="271"/>
      <c r="M93" s="271"/>
      <c r="N93" s="271"/>
      <c r="O93" s="271"/>
      <c r="P93" s="331">
        <f>P90+P91</f>
        <v>86490</v>
      </c>
      <c r="Q93" s="271"/>
      <c r="R93" s="331">
        <f>R90+R91+R92</f>
        <v>11685</v>
      </c>
      <c r="S93" s="274"/>
      <c r="T93" s="262"/>
    </row>
    <row r="94" spans="1:20" x14ac:dyDescent="0.25">
      <c r="A94" s="290"/>
      <c r="B94" s="340" t="s">
        <v>28</v>
      </c>
      <c r="C94" s="296"/>
      <c r="D94" s="296"/>
      <c r="E94" s="296"/>
      <c r="F94" s="296"/>
      <c r="G94" s="296"/>
      <c r="H94" s="296"/>
      <c r="I94" s="296"/>
      <c r="J94" s="296"/>
      <c r="K94" s="296"/>
      <c r="L94" s="296"/>
      <c r="M94" s="296"/>
      <c r="N94" s="296"/>
      <c r="O94" s="296"/>
      <c r="P94" s="341"/>
      <c r="Q94" s="342"/>
      <c r="R94" s="343"/>
      <c r="S94" s="298"/>
      <c r="T94" s="244"/>
    </row>
    <row r="95" spans="1:20" s="263" customFormat="1" x14ac:dyDescent="0.25">
      <c r="A95" s="275">
        <v>1</v>
      </c>
      <c r="B95" s="271" t="s">
        <v>182</v>
      </c>
      <c r="C95" s="271"/>
      <c r="D95" s="271"/>
      <c r="E95" s="271"/>
      <c r="F95" s="271"/>
      <c r="G95" s="271"/>
      <c r="H95" s="271"/>
      <c r="I95" s="271"/>
      <c r="J95" s="271"/>
      <c r="K95" s="271"/>
      <c r="L95" s="271"/>
      <c r="M95" s="271"/>
      <c r="N95" s="271"/>
      <c r="O95" s="271"/>
      <c r="P95" s="331"/>
      <c r="Q95" s="271"/>
      <c r="R95" s="332">
        <v>0</v>
      </c>
      <c r="S95" s="274"/>
      <c r="T95" s="262"/>
    </row>
    <row r="96" spans="1:20" s="263" customFormat="1" x14ac:dyDescent="0.25">
      <c r="A96" s="275">
        <v>2</v>
      </c>
      <c r="B96" s="271" t="s">
        <v>230</v>
      </c>
      <c r="C96" s="271"/>
      <c r="D96" s="271"/>
      <c r="E96" s="271"/>
      <c r="F96" s="271"/>
      <c r="G96" s="271"/>
      <c r="H96" s="271"/>
      <c r="I96" s="271"/>
      <c r="J96" s="271"/>
      <c r="K96" s="271"/>
      <c r="L96" s="271"/>
      <c r="M96" s="271"/>
      <c r="N96" s="271"/>
      <c r="O96" s="271"/>
      <c r="P96" s="271"/>
      <c r="Q96" s="271"/>
      <c r="R96" s="332">
        <v>-3</v>
      </c>
      <c r="S96" s="274"/>
      <c r="T96" s="262"/>
    </row>
    <row r="97" spans="1:21" s="263" customFormat="1" x14ac:dyDescent="0.25">
      <c r="A97" s="275">
        <v>3</v>
      </c>
      <c r="B97" s="271" t="s">
        <v>259</v>
      </c>
      <c r="C97" s="271"/>
      <c r="D97" s="271"/>
      <c r="E97" s="271"/>
      <c r="F97" s="271"/>
      <c r="G97" s="271"/>
      <c r="H97" s="271"/>
      <c r="I97" s="271"/>
      <c r="J97" s="271"/>
      <c r="K97" s="271"/>
      <c r="L97" s="271"/>
      <c r="M97" s="271"/>
      <c r="N97" s="271"/>
      <c r="O97" s="271"/>
      <c r="P97" s="271"/>
      <c r="Q97" s="271"/>
      <c r="R97" s="332">
        <f>-33-8-3</f>
        <v>-44</v>
      </c>
      <c r="S97" s="274"/>
      <c r="T97" s="262"/>
    </row>
    <row r="98" spans="1:21" s="263" customFormat="1" x14ac:dyDescent="0.25">
      <c r="A98" s="275">
        <v>4</v>
      </c>
      <c r="B98" s="271" t="s">
        <v>97</v>
      </c>
      <c r="C98" s="271"/>
      <c r="D98" s="271"/>
      <c r="E98" s="271"/>
      <c r="F98" s="271"/>
      <c r="G98" s="271"/>
      <c r="H98" s="271"/>
      <c r="I98" s="271"/>
      <c r="J98" s="271"/>
      <c r="K98" s="271"/>
      <c r="L98" s="271"/>
      <c r="M98" s="271"/>
      <c r="N98" s="271"/>
      <c r="O98" s="271"/>
      <c r="P98" s="271"/>
      <c r="Q98" s="271"/>
      <c r="R98" s="332">
        <v>-14</v>
      </c>
      <c r="S98" s="274"/>
      <c r="T98" s="262"/>
    </row>
    <row r="99" spans="1:21" s="263" customFormat="1" x14ac:dyDescent="0.25">
      <c r="A99" s="275">
        <v>5</v>
      </c>
      <c r="B99" s="271" t="s">
        <v>160</v>
      </c>
      <c r="C99" s="271"/>
      <c r="D99" s="271"/>
      <c r="E99" s="271"/>
      <c r="F99" s="271"/>
      <c r="G99" s="271"/>
      <c r="H99" s="271"/>
      <c r="I99" s="271"/>
      <c r="J99" s="271"/>
      <c r="K99" s="271"/>
      <c r="L99" s="271"/>
      <c r="M99" s="271"/>
      <c r="N99" s="271"/>
      <c r="O99" s="271"/>
      <c r="P99" s="271"/>
      <c r="Q99" s="271"/>
      <c r="R99" s="332">
        <v>-185</v>
      </c>
      <c r="S99" s="274"/>
      <c r="T99" s="262"/>
      <c r="U99" s="344"/>
    </row>
    <row r="100" spans="1:21" s="263" customFormat="1" x14ac:dyDescent="0.25">
      <c r="A100" s="275">
        <v>6</v>
      </c>
      <c r="B100" s="271" t="s">
        <v>195</v>
      </c>
      <c r="C100" s="271"/>
      <c r="D100" s="271"/>
      <c r="E100" s="271"/>
      <c r="F100" s="271"/>
      <c r="G100" s="271"/>
      <c r="H100" s="271"/>
      <c r="I100" s="271"/>
      <c r="J100" s="271"/>
      <c r="K100" s="271"/>
      <c r="L100" s="271"/>
      <c r="M100" s="271"/>
      <c r="N100" s="271"/>
      <c r="O100" s="271"/>
      <c r="P100" s="271"/>
      <c r="Q100" s="271"/>
      <c r="R100" s="332">
        <v>-99</v>
      </c>
      <c r="S100" s="274"/>
      <c r="T100" s="262"/>
      <c r="U100" s="344"/>
    </row>
    <row r="101" spans="1:21" s="263" customFormat="1" x14ac:dyDescent="0.25">
      <c r="A101" s="275">
        <v>8</v>
      </c>
      <c r="B101" s="271" t="s">
        <v>161</v>
      </c>
      <c r="C101" s="271"/>
      <c r="D101" s="271"/>
      <c r="E101" s="271"/>
      <c r="F101" s="271"/>
      <c r="G101" s="271"/>
      <c r="H101" s="271"/>
      <c r="I101" s="271"/>
      <c r="J101" s="271"/>
      <c r="K101" s="271"/>
      <c r="L101" s="271"/>
      <c r="M101" s="271"/>
      <c r="N101" s="271"/>
      <c r="O101" s="271"/>
      <c r="P101" s="271"/>
      <c r="Q101" s="271"/>
      <c r="R101" s="332">
        <v>0</v>
      </c>
      <c r="S101" s="274"/>
      <c r="T101" s="262"/>
      <c r="U101" s="344"/>
    </row>
    <row r="102" spans="1:21" s="263" customFormat="1" x14ac:dyDescent="0.25">
      <c r="A102" s="275">
        <v>9</v>
      </c>
      <c r="B102" s="271" t="s">
        <v>37</v>
      </c>
      <c r="C102" s="271"/>
      <c r="D102" s="271"/>
      <c r="E102" s="271"/>
      <c r="F102" s="271"/>
      <c r="G102" s="271"/>
      <c r="H102" s="271"/>
      <c r="I102" s="271"/>
      <c r="J102" s="271"/>
      <c r="K102" s="271"/>
      <c r="L102" s="271"/>
      <c r="M102" s="271"/>
      <c r="N102" s="271"/>
      <c r="O102" s="271"/>
      <c r="P102" s="331">
        <f>-R102</f>
        <v>14</v>
      </c>
      <c r="Q102" s="271"/>
      <c r="R102" s="332">
        <v>-14</v>
      </c>
      <c r="S102" s="274"/>
      <c r="T102" s="262"/>
    </row>
    <row r="103" spans="1:21" s="263" customFormat="1" x14ac:dyDescent="0.25">
      <c r="A103" s="275">
        <v>10</v>
      </c>
      <c r="B103" s="271" t="s">
        <v>102</v>
      </c>
      <c r="C103" s="271"/>
      <c r="D103" s="271"/>
      <c r="E103" s="271"/>
      <c r="F103" s="271"/>
      <c r="G103" s="271"/>
      <c r="H103" s="271"/>
      <c r="I103" s="271"/>
      <c r="J103" s="271"/>
      <c r="K103" s="271"/>
      <c r="L103" s="271"/>
      <c r="M103" s="271"/>
      <c r="N103" s="271"/>
      <c r="O103" s="271"/>
      <c r="P103" s="271"/>
      <c r="Q103" s="271"/>
      <c r="R103" s="332">
        <v>0</v>
      </c>
      <c r="S103" s="274"/>
      <c r="T103" s="262"/>
    </row>
    <row r="104" spans="1:21" s="263" customFormat="1" x14ac:dyDescent="0.25">
      <c r="A104" s="275">
        <v>11</v>
      </c>
      <c r="B104" s="271" t="s">
        <v>29</v>
      </c>
      <c r="C104" s="271"/>
      <c r="D104" s="271"/>
      <c r="E104" s="271"/>
      <c r="F104" s="271"/>
      <c r="G104" s="271"/>
      <c r="H104" s="271"/>
      <c r="I104" s="271"/>
      <c r="J104" s="271"/>
      <c r="K104" s="271"/>
      <c r="L104" s="271"/>
      <c r="M104" s="271"/>
      <c r="N104" s="271"/>
      <c r="O104" s="271"/>
      <c r="P104" s="271"/>
      <c r="Q104" s="271"/>
      <c r="R104" s="332">
        <v>-25</v>
      </c>
      <c r="S104" s="274"/>
      <c r="T104" s="262"/>
    </row>
    <row r="105" spans="1:21" s="263" customFormat="1" x14ac:dyDescent="0.25">
      <c r="A105" s="275">
        <v>12</v>
      </c>
      <c r="B105" s="271" t="s">
        <v>141</v>
      </c>
      <c r="C105" s="271"/>
      <c r="D105" s="271"/>
      <c r="E105" s="271"/>
      <c r="F105" s="271"/>
      <c r="G105" s="271"/>
      <c r="H105" s="271"/>
      <c r="I105" s="271"/>
      <c r="J105" s="271"/>
      <c r="K105" s="271"/>
      <c r="L105" s="271"/>
      <c r="M105" s="271"/>
      <c r="N105" s="271"/>
      <c r="O105" s="271"/>
      <c r="P105" s="271"/>
      <c r="Q105" s="271"/>
      <c r="R105" s="332">
        <v>0</v>
      </c>
      <c r="S105" s="274"/>
      <c r="T105" s="262"/>
    </row>
    <row r="106" spans="1:21" s="263" customFormat="1" x14ac:dyDescent="0.25">
      <c r="A106" s="275">
        <v>13</v>
      </c>
      <c r="B106" s="271" t="s">
        <v>196</v>
      </c>
      <c r="C106" s="271"/>
      <c r="D106" s="271"/>
      <c r="E106" s="271"/>
      <c r="F106" s="271"/>
      <c r="G106" s="271"/>
      <c r="H106" s="271"/>
      <c r="I106" s="271"/>
      <c r="J106" s="271"/>
      <c r="K106" s="271"/>
      <c r="L106" s="271"/>
      <c r="M106" s="271"/>
      <c r="N106" s="271"/>
      <c r="O106" s="271"/>
      <c r="P106" s="271"/>
      <c r="Q106" s="271"/>
      <c r="R106" s="332">
        <v>-35</v>
      </c>
      <c r="S106" s="274"/>
      <c r="T106" s="262"/>
    </row>
    <row r="107" spans="1:21" s="263" customFormat="1" x14ac:dyDescent="0.25">
      <c r="A107" s="275">
        <v>14</v>
      </c>
      <c r="B107" s="271" t="s">
        <v>162</v>
      </c>
      <c r="C107" s="271"/>
      <c r="D107" s="271"/>
      <c r="E107" s="271"/>
      <c r="F107" s="271"/>
      <c r="G107" s="271"/>
      <c r="H107" s="271"/>
      <c r="I107" s="271"/>
      <c r="J107" s="271"/>
      <c r="K107" s="271"/>
      <c r="L107" s="271"/>
      <c r="M107" s="271"/>
      <c r="N107" s="271"/>
      <c r="O107" s="271"/>
      <c r="P107" s="271"/>
      <c r="Q107" s="271"/>
      <c r="R107" s="332">
        <v>0</v>
      </c>
      <c r="S107" s="274"/>
      <c r="T107" s="262"/>
    </row>
    <row r="108" spans="1:21" s="263" customFormat="1" x14ac:dyDescent="0.25">
      <c r="A108" s="275">
        <v>15</v>
      </c>
      <c r="B108" s="271" t="s">
        <v>222</v>
      </c>
      <c r="C108" s="271"/>
      <c r="D108" s="271"/>
      <c r="E108" s="271"/>
      <c r="F108" s="271"/>
      <c r="G108" s="271"/>
      <c r="H108" s="271"/>
      <c r="I108" s="271"/>
      <c r="J108" s="271"/>
      <c r="K108" s="271"/>
      <c r="L108" s="271"/>
      <c r="M108" s="271"/>
      <c r="N108" s="271"/>
      <c r="O108" s="271"/>
      <c r="P108" s="271"/>
      <c r="Q108" s="271"/>
      <c r="R108" s="332">
        <v>-33</v>
      </c>
      <c r="S108" s="274"/>
      <c r="T108" s="262"/>
    </row>
    <row r="109" spans="1:21" s="263" customFormat="1" x14ac:dyDescent="0.25">
      <c r="A109" s="275">
        <v>16</v>
      </c>
      <c r="B109" s="271" t="s">
        <v>173</v>
      </c>
      <c r="C109" s="271"/>
      <c r="D109" s="271"/>
      <c r="E109" s="271"/>
      <c r="F109" s="271"/>
      <c r="G109" s="271"/>
      <c r="H109" s="271"/>
      <c r="I109" s="271"/>
      <c r="J109" s="271"/>
      <c r="K109" s="271"/>
      <c r="L109" s="271"/>
      <c r="M109" s="271"/>
      <c r="N109" s="271"/>
      <c r="O109" s="271"/>
      <c r="P109" s="271"/>
      <c r="Q109" s="271"/>
      <c r="R109" s="332">
        <f>-3-220</f>
        <v>-223</v>
      </c>
      <c r="S109" s="274"/>
      <c r="T109" s="262"/>
    </row>
    <row r="110" spans="1:21" s="263" customFormat="1" x14ac:dyDescent="0.25">
      <c r="A110" s="275">
        <v>17</v>
      </c>
      <c r="B110" s="271" t="s">
        <v>178</v>
      </c>
      <c r="C110" s="271"/>
      <c r="D110" s="271"/>
      <c r="E110" s="271"/>
      <c r="F110" s="271"/>
      <c r="G110" s="271"/>
      <c r="H110" s="271"/>
      <c r="I110" s="271"/>
      <c r="J110" s="271"/>
      <c r="K110" s="271"/>
      <c r="L110" s="271"/>
      <c r="M110" s="271"/>
      <c r="N110" s="271"/>
      <c r="O110" s="271"/>
      <c r="P110" s="271"/>
      <c r="Q110" s="271"/>
      <c r="R110" s="332">
        <f>-R93-SUM(R95:R109)</f>
        <v>-11010</v>
      </c>
      <c r="S110" s="274"/>
      <c r="T110" s="262"/>
    </row>
    <row r="111" spans="1:21" s="263" customFormat="1" x14ac:dyDescent="0.25">
      <c r="A111" s="275">
        <v>18</v>
      </c>
      <c r="B111" s="271" t="s">
        <v>179</v>
      </c>
      <c r="C111" s="271"/>
      <c r="D111" s="271"/>
      <c r="E111" s="271"/>
      <c r="F111" s="271"/>
      <c r="G111" s="271"/>
      <c r="H111" s="271"/>
      <c r="I111" s="271"/>
      <c r="J111" s="271"/>
      <c r="K111" s="271"/>
      <c r="L111" s="271"/>
      <c r="M111" s="271"/>
      <c r="N111" s="271"/>
      <c r="O111" s="271"/>
      <c r="P111" s="331">
        <f>-R111</f>
        <v>0</v>
      </c>
      <c r="Q111" s="271"/>
      <c r="R111" s="332">
        <v>0</v>
      </c>
      <c r="S111" s="274"/>
      <c r="T111" s="262"/>
    </row>
    <row r="112" spans="1:21" x14ac:dyDescent="0.25">
      <c r="A112" s="290"/>
      <c r="B112" s="340" t="s">
        <v>30</v>
      </c>
      <c r="C112" s="296"/>
      <c r="D112" s="296"/>
      <c r="E112" s="296"/>
      <c r="F112" s="296"/>
      <c r="G112" s="296"/>
      <c r="H112" s="296"/>
      <c r="I112" s="296"/>
      <c r="J112" s="296"/>
      <c r="K112" s="296"/>
      <c r="L112" s="296"/>
      <c r="M112" s="296"/>
      <c r="N112" s="296"/>
      <c r="O112" s="296"/>
      <c r="P112" s="342"/>
      <c r="Q112" s="342"/>
      <c r="R112" s="345"/>
      <c r="S112" s="298"/>
      <c r="T112" s="244"/>
    </row>
    <row r="113" spans="1:20" s="263" customFormat="1" x14ac:dyDescent="0.25">
      <c r="A113" s="275"/>
      <c r="B113" s="271" t="s">
        <v>223</v>
      </c>
      <c r="C113" s="271"/>
      <c r="D113" s="271"/>
      <c r="E113" s="271"/>
      <c r="F113" s="271"/>
      <c r="G113" s="271"/>
      <c r="H113" s="271"/>
      <c r="I113" s="271"/>
      <c r="J113" s="271"/>
      <c r="K113" s="271"/>
      <c r="L113" s="271"/>
      <c r="M113" s="271"/>
      <c r="N113" s="271"/>
      <c r="O113" s="271"/>
      <c r="P113" s="331">
        <f>-P177</f>
        <v>0</v>
      </c>
      <c r="Q113" s="331"/>
      <c r="R113" s="332"/>
      <c r="S113" s="274"/>
      <c r="T113" s="262"/>
    </row>
    <row r="114" spans="1:20" s="263" customFormat="1" x14ac:dyDescent="0.25">
      <c r="A114" s="275"/>
      <c r="B114" s="271" t="s">
        <v>224</v>
      </c>
      <c r="C114" s="271"/>
      <c r="D114" s="271"/>
      <c r="E114" s="271"/>
      <c r="F114" s="271"/>
      <c r="G114" s="271"/>
      <c r="H114" s="271"/>
      <c r="I114" s="271"/>
      <c r="J114" s="271"/>
      <c r="K114" s="271"/>
      <c r="L114" s="271"/>
      <c r="M114" s="271"/>
      <c r="N114" s="271"/>
      <c r="O114" s="271"/>
      <c r="P114" s="331">
        <f>-O177</f>
        <v>0</v>
      </c>
      <c r="Q114" s="331"/>
      <c r="R114" s="332"/>
      <c r="S114" s="274"/>
      <c r="T114" s="262"/>
    </row>
    <row r="115" spans="1:20" s="263" customFormat="1" x14ac:dyDescent="0.25">
      <c r="A115" s="275"/>
      <c r="B115" s="271" t="s">
        <v>163</v>
      </c>
      <c r="C115" s="271"/>
      <c r="D115" s="271"/>
      <c r="E115" s="271"/>
      <c r="F115" s="271"/>
      <c r="G115" s="271"/>
      <c r="H115" s="271"/>
      <c r="I115" s="271"/>
      <c r="J115" s="271"/>
      <c r="K115" s="271"/>
      <c r="L115" s="271"/>
      <c r="M115" s="271"/>
      <c r="N115" s="271"/>
      <c r="O115" s="271"/>
      <c r="P115" s="331">
        <v>-55504</v>
      </c>
      <c r="Q115" s="331"/>
      <c r="R115" s="332"/>
      <c r="S115" s="274"/>
      <c r="T115" s="262"/>
    </row>
    <row r="116" spans="1:20" s="263" customFormat="1" x14ac:dyDescent="0.25">
      <c r="A116" s="275"/>
      <c r="B116" s="271" t="s">
        <v>187</v>
      </c>
      <c r="C116" s="271"/>
      <c r="D116" s="271"/>
      <c r="E116" s="271"/>
      <c r="F116" s="271"/>
      <c r="G116" s="271"/>
      <c r="H116" s="271"/>
      <c r="I116" s="271"/>
      <c r="J116" s="271"/>
      <c r="K116" s="271"/>
      <c r="L116" s="271"/>
      <c r="M116" s="271"/>
      <c r="N116" s="271"/>
      <c r="O116" s="271"/>
      <c r="P116" s="331">
        <v>-24000</v>
      </c>
      <c r="Q116" s="331"/>
      <c r="R116" s="332"/>
      <c r="S116" s="274"/>
      <c r="T116" s="262"/>
    </row>
    <row r="117" spans="1:20" s="263" customFormat="1" x14ac:dyDescent="0.25">
      <c r="A117" s="275"/>
      <c r="B117" s="271" t="s">
        <v>188</v>
      </c>
      <c r="C117" s="271"/>
      <c r="D117" s="271"/>
      <c r="E117" s="271"/>
      <c r="F117" s="271"/>
      <c r="G117" s="271"/>
      <c r="H117" s="271"/>
      <c r="I117" s="271"/>
      <c r="J117" s="271"/>
      <c r="K117" s="271"/>
      <c r="L117" s="271"/>
      <c r="M117" s="271"/>
      <c r="N117" s="271"/>
      <c r="O117" s="271"/>
      <c r="P117" s="331">
        <v>-7000</v>
      </c>
      <c r="Q117" s="331"/>
      <c r="R117" s="332"/>
      <c r="S117" s="274"/>
      <c r="T117" s="262"/>
    </row>
    <row r="118" spans="1:20" s="263" customFormat="1" x14ac:dyDescent="0.25">
      <c r="A118" s="275"/>
      <c r="B118" s="271" t="s">
        <v>31</v>
      </c>
      <c r="C118" s="271"/>
      <c r="D118" s="271"/>
      <c r="E118" s="271"/>
      <c r="F118" s="271"/>
      <c r="G118" s="271"/>
      <c r="H118" s="271"/>
      <c r="I118" s="271"/>
      <c r="J118" s="271"/>
      <c r="K118" s="271"/>
      <c r="L118" s="271"/>
      <c r="M118" s="271"/>
      <c r="N118" s="271"/>
      <c r="O118" s="271"/>
      <c r="P118" s="331">
        <f>SUM(P113:P117)</f>
        <v>-86504</v>
      </c>
      <c r="Q118" s="331"/>
      <c r="R118" s="331">
        <f>SUM(R94:R117)</f>
        <v>-11685</v>
      </c>
      <c r="S118" s="274"/>
      <c r="T118" s="262"/>
    </row>
    <row r="119" spans="1:20" s="263" customFormat="1" x14ac:dyDescent="0.25">
      <c r="A119" s="275"/>
      <c r="B119" s="271" t="s">
        <v>32</v>
      </c>
      <c r="C119" s="271"/>
      <c r="D119" s="271"/>
      <c r="E119" s="271"/>
      <c r="F119" s="271"/>
      <c r="G119" s="271"/>
      <c r="H119" s="271"/>
      <c r="I119" s="271"/>
      <c r="J119" s="271"/>
      <c r="K119" s="271"/>
      <c r="L119" s="271"/>
      <c r="M119" s="271"/>
      <c r="N119" s="271"/>
      <c r="O119" s="271"/>
      <c r="P119" s="331">
        <f>P93+P118+P102+P111</f>
        <v>0</v>
      </c>
      <c r="Q119" s="331"/>
      <c r="R119" s="331">
        <f>R93+R118</f>
        <v>0</v>
      </c>
      <c r="S119" s="274"/>
      <c r="T119" s="262"/>
    </row>
    <row r="120" spans="1:20" s="263" customFormat="1" x14ac:dyDescent="0.25">
      <c r="A120" s="258"/>
      <c r="B120" s="313"/>
      <c r="C120" s="313"/>
      <c r="D120" s="313"/>
      <c r="E120" s="313"/>
      <c r="F120" s="313"/>
      <c r="G120" s="313"/>
      <c r="H120" s="313"/>
      <c r="I120" s="313"/>
      <c r="J120" s="313"/>
      <c r="K120" s="313"/>
      <c r="L120" s="313"/>
      <c r="M120" s="313"/>
      <c r="N120" s="313"/>
      <c r="O120" s="313"/>
      <c r="P120" s="346"/>
      <c r="Q120" s="346"/>
      <c r="R120" s="346"/>
      <c r="S120" s="261"/>
      <c r="T120" s="262"/>
    </row>
    <row r="121" spans="1:20" s="263" customFormat="1" x14ac:dyDescent="0.25">
      <c r="A121" s="258"/>
      <c r="B121" s="259"/>
      <c r="C121" s="259"/>
      <c r="D121" s="259"/>
      <c r="E121" s="259"/>
      <c r="F121" s="259"/>
      <c r="G121" s="259"/>
      <c r="H121" s="259"/>
      <c r="I121" s="259"/>
      <c r="J121" s="259"/>
      <c r="K121" s="259"/>
      <c r="L121" s="259"/>
      <c r="M121" s="259"/>
      <c r="N121" s="259"/>
      <c r="O121" s="259"/>
      <c r="P121" s="259"/>
      <c r="Q121" s="259"/>
      <c r="R121" s="347"/>
      <c r="S121" s="261"/>
      <c r="T121" s="262"/>
    </row>
    <row r="122" spans="1:20" s="263" customFormat="1" ht="19.5" thickBot="1" x14ac:dyDescent="0.35">
      <c r="A122" s="318"/>
      <c r="B122" s="319" t="str">
        <f>B52</f>
        <v>PM20 INVESTOR REPORT QUARTER ENDING JULY 2018</v>
      </c>
      <c r="C122" s="320"/>
      <c r="D122" s="320"/>
      <c r="E122" s="320"/>
      <c r="F122" s="320"/>
      <c r="G122" s="320"/>
      <c r="H122" s="320"/>
      <c r="I122" s="320"/>
      <c r="J122" s="320"/>
      <c r="K122" s="320"/>
      <c r="L122" s="320"/>
      <c r="M122" s="320"/>
      <c r="N122" s="320"/>
      <c r="O122" s="320"/>
      <c r="P122" s="320"/>
      <c r="Q122" s="320"/>
      <c r="R122" s="348"/>
      <c r="S122" s="322"/>
      <c r="T122" s="262"/>
    </row>
    <row r="123" spans="1:20" x14ac:dyDescent="0.25">
      <c r="A123" s="449"/>
      <c r="B123" s="450" t="s">
        <v>33</v>
      </c>
      <c r="C123" s="451"/>
      <c r="D123" s="451"/>
      <c r="E123" s="451"/>
      <c r="F123" s="451"/>
      <c r="G123" s="451"/>
      <c r="H123" s="451"/>
      <c r="I123" s="451"/>
      <c r="J123" s="451"/>
      <c r="K123" s="451"/>
      <c r="L123" s="451"/>
      <c r="M123" s="451"/>
      <c r="N123" s="451"/>
      <c r="O123" s="451"/>
      <c r="P123" s="451"/>
      <c r="Q123" s="451"/>
      <c r="R123" s="452"/>
      <c r="S123" s="453"/>
      <c r="T123" s="244"/>
    </row>
    <row r="124" spans="1:20" x14ac:dyDescent="0.25">
      <c r="A124" s="246"/>
      <c r="B124" s="349"/>
      <c r="C124" s="248"/>
      <c r="D124" s="248"/>
      <c r="E124" s="248"/>
      <c r="F124" s="248"/>
      <c r="G124" s="248"/>
      <c r="H124" s="248"/>
      <c r="I124" s="248"/>
      <c r="J124" s="248"/>
      <c r="K124" s="248"/>
      <c r="L124" s="248"/>
      <c r="M124" s="248"/>
      <c r="N124" s="248"/>
      <c r="O124" s="248"/>
      <c r="P124" s="248"/>
      <c r="Q124" s="248"/>
      <c r="R124" s="323"/>
      <c r="S124" s="249"/>
      <c r="T124" s="244"/>
    </row>
    <row r="125" spans="1:20" x14ac:dyDescent="0.25">
      <c r="A125" s="246"/>
      <c r="B125" s="350" t="s">
        <v>34</v>
      </c>
      <c r="C125" s="248"/>
      <c r="D125" s="248"/>
      <c r="E125" s="248"/>
      <c r="F125" s="248"/>
      <c r="G125" s="248"/>
      <c r="H125" s="248"/>
      <c r="I125" s="248"/>
      <c r="J125" s="248"/>
      <c r="K125" s="248"/>
      <c r="L125" s="248"/>
      <c r="M125" s="248"/>
      <c r="N125" s="248"/>
      <c r="O125" s="248"/>
      <c r="P125" s="248"/>
      <c r="Q125" s="248"/>
      <c r="R125" s="323"/>
      <c r="S125" s="249"/>
      <c r="T125" s="244"/>
    </row>
    <row r="126" spans="1:20" s="263" customFormat="1" x14ac:dyDescent="0.25">
      <c r="A126" s="275"/>
      <c r="B126" s="271" t="s">
        <v>35</v>
      </c>
      <c r="C126" s="271"/>
      <c r="D126" s="271"/>
      <c r="E126" s="271"/>
      <c r="F126" s="271"/>
      <c r="G126" s="271"/>
      <c r="H126" s="271"/>
      <c r="I126" s="271"/>
      <c r="J126" s="271"/>
      <c r="K126" s="271"/>
      <c r="L126" s="271"/>
      <c r="M126" s="271"/>
      <c r="N126" s="271"/>
      <c r="O126" s="271"/>
      <c r="P126" s="271"/>
      <c r="Q126" s="271"/>
      <c r="R126" s="332">
        <f>+R28*0.03</f>
        <v>10500</v>
      </c>
      <c r="S126" s="274"/>
      <c r="T126" s="262"/>
    </row>
    <row r="127" spans="1:20" s="263" customFormat="1" x14ac:dyDescent="0.25">
      <c r="A127" s="275"/>
      <c r="B127" s="271" t="s">
        <v>36</v>
      </c>
      <c r="C127" s="271"/>
      <c r="D127" s="271"/>
      <c r="E127" s="271"/>
      <c r="F127" s="271"/>
      <c r="G127" s="271"/>
      <c r="H127" s="271"/>
      <c r="I127" s="271"/>
      <c r="J127" s="271"/>
      <c r="K127" s="271"/>
      <c r="L127" s="271"/>
      <c r="M127" s="271"/>
      <c r="N127" s="271"/>
      <c r="O127" s="271"/>
      <c r="P127" s="271"/>
      <c r="Q127" s="271"/>
      <c r="R127" s="332">
        <v>0</v>
      </c>
      <c r="S127" s="274"/>
      <c r="T127" s="262"/>
    </row>
    <row r="128" spans="1:20" s="263" customFormat="1" x14ac:dyDescent="0.25">
      <c r="A128" s="275"/>
      <c r="B128" s="271" t="s">
        <v>175</v>
      </c>
      <c r="C128" s="271"/>
      <c r="D128" s="271"/>
      <c r="E128" s="271"/>
      <c r="F128" s="271"/>
      <c r="G128" s="271"/>
      <c r="H128" s="271"/>
      <c r="I128" s="271"/>
      <c r="J128" s="271"/>
      <c r="K128" s="271"/>
      <c r="L128" s="271"/>
      <c r="M128" s="271"/>
      <c r="N128" s="271"/>
      <c r="O128" s="271"/>
      <c r="P128" s="271"/>
      <c r="Q128" s="271"/>
      <c r="R128" s="332">
        <f>R126-R129</f>
        <v>10500</v>
      </c>
      <c r="S128" s="274"/>
      <c r="T128" s="262"/>
    </row>
    <row r="129" spans="1:21" s="263" customFormat="1" x14ac:dyDescent="0.25">
      <c r="A129" s="275"/>
      <c r="B129" s="271" t="s">
        <v>235</v>
      </c>
      <c r="C129" s="271"/>
      <c r="D129" s="271"/>
      <c r="E129" s="271"/>
      <c r="F129" s="271"/>
      <c r="G129" s="271"/>
      <c r="H129" s="271"/>
      <c r="I129" s="271"/>
      <c r="J129" s="271"/>
      <c r="K129" s="271"/>
      <c r="L129" s="271"/>
      <c r="M129" s="271"/>
      <c r="N129" s="271"/>
      <c r="O129" s="271"/>
      <c r="P129" s="271"/>
      <c r="Q129" s="271"/>
      <c r="R129" s="332">
        <f>SUM(D30:F30)*0.03</f>
        <v>0</v>
      </c>
      <c r="S129" s="274"/>
      <c r="T129" s="262"/>
    </row>
    <row r="130" spans="1:21" s="263" customFormat="1" x14ac:dyDescent="0.25">
      <c r="A130" s="275"/>
      <c r="B130" s="271" t="s">
        <v>268</v>
      </c>
      <c r="C130" s="271"/>
      <c r="D130" s="271"/>
      <c r="E130" s="271"/>
      <c r="F130" s="271"/>
      <c r="G130" s="271"/>
      <c r="H130" s="271"/>
      <c r="I130" s="271"/>
      <c r="J130" s="271"/>
      <c r="K130" s="271"/>
      <c r="L130" s="271"/>
      <c r="M130" s="271"/>
      <c r="N130" s="271"/>
      <c r="O130" s="271"/>
      <c r="P130" s="271"/>
      <c r="Q130" s="271"/>
      <c r="R130" s="332">
        <v>-10500</v>
      </c>
      <c r="S130" s="274"/>
      <c r="T130" s="262"/>
    </row>
    <row r="131" spans="1:21" s="263" customFormat="1" x14ac:dyDescent="0.25">
      <c r="A131" s="275"/>
      <c r="B131" s="271" t="s">
        <v>109</v>
      </c>
      <c r="C131" s="271"/>
      <c r="D131" s="271"/>
      <c r="E131" s="271"/>
      <c r="F131" s="271"/>
      <c r="G131" s="271"/>
      <c r="H131" s="271"/>
      <c r="I131" s="271"/>
      <c r="J131" s="271"/>
      <c r="K131" s="271"/>
      <c r="L131" s="271"/>
      <c r="M131" s="271"/>
      <c r="N131" s="271"/>
      <c r="O131" s="271"/>
      <c r="P131" s="271"/>
      <c r="Q131" s="271"/>
      <c r="R131" s="332"/>
      <c r="S131" s="274"/>
      <c r="T131" s="262"/>
    </row>
    <row r="132" spans="1:21" s="263" customFormat="1" x14ac:dyDescent="0.25">
      <c r="A132" s="275"/>
      <c r="B132" s="271" t="s">
        <v>160</v>
      </c>
      <c r="C132" s="271"/>
      <c r="D132" s="271"/>
      <c r="E132" s="271"/>
      <c r="F132" s="271"/>
      <c r="G132" s="271"/>
      <c r="H132" s="271"/>
      <c r="I132" s="271"/>
      <c r="J132" s="271"/>
      <c r="K132" s="271"/>
      <c r="L132" s="271"/>
      <c r="M132" s="271"/>
      <c r="N132" s="271"/>
      <c r="O132" s="271"/>
      <c r="P132" s="271"/>
      <c r="Q132" s="271"/>
      <c r="R132" s="332">
        <v>0</v>
      </c>
      <c r="S132" s="274"/>
      <c r="T132" s="262"/>
    </row>
    <row r="133" spans="1:21" s="263" customFormat="1" x14ac:dyDescent="0.25">
      <c r="A133" s="275"/>
      <c r="B133" s="271" t="s">
        <v>195</v>
      </c>
      <c r="C133" s="271"/>
      <c r="D133" s="271"/>
      <c r="E133" s="271"/>
      <c r="F133" s="271"/>
      <c r="G133" s="271"/>
      <c r="H133" s="271"/>
      <c r="I133" s="271"/>
      <c r="J133" s="271"/>
      <c r="K133" s="271"/>
      <c r="L133" s="271"/>
      <c r="M133" s="271"/>
      <c r="N133" s="271"/>
      <c r="O133" s="271"/>
      <c r="P133" s="271"/>
      <c r="Q133" s="271"/>
      <c r="R133" s="332">
        <v>0</v>
      </c>
      <c r="S133" s="274"/>
      <c r="T133" s="262"/>
    </row>
    <row r="134" spans="1:21" s="263" customFormat="1" x14ac:dyDescent="0.25">
      <c r="A134" s="275"/>
      <c r="B134" s="271" t="s">
        <v>37</v>
      </c>
      <c r="C134" s="271"/>
      <c r="D134" s="271"/>
      <c r="E134" s="271"/>
      <c r="F134" s="271"/>
      <c r="G134" s="271"/>
      <c r="H134" s="271"/>
      <c r="I134" s="271"/>
      <c r="J134" s="271"/>
      <c r="K134" s="271"/>
      <c r="L134" s="271"/>
      <c r="M134" s="271"/>
      <c r="N134" s="271"/>
      <c r="O134" s="271"/>
      <c r="P134" s="271"/>
      <c r="Q134" s="271"/>
      <c r="R134" s="332">
        <v>0</v>
      </c>
      <c r="S134" s="274"/>
      <c r="T134" s="262"/>
    </row>
    <row r="135" spans="1:21" s="263" customFormat="1" x14ac:dyDescent="0.25">
      <c r="A135" s="275"/>
      <c r="B135" s="271" t="s">
        <v>103</v>
      </c>
      <c r="C135" s="271"/>
      <c r="D135" s="271"/>
      <c r="E135" s="271"/>
      <c r="F135" s="271"/>
      <c r="G135" s="271"/>
      <c r="H135" s="271"/>
      <c r="I135" s="271"/>
      <c r="J135" s="271"/>
      <c r="K135" s="271"/>
      <c r="L135" s="271"/>
      <c r="M135" s="271"/>
      <c r="N135" s="271"/>
      <c r="O135" s="271"/>
      <c r="P135" s="271"/>
      <c r="Q135" s="271"/>
      <c r="R135" s="332">
        <v>0</v>
      </c>
      <c r="S135" s="274"/>
      <c r="T135" s="262"/>
    </row>
    <row r="136" spans="1:21" s="263" customFormat="1" x14ac:dyDescent="0.25">
      <c r="A136" s="275"/>
      <c r="B136" s="271" t="s">
        <v>225</v>
      </c>
      <c r="C136" s="271"/>
      <c r="D136" s="271"/>
      <c r="E136" s="271"/>
      <c r="F136" s="271"/>
      <c r="G136" s="271"/>
      <c r="H136" s="271"/>
      <c r="I136" s="271"/>
      <c r="J136" s="271"/>
      <c r="K136" s="271"/>
      <c r="L136" s="271"/>
      <c r="M136" s="271"/>
      <c r="N136" s="271"/>
      <c r="O136" s="271"/>
      <c r="P136" s="271"/>
      <c r="Q136" s="271"/>
      <c r="R136" s="332">
        <v>0</v>
      </c>
      <c r="S136" s="274"/>
      <c r="T136" s="262"/>
      <c r="U136" s="344"/>
    </row>
    <row r="137" spans="1:21" s="263" customFormat="1" x14ac:dyDescent="0.25">
      <c r="A137" s="275"/>
      <c r="B137" s="271" t="s">
        <v>38</v>
      </c>
      <c r="C137" s="271"/>
      <c r="D137" s="271"/>
      <c r="E137" s="271"/>
      <c r="F137" s="271"/>
      <c r="G137" s="271"/>
      <c r="H137" s="271"/>
      <c r="I137" s="271"/>
      <c r="J137" s="271"/>
      <c r="K137" s="271"/>
      <c r="L137" s="271"/>
      <c r="M137" s="271"/>
      <c r="N137" s="271"/>
      <c r="O137" s="271"/>
      <c r="P137" s="271"/>
      <c r="Q137" s="271"/>
      <c r="R137" s="332">
        <f>SUM(R127:R136)</f>
        <v>0</v>
      </c>
      <c r="S137" s="274"/>
      <c r="T137" s="262"/>
    </row>
    <row r="138" spans="1:21" s="263" customFormat="1" x14ac:dyDescent="0.25">
      <c r="A138" s="258"/>
      <c r="B138" s="313"/>
      <c r="C138" s="313"/>
      <c r="D138" s="313"/>
      <c r="E138" s="313"/>
      <c r="F138" s="313"/>
      <c r="G138" s="313"/>
      <c r="H138" s="313"/>
      <c r="I138" s="313"/>
      <c r="J138" s="313"/>
      <c r="K138" s="313"/>
      <c r="L138" s="313"/>
      <c r="M138" s="313"/>
      <c r="N138" s="313"/>
      <c r="O138" s="313"/>
      <c r="P138" s="313"/>
      <c r="Q138" s="313"/>
      <c r="R138" s="351"/>
      <c r="S138" s="261"/>
      <c r="T138" s="262"/>
    </row>
    <row r="139" spans="1:21" x14ac:dyDescent="0.25">
      <c r="A139" s="246"/>
      <c r="B139" s="350" t="s">
        <v>206</v>
      </c>
      <c r="C139" s="248"/>
      <c r="D139" s="248"/>
      <c r="E139" s="248"/>
      <c r="F139" s="248"/>
      <c r="G139" s="248"/>
      <c r="H139" s="248"/>
      <c r="I139" s="248"/>
      <c r="J139" s="248"/>
      <c r="K139" s="248"/>
      <c r="L139" s="248"/>
      <c r="M139" s="248"/>
      <c r="N139" s="248"/>
      <c r="O139" s="248"/>
      <c r="P139" s="248"/>
      <c r="Q139" s="248"/>
      <c r="R139" s="323"/>
      <c r="S139" s="249"/>
      <c r="T139" s="244"/>
    </row>
    <row r="140" spans="1:21" s="263" customFormat="1" x14ac:dyDescent="0.25">
      <c r="A140" s="275"/>
      <c r="B140" s="271" t="s">
        <v>174</v>
      </c>
      <c r="C140" s="271"/>
      <c r="D140" s="271"/>
      <c r="E140" s="271"/>
      <c r="F140" s="271"/>
      <c r="G140" s="271"/>
      <c r="H140" s="271"/>
      <c r="I140" s="271"/>
      <c r="J140" s="271"/>
      <c r="K140" s="271"/>
      <c r="L140" s="271"/>
      <c r="M140" s="271"/>
      <c r="N140" s="271"/>
      <c r="O140" s="271"/>
      <c r="P140" s="271"/>
      <c r="Q140" s="271"/>
      <c r="R140" s="332">
        <v>0</v>
      </c>
      <c r="S140" s="274"/>
      <c r="T140" s="262"/>
    </row>
    <row r="141" spans="1:21" s="263" customFormat="1" x14ac:dyDescent="0.25">
      <c r="A141" s="275"/>
      <c r="B141" s="271" t="s">
        <v>197</v>
      </c>
      <c r="C141" s="271"/>
      <c r="D141" s="271"/>
      <c r="E141" s="271"/>
      <c r="F141" s="271"/>
      <c r="G141" s="271"/>
      <c r="H141" s="271"/>
      <c r="I141" s="271"/>
      <c r="J141" s="271"/>
      <c r="K141" s="271"/>
      <c r="L141" s="271"/>
      <c r="M141" s="271"/>
      <c r="N141" s="271"/>
      <c r="O141" s="271"/>
      <c r="P141" s="271"/>
      <c r="Q141" s="271"/>
      <c r="R141" s="332">
        <f>+J69</f>
        <v>0</v>
      </c>
      <c r="S141" s="274"/>
      <c r="T141" s="262"/>
    </row>
    <row r="142" spans="1:21" s="263" customFormat="1" x14ac:dyDescent="0.25">
      <c r="A142" s="275"/>
      <c r="B142" s="271" t="s">
        <v>233</v>
      </c>
      <c r="C142" s="271"/>
      <c r="D142" s="271"/>
      <c r="E142" s="271"/>
      <c r="F142" s="271"/>
      <c r="G142" s="271"/>
      <c r="H142" s="271"/>
      <c r="I142" s="271"/>
      <c r="J142" s="271"/>
      <c r="K142" s="271"/>
      <c r="L142" s="271"/>
      <c r="M142" s="271"/>
      <c r="N142" s="271"/>
      <c r="O142" s="271"/>
      <c r="P142" s="271"/>
      <c r="Q142" s="271"/>
      <c r="R142" s="332">
        <f>R140+R141</f>
        <v>0</v>
      </c>
      <c r="S142" s="274"/>
      <c r="T142" s="262"/>
    </row>
    <row r="143" spans="1:21" x14ac:dyDescent="0.25">
      <c r="A143" s="246"/>
      <c r="B143" s="352"/>
      <c r="C143" s="352"/>
      <c r="D143" s="352"/>
      <c r="E143" s="352"/>
      <c r="F143" s="352"/>
      <c r="G143" s="352"/>
      <c r="H143" s="352"/>
      <c r="I143" s="352"/>
      <c r="J143" s="352"/>
      <c r="K143" s="352"/>
      <c r="L143" s="352"/>
      <c r="M143" s="352"/>
      <c r="N143" s="352"/>
      <c r="O143" s="352"/>
      <c r="P143" s="352"/>
      <c r="Q143" s="352"/>
      <c r="R143" s="353"/>
      <c r="S143" s="249"/>
      <c r="T143" s="244"/>
    </row>
    <row r="144" spans="1:21" x14ac:dyDescent="0.25">
      <c r="A144" s="246"/>
      <c r="B144" s="350" t="s">
        <v>234</v>
      </c>
      <c r="C144" s="352"/>
      <c r="D144" s="352"/>
      <c r="E144" s="352"/>
      <c r="F144" s="352"/>
      <c r="G144" s="352"/>
      <c r="H144" s="352"/>
      <c r="I144" s="352"/>
      <c r="J144" s="352"/>
      <c r="K144" s="352"/>
      <c r="L144" s="352"/>
      <c r="M144" s="352"/>
      <c r="N144" s="352"/>
      <c r="O144" s="352"/>
      <c r="P144" s="352"/>
      <c r="Q144" s="352"/>
      <c r="R144" s="353"/>
      <c r="S144" s="249"/>
      <c r="T144" s="244"/>
    </row>
    <row r="145" spans="1:252" s="263" customFormat="1" x14ac:dyDescent="0.25">
      <c r="A145" s="354"/>
      <c r="B145" s="355" t="s">
        <v>244</v>
      </c>
      <c r="C145" s="355"/>
      <c r="D145" s="355"/>
      <c r="E145" s="355"/>
      <c r="F145" s="355"/>
      <c r="G145" s="355"/>
      <c r="H145" s="355"/>
      <c r="I145" s="355"/>
      <c r="J145" s="355"/>
      <c r="K145" s="355"/>
      <c r="L145" s="355"/>
      <c r="M145" s="355"/>
      <c r="N145" s="355"/>
      <c r="O145" s="355"/>
      <c r="P145" s="355"/>
      <c r="Q145" s="355"/>
      <c r="R145" s="356">
        <f>+'July 16'!R146</f>
        <v>0</v>
      </c>
      <c r="S145" s="357"/>
      <c r="T145" s="262"/>
    </row>
    <row r="146" spans="1:252" s="263" customFormat="1" x14ac:dyDescent="0.25">
      <c r="A146" s="354"/>
      <c r="B146" s="355" t="s">
        <v>232</v>
      </c>
      <c r="C146" s="355"/>
      <c r="D146" s="355"/>
      <c r="E146" s="355"/>
      <c r="F146" s="355"/>
      <c r="G146" s="355"/>
      <c r="H146" s="355"/>
      <c r="I146" s="355"/>
      <c r="J146" s="355"/>
      <c r="K146" s="355"/>
      <c r="L146" s="355"/>
      <c r="M146" s="355"/>
      <c r="N146" s="355"/>
      <c r="O146" s="355"/>
      <c r="P146" s="355"/>
      <c r="Q146" s="355"/>
      <c r="R146" s="356">
        <f>P78</f>
        <v>0</v>
      </c>
      <c r="S146" s="357"/>
      <c r="T146" s="262"/>
    </row>
    <row r="147" spans="1:252" s="263" customFormat="1" x14ac:dyDescent="0.25">
      <c r="A147" s="358"/>
      <c r="B147" s="271" t="s">
        <v>238</v>
      </c>
      <c r="C147" s="359"/>
      <c r="D147" s="359"/>
      <c r="E147" s="359"/>
      <c r="F147" s="359"/>
      <c r="G147" s="359"/>
      <c r="H147" s="359"/>
      <c r="I147" s="359"/>
      <c r="J147" s="359"/>
      <c r="K147" s="359"/>
      <c r="L147" s="359"/>
      <c r="M147" s="359"/>
      <c r="N147" s="359"/>
      <c r="O147" s="359"/>
      <c r="P147" s="359"/>
      <c r="Q147" s="359"/>
      <c r="R147" s="360">
        <v>0</v>
      </c>
      <c r="S147" s="361"/>
      <c r="T147" s="262"/>
    </row>
    <row r="148" spans="1:252" s="263" customFormat="1" x14ac:dyDescent="0.25">
      <c r="A148" s="358"/>
      <c r="B148" s="271" t="s">
        <v>237</v>
      </c>
      <c r="C148" s="359"/>
      <c r="D148" s="359"/>
      <c r="E148" s="359"/>
      <c r="F148" s="359"/>
      <c r="G148" s="359"/>
      <c r="H148" s="359"/>
      <c r="I148" s="359"/>
      <c r="J148" s="359"/>
      <c r="K148" s="359"/>
      <c r="L148" s="359"/>
      <c r="M148" s="359"/>
      <c r="N148" s="359"/>
      <c r="O148" s="359"/>
      <c r="P148" s="359"/>
      <c r="Q148" s="359"/>
      <c r="R148" s="360">
        <f>R145+R146+R147</f>
        <v>0</v>
      </c>
      <c r="S148" s="361"/>
      <c r="T148" s="262"/>
    </row>
    <row r="149" spans="1:252" x14ac:dyDescent="0.25">
      <c r="A149" s="246"/>
      <c r="B149" s="333"/>
      <c r="C149" s="333"/>
      <c r="D149" s="333"/>
      <c r="E149" s="333"/>
      <c r="F149" s="333"/>
      <c r="G149" s="333"/>
      <c r="H149" s="333"/>
      <c r="I149" s="333"/>
      <c r="J149" s="333"/>
      <c r="K149" s="333"/>
      <c r="L149" s="333"/>
      <c r="M149" s="333"/>
      <c r="N149" s="333"/>
      <c r="O149" s="333"/>
      <c r="P149" s="333"/>
      <c r="Q149" s="333"/>
      <c r="R149" s="362"/>
      <c r="S149" s="249"/>
      <c r="T149" s="244"/>
    </row>
    <row r="150" spans="1:252" x14ac:dyDescent="0.25">
      <c r="A150" s="246"/>
      <c r="B150" s="350" t="s">
        <v>39</v>
      </c>
      <c r="C150" s="248"/>
      <c r="D150" s="248"/>
      <c r="E150" s="248"/>
      <c r="F150" s="248"/>
      <c r="G150" s="248"/>
      <c r="H150" s="248"/>
      <c r="I150" s="248"/>
      <c r="J150" s="248"/>
      <c r="K150" s="248"/>
      <c r="L150" s="248"/>
      <c r="M150" s="248"/>
      <c r="N150" s="248"/>
      <c r="O150" s="248"/>
      <c r="P150" s="248"/>
      <c r="Q150" s="248"/>
      <c r="R150" s="363"/>
      <c r="S150" s="249"/>
      <c r="T150" s="244"/>
    </row>
    <row r="151" spans="1:252" s="263" customFormat="1" x14ac:dyDescent="0.25">
      <c r="A151" s="275"/>
      <c r="B151" s="271" t="s">
        <v>40</v>
      </c>
      <c r="C151" s="271"/>
      <c r="D151" s="271"/>
      <c r="E151" s="271"/>
      <c r="F151" s="271"/>
      <c r="G151" s="271"/>
      <c r="H151" s="271"/>
      <c r="I151" s="271"/>
      <c r="J151" s="271"/>
      <c r="K151" s="271"/>
      <c r="L151" s="271"/>
      <c r="M151" s="271"/>
      <c r="N151" s="271"/>
      <c r="O151" s="271"/>
      <c r="P151" s="271"/>
      <c r="Q151" s="271"/>
      <c r="R151" s="332">
        <v>0</v>
      </c>
      <c r="S151" s="274"/>
      <c r="T151" s="262"/>
    </row>
    <row r="152" spans="1:252" s="263" customFormat="1" x14ac:dyDescent="0.25">
      <c r="A152" s="275"/>
      <c r="B152" s="271" t="s">
        <v>41</v>
      </c>
      <c r="C152" s="271"/>
      <c r="D152" s="271"/>
      <c r="E152" s="271"/>
      <c r="F152" s="271"/>
      <c r="G152" s="271"/>
      <c r="H152" s="271"/>
      <c r="I152" s="271"/>
      <c r="J152" s="271"/>
      <c r="K152" s="271"/>
      <c r="L152" s="271"/>
      <c r="M152" s="271"/>
      <c r="N152" s="271"/>
      <c r="O152" s="271"/>
      <c r="P152" s="271"/>
      <c r="Q152" s="271"/>
      <c r="R152" s="332">
        <f>+P102</f>
        <v>14</v>
      </c>
      <c r="S152" s="274"/>
      <c r="T152" s="262"/>
    </row>
    <row r="153" spans="1:252" s="263" customFormat="1" x14ac:dyDescent="0.25">
      <c r="A153" s="275"/>
      <c r="B153" s="271" t="s">
        <v>42</v>
      </c>
      <c r="C153" s="271"/>
      <c r="D153" s="271"/>
      <c r="E153" s="271"/>
      <c r="F153" s="271"/>
      <c r="G153" s="271"/>
      <c r="H153" s="271"/>
      <c r="I153" s="271"/>
      <c r="J153" s="271"/>
      <c r="K153" s="271"/>
      <c r="L153" s="271"/>
      <c r="M153" s="271"/>
      <c r="N153" s="271"/>
      <c r="O153" s="271"/>
      <c r="P153" s="271"/>
      <c r="Q153" s="271"/>
      <c r="R153" s="332">
        <f>R152+R151</f>
        <v>14</v>
      </c>
      <c r="S153" s="274"/>
      <c r="T153" s="262"/>
    </row>
    <row r="154" spans="1:252" s="263" customFormat="1" x14ac:dyDescent="0.25">
      <c r="A154" s="275"/>
      <c r="B154" s="271" t="s">
        <v>253</v>
      </c>
      <c r="C154" s="271"/>
      <c r="D154" s="271"/>
      <c r="E154" s="271"/>
      <c r="F154" s="271"/>
      <c r="G154" s="271"/>
      <c r="H154" s="271"/>
      <c r="I154" s="271"/>
      <c r="J154" s="271"/>
      <c r="K154" s="271"/>
      <c r="L154" s="271"/>
      <c r="M154" s="271"/>
      <c r="N154" s="271"/>
      <c r="O154" s="271"/>
      <c r="P154" s="271"/>
      <c r="Q154" s="271"/>
      <c r="R154" s="332">
        <f>R102</f>
        <v>-14</v>
      </c>
      <c r="S154" s="274"/>
      <c r="T154" s="262"/>
    </row>
    <row r="155" spans="1:252" s="263" customFormat="1" x14ac:dyDescent="0.25">
      <c r="A155" s="275"/>
      <c r="B155" s="271" t="s">
        <v>43</v>
      </c>
      <c r="C155" s="271"/>
      <c r="D155" s="271"/>
      <c r="E155" s="271"/>
      <c r="F155" s="271"/>
      <c r="G155" s="271"/>
      <c r="H155" s="271"/>
      <c r="I155" s="271"/>
      <c r="J155" s="271"/>
      <c r="K155" s="271"/>
      <c r="L155" s="271"/>
      <c r="M155" s="271"/>
      <c r="N155" s="271"/>
      <c r="O155" s="271"/>
      <c r="P155" s="271"/>
      <c r="Q155" s="271"/>
      <c r="R155" s="332">
        <f>R153+R154</f>
        <v>0</v>
      </c>
      <c r="S155" s="274"/>
      <c r="T155" s="262"/>
    </row>
    <row r="156" spans="1:252" s="263" customFormat="1" x14ac:dyDescent="0.25">
      <c r="A156" s="275"/>
      <c r="B156" s="271" t="s">
        <v>153</v>
      </c>
      <c r="C156" s="271"/>
      <c r="D156" s="271"/>
      <c r="E156" s="271"/>
      <c r="F156" s="271"/>
      <c r="G156" s="271"/>
      <c r="H156" s="271"/>
      <c r="I156" s="271"/>
      <c r="J156" s="271"/>
      <c r="K156" s="271"/>
      <c r="L156" s="271"/>
      <c r="M156" s="271"/>
      <c r="N156" s="271"/>
      <c r="O156" s="271"/>
      <c r="P156" s="271"/>
      <c r="Q156" s="271"/>
      <c r="R156" s="332">
        <v>0</v>
      </c>
      <c r="S156" s="274"/>
      <c r="T156" s="262"/>
    </row>
    <row r="157" spans="1:252" ht="16.5" thickBot="1" x14ac:dyDescent="0.3">
      <c r="A157" s="246"/>
      <c r="B157" s="333"/>
      <c r="C157" s="333"/>
      <c r="D157" s="333"/>
      <c r="E157" s="333"/>
      <c r="F157" s="333"/>
      <c r="G157" s="333"/>
      <c r="H157" s="333"/>
      <c r="I157" s="333"/>
      <c r="J157" s="333"/>
      <c r="K157" s="333"/>
      <c r="L157" s="333"/>
      <c r="M157" s="333"/>
      <c r="N157" s="333"/>
      <c r="O157" s="333"/>
      <c r="P157" s="333"/>
      <c r="Q157" s="333"/>
      <c r="R157" s="362"/>
      <c r="S157" s="249"/>
      <c r="T157" s="244"/>
    </row>
    <row r="158" spans="1:252" x14ac:dyDescent="0.25">
      <c r="A158" s="240"/>
      <c r="B158" s="242"/>
      <c r="C158" s="242"/>
      <c r="D158" s="242"/>
      <c r="E158" s="242"/>
      <c r="F158" s="242"/>
      <c r="G158" s="242"/>
      <c r="H158" s="242"/>
      <c r="I158" s="242"/>
      <c r="J158" s="242"/>
      <c r="K158" s="242"/>
      <c r="L158" s="242"/>
      <c r="M158" s="242"/>
      <c r="N158" s="242"/>
      <c r="O158" s="242"/>
      <c r="P158" s="242"/>
      <c r="Q158" s="242"/>
      <c r="R158" s="364"/>
      <c r="S158" s="243"/>
      <c r="T158" s="244"/>
    </row>
    <row r="159" spans="1:252" s="366" customFormat="1" x14ac:dyDescent="0.25">
      <c r="A159" s="246"/>
      <c r="B159" s="350" t="s">
        <v>207</v>
      </c>
      <c r="C159" s="333"/>
      <c r="D159" s="333"/>
      <c r="E159" s="333"/>
      <c r="F159" s="333"/>
      <c r="G159" s="333"/>
      <c r="H159" s="333"/>
      <c r="I159" s="333"/>
      <c r="J159" s="333"/>
      <c r="K159" s="333"/>
      <c r="L159" s="333"/>
      <c r="M159" s="333"/>
      <c r="N159" s="333"/>
      <c r="O159" s="333"/>
      <c r="P159" s="333"/>
      <c r="Q159" s="333"/>
      <c r="R159" s="365"/>
      <c r="S159" s="249"/>
      <c r="T159" s="244"/>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245"/>
      <c r="CB159" s="245"/>
      <c r="CC159" s="245"/>
      <c r="CD159" s="245"/>
      <c r="CE159" s="245"/>
      <c r="CF159" s="245"/>
      <c r="CG159" s="245"/>
      <c r="CH159" s="245"/>
      <c r="CI159" s="245"/>
      <c r="CJ159" s="245"/>
      <c r="CK159" s="245"/>
      <c r="CL159" s="245"/>
      <c r="CM159" s="245"/>
      <c r="CN159" s="245"/>
      <c r="CO159" s="245"/>
      <c r="CP159" s="245"/>
      <c r="CQ159" s="245"/>
      <c r="CR159" s="245"/>
      <c r="CS159" s="245"/>
      <c r="CT159" s="245"/>
      <c r="CU159" s="245"/>
      <c r="CV159" s="245"/>
      <c r="CW159" s="245"/>
      <c r="CX159" s="245"/>
      <c r="CY159" s="245"/>
      <c r="CZ159" s="245"/>
      <c r="DA159" s="245"/>
      <c r="DB159" s="245"/>
      <c r="DC159" s="245"/>
      <c r="DD159" s="245"/>
      <c r="DE159" s="245"/>
      <c r="DF159" s="245"/>
      <c r="DG159" s="245"/>
      <c r="DH159" s="245"/>
      <c r="DI159" s="245"/>
      <c r="DJ159" s="245"/>
      <c r="DK159" s="245"/>
      <c r="DL159" s="245"/>
      <c r="DM159" s="245"/>
      <c r="DN159" s="245"/>
      <c r="DO159" s="245"/>
      <c r="DP159" s="245"/>
      <c r="DQ159" s="245"/>
      <c r="DR159" s="245"/>
      <c r="DS159" s="245"/>
      <c r="DT159" s="245"/>
      <c r="DU159" s="245"/>
      <c r="DV159" s="245"/>
      <c r="DW159" s="245"/>
      <c r="DX159" s="245"/>
      <c r="DY159" s="245"/>
      <c r="DZ159" s="245"/>
      <c r="EA159" s="245"/>
      <c r="EB159" s="245"/>
      <c r="EC159" s="245"/>
      <c r="ED159" s="245"/>
      <c r="EE159" s="245"/>
      <c r="EF159" s="245"/>
      <c r="EG159" s="245"/>
      <c r="EH159" s="245"/>
      <c r="EI159" s="245"/>
      <c r="EJ159" s="245"/>
      <c r="EK159" s="245"/>
      <c r="EL159" s="245"/>
      <c r="EM159" s="245"/>
      <c r="EN159" s="245"/>
      <c r="EO159" s="245"/>
      <c r="EP159" s="245"/>
      <c r="EQ159" s="245"/>
      <c r="ER159" s="245"/>
      <c r="ES159" s="245"/>
      <c r="ET159" s="245"/>
      <c r="EU159" s="245"/>
      <c r="EV159" s="245"/>
      <c r="EW159" s="245"/>
      <c r="EX159" s="245"/>
      <c r="EY159" s="245"/>
      <c r="EZ159" s="245"/>
      <c r="FA159" s="245"/>
      <c r="FB159" s="245"/>
      <c r="FC159" s="245"/>
      <c r="FD159" s="245"/>
      <c r="FE159" s="245"/>
      <c r="FF159" s="245"/>
      <c r="FG159" s="245"/>
      <c r="FH159" s="245"/>
      <c r="FI159" s="245"/>
      <c r="FJ159" s="245"/>
      <c r="FK159" s="245"/>
      <c r="FL159" s="245"/>
      <c r="FM159" s="245"/>
      <c r="FN159" s="245"/>
      <c r="FO159" s="245"/>
      <c r="FP159" s="245"/>
      <c r="FQ159" s="245"/>
      <c r="FR159" s="245"/>
      <c r="FS159" s="245"/>
      <c r="FT159" s="245"/>
      <c r="FU159" s="245"/>
      <c r="FV159" s="245"/>
      <c r="FW159" s="245"/>
      <c r="FX159" s="245"/>
      <c r="FY159" s="245"/>
      <c r="FZ159" s="245"/>
      <c r="GA159" s="245"/>
      <c r="GB159" s="245"/>
      <c r="GC159" s="245"/>
      <c r="GD159" s="245"/>
      <c r="GE159" s="245"/>
      <c r="GF159" s="245"/>
      <c r="GG159" s="245"/>
      <c r="GH159" s="245"/>
      <c r="GI159" s="245"/>
      <c r="GJ159" s="245"/>
      <c r="GK159" s="245"/>
      <c r="GL159" s="245"/>
      <c r="GM159" s="245"/>
      <c r="GN159" s="245"/>
      <c r="GO159" s="245"/>
      <c r="GP159" s="245"/>
      <c r="GQ159" s="245"/>
      <c r="GR159" s="245"/>
      <c r="GS159" s="245"/>
      <c r="GT159" s="245"/>
      <c r="GU159" s="245"/>
      <c r="GV159" s="245"/>
      <c r="GW159" s="245"/>
      <c r="GX159" s="245"/>
      <c r="GY159" s="245"/>
      <c r="GZ159" s="245"/>
      <c r="HA159" s="245"/>
      <c r="HB159" s="245"/>
      <c r="HC159" s="245"/>
      <c r="HD159" s="245"/>
      <c r="HE159" s="245"/>
      <c r="HF159" s="245"/>
      <c r="HG159" s="245"/>
      <c r="HH159" s="245"/>
      <c r="HI159" s="245"/>
      <c r="HJ159" s="245"/>
      <c r="HK159" s="245"/>
      <c r="HL159" s="245"/>
      <c r="HM159" s="245"/>
      <c r="HN159" s="245"/>
      <c r="HO159" s="245"/>
      <c r="HP159" s="245"/>
      <c r="HQ159" s="245"/>
      <c r="HR159" s="245"/>
      <c r="HS159" s="245"/>
      <c r="HT159" s="245"/>
      <c r="HU159" s="245"/>
      <c r="HV159" s="245"/>
      <c r="HW159" s="245"/>
      <c r="HX159" s="245"/>
      <c r="HY159" s="245"/>
      <c r="HZ159" s="245"/>
      <c r="IA159" s="245"/>
      <c r="IB159" s="245"/>
      <c r="IC159" s="245"/>
      <c r="ID159" s="245"/>
      <c r="IE159" s="245"/>
      <c r="IF159" s="245"/>
      <c r="IG159" s="245"/>
      <c r="IH159" s="245"/>
      <c r="II159" s="245"/>
      <c r="IJ159" s="245"/>
      <c r="IK159" s="245"/>
      <c r="IL159" s="245"/>
      <c r="IM159" s="245"/>
      <c r="IN159" s="245"/>
      <c r="IO159" s="245"/>
      <c r="IP159" s="245"/>
      <c r="IQ159" s="245"/>
      <c r="IR159" s="245"/>
    </row>
    <row r="160" spans="1:252" s="367" customFormat="1" x14ac:dyDescent="0.25">
      <c r="A160" s="275"/>
      <c r="B160" s="271" t="s">
        <v>144</v>
      </c>
      <c r="C160" s="271"/>
      <c r="D160" s="271"/>
      <c r="E160" s="271"/>
      <c r="F160" s="271"/>
      <c r="G160" s="271"/>
      <c r="H160" s="271"/>
      <c r="I160" s="271"/>
      <c r="J160" s="271"/>
      <c r="K160" s="271"/>
      <c r="L160" s="271"/>
      <c r="M160" s="271"/>
      <c r="N160" s="271"/>
      <c r="O160" s="271"/>
      <c r="P160" s="271"/>
      <c r="Q160" s="271"/>
      <c r="R160" s="332">
        <f>'April 18'!R160</f>
        <v>34</v>
      </c>
      <c r="S160" s="274"/>
      <c r="T160" s="262"/>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3"/>
      <c r="BO160" s="263"/>
      <c r="BP160" s="263"/>
      <c r="BQ160" s="263"/>
      <c r="BR160" s="263"/>
      <c r="BS160" s="263"/>
      <c r="BT160" s="263"/>
      <c r="BU160" s="263"/>
      <c r="BV160" s="263"/>
      <c r="BW160" s="263"/>
      <c r="BX160" s="263"/>
      <c r="BY160" s="263"/>
      <c r="BZ160" s="263"/>
      <c r="CA160" s="263"/>
      <c r="CB160" s="263"/>
      <c r="CC160" s="263"/>
      <c r="CD160" s="263"/>
      <c r="CE160" s="263"/>
      <c r="CF160" s="263"/>
      <c r="CG160" s="263"/>
      <c r="CH160" s="263"/>
      <c r="CI160" s="263"/>
      <c r="CJ160" s="263"/>
      <c r="CK160" s="263"/>
      <c r="CL160" s="263"/>
      <c r="CM160" s="263"/>
      <c r="CN160" s="263"/>
      <c r="CO160" s="263"/>
      <c r="CP160" s="263"/>
      <c r="CQ160" s="263"/>
      <c r="CR160" s="263"/>
      <c r="CS160" s="263"/>
      <c r="CT160" s="263"/>
      <c r="CU160" s="263"/>
      <c r="CV160" s="263"/>
      <c r="CW160" s="263"/>
      <c r="CX160" s="263"/>
      <c r="CY160" s="263"/>
      <c r="CZ160" s="263"/>
      <c r="DA160" s="263"/>
      <c r="DB160" s="263"/>
      <c r="DC160" s="263"/>
      <c r="DD160" s="263"/>
      <c r="DE160" s="263"/>
      <c r="DF160" s="263"/>
      <c r="DG160" s="263"/>
      <c r="DH160" s="263"/>
      <c r="DI160" s="263"/>
      <c r="DJ160" s="263"/>
      <c r="DK160" s="263"/>
      <c r="DL160" s="263"/>
      <c r="DM160" s="263"/>
      <c r="DN160" s="263"/>
      <c r="DO160" s="263"/>
      <c r="DP160" s="263"/>
      <c r="DQ160" s="263"/>
      <c r="DR160" s="263"/>
      <c r="DS160" s="263"/>
      <c r="DT160" s="263"/>
      <c r="DU160" s="263"/>
      <c r="DV160" s="263"/>
      <c r="DW160" s="263"/>
      <c r="DX160" s="263"/>
      <c r="DY160" s="263"/>
      <c r="DZ160" s="263"/>
      <c r="EA160" s="263"/>
      <c r="EB160" s="263"/>
      <c r="EC160" s="263"/>
      <c r="ED160" s="263"/>
      <c r="EE160" s="263"/>
      <c r="EF160" s="263"/>
      <c r="EG160" s="263"/>
      <c r="EH160" s="263"/>
      <c r="EI160" s="263"/>
      <c r="EJ160" s="263"/>
      <c r="EK160" s="263"/>
      <c r="EL160" s="263"/>
      <c r="EM160" s="263"/>
      <c r="EN160" s="263"/>
      <c r="EO160" s="263"/>
      <c r="EP160" s="263"/>
      <c r="EQ160" s="263"/>
      <c r="ER160" s="263"/>
      <c r="ES160" s="263"/>
      <c r="ET160" s="263"/>
      <c r="EU160" s="263"/>
      <c r="EV160" s="263"/>
      <c r="EW160" s="263"/>
      <c r="EX160" s="263"/>
      <c r="EY160" s="263"/>
      <c r="EZ160" s="263"/>
      <c r="FA160" s="263"/>
      <c r="FB160" s="263"/>
      <c r="FC160" s="263"/>
      <c r="FD160" s="263"/>
      <c r="FE160" s="263"/>
      <c r="FF160" s="263"/>
      <c r="FG160" s="263"/>
      <c r="FH160" s="263"/>
      <c r="FI160" s="263"/>
      <c r="FJ160" s="263"/>
      <c r="FK160" s="263"/>
      <c r="FL160" s="263"/>
      <c r="FM160" s="263"/>
      <c r="FN160" s="263"/>
      <c r="FO160" s="263"/>
      <c r="FP160" s="263"/>
      <c r="FQ160" s="263"/>
      <c r="FR160" s="263"/>
      <c r="FS160" s="263"/>
      <c r="FT160" s="263"/>
      <c r="FU160" s="263"/>
      <c r="FV160" s="263"/>
      <c r="FW160" s="263"/>
      <c r="FX160" s="263"/>
      <c r="FY160" s="263"/>
      <c r="FZ160" s="263"/>
      <c r="GA160" s="263"/>
      <c r="GB160" s="263"/>
      <c r="GC160" s="263"/>
      <c r="GD160" s="263"/>
      <c r="GE160" s="263"/>
      <c r="GF160" s="263"/>
      <c r="GG160" s="263"/>
      <c r="GH160" s="263"/>
      <c r="GI160" s="263"/>
      <c r="GJ160" s="263"/>
      <c r="GK160" s="263"/>
      <c r="GL160" s="263"/>
      <c r="GM160" s="263"/>
      <c r="GN160" s="263"/>
      <c r="GO160" s="263"/>
      <c r="GP160" s="263"/>
      <c r="GQ160" s="263"/>
      <c r="GR160" s="263"/>
      <c r="GS160" s="263"/>
      <c r="GT160" s="263"/>
      <c r="GU160" s="263"/>
      <c r="GV160" s="263"/>
      <c r="GW160" s="263"/>
      <c r="GX160" s="263"/>
      <c r="GY160" s="263"/>
      <c r="GZ160" s="263"/>
      <c r="HA160" s="263"/>
      <c r="HB160" s="263"/>
      <c r="HC160" s="263"/>
      <c r="HD160" s="263"/>
      <c r="HE160" s="263"/>
      <c r="HF160" s="263"/>
      <c r="HG160" s="263"/>
      <c r="HH160" s="263"/>
      <c r="HI160" s="263"/>
      <c r="HJ160" s="263"/>
      <c r="HK160" s="263"/>
      <c r="HL160" s="263"/>
      <c r="HM160" s="263"/>
      <c r="HN160" s="263"/>
      <c r="HO160" s="263"/>
      <c r="HP160" s="263"/>
      <c r="HQ160" s="263"/>
      <c r="HR160" s="263"/>
      <c r="HS160" s="263"/>
      <c r="HT160" s="263"/>
      <c r="HU160" s="263"/>
      <c r="HV160" s="263"/>
      <c r="HW160" s="263"/>
      <c r="HX160" s="263"/>
      <c r="HY160" s="263"/>
      <c r="HZ160" s="263"/>
      <c r="IA160" s="263"/>
      <c r="IB160" s="263"/>
      <c r="IC160" s="263"/>
      <c r="ID160" s="263"/>
      <c r="IE160" s="263"/>
      <c r="IF160" s="263"/>
      <c r="IG160" s="263"/>
      <c r="IH160" s="263"/>
      <c r="II160" s="263"/>
      <c r="IJ160" s="263"/>
      <c r="IK160" s="263"/>
      <c r="IL160" s="263"/>
      <c r="IM160" s="263"/>
      <c r="IN160" s="263"/>
      <c r="IO160" s="263"/>
      <c r="IP160" s="263"/>
      <c r="IQ160" s="263"/>
      <c r="IR160" s="263"/>
    </row>
    <row r="161" spans="1:252" s="367" customFormat="1" x14ac:dyDescent="0.25">
      <c r="A161" s="275"/>
      <c r="B161" s="271" t="s">
        <v>147</v>
      </c>
      <c r="C161" s="271"/>
      <c r="D161" s="271"/>
      <c r="E161" s="271"/>
      <c r="F161" s="271"/>
      <c r="G161" s="271"/>
      <c r="H161" s="271"/>
      <c r="I161" s="271"/>
      <c r="J161" s="271"/>
      <c r="K161" s="271"/>
      <c r="L161" s="271"/>
      <c r="M161" s="271"/>
      <c r="N161" s="271"/>
      <c r="O161" s="271"/>
      <c r="P161" s="271"/>
      <c r="Q161" s="271"/>
      <c r="R161" s="332">
        <f>+R84</f>
        <v>34</v>
      </c>
      <c r="S161" s="274"/>
      <c r="T161" s="262"/>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3"/>
      <c r="BC161" s="263"/>
      <c r="BD161" s="263"/>
      <c r="BE161" s="263"/>
      <c r="BF161" s="263"/>
      <c r="BG161" s="263"/>
      <c r="BH161" s="263"/>
      <c r="BI161" s="263"/>
      <c r="BJ161" s="263"/>
      <c r="BK161" s="263"/>
      <c r="BL161" s="263"/>
      <c r="BM161" s="263"/>
      <c r="BN161" s="263"/>
      <c r="BO161" s="263"/>
      <c r="BP161" s="263"/>
      <c r="BQ161" s="263"/>
      <c r="BR161" s="263"/>
      <c r="BS161" s="263"/>
      <c r="BT161" s="263"/>
      <c r="BU161" s="263"/>
      <c r="BV161" s="263"/>
      <c r="BW161" s="263"/>
      <c r="BX161" s="263"/>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63"/>
      <c r="DY161" s="263"/>
      <c r="DZ161" s="263"/>
      <c r="EA161" s="263"/>
      <c r="EB161" s="263"/>
      <c r="EC161" s="263"/>
      <c r="ED161" s="263"/>
      <c r="EE161" s="263"/>
      <c r="EF161" s="263"/>
      <c r="EG161" s="263"/>
      <c r="EH161" s="263"/>
      <c r="EI161" s="263"/>
      <c r="EJ161" s="263"/>
      <c r="EK161" s="263"/>
      <c r="EL161" s="263"/>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63"/>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63"/>
      <c r="GT161" s="263"/>
      <c r="GU161" s="263"/>
      <c r="GV161" s="263"/>
      <c r="GW161" s="263"/>
      <c r="GX161" s="263"/>
      <c r="GY161" s="263"/>
      <c r="GZ161" s="263"/>
      <c r="HA161" s="263"/>
      <c r="HB161" s="263"/>
      <c r="HC161" s="263"/>
      <c r="HD161" s="263"/>
      <c r="HE161" s="263"/>
      <c r="HF161" s="263"/>
      <c r="HG161" s="263"/>
      <c r="HH161" s="263"/>
      <c r="HI161" s="263"/>
      <c r="HJ161" s="263"/>
      <c r="HK161" s="263"/>
      <c r="HL161" s="263"/>
      <c r="HM161" s="263"/>
      <c r="HN161" s="263"/>
      <c r="HO161" s="263"/>
      <c r="HP161" s="263"/>
      <c r="HQ161" s="263"/>
      <c r="HR161" s="263"/>
      <c r="HS161" s="263"/>
      <c r="HT161" s="263"/>
      <c r="HU161" s="263"/>
      <c r="HV161" s="263"/>
      <c r="HW161" s="263"/>
      <c r="HX161" s="263"/>
      <c r="HY161" s="263"/>
      <c r="HZ161" s="263"/>
      <c r="IA161" s="263"/>
      <c r="IB161" s="263"/>
      <c r="IC161" s="263"/>
      <c r="ID161" s="263"/>
      <c r="IE161" s="263"/>
      <c r="IF161" s="263"/>
      <c r="IG161" s="263"/>
      <c r="IH161" s="263"/>
      <c r="II161" s="263"/>
      <c r="IJ161" s="263"/>
      <c r="IK161" s="263"/>
      <c r="IL161" s="263"/>
      <c r="IM161" s="263"/>
      <c r="IN161" s="263"/>
      <c r="IO161" s="263"/>
      <c r="IP161" s="263"/>
      <c r="IQ161" s="263"/>
      <c r="IR161" s="263"/>
    </row>
    <row r="162" spans="1:252" s="367" customFormat="1" x14ac:dyDescent="0.25">
      <c r="A162" s="275"/>
      <c r="B162" s="271" t="s">
        <v>145</v>
      </c>
      <c r="C162" s="271"/>
      <c r="D162" s="271"/>
      <c r="E162" s="271"/>
      <c r="F162" s="271"/>
      <c r="G162" s="271"/>
      <c r="H162" s="271"/>
      <c r="I162" s="271"/>
      <c r="J162" s="271"/>
      <c r="K162" s="271"/>
      <c r="L162" s="271"/>
      <c r="M162" s="271"/>
      <c r="N162" s="271"/>
      <c r="O162" s="271"/>
      <c r="P162" s="271"/>
      <c r="Q162" s="271"/>
      <c r="R162" s="332">
        <f>+R160-R161</f>
        <v>0</v>
      </c>
      <c r="S162" s="274"/>
      <c r="T162" s="262"/>
      <c r="U162" s="263"/>
      <c r="V162" s="263"/>
      <c r="W162" s="263"/>
      <c r="X162" s="263"/>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c r="AY162" s="263"/>
      <c r="AZ162" s="263"/>
      <c r="BA162" s="263"/>
      <c r="BB162" s="263"/>
      <c r="BC162" s="263"/>
      <c r="BD162" s="263"/>
      <c r="BE162" s="263"/>
      <c r="BF162" s="263"/>
      <c r="BG162" s="263"/>
      <c r="BH162" s="263"/>
      <c r="BI162" s="263"/>
      <c r="BJ162" s="263"/>
      <c r="BK162" s="263"/>
      <c r="BL162" s="263"/>
      <c r="BM162" s="263"/>
      <c r="BN162" s="263"/>
      <c r="BO162" s="263"/>
      <c r="BP162" s="263"/>
      <c r="BQ162" s="263"/>
      <c r="BR162" s="263"/>
      <c r="BS162" s="263"/>
      <c r="BT162" s="263"/>
      <c r="BU162" s="263"/>
      <c r="BV162" s="263"/>
      <c r="BW162" s="263"/>
      <c r="BX162" s="263"/>
      <c r="BY162" s="263"/>
      <c r="BZ162" s="263"/>
      <c r="CA162" s="263"/>
      <c r="CB162" s="263"/>
      <c r="CC162" s="263"/>
      <c r="CD162" s="263"/>
      <c r="CE162" s="263"/>
      <c r="CF162" s="263"/>
      <c r="CG162" s="263"/>
      <c r="CH162" s="263"/>
      <c r="CI162" s="263"/>
      <c r="CJ162" s="263"/>
      <c r="CK162" s="263"/>
      <c r="CL162" s="263"/>
      <c r="CM162" s="263"/>
      <c r="CN162" s="263"/>
      <c r="CO162" s="263"/>
      <c r="CP162" s="263"/>
      <c r="CQ162" s="263"/>
      <c r="CR162" s="263"/>
      <c r="CS162" s="263"/>
      <c r="CT162" s="263"/>
      <c r="CU162" s="263"/>
      <c r="CV162" s="263"/>
      <c r="CW162" s="263"/>
      <c r="CX162" s="263"/>
      <c r="CY162" s="263"/>
      <c r="CZ162" s="263"/>
      <c r="DA162" s="263"/>
      <c r="DB162" s="263"/>
      <c r="DC162" s="263"/>
      <c r="DD162" s="263"/>
      <c r="DE162" s="263"/>
      <c r="DF162" s="263"/>
      <c r="DG162" s="263"/>
      <c r="DH162" s="263"/>
      <c r="DI162" s="263"/>
      <c r="DJ162" s="263"/>
      <c r="DK162" s="263"/>
      <c r="DL162" s="263"/>
      <c r="DM162" s="263"/>
      <c r="DN162" s="263"/>
      <c r="DO162" s="263"/>
      <c r="DP162" s="263"/>
      <c r="DQ162" s="263"/>
      <c r="DR162" s="263"/>
      <c r="DS162" s="263"/>
      <c r="DT162" s="263"/>
      <c r="DU162" s="263"/>
      <c r="DV162" s="263"/>
      <c r="DW162" s="263"/>
      <c r="DX162" s="263"/>
      <c r="DY162" s="263"/>
      <c r="DZ162" s="263"/>
      <c r="EA162" s="263"/>
      <c r="EB162" s="263"/>
      <c r="EC162" s="263"/>
      <c r="ED162" s="263"/>
      <c r="EE162" s="263"/>
      <c r="EF162" s="263"/>
      <c r="EG162" s="263"/>
      <c r="EH162" s="263"/>
      <c r="EI162" s="263"/>
      <c r="EJ162" s="263"/>
      <c r="EK162" s="263"/>
      <c r="EL162" s="263"/>
      <c r="EM162" s="263"/>
      <c r="EN162" s="263"/>
      <c r="EO162" s="263"/>
      <c r="EP162" s="263"/>
      <c r="EQ162" s="263"/>
      <c r="ER162" s="263"/>
      <c r="ES162" s="263"/>
      <c r="ET162" s="263"/>
      <c r="EU162" s="263"/>
      <c r="EV162" s="263"/>
      <c r="EW162" s="263"/>
      <c r="EX162" s="263"/>
      <c r="EY162" s="263"/>
      <c r="EZ162" s="263"/>
      <c r="FA162" s="263"/>
      <c r="FB162" s="263"/>
      <c r="FC162" s="263"/>
      <c r="FD162" s="263"/>
      <c r="FE162" s="263"/>
      <c r="FF162" s="263"/>
      <c r="FG162" s="263"/>
      <c r="FH162" s="263"/>
      <c r="FI162" s="263"/>
      <c r="FJ162" s="263"/>
      <c r="FK162" s="263"/>
      <c r="FL162" s="263"/>
      <c r="FM162" s="263"/>
      <c r="FN162" s="263"/>
      <c r="FO162" s="263"/>
      <c r="FP162" s="263"/>
      <c r="FQ162" s="263"/>
      <c r="FR162" s="263"/>
      <c r="FS162" s="263"/>
      <c r="FT162" s="263"/>
      <c r="FU162" s="263"/>
      <c r="FV162" s="263"/>
      <c r="FW162" s="263"/>
      <c r="FX162" s="263"/>
      <c r="FY162" s="263"/>
      <c r="FZ162" s="263"/>
      <c r="GA162" s="263"/>
      <c r="GB162" s="263"/>
      <c r="GC162" s="263"/>
      <c r="GD162" s="263"/>
      <c r="GE162" s="263"/>
      <c r="GF162" s="263"/>
      <c r="GG162" s="263"/>
      <c r="GH162" s="263"/>
      <c r="GI162" s="263"/>
      <c r="GJ162" s="263"/>
      <c r="GK162" s="263"/>
      <c r="GL162" s="263"/>
      <c r="GM162" s="263"/>
      <c r="GN162" s="263"/>
      <c r="GO162" s="263"/>
      <c r="GP162" s="263"/>
      <c r="GQ162" s="263"/>
      <c r="GR162" s="263"/>
      <c r="GS162" s="263"/>
      <c r="GT162" s="263"/>
      <c r="GU162" s="263"/>
      <c r="GV162" s="263"/>
      <c r="GW162" s="263"/>
      <c r="GX162" s="263"/>
      <c r="GY162" s="263"/>
      <c r="GZ162" s="263"/>
      <c r="HA162" s="263"/>
      <c r="HB162" s="263"/>
      <c r="HC162" s="263"/>
      <c r="HD162" s="263"/>
      <c r="HE162" s="263"/>
      <c r="HF162" s="263"/>
      <c r="HG162" s="263"/>
      <c r="HH162" s="263"/>
      <c r="HI162" s="263"/>
      <c r="HJ162" s="263"/>
      <c r="HK162" s="263"/>
      <c r="HL162" s="263"/>
      <c r="HM162" s="263"/>
      <c r="HN162" s="263"/>
      <c r="HO162" s="263"/>
      <c r="HP162" s="263"/>
      <c r="HQ162" s="263"/>
      <c r="HR162" s="263"/>
      <c r="HS162" s="263"/>
      <c r="HT162" s="263"/>
      <c r="HU162" s="263"/>
      <c r="HV162" s="263"/>
      <c r="HW162" s="263"/>
      <c r="HX162" s="263"/>
      <c r="HY162" s="263"/>
      <c r="HZ162" s="263"/>
      <c r="IA162" s="263"/>
      <c r="IB162" s="263"/>
      <c r="IC162" s="263"/>
      <c r="ID162" s="263"/>
      <c r="IE162" s="263"/>
      <c r="IF162" s="263"/>
      <c r="IG162" s="263"/>
      <c r="IH162" s="263"/>
      <c r="II162" s="263"/>
      <c r="IJ162" s="263"/>
      <c r="IK162" s="263"/>
      <c r="IL162" s="263"/>
      <c r="IM162" s="263"/>
      <c r="IN162" s="263"/>
      <c r="IO162" s="263"/>
      <c r="IP162" s="263"/>
      <c r="IQ162" s="263"/>
      <c r="IR162" s="263"/>
    </row>
    <row r="163" spans="1:252" s="368" customFormat="1" ht="16.5" thickBot="1" x14ac:dyDescent="0.3">
      <c r="A163" s="318"/>
      <c r="B163" s="313"/>
      <c r="C163" s="313"/>
      <c r="D163" s="313"/>
      <c r="E163" s="313"/>
      <c r="F163" s="313"/>
      <c r="G163" s="313"/>
      <c r="H163" s="313"/>
      <c r="I163" s="313"/>
      <c r="J163" s="313"/>
      <c r="K163" s="313"/>
      <c r="L163" s="313"/>
      <c r="M163" s="313"/>
      <c r="N163" s="313"/>
      <c r="O163" s="313"/>
      <c r="P163" s="313"/>
      <c r="Q163" s="313"/>
      <c r="R163" s="351"/>
      <c r="S163" s="261"/>
      <c r="T163" s="262"/>
      <c r="U163" s="263"/>
      <c r="V163" s="263"/>
      <c r="W163" s="263"/>
      <c r="X163" s="263"/>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c r="AY163" s="263"/>
      <c r="AZ163" s="263"/>
      <c r="BA163" s="263"/>
      <c r="BB163" s="263"/>
      <c r="BC163" s="263"/>
      <c r="BD163" s="263"/>
      <c r="BE163" s="263"/>
      <c r="BF163" s="263"/>
      <c r="BG163" s="263"/>
      <c r="BH163" s="263"/>
      <c r="BI163" s="263"/>
      <c r="BJ163" s="263"/>
      <c r="BK163" s="263"/>
      <c r="BL163" s="263"/>
      <c r="BM163" s="263"/>
      <c r="BN163" s="263"/>
      <c r="BO163" s="263"/>
      <c r="BP163" s="263"/>
      <c r="BQ163" s="263"/>
      <c r="BR163" s="263"/>
      <c r="BS163" s="263"/>
      <c r="BT163" s="263"/>
      <c r="BU163" s="263"/>
      <c r="BV163" s="263"/>
      <c r="BW163" s="263"/>
      <c r="BX163" s="263"/>
      <c r="BY163" s="263"/>
      <c r="BZ163" s="263"/>
      <c r="CA163" s="263"/>
      <c r="CB163" s="263"/>
      <c r="CC163" s="263"/>
      <c r="CD163" s="263"/>
      <c r="CE163" s="263"/>
      <c r="CF163" s="263"/>
      <c r="CG163" s="263"/>
      <c r="CH163" s="263"/>
      <c r="CI163" s="263"/>
      <c r="CJ163" s="263"/>
      <c r="CK163" s="263"/>
      <c r="CL163" s="263"/>
      <c r="CM163" s="263"/>
      <c r="CN163" s="263"/>
      <c r="CO163" s="263"/>
      <c r="CP163" s="263"/>
      <c r="CQ163" s="263"/>
      <c r="CR163" s="263"/>
      <c r="CS163" s="263"/>
      <c r="CT163" s="263"/>
      <c r="CU163" s="263"/>
      <c r="CV163" s="263"/>
      <c r="CW163" s="263"/>
      <c r="CX163" s="263"/>
      <c r="CY163" s="263"/>
      <c r="CZ163" s="263"/>
      <c r="DA163" s="263"/>
      <c r="DB163" s="263"/>
      <c r="DC163" s="263"/>
      <c r="DD163" s="263"/>
      <c r="DE163" s="263"/>
      <c r="DF163" s="263"/>
      <c r="DG163" s="263"/>
      <c r="DH163" s="263"/>
      <c r="DI163" s="263"/>
      <c r="DJ163" s="263"/>
      <c r="DK163" s="263"/>
      <c r="DL163" s="263"/>
      <c r="DM163" s="263"/>
      <c r="DN163" s="263"/>
      <c r="DO163" s="263"/>
      <c r="DP163" s="263"/>
      <c r="DQ163" s="263"/>
      <c r="DR163" s="263"/>
      <c r="DS163" s="263"/>
      <c r="DT163" s="263"/>
      <c r="DU163" s="263"/>
      <c r="DV163" s="263"/>
      <c r="DW163" s="263"/>
      <c r="DX163" s="263"/>
      <c r="DY163" s="263"/>
      <c r="DZ163" s="263"/>
      <c r="EA163" s="263"/>
      <c r="EB163" s="263"/>
      <c r="EC163" s="263"/>
      <c r="ED163" s="263"/>
      <c r="EE163" s="263"/>
      <c r="EF163" s="263"/>
      <c r="EG163" s="263"/>
      <c r="EH163" s="263"/>
      <c r="EI163" s="263"/>
      <c r="EJ163" s="263"/>
      <c r="EK163" s="263"/>
      <c r="EL163" s="263"/>
      <c r="EM163" s="263"/>
      <c r="EN163" s="263"/>
      <c r="EO163" s="263"/>
      <c r="EP163" s="263"/>
      <c r="EQ163" s="263"/>
      <c r="ER163" s="263"/>
      <c r="ES163" s="263"/>
      <c r="ET163" s="263"/>
      <c r="EU163" s="263"/>
      <c r="EV163" s="263"/>
      <c r="EW163" s="263"/>
      <c r="EX163" s="263"/>
      <c r="EY163" s="263"/>
      <c r="EZ163" s="263"/>
      <c r="FA163" s="263"/>
      <c r="FB163" s="263"/>
      <c r="FC163" s="263"/>
      <c r="FD163" s="263"/>
      <c r="FE163" s="263"/>
      <c r="FF163" s="263"/>
      <c r="FG163" s="263"/>
      <c r="FH163" s="263"/>
      <c r="FI163" s="263"/>
      <c r="FJ163" s="263"/>
      <c r="FK163" s="263"/>
      <c r="FL163" s="263"/>
      <c r="FM163" s="263"/>
      <c r="FN163" s="263"/>
      <c r="FO163" s="263"/>
      <c r="FP163" s="263"/>
      <c r="FQ163" s="263"/>
      <c r="FR163" s="263"/>
      <c r="FS163" s="263"/>
      <c r="FT163" s="263"/>
      <c r="FU163" s="263"/>
      <c r="FV163" s="263"/>
      <c r="FW163" s="263"/>
      <c r="FX163" s="263"/>
      <c r="FY163" s="263"/>
      <c r="FZ163" s="263"/>
      <c r="GA163" s="263"/>
      <c r="GB163" s="263"/>
      <c r="GC163" s="263"/>
      <c r="GD163" s="263"/>
      <c r="GE163" s="263"/>
      <c r="GF163" s="263"/>
      <c r="GG163" s="263"/>
      <c r="GH163" s="263"/>
      <c r="GI163" s="263"/>
      <c r="GJ163" s="263"/>
      <c r="GK163" s="263"/>
      <c r="GL163" s="263"/>
      <c r="GM163" s="263"/>
      <c r="GN163" s="263"/>
      <c r="GO163" s="263"/>
      <c r="GP163" s="263"/>
      <c r="GQ163" s="263"/>
      <c r="GR163" s="263"/>
      <c r="GS163" s="263"/>
      <c r="GT163" s="263"/>
      <c r="GU163" s="263"/>
      <c r="GV163" s="263"/>
      <c r="GW163" s="263"/>
      <c r="GX163" s="263"/>
      <c r="GY163" s="263"/>
      <c r="GZ163" s="263"/>
      <c r="HA163" s="263"/>
      <c r="HB163" s="263"/>
      <c r="HC163" s="263"/>
      <c r="HD163" s="263"/>
      <c r="HE163" s="263"/>
      <c r="HF163" s="263"/>
      <c r="HG163" s="263"/>
      <c r="HH163" s="263"/>
      <c r="HI163" s="263"/>
      <c r="HJ163" s="263"/>
      <c r="HK163" s="263"/>
      <c r="HL163" s="263"/>
      <c r="HM163" s="263"/>
      <c r="HN163" s="263"/>
      <c r="HO163" s="263"/>
      <c r="HP163" s="263"/>
      <c r="HQ163" s="263"/>
      <c r="HR163" s="263"/>
      <c r="HS163" s="263"/>
      <c r="HT163" s="263"/>
      <c r="HU163" s="263"/>
      <c r="HV163" s="263"/>
      <c r="HW163" s="263"/>
      <c r="HX163" s="263"/>
      <c r="HY163" s="263"/>
      <c r="HZ163" s="263"/>
      <c r="IA163" s="263"/>
      <c r="IB163" s="263"/>
      <c r="IC163" s="263"/>
      <c r="ID163" s="263"/>
      <c r="IE163" s="263"/>
      <c r="IF163" s="263"/>
      <c r="IG163" s="263"/>
      <c r="IH163" s="263"/>
      <c r="II163" s="263"/>
      <c r="IJ163" s="263"/>
      <c r="IK163" s="263"/>
      <c r="IL163" s="263"/>
      <c r="IM163" s="263"/>
      <c r="IN163" s="263"/>
      <c r="IO163" s="263"/>
      <c r="IP163" s="263"/>
      <c r="IQ163" s="263"/>
      <c r="IR163" s="263"/>
    </row>
    <row r="164" spans="1:252" s="369" customFormat="1" x14ac:dyDescent="0.25">
      <c r="A164" s="240"/>
      <c r="B164" s="242"/>
      <c r="C164" s="242"/>
      <c r="D164" s="242"/>
      <c r="E164" s="242"/>
      <c r="F164" s="242"/>
      <c r="G164" s="242"/>
      <c r="H164" s="242"/>
      <c r="I164" s="242"/>
      <c r="J164" s="242"/>
      <c r="K164" s="242"/>
      <c r="L164" s="242"/>
      <c r="M164" s="242"/>
      <c r="N164" s="242"/>
      <c r="O164" s="242"/>
      <c r="P164" s="242"/>
      <c r="Q164" s="242"/>
      <c r="R164" s="364"/>
      <c r="S164" s="243"/>
      <c r="T164" s="244"/>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c r="BZ164" s="245"/>
      <c r="CA164" s="245"/>
      <c r="CB164" s="245"/>
      <c r="CC164" s="245"/>
      <c r="CD164" s="245"/>
      <c r="CE164" s="245"/>
      <c r="CF164" s="245"/>
      <c r="CG164" s="245"/>
      <c r="CH164" s="245"/>
      <c r="CI164" s="245"/>
      <c r="CJ164" s="245"/>
      <c r="CK164" s="245"/>
      <c r="CL164" s="245"/>
      <c r="CM164" s="245"/>
      <c r="CN164" s="245"/>
      <c r="CO164" s="245"/>
      <c r="CP164" s="245"/>
      <c r="CQ164" s="245"/>
      <c r="CR164" s="245"/>
      <c r="CS164" s="245"/>
      <c r="CT164" s="245"/>
      <c r="CU164" s="245"/>
      <c r="CV164" s="245"/>
      <c r="CW164" s="245"/>
      <c r="CX164" s="245"/>
      <c r="CY164" s="245"/>
      <c r="CZ164" s="245"/>
      <c r="DA164" s="245"/>
      <c r="DB164" s="245"/>
      <c r="DC164" s="245"/>
      <c r="DD164" s="245"/>
      <c r="DE164" s="245"/>
      <c r="DF164" s="245"/>
      <c r="DG164" s="245"/>
      <c r="DH164" s="245"/>
      <c r="DI164" s="245"/>
      <c r="DJ164" s="245"/>
      <c r="DK164" s="245"/>
      <c r="DL164" s="245"/>
      <c r="DM164" s="245"/>
      <c r="DN164" s="245"/>
      <c r="DO164" s="245"/>
      <c r="DP164" s="245"/>
      <c r="DQ164" s="245"/>
      <c r="DR164" s="245"/>
      <c r="DS164" s="245"/>
      <c r="DT164" s="245"/>
      <c r="DU164" s="245"/>
      <c r="DV164" s="245"/>
      <c r="DW164" s="245"/>
      <c r="DX164" s="245"/>
      <c r="DY164" s="245"/>
      <c r="DZ164" s="245"/>
      <c r="EA164" s="245"/>
      <c r="EB164" s="245"/>
      <c r="EC164" s="245"/>
      <c r="ED164" s="245"/>
      <c r="EE164" s="245"/>
      <c r="EF164" s="245"/>
      <c r="EG164" s="245"/>
      <c r="EH164" s="245"/>
      <c r="EI164" s="245"/>
      <c r="EJ164" s="245"/>
      <c r="EK164" s="245"/>
      <c r="EL164" s="245"/>
      <c r="EM164" s="245"/>
      <c r="EN164" s="245"/>
      <c r="EO164" s="245"/>
      <c r="EP164" s="245"/>
      <c r="EQ164" s="245"/>
      <c r="ER164" s="245"/>
      <c r="ES164" s="245"/>
      <c r="ET164" s="245"/>
      <c r="EU164" s="245"/>
      <c r="EV164" s="245"/>
      <c r="EW164" s="245"/>
      <c r="EX164" s="245"/>
      <c r="EY164" s="245"/>
      <c r="EZ164" s="245"/>
      <c r="FA164" s="245"/>
      <c r="FB164" s="245"/>
      <c r="FC164" s="245"/>
      <c r="FD164" s="245"/>
      <c r="FE164" s="245"/>
      <c r="FF164" s="245"/>
      <c r="FG164" s="245"/>
      <c r="FH164" s="245"/>
      <c r="FI164" s="245"/>
      <c r="FJ164" s="245"/>
      <c r="FK164" s="245"/>
      <c r="FL164" s="245"/>
      <c r="FM164" s="245"/>
      <c r="FN164" s="245"/>
      <c r="FO164" s="245"/>
      <c r="FP164" s="245"/>
      <c r="FQ164" s="245"/>
      <c r="FR164" s="245"/>
      <c r="FS164" s="245"/>
      <c r="FT164" s="245"/>
      <c r="FU164" s="245"/>
      <c r="FV164" s="245"/>
      <c r="FW164" s="245"/>
      <c r="FX164" s="245"/>
      <c r="FY164" s="245"/>
      <c r="FZ164" s="245"/>
      <c r="GA164" s="245"/>
      <c r="GB164" s="245"/>
      <c r="GC164" s="245"/>
      <c r="GD164" s="245"/>
      <c r="GE164" s="245"/>
      <c r="GF164" s="245"/>
      <c r="GG164" s="245"/>
      <c r="GH164" s="245"/>
      <c r="GI164" s="245"/>
      <c r="GJ164" s="245"/>
      <c r="GK164" s="245"/>
      <c r="GL164" s="245"/>
      <c r="GM164" s="245"/>
      <c r="GN164" s="245"/>
      <c r="GO164" s="245"/>
      <c r="GP164" s="245"/>
      <c r="GQ164" s="245"/>
      <c r="GR164" s="245"/>
      <c r="GS164" s="245"/>
      <c r="GT164" s="245"/>
      <c r="GU164" s="245"/>
      <c r="GV164" s="245"/>
      <c r="GW164" s="245"/>
      <c r="GX164" s="245"/>
      <c r="GY164" s="245"/>
      <c r="GZ164" s="245"/>
      <c r="HA164" s="245"/>
      <c r="HB164" s="245"/>
      <c r="HC164" s="245"/>
      <c r="HD164" s="245"/>
      <c r="HE164" s="245"/>
      <c r="HF164" s="245"/>
      <c r="HG164" s="245"/>
      <c r="HH164" s="245"/>
      <c r="HI164" s="245"/>
      <c r="HJ164" s="245"/>
      <c r="HK164" s="245"/>
      <c r="HL164" s="245"/>
      <c r="HM164" s="245"/>
      <c r="HN164" s="245"/>
      <c r="HO164" s="245"/>
      <c r="HP164" s="245"/>
      <c r="HQ164" s="245"/>
      <c r="HR164" s="245"/>
      <c r="HS164" s="245"/>
      <c r="HT164" s="245"/>
      <c r="HU164" s="245"/>
      <c r="HV164" s="245"/>
      <c r="HW164" s="245"/>
      <c r="HX164" s="245"/>
      <c r="HY164" s="245"/>
      <c r="HZ164" s="245"/>
      <c r="IA164" s="245"/>
      <c r="IB164" s="245"/>
      <c r="IC164" s="245"/>
      <c r="ID164" s="245"/>
      <c r="IE164" s="245"/>
      <c r="IF164" s="245"/>
      <c r="IG164" s="245"/>
      <c r="IH164" s="245"/>
      <c r="II164" s="245"/>
      <c r="IJ164" s="245"/>
      <c r="IK164" s="245"/>
      <c r="IL164" s="245"/>
      <c r="IM164" s="245"/>
      <c r="IN164" s="245"/>
      <c r="IO164" s="245"/>
      <c r="IP164" s="245"/>
      <c r="IQ164" s="245"/>
      <c r="IR164" s="245"/>
    </row>
    <row r="165" spans="1:252" x14ac:dyDescent="0.25">
      <c r="A165" s="246"/>
      <c r="B165" s="350" t="s">
        <v>44</v>
      </c>
      <c r="C165" s="248"/>
      <c r="D165" s="248"/>
      <c r="E165" s="248"/>
      <c r="F165" s="248"/>
      <c r="G165" s="248"/>
      <c r="H165" s="248"/>
      <c r="I165" s="248"/>
      <c r="J165" s="248"/>
      <c r="K165" s="248"/>
      <c r="L165" s="248"/>
      <c r="M165" s="248"/>
      <c r="N165" s="248"/>
      <c r="O165" s="248"/>
      <c r="P165" s="248"/>
      <c r="Q165" s="248"/>
      <c r="R165" s="323"/>
      <c r="S165" s="249"/>
      <c r="T165" s="244"/>
    </row>
    <row r="166" spans="1:252" x14ac:dyDescent="0.25">
      <c r="A166" s="246"/>
      <c r="B166" s="349"/>
      <c r="C166" s="248"/>
      <c r="D166" s="248"/>
      <c r="E166" s="248"/>
      <c r="F166" s="248"/>
      <c r="G166" s="248"/>
      <c r="H166" s="248"/>
      <c r="I166" s="248"/>
      <c r="J166" s="248"/>
      <c r="K166" s="248"/>
      <c r="L166" s="248"/>
      <c r="M166" s="248"/>
      <c r="N166" s="248"/>
      <c r="O166" s="248"/>
      <c r="P166" s="248"/>
      <c r="Q166" s="248"/>
      <c r="R166" s="323"/>
      <c r="S166" s="249"/>
      <c r="T166" s="244"/>
    </row>
    <row r="167" spans="1:252" s="263" customFormat="1" x14ac:dyDescent="0.25">
      <c r="A167" s="275"/>
      <c r="B167" s="271" t="s">
        <v>180</v>
      </c>
      <c r="C167" s="271"/>
      <c r="D167" s="271"/>
      <c r="E167" s="271"/>
      <c r="F167" s="271"/>
      <c r="G167" s="271"/>
      <c r="H167" s="271"/>
      <c r="I167" s="271"/>
      <c r="J167" s="271"/>
      <c r="K167" s="271"/>
      <c r="L167" s="271"/>
      <c r="M167" s="271"/>
      <c r="N167" s="271"/>
      <c r="O167" s="271"/>
      <c r="P167" s="271"/>
      <c r="Q167" s="271"/>
      <c r="R167" s="332">
        <f>+R59</f>
        <v>0</v>
      </c>
      <c r="S167" s="274"/>
      <c r="T167" s="262"/>
    </row>
    <row r="168" spans="1:252" s="263" customFormat="1" x14ac:dyDescent="0.25">
      <c r="A168" s="275"/>
      <c r="B168" s="271" t="s">
        <v>181</v>
      </c>
      <c r="C168" s="271"/>
      <c r="D168" s="271"/>
      <c r="E168" s="271"/>
      <c r="F168" s="271"/>
      <c r="G168" s="271"/>
      <c r="H168" s="271"/>
      <c r="I168" s="271"/>
      <c r="J168" s="271"/>
      <c r="K168" s="271"/>
      <c r="L168" s="271"/>
      <c r="M168" s="271"/>
      <c r="N168" s="271"/>
      <c r="O168" s="271"/>
      <c r="P168" s="271"/>
      <c r="Q168" s="271"/>
      <c r="R168" s="332">
        <f>+R69</f>
        <v>0</v>
      </c>
      <c r="S168" s="274"/>
      <c r="T168" s="262"/>
    </row>
    <row r="169" spans="1:252" s="263" customFormat="1" x14ac:dyDescent="0.25">
      <c r="A169" s="275"/>
      <c r="B169" s="271" t="s">
        <v>242</v>
      </c>
      <c r="C169" s="271"/>
      <c r="D169" s="271"/>
      <c r="E169" s="271"/>
      <c r="F169" s="271"/>
      <c r="G169" s="271"/>
      <c r="H169" s="271"/>
      <c r="I169" s="271"/>
      <c r="J169" s="271"/>
      <c r="K169" s="271"/>
      <c r="L169" s="271"/>
      <c r="M169" s="271"/>
      <c r="N169" s="271"/>
      <c r="O169" s="271"/>
      <c r="P169" s="271"/>
      <c r="Q169" s="271"/>
      <c r="R169" s="332">
        <f>+R70</f>
        <v>0</v>
      </c>
      <c r="S169" s="274"/>
      <c r="T169" s="262"/>
    </row>
    <row r="170" spans="1:252" s="263" customFormat="1" x14ac:dyDescent="0.25">
      <c r="A170" s="275"/>
      <c r="B170" s="271" t="s">
        <v>127</v>
      </c>
      <c r="C170" s="271"/>
      <c r="D170" s="271"/>
      <c r="E170" s="271"/>
      <c r="F170" s="271"/>
      <c r="G170" s="271"/>
      <c r="H170" s="271"/>
      <c r="I170" s="271"/>
      <c r="J170" s="271"/>
      <c r="K170" s="271"/>
      <c r="L170" s="271"/>
      <c r="M170" s="271"/>
      <c r="N170" s="271"/>
      <c r="O170" s="271"/>
      <c r="P170" s="271"/>
      <c r="Q170" s="271"/>
      <c r="R170" s="332">
        <f>+R167+R168+R169</f>
        <v>0</v>
      </c>
      <c r="S170" s="274"/>
      <c r="T170" s="262"/>
      <c r="U170" s="344"/>
    </row>
    <row r="171" spans="1:252" s="263" customFormat="1" x14ac:dyDescent="0.25">
      <c r="A171" s="275"/>
      <c r="B171" s="271" t="s">
        <v>45</v>
      </c>
      <c r="C171" s="271"/>
      <c r="D171" s="271"/>
      <c r="E171" s="271"/>
      <c r="F171" s="271"/>
      <c r="G171" s="271"/>
      <c r="H171" s="271"/>
      <c r="I171" s="271"/>
      <c r="J171" s="271"/>
      <c r="K171" s="271"/>
      <c r="L171" s="271"/>
      <c r="M171" s="271"/>
      <c r="N171" s="271"/>
      <c r="O171" s="271"/>
      <c r="P171" s="271"/>
      <c r="Q171" s="271"/>
      <c r="R171" s="332">
        <f>R72</f>
        <v>0</v>
      </c>
      <c r="S171" s="274"/>
      <c r="T171" s="262"/>
    </row>
    <row r="172" spans="1:252" ht="16.5" thickBot="1" x14ac:dyDescent="0.3">
      <c r="A172" s="246"/>
      <c r="B172" s="333"/>
      <c r="C172" s="333"/>
      <c r="D172" s="333"/>
      <c r="E172" s="333"/>
      <c r="F172" s="333"/>
      <c r="G172" s="333"/>
      <c r="H172" s="333"/>
      <c r="I172" s="333"/>
      <c r="J172" s="333"/>
      <c r="K172" s="333"/>
      <c r="L172" s="333"/>
      <c r="M172" s="333"/>
      <c r="N172" s="333"/>
      <c r="O172" s="333"/>
      <c r="P172" s="333"/>
      <c r="Q172" s="333"/>
      <c r="R172" s="362"/>
      <c r="S172" s="249"/>
      <c r="T172" s="244"/>
    </row>
    <row r="173" spans="1:252" x14ac:dyDescent="0.25">
      <c r="A173" s="240"/>
      <c r="B173" s="242"/>
      <c r="C173" s="242"/>
      <c r="D173" s="242"/>
      <c r="E173" s="242"/>
      <c r="F173" s="242"/>
      <c r="G173" s="242"/>
      <c r="H173" s="242"/>
      <c r="I173" s="242"/>
      <c r="J173" s="242"/>
      <c r="K173" s="242"/>
      <c r="L173" s="242"/>
      <c r="M173" s="242"/>
      <c r="N173" s="242"/>
      <c r="O173" s="242"/>
      <c r="P173" s="242"/>
      <c r="Q173" s="242"/>
      <c r="R173" s="364"/>
      <c r="S173" s="243"/>
      <c r="T173" s="244"/>
    </row>
    <row r="174" spans="1:252" x14ac:dyDescent="0.25">
      <c r="A174" s="246"/>
      <c r="B174" s="350" t="s">
        <v>46</v>
      </c>
      <c r="C174" s="370"/>
      <c r="D174" s="371"/>
      <c r="E174" s="371"/>
      <c r="F174" s="371"/>
      <c r="G174" s="371"/>
      <c r="H174" s="371"/>
      <c r="I174" s="371"/>
      <c r="J174" s="371"/>
      <c r="K174" s="371"/>
      <c r="L174" s="371"/>
      <c r="M174" s="371"/>
      <c r="N174" s="371"/>
      <c r="O174" s="372" t="s">
        <v>83</v>
      </c>
      <c r="P174" s="372" t="s">
        <v>176</v>
      </c>
      <c r="Q174" s="251"/>
      <c r="R174" s="373" t="s">
        <v>95</v>
      </c>
      <c r="S174" s="374"/>
      <c r="T174" s="244"/>
    </row>
    <row r="175" spans="1:252" s="263" customFormat="1" x14ac:dyDescent="0.25">
      <c r="A175" s="275"/>
      <c r="B175" s="271" t="s">
        <v>47</v>
      </c>
      <c r="C175" s="271"/>
      <c r="D175" s="271"/>
      <c r="E175" s="271"/>
      <c r="F175" s="271"/>
      <c r="G175" s="271"/>
      <c r="H175" s="271"/>
      <c r="I175" s="271"/>
      <c r="J175" s="271"/>
      <c r="K175" s="271"/>
      <c r="L175" s="271"/>
      <c r="M175" s="271"/>
      <c r="N175" s="271"/>
      <c r="O175" s="332">
        <f>+R28*0.08</f>
        <v>28000</v>
      </c>
      <c r="P175" s="304"/>
      <c r="Q175" s="271"/>
      <c r="R175" s="332"/>
      <c r="S175" s="274"/>
      <c r="T175" s="262"/>
    </row>
    <row r="176" spans="1:252" s="263" customFormat="1" x14ac:dyDescent="0.25">
      <c r="A176" s="275"/>
      <c r="B176" s="271" t="s">
        <v>48</v>
      </c>
      <c r="C176" s="271"/>
      <c r="D176" s="271"/>
      <c r="E176" s="271"/>
      <c r="F176" s="271"/>
      <c r="G176" s="271"/>
      <c r="H176" s="271"/>
      <c r="I176" s="271"/>
      <c r="J176" s="271"/>
      <c r="K176" s="271"/>
      <c r="L176" s="271"/>
      <c r="M176" s="271"/>
      <c r="N176" s="271"/>
      <c r="O176" s="332">
        <f>+'April 18'!O176</f>
        <v>2036</v>
      </c>
      <c r="P176" s="332">
        <f>+'April 18'!P176</f>
        <v>633</v>
      </c>
      <c r="Q176" s="271"/>
      <c r="R176" s="332">
        <f>O176+P176</f>
        <v>2669</v>
      </c>
      <c r="S176" s="274"/>
      <c r="T176" s="262"/>
    </row>
    <row r="177" spans="1:20" s="263" customFormat="1" x14ac:dyDescent="0.25">
      <c r="A177" s="275"/>
      <c r="B177" s="271" t="s">
        <v>49</v>
      </c>
      <c r="C177" s="271"/>
      <c r="D177" s="271"/>
      <c r="E177" s="271"/>
      <c r="F177" s="271"/>
      <c r="G177" s="271"/>
      <c r="H177" s="271"/>
      <c r="I177" s="271"/>
      <c r="J177" s="271"/>
      <c r="K177" s="271"/>
      <c r="L177" s="271"/>
      <c r="M177" s="271"/>
      <c r="N177" s="271"/>
      <c r="O177" s="331">
        <v>0</v>
      </c>
      <c r="P177" s="331">
        <v>0</v>
      </c>
      <c r="Q177" s="271"/>
      <c r="R177" s="332">
        <f>O177+P177</f>
        <v>0</v>
      </c>
      <c r="S177" s="274"/>
      <c r="T177" s="262"/>
    </row>
    <row r="178" spans="1:20" s="263" customFormat="1" x14ac:dyDescent="0.25">
      <c r="A178" s="275"/>
      <c r="B178" s="271" t="s">
        <v>50</v>
      </c>
      <c r="C178" s="271"/>
      <c r="D178" s="271"/>
      <c r="E178" s="271"/>
      <c r="F178" s="271"/>
      <c r="G178" s="271"/>
      <c r="H178" s="271"/>
      <c r="I178" s="271"/>
      <c r="J178" s="271"/>
      <c r="K178" s="271"/>
      <c r="L178" s="271"/>
      <c r="M178" s="271"/>
      <c r="N178" s="271"/>
      <c r="O178" s="332">
        <f>O176+O177</f>
        <v>2036</v>
      </c>
      <c r="P178" s="332">
        <f>P177+P176</f>
        <v>633</v>
      </c>
      <c r="Q178" s="271"/>
      <c r="R178" s="332">
        <f>O178+P178</f>
        <v>2669</v>
      </c>
      <c r="S178" s="274"/>
      <c r="T178" s="262"/>
    </row>
    <row r="179" spans="1:20" s="263" customFormat="1" x14ac:dyDescent="0.25">
      <c r="A179" s="275"/>
      <c r="B179" s="271" t="s">
        <v>51</v>
      </c>
      <c r="C179" s="271"/>
      <c r="D179" s="271"/>
      <c r="E179" s="271"/>
      <c r="F179" s="271"/>
      <c r="G179" s="271"/>
      <c r="H179" s="271"/>
      <c r="I179" s="271"/>
      <c r="J179" s="271"/>
      <c r="K179" s="271"/>
      <c r="L179" s="271"/>
      <c r="M179" s="271"/>
      <c r="N179" s="271"/>
      <c r="O179" s="332">
        <f>O175-O178-P178</f>
        <v>25331</v>
      </c>
      <c r="P179" s="304"/>
      <c r="Q179" s="271"/>
      <c r="R179" s="332"/>
      <c r="S179" s="274"/>
      <c r="T179" s="262"/>
    </row>
    <row r="180" spans="1:20" ht="16.5" thickBot="1" x14ac:dyDescent="0.3">
      <c r="A180" s="246"/>
      <c r="B180" s="333"/>
      <c r="C180" s="333"/>
      <c r="D180" s="333"/>
      <c r="E180" s="333"/>
      <c r="F180" s="333"/>
      <c r="G180" s="333"/>
      <c r="H180" s="333"/>
      <c r="I180" s="333"/>
      <c r="J180" s="333"/>
      <c r="K180" s="333"/>
      <c r="L180" s="333"/>
      <c r="M180" s="333"/>
      <c r="N180" s="333"/>
      <c r="O180" s="333"/>
      <c r="P180" s="333"/>
      <c r="Q180" s="333"/>
      <c r="R180" s="362"/>
      <c r="S180" s="249"/>
      <c r="T180" s="244"/>
    </row>
    <row r="181" spans="1:20" x14ac:dyDescent="0.25">
      <c r="A181" s="240"/>
      <c r="B181" s="242"/>
      <c r="C181" s="242"/>
      <c r="D181" s="242"/>
      <c r="E181" s="242"/>
      <c r="F181" s="242"/>
      <c r="G181" s="242"/>
      <c r="H181" s="242"/>
      <c r="I181" s="242"/>
      <c r="J181" s="242"/>
      <c r="K181" s="242"/>
      <c r="L181" s="242"/>
      <c r="M181" s="242"/>
      <c r="N181" s="242"/>
      <c r="O181" s="242"/>
      <c r="P181" s="242"/>
      <c r="Q181" s="242"/>
      <c r="R181" s="364"/>
      <c r="S181" s="243"/>
      <c r="T181" s="244"/>
    </row>
    <row r="182" spans="1:20" x14ac:dyDescent="0.25">
      <c r="A182" s="246"/>
      <c r="B182" s="350" t="s">
        <v>52</v>
      </c>
      <c r="C182" s="248"/>
      <c r="D182" s="248"/>
      <c r="E182" s="248"/>
      <c r="F182" s="248"/>
      <c r="G182" s="248"/>
      <c r="H182" s="248"/>
      <c r="I182" s="248"/>
      <c r="J182" s="248"/>
      <c r="K182" s="248"/>
      <c r="L182" s="248"/>
      <c r="M182" s="248"/>
      <c r="N182" s="248"/>
      <c r="O182" s="248"/>
      <c r="P182" s="248"/>
      <c r="Q182" s="248"/>
      <c r="R182" s="375"/>
      <c r="S182" s="249"/>
      <c r="T182" s="244"/>
    </row>
    <row r="183" spans="1:20" s="263" customFormat="1" x14ac:dyDescent="0.25">
      <c r="A183" s="275"/>
      <c r="B183" s="271" t="s">
        <v>53</v>
      </c>
      <c r="C183" s="271"/>
      <c r="D183" s="271"/>
      <c r="E183" s="271"/>
      <c r="F183" s="271"/>
      <c r="G183" s="271"/>
      <c r="H183" s="271"/>
      <c r="I183" s="271"/>
      <c r="J183" s="271"/>
      <c r="K183" s="271"/>
      <c r="L183" s="271"/>
      <c r="M183" s="271"/>
      <c r="N183" s="271"/>
      <c r="O183" s="271"/>
      <c r="P183" s="271"/>
      <c r="Q183" s="271"/>
      <c r="R183" s="376">
        <v>0</v>
      </c>
      <c r="S183" s="274"/>
      <c r="T183" s="262"/>
    </row>
    <row r="184" spans="1:20" s="263" customFormat="1" x14ac:dyDescent="0.25">
      <c r="A184" s="275"/>
      <c r="B184" s="271" t="s">
        <v>54</v>
      </c>
      <c r="C184" s="271"/>
      <c r="D184" s="271"/>
      <c r="E184" s="271"/>
      <c r="F184" s="271"/>
      <c r="G184" s="271"/>
      <c r="H184" s="271"/>
      <c r="I184" s="271"/>
      <c r="J184" s="271"/>
      <c r="K184" s="271"/>
      <c r="L184" s="271"/>
      <c r="M184" s="271"/>
      <c r="N184" s="271"/>
      <c r="O184" s="271"/>
      <c r="P184" s="271"/>
      <c r="Q184" s="271"/>
      <c r="R184" s="377">
        <v>0</v>
      </c>
      <c r="S184" s="274"/>
      <c r="T184" s="262"/>
    </row>
    <row r="185" spans="1:20" s="263" customFormat="1" x14ac:dyDescent="0.25">
      <c r="A185" s="275"/>
      <c r="B185" s="271" t="s">
        <v>189</v>
      </c>
      <c r="C185" s="271"/>
      <c r="D185" s="271"/>
      <c r="E185" s="271"/>
      <c r="F185" s="271"/>
      <c r="G185" s="271"/>
      <c r="H185" s="271"/>
      <c r="I185" s="271"/>
      <c r="J185" s="271"/>
      <c r="K185" s="271"/>
      <c r="L185" s="271"/>
      <c r="M185" s="271"/>
      <c r="N185" s="271"/>
      <c r="O185" s="271"/>
      <c r="P185" s="271"/>
      <c r="Q185" s="271"/>
      <c r="R185" s="376">
        <v>0</v>
      </c>
      <c r="S185" s="274"/>
      <c r="T185" s="262"/>
    </row>
    <row r="186" spans="1:20" s="263" customFormat="1" x14ac:dyDescent="0.25">
      <c r="A186" s="275"/>
      <c r="B186" s="271" t="s">
        <v>190</v>
      </c>
      <c r="C186" s="271"/>
      <c r="D186" s="271"/>
      <c r="E186" s="271"/>
      <c r="F186" s="271"/>
      <c r="G186" s="271"/>
      <c r="H186" s="271"/>
      <c r="I186" s="271"/>
      <c r="J186" s="271"/>
      <c r="K186" s="271"/>
      <c r="L186" s="271"/>
      <c r="M186" s="271"/>
      <c r="N186" s="271"/>
      <c r="O186" s="271"/>
      <c r="P186" s="271"/>
      <c r="Q186" s="271"/>
      <c r="R186" s="377">
        <v>0</v>
      </c>
      <c r="S186" s="274"/>
      <c r="T186" s="262"/>
    </row>
    <row r="187" spans="1:20" s="263" customFormat="1" x14ac:dyDescent="0.25">
      <c r="A187" s="275"/>
      <c r="B187" s="271" t="s">
        <v>191</v>
      </c>
      <c r="C187" s="271"/>
      <c r="D187" s="271"/>
      <c r="E187" s="271"/>
      <c r="F187" s="271"/>
      <c r="G187" s="271"/>
      <c r="H187" s="271"/>
      <c r="I187" s="271"/>
      <c r="J187" s="271"/>
      <c r="K187" s="271"/>
      <c r="L187" s="271"/>
      <c r="M187" s="271"/>
      <c r="N187" s="271"/>
      <c r="O187" s="271"/>
      <c r="P187" s="271"/>
      <c r="Q187" s="271"/>
      <c r="R187" s="376">
        <v>0</v>
      </c>
      <c r="S187" s="274"/>
      <c r="T187" s="262"/>
    </row>
    <row r="188" spans="1:20" s="263" customFormat="1" x14ac:dyDescent="0.25">
      <c r="A188" s="275"/>
      <c r="B188" s="271" t="s">
        <v>192</v>
      </c>
      <c r="C188" s="271"/>
      <c r="D188" s="271"/>
      <c r="E188" s="271"/>
      <c r="F188" s="271"/>
      <c r="G188" s="271"/>
      <c r="H188" s="271"/>
      <c r="I188" s="271"/>
      <c r="J188" s="271"/>
      <c r="K188" s="271"/>
      <c r="L188" s="271"/>
      <c r="M188" s="271"/>
      <c r="N188" s="271"/>
      <c r="O188" s="271"/>
      <c r="P188" s="271"/>
      <c r="Q188" s="271"/>
      <c r="R188" s="377">
        <v>0</v>
      </c>
      <c r="S188" s="274"/>
      <c r="T188" s="262"/>
    </row>
    <row r="189" spans="1:20" s="263" customFormat="1" x14ac:dyDescent="0.25">
      <c r="A189" s="275"/>
      <c r="B189" s="271"/>
      <c r="C189" s="271"/>
      <c r="D189" s="271"/>
      <c r="E189" s="271"/>
      <c r="F189" s="271"/>
      <c r="G189" s="271"/>
      <c r="H189" s="271"/>
      <c r="I189" s="271"/>
      <c r="J189" s="271"/>
      <c r="K189" s="271"/>
      <c r="L189" s="271"/>
      <c r="M189" s="271"/>
      <c r="N189" s="271"/>
      <c r="O189" s="271"/>
      <c r="P189" s="271"/>
      <c r="Q189" s="271"/>
      <c r="R189" s="271"/>
      <c r="S189" s="274"/>
      <c r="T189" s="262"/>
    </row>
    <row r="190" spans="1:20" s="263" customFormat="1" x14ac:dyDescent="0.25">
      <c r="A190" s="258"/>
      <c r="B190" s="313"/>
      <c r="C190" s="313"/>
      <c r="D190" s="313"/>
      <c r="E190" s="313"/>
      <c r="F190" s="313"/>
      <c r="G190" s="313"/>
      <c r="H190" s="313"/>
      <c r="I190" s="313"/>
      <c r="J190" s="313"/>
      <c r="K190" s="313"/>
      <c r="L190" s="313"/>
      <c r="M190" s="313"/>
      <c r="N190" s="313"/>
      <c r="O190" s="313"/>
      <c r="P190" s="313"/>
      <c r="Q190" s="313"/>
      <c r="R190" s="313"/>
      <c r="S190" s="261"/>
      <c r="T190" s="262"/>
    </row>
    <row r="191" spans="1:20" s="263" customFormat="1" x14ac:dyDescent="0.25">
      <c r="A191" s="258"/>
      <c r="B191" s="259"/>
      <c r="C191" s="259"/>
      <c r="D191" s="259"/>
      <c r="E191" s="259"/>
      <c r="F191" s="259"/>
      <c r="G191" s="259"/>
      <c r="H191" s="259"/>
      <c r="I191" s="259"/>
      <c r="J191" s="259"/>
      <c r="K191" s="259"/>
      <c r="L191" s="259"/>
      <c r="M191" s="259"/>
      <c r="N191" s="259"/>
      <c r="O191" s="259"/>
      <c r="P191" s="259"/>
      <c r="Q191" s="259"/>
      <c r="R191" s="259"/>
      <c r="S191" s="261"/>
      <c r="T191" s="262"/>
    </row>
    <row r="192" spans="1:20" s="263" customFormat="1" ht="19.5" thickBot="1" x14ac:dyDescent="0.35">
      <c r="A192" s="318"/>
      <c r="B192" s="319" t="str">
        <f>B122</f>
        <v>PM20 INVESTOR REPORT QUARTER ENDING JULY 2018</v>
      </c>
      <c r="C192" s="320"/>
      <c r="D192" s="320"/>
      <c r="E192" s="320"/>
      <c r="F192" s="320"/>
      <c r="G192" s="320"/>
      <c r="H192" s="320"/>
      <c r="I192" s="320"/>
      <c r="J192" s="320"/>
      <c r="K192" s="320"/>
      <c r="L192" s="320"/>
      <c r="M192" s="320"/>
      <c r="N192" s="320"/>
      <c r="O192" s="320"/>
      <c r="P192" s="320"/>
      <c r="Q192" s="320"/>
      <c r="R192" s="320"/>
      <c r="S192" s="322"/>
      <c r="T192" s="262"/>
    </row>
    <row r="193" spans="1:20" x14ac:dyDescent="0.25">
      <c r="A193" s="449"/>
      <c r="B193" s="450" t="s">
        <v>55</v>
      </c>
      <c r="C193" s="454"/>
      <c r="D193" s="455"/>
      <c r="E193" s="455"/>
      <c r="F193" s="455"/>
      <c r="G193" s="455"/>
      <c r="H193" s="455"/>
      <c r="I193" s="455"/>
      <c r="J193" s="455"/>
      <c r="K193" s="455"/>
      <c r="L193" s="455"/>
      <c r="M193" s="455"/>
      <c r="N193" s="455"/>
      <c r="O193" s="455"/>
      <c r="P193" s="455">
        <v>43312</v>
      </c>
      <c r="Q193" s="451"/>
      <c r="R193" s="451"/>
      <c r="S193" s="453"/>
      <c r="T193" s="244"/>
    </row>
    <row r="194" spans="1:20" x14ac:dyDescent="0.25">
      <c r="A194" s="378"/>
      <c r="B194" s="379"/>
      <c r="C194" s="380"/>
      <c r="D194" s="381"/>
      <c r="E194" s="381"/>
      <c r="F194" s="381"/>
      <c r="G194" s="381"/>
      <c r="H194" s="381"/>
      <c r="I194" s="381"/>
      <c r="J194" s="381"/>
      <c r="K194" s="381"/>
      <c r="L194" s="381"/>
      <c r="M194" s="381"/>
      <c r="N194" s="381"/>
      <c r="O194" s="381"/>
      <c r="P194" s="381"/>
      <c r="Q194" s="248"/>
      <c r="R194" s="248"/>
      <c r="S194" s="249"/>
      <c r="T194" s="244"/>
    </row>
    <row r="195" spans="1:20" s="263" customFormat="1" x14ac:dyDescent="0.25">
      <c r="A195" s="275"/>
      <c r="B195" s="271" t="s">
        <v>56</v>
      </c>
      <c r="C195" s="382"/>
      <c r="D195" s="307"/>
      <c r="E195" s="307"/>
      <c r="F195" s="307"/>
      <c r="G195" s="307"/>
      <c r="H195" s="307"/>
      <c r="I195" s="307"/>
      <c r="J195" s="307"/>
      <c r="K195" s="307"/>
      <c r="L195" s="307"/>
      <c r="M195" s="307"/>
      <c r="N195" s="307"/>
      <c r="O195" s="307"/>
      <c r="P195" s="301">
        <v>4.5449999999999997E-2</v>
      </c>
      <c r="Q195" s="271"/>
      <c r="R195" s="271"/>
      <c r="S195" s="274"/>
      <c r="T195" s="262"/>
    </row>
    <row r="196" spans="1:20" s="263" customFormat="1" x14ac:dyDescent="0.25">
      <c r="A196" s="275"/>
      <c r="B196" s="271" t="s">
        <v>164</v>
      </c>
      <c r="C196" s="382"/>
      <c r="D196" s="307"/>
      <c r="E196" s="307"/>
      <c r="F196" s="307"/>
      <c r="G196" s="307"/>
      <c r="H196" s="307"/>
      <c r="I196" s="307"/>
      <c r="J196" s="307"/>
      <c r="K196" s="307"/>
      <c r="L196" s="307"/>
      <c r="M196" s="307"/>
      <c r="N196" s="307"/>
      <c r="O196" s="307"/>
      <c r="P196" s="301">
        <v>1.3245728571428571E-2</v>
      </c>
      <c r="Q196" s="271"/>
      <c r="R196" s="271"/>
      <c r="S196" s="274"/>
      <c r="T196" s="262"/>
    </row>
    <row r="197" spans="1:20" s="263" customFormat="1" x14ac:dyDescent="0.25">
      <c r="A197" s="275"/>
      <c r="B197" s="271" t="s">
        <v>57</v>
      </c>
      <c r="C197" s="382"/>
      <c r="D197" s="307"/>
      <c r="E197" s="307"/>
      <c r="F197" s="307"/>
      <c r="G197" s="307"/>
      <c r="H197" s="307"/>
      <c r="I197" s="307"/>
      <c r="J197" s="307"/>
      <c r="K197" s="307"/>
      <c r="L197" s="307"/>
      <c r="M197" s="307"/>
      <c r="N197" s="307"/>
      <c r="O197" s="307"/>
      <c r="P197" s="301">
        <f>P195-P196</f>
        <v>3.2204271428571428E-2</v>
      </c>
      <c r="Q197" s="271"/>
      <c r="R197" s="271"/>
      <c r="S197" s="274"/>
      <c r="T197" s="262"/>
    </row>
    <row r="198" spans="1:20" s="263" customFormat="1" x14ac:dyDescent="0.25">
      <c r="A198" s="275"/>
      <c r="B198" s="271" t="s">
        <v>167</v>
      </c>
      <c r="C198" s="382"/>
      <c r="D198" s="307"/>
      <c r="E198" s="307"/>
      <c r="F198" s="307"/>
      <c r="G198" s="307"/>
      <c r="H198" s="307"/>
      <c r="I198" s="307"/>
      <c r="J198" s="307"/>
      <c r="K198" s="307"/>
      <c r="L198" s="307"/>
      <c r="M198" s="307"/>
      <c r="N198" s="307"/>
      <c r="O198" s="307"/>
      <c r="P198" s="301">
        <v>4.6403100000000003E-2</v>
      </c>
      <c r="Q198" s="271"/>
      <c r="R198" s="271"/>
      <c r="S198" s="274"/>
      <c r="T198" s="262"/>
    </row>
    <row r="199" spans="1:20" s="263" customFormat="1" x14ac:dyDescent="0.25">
      <c r="A199" s="275"/>
      <c r="B199" s="271" t="s">
        <v>58</v>
      </c>
      <c r="C199" s="382"/>
      <c r="D199" s="307"/>
      <c r="E199" s="307"/>
      <c r="F199" s="307"/>
      <c r="G199" s="307"/>
      <c r="H199" s="307"/>
      <c r="I199" s="307"/>
      <c r="J199" s="307"/>
      <c r="K199" s="307"/>
      <c r="L199" s="307"/>
      <c r="M199" s="307"/>
      <c r="N199" s="307"/>
      <c r="O199" s="307"/>
      <c r="P199" s="301">
        <v>0</v>
      </c>
      <c r="Q199" s="271"/>
      <c r="R199" s="271"/>
      <c r="S199" s="274"/>
      <c r="T199" s="262"/>
    </row>
    <row r="200" spans="1:20" s="263" customFormat="1" x14ac:dyDescent="0.25">
      <c r="A200" s="275"/>
      <c r="B200" s="271" t="s">
        <v>165</v>
      </c>
      <c r="C200" s="382"/>
      <c r="D200" s="307"/>
      <c r="E200" s="307"/>
      <c r="F200" s="307"/>
      <c r="G200" s="307"/>
      <c r="H200" s="307"/>
      <c r="I200" s="307"/>
      <c r="J200" s="307"/>
      <c r="K200" s="307"/>
      <c r="L200" s="307"/>
      <c r="M200" s="307"/>
      <c r="N200" s="307"/>
      <c r="O200" s="307"/>
      <c r="P200" s="301">
        <v>0</v>
      </c>
      <c r="Q200" s="271"/>
      <c r="R200" s="271"/>
      <c r="S200" s="274"/>
      <c r="T200" s="262"/>
    </row>
    <row r="201" spans="1:20" s="263" customFormat="1" x14ac:dyDescent="0.25">
      <c r="A201" s="275"/>
      <c r="B201" s="271" t="s">
        <v>59</v>
      </c>
      <c r="C201" s="382"/>
      <c r="D201" s="307"/>
      <c r="E201" s="307"/>
      <c r="F201" s="307"/>
      <c r="G201" s="307"/>
      <c r="H201" s="307"/>
      <c r="I201" s="307"/>
      <c r="J201" s="307"/>
      <c r="K201" s="307"/>
      <c r="L201" s="307"/>
      <c r="M201" s="307"/>
      <c r="N201" s="307"/>
      <c r="O201" s="307"/>
      <c r="P201" s="301">
        <f>P199-P200</f>
        <v>0</v>
      </c>
      <c r="Q201" s="271"/>
      <c r="R201" s="271"/>
      <c r="S201" s="274"/>
      <c r="T201" s="262"/>
    </row>
    <row r="202" spans="1:20" s="263" customFormat="1" x14ac:dyDescent="0.25">
      <c r="A202" s="275"/>
      <c r="B202" s="271" t="s">
        <v>142</v>
      </c>
      <c r="C202" s="382"/>
      <c r="D202" s="307"/>
      <c r="E202" s="307"/>
      <c r="F202" s="307"/>
      <c r="G202" s="307"/>
      <c r="H202" s="307"/>
      <c r="I202" s="307"/>
      <c r="J202" s="307"/>
      <c r="K202" s="307"/>
      <c r="L202" s="307"/>
      <c r="M202" s="307"/>
      <c r="N202" s="307"/>
      <c r="O202" s="307"/>
      <c r="P202" s="301">
        <v>0</v>
      </c>
      <c r="Q202" s="271"/>
      <c r="R202" s="271"/>
      <c r="S202" s="274"/>
      <c r="T202" s="262"/>
    </row>
    <row r="203" spans="1:20" s="263" customFormat="1" x14ac:dyDescent="0.25">
      <c r="A203" s="275"/>
      <c r="B203" s="271" t="s">
        <v>135</v>
      </c>
      <c r="C203" s="382"/>
      <c r="D203" s="307"/>
      <c r="E203" s="307"/>
      <c r="F203" s="307"/>
      <c r="G203" s="307"/>
      <c r="H203" s="307"/>
      <c r="I203" s="307"/>
      <c r="J203" s="307"/>
      <c r="K203" s="307"/>
      <c r="L203" s="307"/>
      <c r="M203" s="307"/>
      <c r="N203" s="307"/>
      <c r="O203" s="307"/>
      <c r="P203" s="383">
        <v>51820</v>
      </c>
      <c r="Q203" s="271"/>
      <c r="R203" s="271"/>
      <c r="S203" s="274"/>
      <c r="T203" s="262"/>
    </row>
    <row r="204" spans="1:20" s="263" customFormat="1" x14ac:dyDescent="0.25">
      <c r="A204" s="275"/>
      <c r="B204" s="271" t="s">
        <v>193</v>
      </c>
      <c r="C204" s="382"/>
      <c r="D204" s="307"/>
      <c r="E204" s="307"/>
      <c r="F204" s="307"/>
      <c r="G204" s="307"/>
      <c r="H204" s="307"/>
      <c r="I204" s="307"/>
      <c r="J204" s="307"/>
      <c r="K204" s="307"/>
      <c r="L204" s="307"/>
      <c r="M204" s="307"/>
      <c r="N204" s="307"/>
      <c r="O204" s="307"/>
      <c r="P204" s="383">
        <v>51820</v>
      </c>
      <c r="Q204" s="271"/>
      <c r="R204" s="271"/>
      <c r="S204" s="274"/>
      <c r="T204" s="262"/>
    </row>
    <row r="205" spans="1:20" s="263" customFormat="1" x14ac:dyDescent="0.25">
      <c r="A205" s="275"/>
      <c r="B205" s="271" t="s">
        <v>194</v>
      </c>
      <c r="C205" s="382"/>
      <c r="D205" s="307"/>
      <c r="E205" s="307"/>
      <c r="F205" s="307"/>
      <c r="G205" s="307"/>
      <c r="H205" s="307"/>
      <c r="I205" s="307"/>
      <c r="J205" s="307"/>
      <c r="K205" s="307"/>
      <c r="L205" s="307"/>
      <c r="M205" s="307"/>
      <c r="N205" s="307"/>
      <c r="O205" s="307"/>
      <c r="P205" s="383">
        <v>51820</v>
      </c>
      <c r="Q205" s="271"/>
      <c r="R205" s="271"/>
      <c r="S205" s="274"/>
      <c r="T205" s="262"/>
    </row>
    <row r="206" spans="1:20" s="263" customFormat="1" x14ac:dyDescent="0.25">
      <c r="A206" s="275"/>
      <c r="B206" s="271" t="s">
        <v>60</v>
      </c>
      <c r="C206" s="382"/>
      <c r="D206" s="307"/>
      <c r="E206" s="307"/>
      <c r="F206" s="307"/>
      <c r="G206" s="307"/>
      <c r="H206" s="307"/>
      <c r="I206" s="307"/>
      <c r="J206" s="307"/>
      <c r="K206" s="307"/>
      <c r="L206" s="307"/>
      <c r="M206" s="307"/>
      <c r="N206" s="307"/>
      <c r="O206" s="307"/>
      <c r="P206" s="305">
        <v>18.95</v>
      </c>
      <c r="Q206" s="271" t="s">
        <v>91</v>
      </c>
      <c r="R206" s="271"/>
      <c r="S206" s="274"/>
      <c r="T206" s="262"/>
    </row>
    <row r="207" spans="1:20" s="263" customFormat="1" x14ac:dyDescent="0.25">
      <c r="A207" s="275"/>
      <c r="B207" s="271" t="s">
        <v>61</v>
      </c>
      <c r="C207" s="382"/>
      <c r="D207" s="307"/>
      <c r="E207" s="307"/>
      <c r="F207" s="307"/>
      <c r="G207" s="307"/>
      <c r="H207" s="307"/>
      <c r="I207" s="307"/>
      <c r="J207" s="307"/>
      <c r="K207" s="307"/>
      <c r="L207" s="307"/>
      <c r="M207" s="307"/>
      <c r="N207" s="307"/>
      <c r="O207" s="307"/>
      <c r="P207" s="305">
        <v>0</v>
      </c>
      <c r="Q207" s="271" t="s">
        <v>91</v>
      </c>
      <c r="R207" s="271"/>
      <c r="S207" s="274"/>
      <c r="T207" s="262"/>
    </row>
    <row r="208" spans="1:20" s="263" customFormat="1" x14ac:dyDescent="0.25">
      <c r="A208" s="275"/>
      <c r="B208" s="271" t="s">
        <v>62</v>
      </c>
      <c r="C208" s="382"/>
      <c r="D208" s="307"/>
      <c r="E208" s="307"/>
      <c r="F208" s="307"/>
      <c r="G208" s="307"/>
      <c r="H208" s="307"/>
      <c r="I208" s="307"/>
      <c r="J208" s="307"/>
      <c r="K208" s="307"/>
      <c r="L208" s="307"/>
      <c r="M208" s="307"/>
      <c r="N208" s="307"/>
      <c r="O208" s="307"/>
      <c r="P208" s="301">
        <f>(+J56+L56+P56)/H56</f>
        <v>1</v>
      </c>
      <c r="Q208" s="271"/>
      <c r="R208" s="271"/>
      <c r="S208" s="274"/>
      <c r="T208" s="262"/>
    </row>
    <row r="209" spans="1:20" s="263" customFormat="1" x14ac:dyDescent="0.25">
      <c r="A209" s="275"/>
      <c r="B209" s="271" t="s">
        <v>63</v>
      </c>
      <c r="C209" s="382"/>
      <c r="D209" s="307"/>
      <c r="E209" s="307"/>
      <c r="F209" s="307"/>
      <c r="G209" s="307"/>
      <c r="H209" s="307"/>
      <c r="I209" s="307"/>
      <c r="J209" s="307"/>
      <c r="K209" s="307"/>
      <c r="L209" s="307"/>
      <c r="M209" s="307"/>
      <c r="N209" s="307"/>
      <c r="O209" s="307"/>
      <c r="P209" s="301">
        <v>1</v>
      </c>
      <c r="Q209" s="271"/>
      <c r="R209" s="271"/>
      <c r="S209" s="274"/>
      <c r="T209" s="262"/>
    </row>
    <row r="210" spans="1:20" x14ac:dyDescent="0.25">
      <c r="A210" s="378"/>
      <c r="B210" s="384"/>
      <c r="C210" s="384"/>
      <c r="D210" s="333"/>
      <c r="E210" s="333"/>
      <c r="F210" s="333"/>
      <c r="G210" s="333"/>
      <c r="H210" s="333"/>
      <c r="I210" s="333"/>
      <c r="J210" s="333"/>
      <c r="K210" s="333"/>
      <c r="L210" s="333"/>
      <c r="M210" s="333"/>
      <c r="N210" s="333"/>
      <c r="O210" s="333"/>
      <c r="P210" s="362"/>
      <c r="Q210" s="333"/>
      <c r="R210" s="385"/>
      <c r="S210" s="249"/>
      <c r="T210" s="244"/>
    </row>
    <row r="211" spans="1:20" x14ac:dyDescent="0.25">
      <c r="A211" s="456"/>
      <c r="B211" s="445" t="s">
        <v>64</v>
      </c>
      <c r="C211" s="446"/>
      <c r="D211" s="446"/>
      <c r="E211" s="446"/>
      <c r="F211" s="446"/>
      <c r="G211" s="446"/>
      <c r="H211" s="446"/>
      <c r="I211" s="446"/>
      <c r="J211" s="446"/>
      <c r="K211" s="446"/>
      <c r="L211" s="446"/>
      <c r="M211" s="446"/>
      <c r="N211" s="446"/>
      <c r="O211" s="446" t="s">
        <v>84</v>
      </c>
      <c r="P211" s="462" t="s">
        <v>89</v>
      </c>
      <c r="Q211" s="440"/>
      <c r="R211" s="440"/>
      <c r="S211" s="434"/>
      <c r="T211" s="244"/>
    </row>
    <row r="212" spans="1:20" s="263" customFormat="1" x14ac:dyDescent="0.25">
      <c r="A212" s="457"/>
      <c r="B212" s="313" t="s">
        <v>65</v>
      </c>
      <c r="C212" s="346"/>
      <c r="D212" s="458"/>
      <c r="E212" s="458"/>
      <c r="F212" s="458"/>
      <c r="G212" s="458"/>
      <c r="H212" s="458"/>
      <c r="I212" s="458"/>
      <c r="J212" s="458"/>
      <c r="K212" s="458"/>
      <c r="L212" s="458"/>
      <c r="M212" s="458"/>
      <c r="N212" s="458"/>
      <c r="O212" s="458">
        <v>0</v>
      </c>
      <c r="P212" s="459">
        <v>0</v>
      </c>
      <c r="Q212" s="313"/>
      <c r="R212" s="460"/>
      <c r="S212" s="461"/>
      <c r="T212" s="262"/>
    </row>
    <row r="213" spans="1:20" s="263" customFormat="1" x14ac:dyDescent="0.25">
      <c r="A213" s="386"/>
      <c r="B213" s="271" t="s">
        <v>114</v>
      </c>
      <c r="C213" s="331"/>
      <c r="D213" s="277"/>
      <c r="E213" s="277"/>
      <c r="F213" s="277"/>
      <c r="G213" s="277"/>
      <c r="H213" s="277"/>
      <c r="I213" s="277"/>
      <c r="J213" s="277"/>
      <c r="K213" s="277"/>
      <c r="L213" s="277"/>
      <c r="M213" s="277"/>
      <c r="N213" s="277"/>
      <c r="O213" s="387">
        <f>+N265</f>
        <v>0</v>
      </c>
      <c r="P213" s="388">
        <f>+P265</f>
        <v>0</v>
      </c>
      <c r="Q213" s="271"/>
      <c r="R213" s="389"/>
      <c r="S213" s="390"/>
      <c r="T213" s="262"/>
    </row>
    <row r="214" spans="1:20" s="263" customFormat="1" x14ac:dyDescent="0.25">
      <c r="A214" s="386"/>
      <c r="B214" s="271" t="s">
        <v>66</v>
      </c>
      <c r="C214" s="331"/>
      <c r="D214" s="277"/>
      <c r="E214" s="277"/>
      <c r="F214" s="277"/>
      <c r="G214" s="277"/>
      <c r="H214" s="277"/>
      <c r="I214" s="277"/>
      <c r="J214" s="277"/>
      <c r="K214" s="277"/>
      <c r="L214" s="277"/>
      <c r="M214" s="277"/>
      <c r="N214" s="277"/>
      <c r="O214" s="387">
        <f>+N277</f>
        <v>0</v>
      </c>
      <c r="P214" s="388">
        <f>+P277</f>
        <v>0</v>
      </c>
      <c r="Q214" s="271"/>
      <c r="R214" s="389"/>
      <c r="S214" s="390"/>
      <c r="T214" s="262"/>
    </row>
    <row r="215" spans="1:20" x14ac:dyDescent="0.25">
      <c r="A215" s="391"/>
      <c r="B215" s="291" t="s">
        <v>254</v>
      </c>
      <c r="C215" s="392"/>
      <c r="D215" s="296"/>
      <c r="E215" s="296"/>
      <c r="F215" s="296"/>
      <c r="G215" s="296"/>
      <c r="H215" s="296"/>
      <c r="I215" s="296"/>
      <c r="J215" s="296"/>
      <c r="K215" s="296"/>
      <c r="L215" s="296"/>
      <c r="M215" s="296"/>
      <c r="N215" s="296"/>
      <c r="O215" s="342"/>
      <c r="P215" s="388">
        <f>+P56</f>
        <v>3510</v>
      </c>
      <c r="Q215" s="296"/>
      <c r="R215" s="393"/>
      <c r="S215" s="394"/>
      <c r="T215" s="244"/>
    </row>
    <row r="216" spans="1:20" x14ac:dyDescent="0.25">
      <c r="A216" s="391"/>
      <c r="B216" s="291" t="s">
        <v>143</v>
      </c>
      <c r="C216" s="392"/>
      <c r="D216" s="296"/>
      <c r="E216" s="296"/>
      <c r="F216" s="296"/>
      <c r="G216" s="296"/>
      <c r="H216" s="296"/>
      <c r="I216" s="296"/>
      <c r="J216" s="296"/>
      <c r="K216" s="296"/>
      <c r="L216" s="296"/>
      <c r="M216" s="296"/>
      <c r="N216" s="296"/>
      <c r="O216" s="342"/>
      <c r="P216" s="388">
        <f>-J69</f>
        <v>0</v>
      </c>
      <c r="Q216" s="296"/>
      <c r="R216" s="393"/>
      <c r="S216" s="394"/>
      <c r="T216" s="244"/>
    </row>
    <row r="217" spans="1:20" x14ac:dyDescent="0.25">
      <c r="A217" s="395"/>
      <c r="B217" s="291" t="s">
        <v>68</v>
      </c>
      <c r="C217" s="396"/>
      <c r="D217" s="296"/>
      <c r="E217" s="296"/>
      <c r="F217" s="296"/>
      <c r="G217" s="296"/>
      <c r="H217" s="296"/>
      <c r="I217" s="296"/>
      <c r="J217" s="296"/>
      <c r="K217" s="296"/>
      <c r="L217" s="296"/>
      <c r="M217" s="296"/>
      <c r="N217" s="296"/>
      <c r="O217" s="342"/>
      <c r="P217" s="397"/>
      <c r="Q217" s="296"/>
      <c r="R217" s="393"/>
      <c r="S217" s="398"/>
      <c r="T217" s="244"/>
    </row>
    <row r="218" spans="1:20" s="263" customFormat="1" x14ac:dyDescent="0.25">
      <c r="A218" s="399"/>
      <c r="B218" s="271" t="s">
        <v>69</v>
      </c>
      <c r="C218" s="271"/>
      <c r="D218" s="271"/>
      <c r="E218" s="271"/>
      <c r="F218" s="271"/>
      <c r="G218" s="271"/>
      <c r="H218" s="271"/>
      <c r="I218" s="271"/>
      <c r="J218" s="271"/>
      <c r="K218" s="271"/>
      <c r="L218" s="271"/>
      <c r="M218" s="271"/>
      <c r="N218" s="271"/>
      <c r="O218" s="277"/>
      <c r="P218" s="388">
        <f>R152</f>
        <v>14</v>
      </c>
      <c r="Q218" s="271"/>
      <c r="R218" s="389"/>
      <c r="S218" s="400"/>
      <c r="T218" s="262"/>
    </row>
    <row r="219" spans="1:20" s="263" customFormat="1" x14ac:dyDescent="0.25">
      <c r="A219" s="386"/>
      <c r="B219" s="271" t="s">
        <v>70</v>
      </c>
      <c r="C219" s="331"/>
      <c r="D219" s="271"/>
      <c r="E219" s="271"/>
      <c r="F219" s="271"/>
      <c r="G219" s="271"/>
      <c r="H219" s="271"/>
      <c r="I219" s="271"/>
      <c r="J219" s="271"/>
      <c r="K219" s="271"/>
      <c r="L219" s="271"/>
      <c r="M219" s="271"/>
      <c r="N219" s="271"/>
      <c r="O219" s="277"/>
      <c r="P219" s="388">
        <f>'April 18'!P217+P218</f>
        <v>475</v>
      </c>
      <c r="Q219" s="271"/>
      <c r="R219" s="389"/>
      <c r="S219" s="400"/>
      <c r="T219" s="262"/>
    </row>
    <row r="220" spans="1:20" x14ac:dyDescent="0.25">
      <c r="A220" s="395"/>
      <c r="B220" s="291" t="s">
        <v>154</v>
      </c>
      <c r="C220" s="396"/>
      <c r="D220" s="296"/>
      <c r="E220" s="296"/>
      <c r="F220" s="296"/>
      <c r="G220" s="296"/>
      <c r="H220" s="296"/>
      <c r="I220" s="296"/>
      <c r="J220" s="296"/>
      <c r="K220" s="296"/>
      <c r="L220" s="296"/>
      <c r="M220" s="296"/>
      <c r="N220" s="296"/>
      <c r="O220" s="401"/>
      <c r="P220" s="397"/>
      <c r="Q220" s="296"/>
      <c r="R220" s="393"/>
      <c r="S220" s="398"/>
      <c r="T220" s="244"/>
    </row>
    <row r="221" spans="1:20" s="263" customFormat="1" x14ac:dyDescent="0.25">
      <c r="A221" s="399"/>
      <c r="B221" s="271" t="s">
        <v>166</v>
      </c>
      <c r="C221" s="271"/>
      <c r="D221" s="271"/>
      <c r="E221" s="271"/>
      <c r="F221" s="271"/>
      <c r="G221" s="271"/>
      <c r="H221" s="271"/>
      <c r="I221" s="271"/>
      <c r="J221" s="271"/>
      <c r="K221" s="271"/>
      <c r="L221" s="271"/>
      <c r="M221" s="271"/>
      <c r="N221" s="271"/>
      <c r="O221" s="277">
        <v>0</v>
      </c>
      <c r="P221" s="388">
        <v>0</v>
      </c>
      <c r="Q221" s="271"/>
      <c r="R221" s="389"/>
      <c r="S221" s="400"/>
      <c r="T221" s="262"/>
    </row>
    <row r="222" spans="1:20" s="263" customFormat="1" x14ac:dyDescent="0.25">
      <c r="A222" s="386"/>
      <c r="B222" s="271" t="s">
        <v>71</v>
      </c>
      <c r="C222" s="304"/>
      <c r="D222" s="271"/>
      <c r="E222" s="271"/>
      <c r="F222" s="271"/>
      <c r="G222" s="271"/>
      <c r="H222" s="271"/>
      <c r="I222" s="271"/>
      <c r="J222" s="271"/>
      <c r="K222" s="271"/>
      <c r="L222" s="271"/>
      <c r="M222" s="271"/>
      <c r="N222" s="271"/>
      <c r="O222" s="271"/>
      <c r="P222" s="402">
        <v>0</v>
      </c>
      <c r="Q222" s="271"/>
      <c r="R222" s="389"/>
      <c r="S222" s="400"/>
      <c r="T222" s="262"/>
    </row>
    <row r="223" spans="1:20" s="263" customFormat="1" x14ac:dyDescent="0.25">
      <c r="A223" s="386"/>
      <c r="B223" s="271" t="s">
        <v>72</v>
      </c>
      <c r="C223" s="304"/>
      <c r="D223" s="271"/>
      <c r="E223" s="271"/>
      <c r="F223" s="271"/>
      <c r="G223" s="271"/>
      <c r="H223" s="271"/>
      <c r="I223" s="271"/>
      <c r="J223" s="271"/>
      <c r="K223" s="271"/>
      <c r="L223" s="271"/>
      <c r="M223" s="271"/>
      <c r="N223" s="271"/>
      <c r="O223" s="271"/>
      <c r="P223" s="402">
        <v>0</v>
      </c>
      <c r="Q223" s="271"/>
      <c r="R223" s="389"/>
      <c r="S223" s="400"/>
      <c r="T223" s="262"/>
    </row>
    <row r="224" spans="1:20" x14ac:dyDescent="0.25">
      <c r="A224" s="391"/>
      <c r="B224" s="291" t="s">
        <v>139</v>
      </c>
      <c r="C224" s="403"/>
      <c r="D224" s="296"/>
      <c r="E224" s="296"/>
      <c r="F224" s="296"/>
      <c r="G224" s="296"/>
      <c r="H224" s="296"/>
      <c r="I224" s="296"/>
      <c r="J224" s="296"/>
      <c r="K224" s="296"/>
      <c r="L224" s="296"/>
      <c r="M224" s="296"/>
      <c r="N224" s="296"/>
      <c r="O224" s="342"/>
      <c r="P224" s="404"/>
      <c r="Q224" s="296"/>
      <c r="R224" s="393"/>
      <c r="S224" s="398"/>
      <c r="T224" s="244"/>
    </row>
    <row r="225" spans="1:20" s="263" customFormat="1" x14ac:dyDescent="0.25">
      <c r="A225" s="386"/>
      <c r="B225" s="271" t="s">
        <v>166</v>
      </c>
      <c r="C225" s="304"/>
      <c r="D225" s="271"/>
      <c r="E225" s="271"/>
      <c r="F225" s="271"/>
      <c r="G225" s="271"/>
      <c r="H225" s="271"/>
      <c r="I225" s="271"/>
      <c r="J225" s="271"/>
      <c r="K225" s="271"/>
      <c r="L225" s="271"/>
      <c r="M225" s="271"/>
      <c r="N225" s="271"/>
      <c r="O225" s="277">
        <v>1</v>
      </c>
      <c r="P225" s="388">
        <v>61</v>
      </c>
      <c r="Q225" s="271"/>
      <c r="R225" s="389"/>
      <c r="S225" s="400"/>
      <c r="T225" s="262"/>
    </row>
    <row r="226" spans="1:20" s="263" customFormat="1" x14ac:dyDescent="0.25">
      <c r="A226" s="386"/>
      <c r="B226" s="271" t="s">
        <v>140</v>
      </c>
      <c r="C226" s="304"/>
      <c r="D226" s="271"/>
      <c r="E226" s="271"/>
      <c r="F226" s="271"/>
      <c r="G226" s="271"/>
      <c r="H226" s="271"/>
      <c r="I226" s="271"/>
      <c r="J226" s="271"/>
      <c r="K226" s="271"/>
      <c r="L226" s="271"/>
      <c r="M226" s="271"/>
      <c r="N226" s="271"/>
      <c r="O226" s="271"/>
      <c r="P226" s="402">
        <v>8.74</v>
      </c>
      <c r="Q226" s="271"/>
      <c r="R226" s="389"/>
      <c r="S226" s="400"/>
      <c r="T226" s="262"/>
    </row>
    <row r="227" spans="1:20" x14ac:dyDescent="0.25">
      <c r="A227" s="391"/>
      <c r="B227" s="396"/>
      <c r="C227" s="403"/>
      <c r="D227" s="296"/>
      <c r="E227" s="296"/>
      <c r="F227" s="296"/>
      <c r="G227" s="296"/>
      <c r="H227" s="296"/>
      <c r="I227" s="296"/>
      <c r="J227" s="296"/>
      <c r="K227" s="296"/>
      <c r="L227" s="296"/>
      <c r="M227" s="296"/>
      <c r="N227" s="296"/>
      <c r="O227" s="342"/>
      <c r="P227" s="404"/>
      <c r="Q227" s="296"/>
      <c r="R227" s="393"/>
      <c r="S227" s="398"/>
      <c r="T227" s="244"/>
    </row>
    <row r="228" spans="1:20" x14ac:dyDescent="0.25">
      <c r="A228" s="391"/>
      <c r="B228" s="396"/>
      <c r="C228" s="403"/>
      <c r="D228" s="296"/>
      <c r="E228" s="296"/>
      <c r="F228" s="296"/>
      <c r="G228" s="296"/>
      <c r="H228" s="296"/>
      <c r="I228" s="296"/>
      <c r="J228" s="296"/>
      <c r="K228" s="296"/>
      <c r="L228" s="296"/>
      <c r="M228" s="296"/>
      <c r="N228" s="296"/>
      <c r="O228" s="296"/>
      <c r="P228" s="405"/>
      <c r="Q228" s="296"/>
      <c r="R228" s="393"/>
      <c r="S228" s="398"/>
      <c r="T228" s="244"/>
    </row>
    <row r="229" spans="1:20" ht="18.75" x14ac:dyDescent="0.3">
      <c r="A229" s="391"/>
      <c r="B229" s="406" t="s">
        <v>130</v>
      </c>
      <c r="C229" s="403"/>
      <c r="D229" s="296"/>
      <c r="E229" s="296"/>
      <c r="F229" s="296"/>
      <c r="G229" s="296"/>
      <c r="H229" s="296"/>
      <c r="I229" s="296"/>
      <c r="J229" s="296"/>
      <c r="K229" s="296"/>
      <c r="L229" s="407"/>
      <c r="M229" s="296"/>
      <c r="N229" s="239" t="s">
        <v>261</v>
      </c>
      <c r="O229" s="407"/>
      <c r="P229" s="405"/>
      <c r="Q229" s="296"/>
      <c r="R229" s="393"/>
      <c r="S229" s="398"/>
      <c r="T229" s="244"/>
    </row>
    <row r="230" spans="1:20" ht="18.75" x14ac:dyDescent="0.3">
      <c r="A230" s="408"/>
      <c r="B230" s="409"/>
      <c r="C230" s="410"/>
      <c r="D230" s="333"/>
      <c r="E230" s="333"/>
      <c r="F230" s="333"/>
      <c r="G230" s="333"/>
      <c r="H230" s="333"/>
      <c r="I230" s="333"/>
      <c r="J230" s="333"/>
      <c r="K230" s="333"/>
      <c r="L230" s="411"/>
      <c r="M230" s="333"/>
      <c r="N230" s="333"/>
      <c r="O230" s="333"/>
      <c r="P230" s="412"/>
      <c r="Q230" s="333"/>
      <c r="R230" s="385"/>
      <c r="S230" s="413"/>
      <c r="T230" s="244"/>
    </row>
    <row r="231" spans="1:20" x14ac:dyDescent="0.25">
      <c r="A231" s="432"/>
      <c r="B231" s="445" t="s">
        <v>156</v>
      </c>
      <c r="C231" s="446"/>
      <c r="D231" s="446"/>
      <c r="E231" s="446"/>
      <c r="F231" s="446"/>
      <c r="G231" s="446"/>
      <c r="H231" s="446"/>
      <c r="I231" s="446"/>
      <c r="J231" s="446"/>
      <c r="K231" s="446"/>
      <c r="L231" s="446"/>
      <c r="M231" s="446"/>
      <c r="N231" s="462" t="s">
        <v>84</v>
      </c>
      <c r="O231" s="446" t="s">
        <v>85</v>
      </c>
      <c r="P231" s="462" t="s">
        <v>90</v>
      </c>
      <c r="Q231" s="446" t="s">
        <v>85</v>
      </c>
      <c r="R231" s="440"/>
      <c r="S231" s="463"/>
      <c r="T231" s="244"/>
    </row>
    <row r="232" spans="1:20" s="263" customFormat="1" x14ac:dyDescent="0.25">
      <c r="A232" s="258"/>
      <c r="B232" s="346" t="s">
        <v>73</v>
      </c>
      <c r="C232" s="464"/>
      <c r="D232" s="464"/>
      <c r="E232" s="464"/>
      <c r="F232" s="464"/>
      <c r="G232" s="464"/>
      <c r="H232" s="464"/>
      <c r="I232" s="464"/>
      <c r="J232" s="464"/>
      <c r="K232" s="464"/>
      <c r="L232" s="464"/>
      <c r="M232" s="464"/>
      <c r="N232" s="346">
        <f>+N244+N256+N268</f>
        <v>0</v>
      </c>
      <c r="O232" s="465">
        <v>0</v>
      </c>
      <c r="P232" s="416">
        <f>+P244+P256+P268</f>
        <v>0</v>
      </c>
      <c r="Q232" s="465">
        <v>0</v>
      </c>
      <c r="R232" s="460"/>
      <c r="S232" s="466"/>
      <c r="T232" s="262"/>
    </row>
    <row r="233" spans="1:20" s="263" customFormat="1" x14ac:dyDescent="0.25">
      <c r="A233" s="275"/>
      <c r="B233" s="331" t="s">
        <v>74</v>
      </c>
      <c r="C233" s="414"/>
      <c r="D233" s="414"/>
      <c r="E233" s="414"/>
      <c r="F233" s="414"/>
      <c r="G233" s="414"/>
      <c r="H233" s="414"/>
      <c r="I233" s="414"/>
      <c r="J233" s="414"/>
      <c r="K233" s="414"/>
      <c r="L233" s="414"/>
      <c r="M233" s="414"/>
      <c r="N233" s="331">
        <f>+N245+N257+N269</f>
        <v>0</v>
      </c>
      <c r="O233" s="415">
        <v>0</v>
      </c>
      <c r="P233" s="332">
        <f>+P245+P257+P269</f>
        <v>0</v>
      </c>
      <c r="Q233" s="415">
        <v>0</v>
      </c>
      <c r="R233" s="389"/>
      <c r="S233" s="400"/>
      <c r="T233" s="262"/>
    </row>
    <row r="234" spans="1:20" s="263" customFormat="1" x14ac:dyDescent="0.25">
      <c r="A234" s="275"/>
      <c r="B234" s="331" t="s">
        <v>75</v>
      </c>
      <c r="C234" s="414"/>
      <c r="D234" s="414"/>
      <c r="E234" s="414"/>
      <c r="F234" s="414"/>
      <c r="G234" s="414"/>
      <c r="H234" s="414"/>
      <c r="I234" s="414"/>
      <c r="J234" s="414"/>
      <c r="K234" s="414"/>
      <c r="L234" s="414"/>
      <c r="M234" s="414"/>
      <c r="N234" s="331">
        <f t="shared" ref="N234:N239" si="2">+N246+N258+N270</f>
        <v>0</v>
      </c>
      <c r="O234" s="415">
        <v>0</v>
      </c>
      <c r="P234" s="332">
        <f t="shared" ref="P234:P239" si="3">+P246+P258+P270</f>
        <v>0</v>
      </c>
      <c r="Q234" s="415">
        <v>0</v>
      </c>
      <c r="R234" s="389"/>
      <c r="S234" s="400"/>
      <c r="T234" s="262"/>
    </row>
    <row r="235" spans="1:20" s="263" customFormat="1" x14ac:dyDescent="0.25">
      <c r="A235" s="275"/>
      <c r="B235" s="331" t="s">
        <v>120</v>
      </c>
      <c r="C235" s="414"/>
      <c r="D235" s="414"/>
      <c r="E235" s="414"/>
      <c r="F235" s="414"/>
      <c r="G235" s="414"/>
      <c r="H235" s="414"/>
      <c r="I235" s="414"/>
      <c r="J235" s="414"/>
      <c r="K235" s="414"/>
      <c r="L235" s="414"/>
      <c r="M235" s="414"/>
      <c r="N235" s="331">
        <f t="shared" si="2"/>
        <v>0</v>
      </c>
      <c r="O235" s="415">
        <v>0</v>
      </c>
      <c r="P235" s="332">
        <f t="shared" si="3"/>
        <v>0</v>
      </c>
      <c r="Q235" s="415">
        <v>0</v>
      </c>
      <c r="R235" s="389"/>
      <c r="S235" s="400"/>
      <c r="T235" s="262"/>
    </row>
    <row r="236" spans="1:20" s="263" customFormat="1" x14ac:dyDescent="0.25">
      <c r="A236" s="275"/>
      <c r="B236" s="331" t="s">
        <v>121</v>
      </c>
      <c r="C236" s="414"/>
      <c r="D236" s="414"/>
      <c r="E236" s="414"/>
      <c r="F236" s="414"/>
      <c r="G236" s="414"/>
      <c r="H236" s="414"/>
      <c r="I236" s="414"/>
      <c r="J236" s="414"/>
      <c r="K236" s="414"/>
      <c r="L236" s="414"/>
      <c r="M236" s="414"/>
      <c r="N236" s="331">
        <f t="shared" si="2"/>
        <v>0</v>
      </c>
      <c r="O236" s="415">
        <v>0</v>
      </c>
      <c r="P236" s="332">
        <f t="shared" si="3"/>
        <v>0</v>
      </c>
      <c r="Q236" s="415">
        <v>0</v>
      </c>
      <c r="R236" s="389"/>
      <c r="S236" s="400"/>
      <c r="T236" s="262"/>
    </row>
    <row r="237" spans="1:20" s="263" customFormat="1" x14ac:dyDescent="0.25">
      <c r="A237" s="275"/>
      <c r="B237" s="331" t="s">
        <v>122</v>
      </c>
      <c r="C237" s="414"/>
      <c r="D237" s="414"/>
      <c r="E237" s="414"/>
      <c r="F237" s="414"/>
      <c r="G237" s="414"/>
      <c r="H237" s="414"/>
      <c r="I237" s="414"/>
      <c r="J237" s="414"/>
      <c r="K237" s="414"/>
      <c r="L237" s="414"/>
      <c r="M237" s="414"/>
      <c r="N237" s="331">
        <f t="shared" si="2"/>
        <v>0</v>
      </c>
      <c r="O237" s="415">
        <v>0</v>
      </c>
      <c r="P237" s="332">
        <f t="shared" si="3"/>
        <v>0</v>
      </c>
      <c r="Q237" s="415">
        <v>0</v>
      </c>
      <c r="R237" s="389"/>
      <c r="S237" s="400"/>
      <c r="T237" s="262"/>
    </row>
    <row r="238" spans="1:20" s="263" customFormat="1" x14ac:dyDescent="0.25">
      <c r="A238" s="275"/>
      <c r="B238" s="331" t="s">
        <v>123</v>
      </c>
      <c r="C238" s="414"/>
      <c r="D238" s="414"/>
      <c r="E238" s="414"/>
      <c r="F238" s="414"/>
      <c r="G238" s="414"/>
      <c r="H238" s="414"/>
      <c r="I238" s="414"/>
      <c r="J238" s="414"/>
      <c r="K238" s="414"/>
      <c r="L238" s="414"/>
      <c r="M238" s="414"/>
      <c r="N238" s="331">
        <f t="shared" si="2"/>
        <v>0</v>
      </c>
      <c r="O238" s="415">
        <v>0</v>
      </c>
      <c r="P238" s="332">
        <f t="shared" si="3"/>
        <v>0</v>
      </c>
      <c r="Q238" s="415">
        <v>0</v>
      </c>
      <c r="R238" s="389"/>
      <c r="S238" s="400"/>
      <c r="T238" s="262"/>
    </row>
    <row r="239" spans="1:20" s="263" customFormat="1" x14ac:dyDescent="0.25">
      <c r="A239" s="275"/>
      <c r="B239" s="331" t="s">
        <v>124</v>
      </c>
      <c r="C239" s="414"/>
      <c r="D239" s="414"/>
      <c r="E239" s="414"/>
      <c r="F239" s="414"/>
      <c r="G239" s="414"/>
      <c r="H239" s="414"/>
      <c r="I239" s="414"/>
      <c r="J239" s="414"/>
      <c r="K239" s="414"/>
      <c r="L239" s="414"/>
      <c r="M239" s="414"/>
      <c r="N239" s="346">
        <f t="shared" si="2"/>
        <v>0</v>
      </c>
      <c r="O239" s="415">
        <v>0</v>
      </c>
      <c r="P239" s="416">
        <f t="shared" si="3"/>
        <v>0</v>
      </c>
      <c r="Q239" s="415">
        <v>0</v>
      </c>
      <c r="R239" s="389"/>
      <c r="S239" s="400"/>
      <c r="T239" s="262"/>
    </row>
    <row r="240" spans="1:20" s="263" customFormat="1" x14ac:dyDescent="0.25">
      <c r="A240" s="275"/>
      <c r="B240" s="331"/>
      <c r="C240" s="414"/>
      <c r="D240" s="414"/>
      <c r="E240" s="414"/>
      <c r="F240" s="414"/>
      <c r="G240" s="414"/>
      <c r="H240" s="414"/>
      <c r="I240" s="414"/>
      <c r="J240" s="414"/>
      <c r="K240" s="414"/>
      <c r="L240" s="414"/>
      <c r="M240" s="414"/>
      <c r="N240" s="331"/>
      <c r="O240" s="415"/>
      <c r="P240" s="332"/>
      <c r="Q240" s="415"/>
      <c r="R240" s="389"/>
      <c r="S240" s="400"/>
      <c r="T240" s="262"/>
    </row>
    <row r="241" spans="1:21" s="263" customFormat="1" x14ac:dyDescent="0.25">
      <c r="A241" s="275"/>
      <c r="B241" s="271" t="s">
        <v>95</v>
      </c>
      <c r="C241" s="271"/>
      <c r="D241" s="417"/>
      <c r="E241" s="417"/>
      <c r="F241" s="417"/>
      <c r="G241" s="417"/>
      <c r="H241" s="417"/>
      <c r="I241" s="417"/>
      <c r="J241" s="417"/>
      <c r="K241" s="417"/>
      <c r="L241" s="417"/>
      <c r="M241" s="417"/>
      <c r="N241" s="331">
        <f>SUM(N232:N240)</f>
        <v>0</v>
      </c>
      <c r="O241" s="415">
        <f>SUM(O232:O240)</f>
        <v>0</v>
      </c>
      <c r="P241" s="332">
        <f>SUM(P232:P240)</f>
        <v>0</v>
      </c>
      <c r="Q241" s="415">
        <f>SUM(Q232:Q240)</f>
        <v>0</v>
      </c>
      <c r="R241" s="271"/>
      <c r="S241" s="274"/>
      <c r="T241" s="262"/>
    </row>
    <row r="242" spans="1:21" x14ac:dyDescent="0.25">
      <c r="A242" s="246"/>
      <c r="B242" s="384"/>
      <c r="C242" s="410"/>
      <c r="D242" s="333"/>
      <c r="E242" s="333"/>
      <c r="F242" s="333"/>
      <c r="G242" s="333"/>
      <c r="H242" s="333"/>
      <c r="I242" s="333"/>
      <c r="J242" s="333"/>
      <c r="K242" s="333"/>
      <c r="L242" s="333"/>
      <c r="M242" s="333"/>
      <c r="N242" s="333"/>
      <c r="O242" s="333"/>
      <c r="P242" s="412"/>
      <c r="Q242" s="333"/>
      <c r="R242" s="333"/>
      <c r="S242" s="249"/>
      <c r="T242" s="244"/>
    </row>
    <row r="243" spans="1:21" x14ac:dyDescent="0.25">
      <c r="A243" s="432"/>
      <c r="B243" s="445" t="s">
        <v>125</v>
      </c>
      <c r="C243" s="446"/>
      <c r="D243" s="446"/>
      <c r="E243" s="446"/>
      <c r="F243" s="446"/>
      <c r="G243" s="446"/>
      <c r="H243" s="446"/>
      <c r="I243" s="446"/>
      <c r="J243" s="446"/>
      <c r="K243" s="446"/>
      <c r="L243" s="446"/>
      <c r="M243" s="446"/>
      <c r="N243" s="462" t="s">
        <v>84</v>
      </c>
      <c r="O243" s="446" t="s">
        <v>85</v>
      </c>
      <c r="P243" s="462" t="s">
        <v>90</v>
      </c>
      <c r="Q243" s="446" t="s">
        <v>85</v>
      </c>
      <c r="R243" s="440"/>
      <c r="S243" s="463"/>
      <c r="T243" s="244"/>
    </row>
    <row r="244" spans="1:21" s="263" customFormat="1" x14ac:dyDescent="0.25">
      <c r="A244" s="258"/>
      <c r="B244" s="346" t="s">
        <v>73</v>
      </c>
      <c r="C244" s="464"/>
      <c r="D244" s="464"/>
      <c r="E244" s="464"/>
      <c r="F244" s="464"/>
      <c r="G244" s="464"/>
      <c r="H244" s="464"/>
      <c r="I244" s="464"/>
      <c r="J244" s="464"/>
      <c r="K244" s="464"/>
      <c r="L244" s="464"/>
      <c r="M244" s="464"/>
      <c r="N244" s="346">
        <v>0</v>
      </c>
      <c r="O244" s="465">
        <v>0</v>
      </c>
      <c r="P244" s="416">
        <v>0</v>
      </c>
      <c r="Q244" s="465">
        <v>0</v>
      </c>
      <c r="R244" s="460"/>
      <c r="S244" s="466"/>
      <c r="T244" s="262"/>
    </row>
    <row r="245" spans="1:21" s="263" customFormat="1" x14ac:dyDescent="0.25">
      <c r="A245" s="275"/>
      <c r="B245" s="331" t="s">
        <v>74</v>
      </c>
      <c r="C245" s="414"/>
      <c r="D245" s="414"/>
      <c r="E245" s="414"/>
      <c r="F245" s="414"/>
      <c r="G245" s="414"/>
      <c r="H245" s="414"/>
      <c r="I245" s="414"/>
      <c r="J245" s="414"/>
      <c r="K245" s="414"/>
      <c r="L245" s="414"/>
      <c r="M245" s="414"/>
      <c r="N245" s="331">
        <v>0</v>
      </c>
      <c r="O245" s="415">
        <v>0</v>
      </c>
      <c r="P245" s="332">
        <v>0</v>
      </c>
      <c r="Q245" s="415">
        <v>0</v>
      </c>
      <c r="R245" s="389"/>
      <c r="S245" s="400"/>
      <c r="T245" s="262"/>
      <c r="U245" s="344"/>
    </row>
    <row r="246" spans="1:21" s="263" customFormat="1" x14ac:dyDescent="0.25">
      <c r="A246" s="275"/>
      <c r="B246" s="331" t="s">
        <v>75</v>
      </c>
      <c r="C246" s="414"/>
      <c r="D246" s="414"/>
      <c r="E246" s="414"/>
      <c r="F246" s="414"/>
      <c r="G246" s="414"/>
      <c r="H246" s="414"/>
      <c r="I246" s="414"/>
      <c r="J246" s="414"/>
      <c r="K246" s="414"/>
      <c r="L246" s="414"/>
      <c r="M246" s="414"/>
      <c r="N246" s="331">
        <v>0</v>
      </c>
      <c r="O246" s="415">
        <v>0</v>
      </c>
      <c r="P246" s="332">
        <v>0</v>
      </c>
      <c r="Q246" s="415">
        <v>0</v>
      </c>
      <c r="R246" s="389"/>
      <c r="S246" s="400"/>
      <c r="T246" s="262"/>
    </row>
    <row r="247" spans="1:21" s="263" customFormat="1" x14ac:dyDescent="0.25">
      <c r="A247" s="275"/>
      <c r="B247" s="331" t="s">
        <v>120</v>
      </c>
      <c r="C247" s="414"/>
      <c r="D247" s="414"/>
      <c r="E247" s="414"/>
      <c r="F247" s="414"/>
      <c r="G247" s="414"/>
      <c r="H247" s="414"/>
      <c r="I247" s="414"/>
      <c r="J247" s="414"/>
      <c r="K247" s="414"/>
      <c r="L247" s="414"/>
      <c r="M247" s="414"/>
      <c r="N247" s="331">
        <v>0</v>
      </c>
      <c r="O247" s="415">
        <v>0</v>
      </c>
      <c r="P247" s="332">
        <v>0</v>
      </c>
      <c r="Q247" s="415">
        <v>0</v>
      </c>
      <c r="R247" s="389"/>
      <c r="S247" s="400"/>
      <c r="T247" s="262"/>
      <c r="U247" s="344"/>
    </row>
    <row r="248" spans="1:21" s="263" customFormat="1" x14ac:dyDescent="0.25">
      <c r="A248" s="275"/>
      <c r="B248" s="331" t="s">
        <v>121</v>
      </c>
      <c r="C248" s="414"/>
      <c r="D248" s="414"/>
      <c r="E248" s="414"/>
      <c r="F248" s="414"/>
      <c r="G248" s="414"/>
      <c r="H248" s="414"/>
      <c r="I248" s="414"/>
      <c r="J248" s="414"/>
      <c r="K248" s="414"/>
      <c r="L248" s="414"/>
      <c r="M248" s="414"/>
      <c r="N248" s="331">
        <v>0</v>
      </c>
      <c r="O248" s="415">
        <v>0</v>
      </c>
      <c r="P248" s="332">
        <v>0</v>
      </c>
      <c r="Q248" s="415">
        <v>0</v>
      </c>
      <c r="R248" s="389"/>
      <c r="S248" s="400"/>
      <c r="T248" s="262"/>
    </row>
    <row r="249" spans="1:21" s="263" customFormat="1" x14ac:dyDescent="0.25">
      <c r="A249" s="275"/>
      <c r="B249" s="331" t="s">
        <v>122</v>
      </c>
      <c r="C249" s="414"/>
      <c r="D249" s="414"/>
      <c r="E249" s="414"/>
      <c r="F249" s="414"/>
      <c r="G249" s="414"/>
      <c r="H249" s="414"/>
      <c r="I249" s="414"/>
      <c r="J249" s="414"/>
      <c r="K249" s="414"/>
      <c r="L249" s="414"/>
      <c r="M249" s="414"/>
      <c r="N249" s="331">
        <v>0</v>
      </c>
      <c r="O249" s="415">
        <v>0</v>
      </c>
      <c r="P249" s="332">
        <v>0</v>
      </c>
      <c r="Q249" s="415">
        <v>0</v>
      </c>
      <c r="R249" s="389"/>
      <c r="S249" s="400"/>
      <c r="T249" s="262"/>
      <c r="U249" s="344"/>
    </row>
    <row r="250" spans="1:21" s="263" customFormat="1" x14ac:dyDescent="0.25">
      <c r="A250" s="275"/>
      <c r="B250" s="331" t="s">
        <v>123</v>
      </c>
      <c r="C250" s="414"/>
      <c r="D250" s="414"/>
      <c r="E250" s="414"/>
      <c r="F250" s="414"/>
      <c r="G250" s="414"/>
      <c r="H250" s="414"/>
      <c r="I250" s="414"/>
      <c r="J250" s="414"/>
      <c r="K250" s="414"/>
      <c r="L250" s="414"/>
      <c r="M250" s="414"/>
      <c r="N250" s="331">
        <v>0</v>
      </c>
      <c r="O250" s="415">
        <v>0</v>
      </c>
      <c r="P250" s="332">
        <v>0</v>
      </c>
      <c r="Q250" s="415">
        <v>0</v>
      </c>
      <c r="R250" s="389"/>
      <c r="S250" s="400"/>
      <c r="T250" s="262"/>
    </row>
    <row r="251" spans="1:21" s="263" customFormat="1" x14ac:dyDescent="0.25">
      <c r="A251" s="275"/>
      <c r="B251" s="331" t="s">
        <v>124</v>
      </c>
      <c r="C251" s="414"/>
      <c r="D251" s="414"/>
      <c r="E251" s="414"/>
      <c r="F251" s="414"/>
      <c r="G251" s="414"/>
      <c r="H251" s="414"/>
      <c r="I251" s="414"/>
      <c r="J251" s="414"/>
      <c r="K251" s="414"/>
      <c r="L251" s="414"/>
      <c r="M251" s="414"/>
      <c r="N251" s="331">
        <v>0</v>
      </c>
      <c r="O251" s="415">
        <v>0</v>
      </c>
      <c r="P251" s="332">
        <v>0</v>
      </c>
      <c r="Q251" s="415">
        <v>0</v>
      </c>
      <c r="R251" s="389"/>
      <c r="S251" s="400"/>
      <c r="T251" s="262"/>
      <c r="U251" s="344"/>
    </row>
    <row r="252" spans="1:21" s="263" customFormat="1" x14ac:dyDescent="0.25">
      <c r="A252" s="275"/>
      <c r="B252" s="331"/>
      <c r="C252" s="414"/>
      <c r="D252" s="414"/>
      <c r="E252" s="414"/>
      <c r="F252" s="414"/>
      <c r="G252" s="414"/>
      <c r="H252" s="414"/>
      <c r="I252" s="414"/>
      <c r="J252" s="414"/>
      <c r="K252" s="414"/>
      <c r="L252" s="414"/>
      <c r="M252" s="414"/>
      <c r="N252" s="331"/>
      <c r="O252" s="415"/>
      <c r="P252" s="332"/>
      <c r="Q252" s="415"/>
      <c r="R252" s="389"/>
      <c r="S252" s="400"/>
      <c r="T252" s="262"/>
    </row>
    <row r="253" spans="1:21" s="263" customFormat="1" x14ac:dyDescent="0.25">
      <c r="A253" s="275"/>
      <c r="B253" s="271" t="s">
        <v>95</v>
      </c>
      <c r="C253" s="271"/>
      <c r="D253" s="417"/>
      <c r="E253" s="417"/>
      <c r="F253" s="417"/>
      <c r="G253" s="417"/>
      <c r="H253" s="417"/>
      <c r="I253" s="417"/>
      <c r="J253" s="417"/>
      <c r="K253" s="417"/>
      <c r="L253" s="417"/>
      <c r="M253" s="417"/>
      <c r="N253" s="331">
        <f>SUM(N244:N252)</f>
        <v>0</v>
      </c>
      <c r="O253" s="415">
        <f>SUM(O244:O252)</f>
        <v>0</v>
      </c>
      <c r="P253" s="332">
        <f>SUM(P244:P252)</f>
        <v>0</v>
      </c>
      <c r="Q253" s="415">
        <f>SUM(Q244:Q252)</f>
        <v>0</v>
      </c>
      <c r="R253" s="271"/>
      <c r="S253" s="274"/>
      <c r="T253" s="262"/>
    </row>
    <row r="254" spans="1:21" x14ac:dyDescent="0.25">
      <c r="A254" s="246"/>
      <c r="B254" s="333"/>
      <c r="C254" s="333"/>
      <c r="D254" s="418"/>
      <c r="E254" s="418"/>
      <c r="F254" s="418"/>
      <c r="G254" s="418"/>
      <c r="H254" s="418"/>
      <c r="I254" s="418"/>
      <c r="J254" s="418"/>
      <c r="K254" s="418"/>
      <c r="L254" s="418"/>
      <c r="M254" s="418"/>
      <c r="N254" s="334"/>
      <c r="O254" s="419"/>
      <c r="P254" s="420"/>
      <c r="Q254" s="419"/>
      <c r="R254" s="333"/>
      <c r="S254" s="249"/>
      <c r="T254" s="244"/>
    </row>
    <row r="255" spans="1:21" x14ac:dyDescent="0.25">
      <c r="A255" s="432"/>
      <c r="B255" s="445" t="s">
        <v>149</v>
      </c>
      <c r="C255" s="446"/>
      <c r="D255" s="446"/>
      <c r="E255" s="446"/>
      <c r="F255" s="446"/>
      <c r="G255" s="446"/>
      <c r="H255" s="446"/>
      <c r="I255" s="446"/>
      <c r="J255" s="446"/>
      <c r="K255" s="446"/>
      <c r="L255" s="446"/>
      <c r="M255" s="446"/>
      <c r="N255" s="462" t="s">
        <v>84</v>
      </c>
      <c r="O255" s="446" t="s">
        <v>85</v>
      </c>
      <c r="P255" s="462" t="s">
        <v>90</v>
      </c>
      <c r="Q255" s="446" t="s">
        <v>85</v>
      </c>
      <c r="R255" s="440"/>
      <c r="S255" s="434"/>
      <c r="T255" s="244"/>
    </row>
    <row r="256" spans="1:21" s="263" customFormat="1" x14ac:dyDescent="0.25">
      <c r="A256" s="258"/>
      <c r="B256" s="346" t="s">
        <v>73</v>
      </c>
      <c r="C256" s="464"/>
      <c r="D256" s="464"/>
      <c r="E256" s="464"/>
      <c r="F256" s="464"/>
      <c r="G256" s="464"/>
      <c r="H256" s="464"/>
      <c r="I256" s="464"/>
      <c r="J256" s="464"/>
      <c r="K256" s="464"/>
      <c r="L256" s="464"/>
      <c r="M256" s="464"/>
      <c r="N256" s="346">
        <v>0</v>
      </c>
      <c r="O256" s="465">
        <v>0</v>
      </c>
      <c r="P256" s="416">
        <v>0</v>
      </c>
      <c r="Q256" s="465">
        <v>0</v>
      </c>
      <c r="R256" s="313"/>
      <c r="S256" s="261"/>
      <c r="T256" s="262"/>
    </row>
    <row r="257" spans="1:20" s="263" customFormat="1" x14ac:dyDescent="0.25">
      <c r="A257" s="275"/>
      <c r="B257" s="331" t="s">
        <v>74</v>
      </c>
      <c r="C257" s="414"/>
      <c r="D257" s="414"/>
      <c r="E257" s="414"/>
      <c r="F257" s="414"/>
      <c r="G257" s="414"/>
      <c r="H257" s="414"/>
      <c r="I257" s="414"/>
      <c r="J257" s="414"/>
      <c r="K257" s="414"/>
      <c r="L257" s="414"/>
      <c r="M257" s="414"/>
      <c r="N257" s="331">
        <v>0</v>
      </c>
      <c r="O257" s="415">
        <v>0</v>
      </c>
      <c r="P257" s="332">
        <v>0</v>
      </c>
      <c r="Q257" s="415">
        <v>0</v>
      </c>
      <c r="R257" s="271"/>
      <c r="S257" s="274"/>
      <c r="T257" s="262"/>
    </row>
    <row r="258" spans="1:20" s="263" customFormat="1" x14ac:dyDescent="0.25">
      <c r="A258" s="275"/>
      <c r="B258" s="331" t="s">
        <v>75</v>
      </c>
      <c r="C258" s="414"/>
      <c r="D258" s="414"/>
      <c r="E258" s="414"/>
      <c r="F258" s="414"/>
      <c r="G258" s="414"/>
      <c r="H258" s="414"/>
      <c r="I258" s="414"/>
      <c r="J258" s="414"/>
      <c r="K258" s="414"/>
      <c r="L258" s="414"/>
      <c r="M258" s="414"/>
      <c r="N258" s="331">
        <v>0</v>
      </c>
      <c r="O258" s="415">
        <v>0</v>
      </c>
      <c r="P258" s="332">
        <v>0</v>
      </c>
      <c r="Q258" s="415">
        <v>0</v>
      </c>
      <c r="R258" s="271"/>
      <c r="S258" s="274"/>
      <c r="T258" s="262"/>
    </row>
    <row r="259" spans="1:20" s="263" customFormat="1" x14ac:dyDescent="0.25">
      <c r="A259" s="275"/>
      <c r="B259" s="331" t="s">
        <v>120</v>
      </c>
      <c r="C259" s="414"/>
      <c r="D259" s="414"/>
      <c r="E259" s="414"/>
      <c r="F259" s="414"/>
      <c r="G259" s="414"/>
      <c r="H259" s="414"/>
      <c r="I259" s="414"/>
      <c r="J259" s="414"/>
      <c r="K259" s="414"/>
      <c r="L259" s="414"/>
      <c r="M259" s="414"/>
      <c r="N259" s="331">
        <v>0</v>
      </c>
      <c r="O259" s="415">
        <v>0</v>
      </c>
      <c r="P259" s="332">
        <v>0</v>
      </c>
      <c r="Q259" s="415">
        <v>0</v>
      </c>
      <c r="R259" s="271"/>
      <c r="S259" s="274"/>
      <c r="T259" s="262"/>
    </row>
    <row r="260" spans="1:20" s="263" customFormat="1" x14ac:dyDescent="0.25">
      <c r="A260" s="275"/>
      <c r="B260" s="331" t="s">
        <v>121</v>
      </c>
      <c r="C260" s="414"/>
      <c r="D260" s="414"/>
      <c r="E260" s="414"/>
      <c r="F260" s="414"/>
      <c r="G260" s="414"/>
      <c r="H260" s="414"/>
      <c r="I260" s="414"/>
      <c r="J260" s="414"/>
      <c r="K260" s="414"/>
      <c r="L260" s="414"/>
      <c r="M260" s="414"/>
      <c r="N260" s="331">
        <v>0</v>
      </c>
      <c r="O260" s="415">
        <v>0</v>
      </c>
      <c r="P260" s="332">
        <v>0</v>
      </c>
      <c r="Q260" s="415">
        <v>0</v>
      </c>
      <c r="R260" s="271"/>
      <c r="S260" s="274"/>
      <c r="T260" s="262"/>
    </row>
    <row r="261" spans="1:20" s="263" customFormat="1" x14ac:dyDescent="0.25">
      <c r="A261" s="275"/>
      <c r="B261" s="331" t="s">
        <v>122</v>
      </c>
      <c r="C261" s="414"/>
      <c r="D261" s="414"/>
      <c r="E261" s="414"/>
      <c r="F261" s="414"/>
      <c r="G261" s="414"/>
      <c r="H261" s="414"/>
      <c r="I261" s="414"/>
      <c r="J261" s="414"/>
      <c r="K261" s="414"/>
      <c r="L261" s="414"/>
      <c r="M261" s="414"/>
      <c r="N261" s="331">
        <v>0</v>
      </c>
      <c r="O261" s="415">
        <v>0</v>
      </c>
      <c r="P261" s="332">
        <v>0</v>
      </c>
      <c r="Q261" s="415">
        <v>0</v>
      </c>
      <c r="R261" s="271"/>
      <c r="S261" s="274"/>
      <c r="T261" s="262"/>
    </row>
    <row r="262" spans="1:20" s="263" customFormat="1" x14ac:dyDescent="0.25">
      <c r="A262" s="275"/>
      <c r="B262" s="331" t="s">
        <v>123</v>
      </c>
      <c r="C262" s="414"/>
      <c r="D262" s="414"/>
      <c r="E262" s="414"/>
      <c r="F262" s="414"/>
      <c r="G262" s="414"/>
      <c r="H262" s="414"/>
      <c r="I262" s="414"/>
      <c r="J262" s="414"/>
      <c r="K262" s="414"/>
      <c r="L262" s="414"/>
      <c r="M262" s="414"/>
      <c r="N262" s="331">
        <v>0</v>
      </c>
      <c r="O262" s="415">
        <v>0</v>
      </c>
      <c r="P262" s="332">
        <v>0</v>
      </c>
      <c r="Q262" s="415">
        <v>0</v>
      </c>
      <c r="R262" s="271"/>
      <c r="S262" s="274"/>
      <c r="T262" s="262"/>
    </row>
    <row r="263" spans="1:20" s="263" customFormat="1" x14ac:dyDescent="0.25">
      <c r="A263" s="275"/>
      <c r="B263" s="331" t="s">
        <v>124</v>
      </c>
      <c r="C263" s="414"/>
      <c r="D263" s="414"/>
      <c r="E263" s="414"/>
      <c r="F263" s="414"/>
      <c r="G263" s="414"/>
      <c r="H263" s="414"/>
      <c r="I263" s="414"/>
      <c r="J263" s="414"/>
      <c r="K263" s="414"/>
      <c r="L263" s="414"/>
      <c r="M263" s="414"/>
      <c r="N263" s="331">
        <v>0</v>
      </c>
      <c r="O263" s="415">
        <v>0</v>
      </c>
      <c r="P263" s="332">
        <v>0</v>
      </c>
      <c r="Q263" s="415">
        <v>0</v>
      </c>
      <c r="R263" s="271"/>
      <c r="S263" s="274"/>
      <c r="T263" s="262"/>
    </row>
    <row r="264" spans="1:20" s="263" customFormat="1" x14ac:dyDescent="0.25">
      <c r="A264" s="275"/>
      <c r="B264" s="331"/>
      <c r="C264" s="414"/>
      <c r="D264" s="414"/>
      <c r="E264" s="414"/>
      <c r="F264" s="414"/>
      <c r="G264" s="414"/>
      <c r="H264" s="414"/>
      <c r="I264" s="414"/>
      <c r="J264" s="414"/>
      <c r="K264" s="414"/>
      <c r="L264" s="414"/>
      <c r="M264" s="414"/>
      <c r="N264" s="331"/>
      <c r="O264" s="415"/>
      <c r="P264" s="332"/>
      <c r="Q264" s="415"/>
      <c r="R264" s="271"/>
      <c r="S264" s="274"/>
      <c r="T264" s="262"/>
    </row>
    <row r="265" spans="1:20" s="263" customFormat="1" x14ac:dyDescent="0.25">
      <c r="A265" s="275"/>
      <c r="B265" s="271" t="s">
        <v>95</v>
      </c>
      <c r="C265" s="271"/>
      <c r="D265" s="417"/>
      <c r="E265" s="417"/>
      <c r="F265" s="417"/>
      <c r="G265" s="417"/>
      <c r="H265" s="417"/>
      <c r="I265" s="417"/>
      <c r="J265" s="417"/>
      <c r="K265" s="417"/>
      <c r="L265" s="417"/>
      <c r="M265" s="417"/>
      <c r="N265" s="331">
        <f>SUM(N256:N264)</f>
        <v>0</v>
      </c>
      <c r="O265" s="415">
        <f>SUM(O256:O264)</f>
        <v>0</v>
      </c>
      <c r="P265" s="332">
        <f>SUM(P256:P264)</f>
        <v>0</v>
      </c>
      <c r="Q265" s="415">
        <f>SUM(Q256:Q264)</f>
        <v>0</v>
      </c>
      <c r="R265" s="271"/>
      <c r="S265" s="274"/>
      <c r="T265" s="262"/>
    </row>
    <row r="266" spans="1:20" x14ac:dyDescent="0.25">
      <c r="A266" s="246"/>
      <c r="B266" s="333"/>
      <c r="C266" s="333"/>
      <c r="D266" s="418"/>
      <c r="E266" s="418"/>
      <c r="F266" s="418"/>
      <c r="G266" s="418"/>
      <c r="H266" s="418"/>
      <c r="I266" s="418"/>
      <c r="J266" s="418"/>
      <c r="K266" s="418"/>
      <c r="L266" s="418"/>
      <c r="M266" s="418"/>
      <c r="N266" s="334"/>
      <c r="O266" s="419"/>
      <c r="P266" s="420"/>
      <c r="Q266" s="419"/>
      <c r="R266" s="333"/>
      <c r="S266" s="249"/>
      <c r="T266" s="244"/>
    </row>
    <row r="267" spans="1:20" x14ac:dyDescent="0.25">
      <c r="A267" s="432"/>
      <c r="B267" s="445" t="s">
        <v>126</v>
      </c>
      <c r="C267" s="440"/>
      <c r="D267" s="468"/>
      <c r="E267" s="468"/>
      <c r="F267" s="468"/>
      <c r="G267" s="468"/>
      <c r="H267" s="468"/>
      <c r="I267" s="468"/>
      <c r="J267" s="468"/>
      <c r="K267" s="468"/>
      <c r="L267" s="468"/>
      <c r="M267" s="468"/>
      <c r="N267" s="462" t="s">
        <v>84</v>
      </c>
      <c r="O267" s="446" t="s">
        <v>85</v>
      </c>
      <c r="P267" s="462" t="s">
        <v>90</v>
      </c>
      <c r="Q267" s="446" t="s">
        <v>85</v>
      </c>
      <c r="R267" s="440"/>
      <c r="S267" s="434"/>
      <c r="T267" s="244"/>
    </row>
    <row r="268" spans="1:20" s="263" customFormat="1" x14ac:dyDescent="0.25">
      <c r="A268" s="258"/>
      <c r="B268" s="346" t="s">
        <v>73</v>
      </c>
      <c r="C268" s="313"/>
      <c r="D268" s="467"/>
      <c r="E268" s="467"/>
      <c r="F268" s="467"/>
      <c r="G268" s="467"/>
      <c r="H268" s="467"/>
      <c r="I268" s="467"/>
      <c r="J268" s="467"/>
      <c r="K268" s="467"/>
      <c r="L268" s="467"/>
      <c r="M268" s="467"/>
      <c r="N268" s="346">
        <v>0</v>
      </c>
      <c r="O268" s="465">
        <v>0</v>
      </c>
      <c r="P268" s="416">
        <v>0</v>
      </c>
      <c r="Q268" s="465">
        <v>0</v>
      </c>
      <c r="R268" s="313"/>
      <c r="S268" s="261"/>
      <c r="T268" s="262"/>
    </row>
    <row r="269" spans="1:20" s="263" customFormat="1" x14ac:dyDescent="0.25">
      <c r="A269" s="275"/>
      <c r="B269" s="331" t="s">
        <v>74</v>
      </c>
      <c r="C269" s="271"/>
      <c r="D269" s="417"/>
      <c r="E269" s="417"/>
      <c r="F269" s="417"/>
      <c r="G269" s="417"/>
      <c r="H269" s="417"/>
      <c r="I269" s="417"/>
      <c r="J269" s="417"/>
      <c r="K269" s="417"/>
      <c r="L269" s="417"/>
      <c r="M269" s="417"/>
      <c r="N269" s="331">
        <v>0</v>
      </c>
      <c r="O269" s="415">
        <v>0</v>
      </c>
      <c r="P269" s="332">
        <v>0</v>
      </c>
      <c r="Q269" s="415">
        <v>0</v>
      </c>
      <c r="R269" s="271"/>
      <c r="S269" s="274"/>
      <c r="T269" s="262"/>
    </row>
    <row r="270" spans="1:20" s="263" customFormat="1" x14ac:dyDescent="0.25">
      <c r="A270" s="275"/>
      <c r="B270" s="331" t="s">
        <v>75</v>
      </c>
      <c r="C270" s="271"/>
      <c r="D270" s="417"/>
      <c r="E270" s="417"/>
      <c r="F270" s="417"/>
      <c r="G270" s="417"/>
      <c r="H270" s="417"/>
      <c r="I270" s="417"/>
      <c r="J270" s="417"/>
      <c r="K270" s="417"/>
      <c r="L270" s="417"/>
      <c r="M270" s="417"/>
      <c r="N270" s="331">
        <v>0</v>
      </c>
      <c r="O270" s="415">
        <v>0</v>
      </c>
      <c r="P270" s="332">
        <v>0</v>
      </c>
      <c r="Q270" s="415">
        <v>0</v>
      </c>
      <c r="R270" s="271"/>
      <c r="S270" s="274"/>
      <c r="T270" s="262"/>
    </row>
    <row r="271" spans="1:20" s="263" customFormat="1" x14ac:dyDescent="0.25">
      <c r="A271" s="275"/>
      <c r="B271" s="331" t="s">
        <v>120</v>
      </c>
      <c r="C271" s="271"/>
      <c r="D271" s="417"/>
      <c r="E271" s="417"/>
      <c r="F271" s="417"/>
      <c r="G271" s="417"/>
      <c r="H271" s="417"/>
      <c r="I271" s="417"/>
      <c r="J271" s="417"/>
      <c r="K271" s="417"/>
      <c r="L271" s="417"/>
      <c r="M271" s="417"/>
      <c r="N271" s="331">
        <v>0</v>
      </c>
      <c r="O271" s="415">
        <v>0</v>
      </c>
      <c r="P271" s="332">
        <v>0</v>
      </c>
      <c r="Q271" s="415">
        <v>0</v>
      </c>
      <c r="R271" s="271"/>
      <c r="S271" s="274"/>
      <c r="T271" s="262"/>
    </row>
    <row r="272" spans="1:20" s="263" customFormat="1" x14ac:dyDescent="0.25">
      <c r="A272" s="275"/>
      <c r="B272" s="331" t="s">
        <v>121</v>
      </c>
      <c r="C272" s="271"/>
      <c r="D272" s="417"/>
      <c r="E272" s="417"/>
      <c r="F272" s="417"/>
      <c r="G272" s="417"/>
      <c r="H272" s="417"/>
      <c r="I272" s="417"/>
      <c r="J272" s="417"/>
      <c r="K272" s="417"/>
      <c r="L272" s="417"/>
      <c r="M272" s="417"/>
      <c r="N272" s="331">
        <v>0</v>
      </c>
      <c r="O272" s="415">
        <v>0</v>
      </c>
      <c r="P272" s="332">
        <v>0</v>
      </c>
      <c r="Q272" s="415">
        <v>0</v>
      </c>
      <c r="R272" s="271"/>
      <c r="S272" s="274"/>
      <c r="T272" s="262"/>
    </row>
    <row r="273" spans="1:20" s="263" customFormat="1" x14ac:dyDescent="0.25">
      <c r="A273" s="275"/>
      <c r="B273" s="331" t="s">
        <v>122</v>
      </c>
      <c r="C273" s="271"/>
      <c r="D273" s="417"/>
      <c r="E273" s="417"/>
      <c r="F273" s="417"/>
      <c r="G273" s="417"/>
      <c r="H273" s="417"/>
      <c r="I273" s="417"/>
      <c r="J273" s="417"/>
      <c r="K273" s="417"/>
      <c r="L273" s="417"/>
      <c r="M273" s="417"/>
      <c r="N273" s="331">
        <v>0</v>
      </c>
      <c r="O273" s="415">
        <v>0</v>
      </c>
      <c r="P273" s="332">
        <v>0</v>
      </c>
      <c r="Q273" s="415">
        <v>0</v>
      </c>
      <c r="R273" s="271"/>
      <c r="S273" s="274"/>
      <c r="T273" s="262"/>
    </row>
    <row r="274" spans="1:20" s="263" customFormat="1" x14ac:dyDescent="0.25">
      <c r="A274" s="275"/>
      <c r="B274" s="331" t="s">
        <v>123</v>
      </c>
      <c r="C274" s="271"/>
      <c r="D274" s="417"/>
      <c r="E274" s="417"/>
      <c r="F274" s="417"/>
      <c r="G274" s="417"/>
      <c r="H274" s="417"/>
      <c r="I274" s="417"/>
      <c r="J274" s="417"/>
      <c r="K274" s="417"/>
      <c r="L274" s="417"/>
      <c r="M274" s="417"/>
      <c r="N274" s="331">
        <v>0</v>
      </c>
      <c r="O274" s="415">
        <v>0</v>
      </c>
      <c r="P274" s="332">
        <v>0</v>
      </c>
      <c r="Q274" s="415">
        <v>0</v>
      </c>
      <c r="R274" s="271"/>
      <c r="S274" s="274"/>
      <c r="T274" s="262"/>
    </row>
    <row r="275" spans="1:20" s="263" customFormat="1" x14ac:dyDescent="0.25">
      <c r="A275" s="275"/>
      <c r="B275" s="331" t="s">
        <v>124</v>
      </c>
      <c r="C275" s="271"/>
      <c r="D275" s="417"/>
      <c r="E275" s="417"/>
      <c r="F275" s="417"/>
      <c r="G275" s="417"/>
      <c r="H275" s="417"/>
      <c r="I275" s="417"/>
      <c r="J275" s="417"/>
      <c r="K275" s="417"/>
      <c r="L275" s="417"/>
      <c r="M275" s="417"/>
      <c r="N275" s="331">
        <v>0</v>
      </c>
      <c r="O275" s="415">
        <v>0</v>
      </c>
      <c r="P275" s="332">
        <v>0</v>
      </c>
      <c r="Q275" s="415">
        <v>0</v>
      </c>
      <c r="R275" s="271"/>
      <c r="S275" s="274"/>
      <c r="T275" s="262"/>
    </row>
    <row r="276" spans="1:20" s="263" customFormat="1" x14ac:dyDescent="0.25">
      <c r="A276" s="275"/>
      <c r="B276" s="331"/>
      <c r="C276" s="271"/>
      <c r="D276" s="417"/>
      <c r="E276" s="417"/>
      <c r="F276" s="417"/>
      <c r="G276" s="417"/>
      <c r="H276" s="417"/>
      <c r="I276" s="417"/>
      <c r="J276" s="417"/>
      <c r="K276" s="417"/>
      <c r="L276" s="417"/>
      <c r="M276" s="417"/>
      <c r="N276" s="331"/>
      <c r="O276" s="415"/>
      <c r="P276" s="332"/>
      <c r="Q276" s="415"/>
      <c r="R276" s="271"/>
      <c r="S276" s="274"/>
      <c r="T276" s="262"/>
    </row>
    <row r="277" spans="1:20" s="263" customFormat="1" x14ac:dyDescent="0.25">
      <c r="A277" s="275"/>
      <c r="B277" s="271" t="s">
        <v>95</v>
      </c>
      <c r="C277" s="271"/>
      <c r="D277" s="417"/>
      <c r="E277" s="417"/>
      <c r="F277" s="417"/>
      <c r="G277" s="417"/>
      <c r="H277" s="417"/>
      <c r="I277" s="417"/>
      <c r="J277" s="417"/>
      <c r="K277" s="417"/>
      <c r="L277" s="417"/>
      <c r="M277" s="417"/>
      <c r="N277" s="331">
        <f>SUM(N268:N275)</f>
        <v>0</v>
      </c>
      <c r="O277" s="415">
        <f>SUM(O268:O275)</f>
        <v>0</v>
      </c>
      <c r="P277" s="332">
        <f>SUM(P268:P275)</f>
        <v>0</v>
      </c>
      <c r="Q277" s="415">
        <f>SUM(Q268:Q275)</f>
        <v>0</v>
      </c>
      <c r="R277" s="271"/>
      <c r="S277" s="274"/>
      <c r="T277" s="262"/>
    </row>
    <row r="278" spans="1:20" s="263" customFormat="1" x14ac:dyDescent="0.25">
      <c r="A278" s="275"/>
      <c r="B278" s="271"/>
      <c r="C278" s="271"/>
      <c r="D278" s="417"/>
      <c r="E278" s="417"/>
      <c r="F278" s="417"/>
      <c r="G278" s="417"/>
      <c r="H278" s="417"/>
      <c r="I278" s="417"/>
      <c r="J278" s="417"/>
      <c r="K278" s="417"/>
      <c r="L278" s="417"/>
      <c r="M278" s="417"/>
      <c r="N278" s="331"/>
      <c r="O278" s="415"/>
      <c r="P278" s="332"/>
      <c r="Q278" s="415"/>
      <c r="R278" s="271"/>
      <c r="S278" s="274"/>
      <c r="T278" s="262"/>
    </row>
    <row r="279" spans="1:20" s="263" customFormat="1" x14ac:dyDescent="0.25">
      <c r="A279" s="275"/>
      <c r="B279" s="276" t="s">
        <v>184</v>
      </c>
      <c r="C279" s="271"/>
      <c r="D279" s="417"/>
      <c r="E279" s="417"/>
      <c r="F279" s="417"/>
      <c r="G279" s="417"/>
      <c r="H279" s="417"/>
      <c r="I279" s="417"/>
      <c r="J279" s="417"/>
      <c r="K279" s="417"/>
      <c r="L279" s="417"/>
      <c r="M279" s="417"/>
      <c r="N279" s="421">
        <f>N277+N265+N253</f>
        <v>0</v>
      </c>
      <c r="O279" s="415"/>
      <c r="P279" s="422">
        <f>+P277+P265+P253</f>
        <v>0</v>
      </c>
      <c r="Q279" s="415"/>
      <c r="R279" s="271"/>
      <c r="S279" s="274"/>
      <c r="T279" s="262"/>
    </row>
    <row r="280" spans="1:20" s="263" customFormat="1" x14ac:dyDescent="0.25">
      <c r="A280" s="275"/>
      <c r="B280" s="276" t="s">
        <v>241</v>
      </c>
      <c r="C280" s="276"/>
      <c r="D280" s="423"/>
      <c r="E280" s="423"/>
      <c r="F280" s="423"/>
      <c r="G280" s="423"/>
      <c r="H280" s="423"/>
      <c r="I280" s="423"/>
      <c r="J280" s="423"/>
      <c r="K280" s="423"/>
      <c r="L280" s="423"/>
      <c r="M280" s="423"/>
      <c r="N280" s="421"/>
      <c r="O280" s="424"/>
      <c r="P280" s="422">
        <f>+R168+R148</f>
        <v>0</v>
      </c>
      <c r="Q280" s="415"/>
      <c r="R280" s="271"/>
      <c r="S280" s="274"/>
      <c r="T280" s="262"/>
    </row>
    <row r="281" spans="1:20" s="263" customFormat="1" x14ac:dyDescent="0.25">
      <c r="A281" s="275"/>
      <c r="B281" s="276" t="s">
        <v>127</v>
      </c>
      <c r="C281" s="276"/>
      <c r="D281" s="423"/>
      <c r="E281" s="423"/>
      <c r="F281" s="423"/>
      <c r="G281" s="423"/>
      <c r="H281" s="423"/>
      <c r="I281" s="423"/>
      <c r="J281" s="423"/>
      <c r="K281" s="423"/>
      <c r="L281" s="423"/>
      <c r="M281" s="423"/>
      <c r="N281" s="421"/>
      <c r="O281" s="424"/>
      <c r="P281" s="422">
        <f>+P279+P280</f>
        <v>0</v>
      </c>
      <c r="Q281" s="415"/>
      <c r="R281" s="271"/>
      <c r="S281" s="274"/>
      <c r="T281" s="262"/>
    </row>
    <row r="282" spans="1:20" s="263" customFormat="1" x14ac:dyDescent="0.25">
      <c r="A282" s="275"/>
      <c r="B282" s="276" t="s">
        <v>183</v>
      </c>
      <c r="C282" s="271"/>
      <c r="D282" s="417"/>
      <c r="E282" s="417"/>
      <c r="F282" s="417"/>
      <c r="G282" s="417"/>
      <c r="H282" s="417"/>
      <c r="I282" s="417"/>
      <c r="J282" s="417"/>
      <c r="K282" s="417"/>
      <c r="L282" s="417"/>
      <c r="M282" s="417"/>
      <c r="N282" s="421"/>
      <c r="O282" s="415"/>
      <c r="P282" s="422">
        <f>+R72</f>
        <v>0</v>
      </c>
      <c r="Q282" s="415"/>
      <c r="R282" s="271"/>
      <c r="S282" s="274"/>
      <c r="T282" s="262"/>
    </row>
    <row r="283" spans="1:20" s="263" customFormat="1" x14ac:dyDescent="0.25">
      <c r="A283" s="275"/>
      <c r="B283" s="276"/>
      <c r="C283" s="271"/>
      <c r="D283" s="417"/>
      <c r="E283" s="417"/>
      <c r="F283" s="417"/>
      <c r="G283" s="417"/>
      <c r="H283" s="417"/>
      <c r="I283" s="417"/>
      <c r="J283" s="417"/>
      <c r="K283" s="417"/>
      <c r="L283" s="417"/>
      <c r="M283" s="417"/>
      <c r="N283" s="421"/>
      <c r="O283" s="415"/>
      <c r="P283" s="422"/>
      <c r="Q283" s="415"/>
      <c r="R283" s="271"/>
      <c r="S283" s="274"/>
      <c r="T283" s="262"/>
    </row>
    <row r="284" spans="1:20" s="263" customFormat="1" x14ac:dyDescent="0.25">
      <c r="A284" s="275"/>
      <c r="B284" s="276" t="s">
        <v>205</v>
      </c>
      <c r="C284" s="271"/>
      <c r="D284" s="417"/>
      <c r="E284" s="417"/>
      <c r="F284" s="417"/>
      <c r="G284" s="417"/>
      <c r="H284" s="417"/>
      <c r="I284" s="417"/>
      <c r="J284" s="417"/>
      <c r="K284" s="417"/>
      <c r="L284" s="417"/>
      <c r="M284" s="417"/>
      <c r="N284" s="421"/>
      <c r="O284" s="415"/>
      <c r="P284" s="425" t="s">
        <v>98</v>
      </c>
      <c r="Q284" s="415"/>
      <c r="R284" s="271"/>
      <c r="S284" s="274"/>
      <c r="T284" s="262"/>
    </row>
    <row r="285" spans="1:20" s="263" customFormat="1" x14ac:dyDescent="0.25">
      <c r="A285" s="258"/>
      <c r="B285" s="259"/>
      <c r="C285" s="259"/>
      <c r="D285" s="426"/>
      <c r="E285" s="426"/>
      <c r="F285" s="426"/>
      <c r="G285" s="426"/>
      <c r="H285" s="426"/>
      <c r="I285" s="426"/>
      <c r="J285" s="426"/>
      <c r="K285" s="426"/>
      <c r="L285" s="426"/>
      <c r="M285" s="426"/>
      <c r="N285" s="426"/>
      <c r="O285" s="426"/>
      <c r="P285" s="427"/>
      <c r="Q285" s="426"/>
      <c r="R285" s="259"/>
      <c r="S285" s="261"/>
      <c r="T285" s="262"/>
    </row>
    <row r="286" spans="1:20" s="263" customFormat="1" x14ac:dyDescent="0.25">
      <c r="A286" s="258"/>
      <c r="B286" s="257" t="s">
        <v>76</v>
      </c>
      <c r="C286" s="259"/>
      <c r="D286" s="428" t="s">
        <v>80</v>
      </c>
      <c r="E286" s="257"/>
      <c r="F286" s="257" t="s">
        <v>81</v>
      </c>
      <c r="G286" s="259"/>
      <c r="H286" s="257"/>
      <c r="I286" s="259"/>
      <c r="J286" s="259"/>
      <c r="K286" s="259"/>
      <c r="L286" s="259"/>
      <c r="M286" s="259"/>
      <c r="N286" s="259"/>
      <c r="O286" s="259"/>
      <c r="P286" s="259"/>
      <c r="Q286" s="259"/>
      <c r="R286" s="259"/>
      <c r="S286" s="261"/>
      <c r="T286" s="262"/>
    </row>
    <row r="287" spans="1:20" s="263" customFormat="1" x14ac:dyDescent="0.25">
      <c r="A287" s="258"/>
      <c r="B287" s="259"/>
      <c r="C287" s="259"/>
      <c r="D287" s="259"/>
      <c r="E287" s="259"/>
      <c r="F287" s="259"/>
      <c r="G287" s="259"/>
      <c r="H287" s="259"/>
      <c r="I287" s="259"/>
      <c r="J287" s="259"/>
      <c r="K287" s="259"/>
      <c r="L287" s="259"/>
      <c r="M287" s="259"/>
      <c r="N287" s="259"/>
      <c r="O287" s="259"/>
      <c r="P287" s="259"/>
      <c r="Q287" s="259"/>
      <c r="R287" s="259"/>
      <c r="S287" s="261"/>
      <c r="T287" s="262"/>
    </row>
    <row r="288" spans="1:20" s="263" customFormat="1" x14ac:dyDescent="0.25">
      <c r="A288" s="258"/>
      <c r="B288" s="257" t="s">
        <v>199</v>
      </c>
      <c r="C288" s="257"/>
      <c r="D288" s="429" t="s">
        <v>150</v>
      </c>
      <c r="E288" s="257"/>
      <c r="F288" s="469" t="s">
        <v>262</v>
      </c>
      <c r="G288" s="257"/>
      <c r="H288" s="257"/>
      <c r="I288" s="259"/>
      <c r="J288" s="259"/>
      <c r="K288" s="259"/>
      <c r="L288" s="259"/>
      <c r="M288" s="259"/>
      <c r="N288" s="259"/>
      <c r="O288" s="259"/>
      <c r="P288" s="259"/>
      <c r="Q288" s="259"/>
      <c r="R288" s="259"/>
      <c r="S288" s="261"/>
      <c r="T288" s="262"/>
    </row>
    <row r="289" spans="1:20" s="263" customFormat="1" x14ac:dyDescent="0.25">
      <c r="A289" s="258"/>
      <c r="B289" s="257" t="s">
        <v>200</v>
      </c>
      <c r="C289" s="257"/>
      <c r="D289" s="429" t="s">
        <v>115</v>
      </c>
      <c r="E289" s="257"/>
      <c r="F289" s="469" t="s">
        <v>263</v>
      </c>
      <c r="G289" s="257"/>
      <c r="H289" s="257"/>
      <c r="I289" s="259"/>
      <c r="J289" s="259"/>
      <c r="K289" s="259"/>
      <c r="L289" s="259"/>
      <c r="M289" s="259"/>
      <c r="N289" s="259"/>
      <c r="O289" s="259"/>
      <c r="P289" s="259"/>
      <c r="Q289" s="259"/>
      <c r="R289" s="259"/>
      <c r="S289" s="261"/>
      <c r="T289" s="262"/>
    </row>
    <row r="290" spans="1:20" s="263" customFormat="1" x14ac:dyDescent="0.25">
      <c r="A290" s="258"/>
      <c r="B290" s="257"/>
      <c r="C290" s="257"/>
      <c r="D290" s="259"/>
      <c r="E290" s="259"/>
      <c r="F290" s="259"/>
      <c r="G290" s="259"/>
      <c r="H290" s="259"/>
      <c r="I290" s="259"/>
      <c r="J290" s="259"/>
      <c r="K290" s="259"/>
      <c r="L290" s="259"/>
      <c r="M290" s="259"/>
      <c r="N290" s="259"/>
      <c r="O290" s="259"/>
      <c r="P290" s="259"/>
      <c r="Q290" s="259"/>
      <c r="R290" s="259"/>
      <c r="S290" s="261"/>
      <c r="T290" s="262"/>
    </row>
    <row r="291" spans="1:20" s="263" customFormat="1" x14ac:dyDescent="0.25">
      <c r="A291" s="258"/>
      <c r="B291" s="257"/>
      <c r="C291" s="257"/>
      <c r="D291" s="259"/>
      <c r="E291" s="259"/>
      <c r="F291" s="259"/>
      <c r="G291" s="259"/>
      <c r="H291" s="259"/>
      <c r="I291" s="259"/>
      <c r="J291" s="259"/>
      <c r="K291" s="259"/>
      <c r="L291" s="259"/>
      <c r="M291" s="259"/>
      <c r="N291" s="259"/>
      <c r="O291" s="259"/>
      <c r="P291" s="259"/>
      <c r="Q291" s="259"/>
      <c r="R291" s="259"/>
      <c r="S291" s="261"/>
      <c r="T291" s="262"/>
    </row>
    <row r="292" spans="1:20" s="263" customFormat="1" ht="19.5" thickBot="1" x14ac:dyDescent="0.35">
      <c r="A292" s="258"/>
      <c r="B292" s="430" t="str">
        <f>B192</f>
        <v>PM20 INVESTOR REPORT QUARTER ENDING JULY 2018</v>
      </c>
      <c r="C292" s="257"/>
      <c r="D292" s="259"/>
      <c r="E292" s="259"/>
      <c r="F292" s="259"/>
      <c r="G292" s="259"/>
      <c r="H292" s="259"/>
      <c r="I292" s="259"/>
      <c r="J292" s="259"/>
      <c r="K292" s="259"/>
      <c r="L292" s="259"/>
      <c r="M292" s="259"/>
      <c r="N292" s="259"/>
      <c r="O292" s="259"/>
      <c r="P292" s="259"/>
      <c r="Q292" s="259"/>
      <c r="R292" s="259"/>
      <c r="S292" s="322"/>
      <c r="T292" s="262"/>
    </row>
    <row r="293" spans="1:20" x14ac:dyDescent="0.25">
      <c r="A293" s="431"/>
      <c r="B293" s="431"/>
      <c r="C293" s="431"/>
      <c r="D293" s="431"/>
      <c r="E293" s="431"/>
      <c r="F293" s="431"/>
      <c r="G293" s="431"/>
      <c r="H293" s="431"/>
      <c r="I293" s="431"/>
      <c r="J293" s="431"/>
      <c r="K293" s="431"/>
      <c r="L293" s="431"/>
      <c r="M293" s="431"/>
      <c r="N293" s="431"/>
      <c r="O293" s="431"/>
      <c r="P293" s="431"/>
      <c r="Q293" s="431"/>
      <c r="R293" s="431"/>
      <c r="S293" s="431"/>
    </row>
  </sheetData>
  <hyperlinks>
    <hyperlink ref="K9" r:id="rId1"/>
    <hyperlink ref="N22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2"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0.98870000000000002</v>
      </c>
      <c r="P16" s="229" t="s">
        <v>239</v>
      </c>
      <c r="Q16" s="229">
        <v>1.1299999999999999E-2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42059</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304368.26750000002</v>
      </c>
      <c r="E29" s="128"/>
      <c r="F29" s="201">
        <f>F28*F32</f>
        <v>24000</v>
      </c>
      <c r="G29" s="201"/>
      <c r="H29" s="201">
        <f>H28*H32</f>
        <v>7000</v>
      </c>
      <c r="I29" s="124"/>
      <c r="J29" s="201"/>
      <c r="K29" s="124"/>
      <c r="L29" s="128"/>
      <c r="M29" s="124"/>
      <c r="N29" s="128"/>
      <c r="O29" s="124"/>
      <c r="P29" s="124"/>
      <c r="Q29" s="125"/>
      <c r="R29" s="124">
        <f>SUM(D29:J29)</f>
        <v>335368.26750000002</v>
      </c>
      <c r="S29" s="126"/>
      <c r="T29" s="2"/>
    </row>
    <row r="30" spans="1:23" ht="15.75" x14ac:dyDescent="0.25">
      <c r="A30" s="120"/>
      <c r="B30" s="119" t="s">
        <v>108</v>
      </c>
      <c r="C30" s="123"/>
      <c r="D30" s="202">
        <f>D31*D28</f>
        <v>298129.13789999997</v>
      </c>
      <c r="E30" s="202"/>
      <c r="F30" s="202">
        <f t="shared" ref="F30" si="0">F31*F28</f>
        <v>24000</v>
      </c>
      <c r="G30" s="202"/>
      <c r="H30" s="202">
        <f t="shared" ref="H30" si="1">H31*H28</f>
        <v>7000</v>
      </c>
      <c r="I30" s="202"/>
      <c r="J30" s="202"/>
      <c r="K30" s="129"/>
      <c r="L30" s="131"/>
      <c r="M30" s="129"/>
      <c r="N30" s="131"/>
      <c r="O30" s="124"/>
      <c r="P30" s="124"/>
      <c r="Q30" s="125"/>
      <c r="R30" s="203">
        <f>SUM(D30:J30)</f>
        <v>329129.13789999997</v>
      </c>
      <c r="S30" s="126"/>
      <c r="T30" s="2"/>
    </row>
    <row r="31" spans="1:23" ht="15.75" x14ac:dyDescent="0.25">
      <c r="A31" s="110"/>
      <c r="B31" s="132" t="s">
        <v>104</v>
      </c>
      <c r="C31" s="133"/>
      <c r="D31" s="134">
        <v>0.93457409999999996</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0.95413250000000005</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1.2352500000000001E-2</v>
      </c>
      <c r="E34" s="141"/>
      <c r="F34" s="141">
        <v>1.55525E-2</v>
      </c>
      <c r="G34" s="141"/>
      <c r="H34" s="141">
        <v>1.90525E-2</v>
      </c>
      <c r="I34" s="141"/>
      <c r="J34" s="141"/>
      <c r="K34" s="141"/>
      <c r="L34" s="141"/>
      <c r="M34" s="140"/>
      <c r="N34" s="141"/>
      <c r="O34" s="121"/>
      <c r="P34" s="121"/>
      <c r="Q34" s="113"/>
      <c r="R34" s="140">
        <f>SUMPRODUCT(D34:J34,D29:J29)/R29</f>
        <v>1.2721348254255303E-2</v>
      </c>
      <c r="S34" s="114"/>
      <c r="T34" s="2"/>
    </row>
    <row r="35" spans="1:21" ht="15.75" x14ac:dyDescent="0.25">
      <c r="A35" s="110"/>
      <c r="B35" s="111" t="s">
        <v>10</v>
      </c>
      <c r="C35" s="142"/>
      <c r="D35" s="141">
        <v>1.2892300000000001E-2</v>
      </c>
      <c r="E35" s="141"/>
      <c r="F35" s="141">
        <v>1.60923E-2</v>
      </c>
      <c r="G35" s="141"/>
      <c r="H35" s="141">
        <v>1.95923E-2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0.10398178527050979</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42051</v>
      </c>
      <c r="S45" s="114"/>
      <c r="T45" s="2"/>
    </row>
    <row r="46" spans="1:21" ht="15.75" x14ac:dyDescent="0.25">
      <c r="A46" s="110"/>
      <c r="B46" s="111" t="s">
        <v>100</v>
      </c>
      <c r="C46" s="111"/>
      <c r="D46" s="148"/>
      <c r="E46" s="148"/>
      <c r="F46" s="148"/>
      <c r="G46" s="148"/>
      <c r="H46" s="148"/>
      <c r="I46" s="148"/>
      <c r="J46" s="148"/>
      <c r="K46" s="148"/>
      <c r="L46" s="148"/>
      <c r="M46" s="148"/>
      <c r="N46" s="111">
        <f>+R46-P46+1</f>
        <v>123</v>
      </c>
      <c r="O46" s="111"/>
      <c r="P46" s="149">
        <v>41837</v>
      </c>
      <c r="Q46" s="150"/>
      <c r="R46" s="149">
        <v>41959</v>
      </c>
      <c r="S46" s="114"/>
      <c r="T46" s="2"/>
    </row>
    <row r="47" spans="1:21" ht="15.75" x14ac:dyDescent="0.25">
      <c r="A47" s="110"/>
      <c r="B47" s="111" t="s">
        <v>101</v>
      </c>
      <c r="C47" s="111"/>
      <c r="D47" s="111"/>
      <c r="E47" s="111"/>
      <c r="F47" s="111"/>
      <c r="G47" s="111"/>
      <c r="H47" s="111"/>
      <c r="I47" s="111"/>
      <c r="J47" s="111"/>
      <c r="K47" s="111"/>
      <c r="L47" s="111"/>
      <c r="M47" s="111"/>
      <c r="N47" s="111">
        <f>+R47-P47+1</f>
        <v>91</v>
      </c>
      <c r="O47" s="111"/>
      <c r="P47" s="149">
        <v>41960</v>
      </c>
      <c r="Q47" s="150"/>
      <c r="R47" s="149">
        <v>42050</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42037</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243</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332395</v>
      </c>
      <c r="I56" s="153"/>
      <c r="J56" s="154">
        <f>267</f>
        <v>267</v>
      </c>
      <c r="K56" s="153"/>
      <c r="L56" s="153">
        <f>5802+5+319</f>
        <v>6126</v>
      </c>
      <c r="M56" s="153"/>
      <c r="N56" s="153">
        <f>31+154</f>
        <v>185</v>
      </c>
      <c r="O56" s="153"/>
      <c r="P56" s="153">
        <v>0</v>
      </c>
      <c r="Q56" s="153"/>
      <c r="R56" s="154">
        <f>H56-J56-L56+N56-P56</f>
        <v>326187</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332395</v>
      </c>
      <c r="I59" s="153"/>
      <c r="J59" s="153">
        <f>J56+J57</f>
        <v>267</v>
      </c>
      <c r="K59" s="153"/>
      <c r="L59" s="153">
        <f>SUM(L56:L58)</f>
        <v>6126</v>
      </c>
      <c r="M59" s="153"/>
      <c r="N59" s="153">
        <f>SUM(N56:N58)</f>
        <v>185</v>
      </c>
      <c r="O59" s="153"/>
      <c r="P59" s="153">
        <f>SUM(P56:P58)</f>
        <v>0</v>
      </c>
      <c r="Q59" s="153"/>
      <c r="R59" s="153">
        <f>SUM(R56:R58)</f>
        <v>326187</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2973</v>
      </c>
      <c r="I70" s="153"/>
      <c r="J70" s="153">
        <v>0</v>
      </c>
      <c r="K70" s="153"/>
      <c r="L70" s="153"/>
      <c r="M70" s="153"/>
      <c r="N70" s="153">
        <v>-31</v>
      </c>
      <c r="O70" s="153"/>
      <c r="P70" s="153"/>
      <c r="Q70" s="153"/>
      <c r="R70" s="153">
        <f>H70+N70</f>
        <v>2942</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335368</v>
      </c>
      <c r="I72" s="153"/>
      <c r="J72" s="153"/>
      <c r="K72" s="153"/>
      <c r="L72" s="153"/>
      <c r="M72" s="153"/>
      <c r="N72" s="153"/>
      <c r="O72" s="153"/>
      <c r="P72" s="153"/>
      <c r="Q72" s="153"/>
      <c r="R72" s="153">
        <f>SUM(R59:R71)</f>
        <v>329129</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v>42034</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31</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f>-P77</f>
        <v>-31</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f>
        <v>6393</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4270+27-586-6+9</f>
        <v>3714</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f>75</f>
        <v>75</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17</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83</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6393</v>
      </c>
      <c r="Q89" s="111"/>
      <c r="R89" s="153">
        <f>SUM(R76:R88)</f>
        <v>3913</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6393</v>
      </c>
      <c r="Q92" s="111"/>
      <c r="R92" s="153">
        <f>R89+R90+R91</f>
        <v>3913</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-126-10-4</f>
        <v>-140</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-185</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-937</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-93</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-33</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-125</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-33-192</f>
        <v>-225</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-2146</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-154</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-6239</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-6393</v>
      </c>
      <c r="Q117" s="153"/>
      <c r="R117" s="153">
        <f>SUM(R93:R116)</f>
        <v>-3913</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JANUARY 2015</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836.12586300000112</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9663.8741369999989</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+'October 14'!R147</f>
        <v>2973</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N70</f>
        <v>-31</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2942</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+'October 14'!R161</f>
        <v>446</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422</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326187</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2942</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329129</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329129</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+'October 14'!O177</f>
        <v>27</v>
      </c>
      <c r="P174" s="154">
        <f>+'October 14'!P177</f>
        <v>279</v>
      </c>
      <c r="Q174" s="111"/>
      <c r="R174" s="154">
        <f>O174+P174</f>
        <v>306</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31</v>
      </c>
      <c r="P175" s="153">
        <v>154</v>
      </c>
      <c r="Q175" s="111"/>
      <c r="R175" s="154">
        <f>O175+P175</f>
        <v>185</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58</v>
      </c>
      <c r="P176" s="154">
        <f>P175+P174</f>
        <v>433</v>
      </c>
      <c r="Q176" s="111"/>
      <c r="R176" s="154">
        <f>O176+P176</f>
        <v>491</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27509</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3.8260405549626468</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3.32</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28.473118279569892</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24.13</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76.63636363636364</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64.650000000000006</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JANUARY 2015</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f>+J75</f>
        <v>42034</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4.5552500000000003E-2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4.5350000000000001E-2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1.2721348254255303E-2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3.2628651745744697E-2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1.1667779871663366E-2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18.559999999999999</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(+J56+L56)/H56</f>
        <v>1.9233141292739061E-2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0.11</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2</v>
      </c>
      <c r="P211" s="173">
        <f>+P263</f>
        <v>345</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67</v>
      </c>
      <c r="C213" s="176"/>
      <c r="D213" s="133"/>
      <c r="E213" s="133"/>
      <c r="F213" s="133"/>
      <c r="G213" s="133"/>
      <c r="H213" s="133"/>
      <c r="I213" s="133"/>
      <c r="J213" s="133"/>
      <c r="K213" s="133"/>
      <c r="L213" s="133"/>
      <c r="M213" s="133"/>
      <c r="N213" s="133"/>
      <c r="O213" s="111"/>
      <c r="P213" s="173">
        <v>0</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+'October 14'!P218+P216</f>
        <v>0</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2272</v>
      </c>
      <c r="O230" s="81">
        <f>N230/$N$239</f>
        <v>0.99912049252418644</v>
      </c>
      <c r="P230" s="82">
        <f>+P242+P254+P266</f>
        <v>325842</v>
      </c>
      <c r="Q230" s="81">
        <f t="shared" ref="Q230:Q237" si="2">P230/$P$239</f>
        <v>0.99894232449484499</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4.3975373790677223E-4</v>
      </c>
      <c r="P231" s="154">
        <f>+P243+P255+P267</f>
        <v>192</v>
      </c>
      <c r="Q231" s="191">
        <f t="shared" si="2"/>
        <v>5.8861941156453199E-4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0</v>
      </c>
      <c r="O232" s="191">
        <f t="shared" si="3"/>
        <v>0</v>
      </c>
      <c r="P232" s="154">
        <f t="shared" ref="P232:P237" si="5">+P244+P256+P268</f>
        <v>0</v>
      </c>
      <c r="Q232" s="191">
        <f t="shared" si="2"/>
        <v>0</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1</v>
      </c>
      <c r="O233" s="191">
        <f t="shared" si="3"/>
        <v>4.3975373790677223E-4</v>
      </c>
      <c r="P233" s="154">
        <f t="shared" si="5"/>
        <v>153</v>
      </c>
      <c r="Q233" s="191">
        <f t="shared" si="2"/>
        <v>4.6905609359048647E-4</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2274</v>
      </c>
      <c r="O239" s="191">
        <f>SUM(O230:O238)</f>
        <v>0.99999999999999989</v>
      </c>
      <c r="P239" s="154">
        <f>SUM(P230:P238)</f>
        <v>326187</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2272</v>
      </c>
      <c r="O242" s="81">
        <f>N242/$N$251</f>
        <v>1</v>
      </c>
      <c r="P242" s="82">
        <v>325842</v>
      </c>
      <c r="Q242" s="81">
        <f t="shared" ref="Q242:Q249" si="6">P242/$P$251</f>
        <v>1</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0</v>
      </c>
      <c r="O243" s="191">
        <f t="shared" ref="O243:O249" si="7">N243/$N$251</f>
        <v>0</v>
      </c>
      <c r="P243" s="154">
        <v>0</v>
      </c>
      <c r="Q243" s="191">
        <f t="shared" si="6"/>
        <v>0</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0</v>
      </c>
      <c r="O244" s="191">
        <f t="shared" si="7"/>
        <v>0</v>
      </c>
      <c r="P244" s="154">
        <v>0</v>
      </c>
      <c r="Q244" s="191">
        <f t="shared" si="6"/>
        <v>0</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2272</v>
      </c>
      <c r="O251" s="191">
        <f>SUM(O242:O250)</f>
        <v>1</v>
      </c>
      <c r="P251" s="154">
        <f>SUM(P242:P250)</f>
        <v>325842</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1</v>
      </c>
      <c r="O255" s="191">
        <v>0.5</v>
      </c>
      <c r="P255" s="154">
        <v>192</v>
      </c>
      <c r="Q255" s="191">
        <f>P255/$P$263</f>
        <v>0.55652173913043479</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v>0</v>
      </c>
      <c r="P256" s="154">
        <v>0</v>
      </c>
      <c r="Q256" s="191">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1</v>
      </c>
      <c r="O257" s="191">
        <v>0.5</v>
      </c>
      <c r="P257" s="154">
        <v>153</v>
      </c>
      <c r="Q257" s="191">
        <f>P257/$P$263</f>
        <v>0.44347826086956521</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v>0</v>
      </c>
      <c r="P258" s="154">
        <v>0</v>
      </c>
      <c r="Q258" s="191">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2</v>
      </c>
      <c r="O263" s="191">
        <f>SUM(O254:O262)</f>
        <v>1</v>
      </c>
      <c r="P263" s="154">
        <f>SUM(P254:P262)</f>
        <v>345</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2274</v>
      </c>
      <c r="O277" s="191"/>
      <c r="P277" s="196">
        <f>+P275+P263+P251</f>
        <v>326187</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2942</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329129</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329129</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5.3170619021027134E-2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JANUARY 2015</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0.9889</v>
      </c>
      <c r="P16" s="229" t="s">
        <v>239</v>
      </c>
      <c r="Q16" s="229">
        <v>1.11E-2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42146</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298129.13789999997</v>
      </c>
      <c r="E29" s="128"/>
      <c r="F29" s="201">
        <f>F28*F32</f>
        <v>24000</v>
      </c>
      <c r="G29" s="201"/>
      <c r="H29" s="201">
        <f>H28*H32</f>
        <v>7000</v>
      </c>
      <c r="I29" s="124"/>
      <c r="J29" s="201"/>
      <c r="K29" s="124"/>
      <c r="L29" s="128"/>
      <c r="M29" s="124"/>
      <c r="N29" s="128"/>
      <c r="O29" s="124"/>
      <c r="P29" s="124"/>
      <c r="Q29" s="125"/>
      <c r="R29" s="124">
        <f>SUM(D29:J29)</f>
        <v>329129.13789999997</v>
      </c>
      <c r="S29" s="126"/>
      <c r="T29" s="2"/>
    </row>
    <row r="30" spans="1:23" ht="15.75" x14ac:dyDescent="0.25">
      <c r="A30" s="120"/>
      <c r="B30" s="119" t="s">
        <v>108</v>
      </c>
      <c r="C30" s="123"/>
      <c r="D30" s="202">
        <f>D31*D28</f>
        <v>289984.52559999999</v>
      </c>
      <c r="E30" s="202"/>
      <c r="F30" s="202">
        <f t="shared" ref="F30" si="0">F31*F28</f>
        <v>24000</v>
      </c>
      <c r="G30" s="202"/>
      <c r="H30" s="202">
        <f t="shared" ref="H30" si="1">H31*H28</f>
        <v>7000</v>
      </c>
      <c r="I30" s="202"/>
      <c r="J30" s="202"/>
      <c r="K30" s="129"/>
      <c r="L30" s="131"/>
      <c r="M30" s="129"/>
      <c r="N30" s="131"/>
      <c r="O30" s="124"/>
      <c r="P30" s="124"/>
      <c r="Q30" s="125"/>
      <c r="R30" s="203">
        <f>SUM(D30:J30)</f>
        <v>320984.52559999999</v>
      </c>
      <c r="S30" s="126"/>
      <c r="T30" s="2"/>
    </row>
    <row r="31" spans="1:23" ht="15.75" x14ac:dyDescent="0.25">
      <c r="A31" s="110"/>
      <c r="B31" s="132" t="s">
        <v>104</v>
      </c>
      <c r="C31" s="133"/>
      <c r="D31" s="134">
        <v>0.90904240000000003</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0.93457409999999996</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1.2427499999999999E-2</v>
      </c>
      <c r="E34" s="141"/>
      <c r="F34" s="141">
        <v>1.5627499999999999E-2</v>
      </c>
      <c r="G34" s="141"/>
      <c r="H34" s="141">
        <v>1.9127499999999999E-2</v>
      </c>
      <c r="I34" s="141"/>
      <c r="J34" s="141"/>
      <c r="K34" s="141"/>
      <c r="L34" s="141"/>
      <c r="M34" s="140"/>
      <c r="N34" s="141"/>
      <c r="O34" s="121"/>
      <c r="P34" s="121"/>
      <c r="Q34" s="113"/>
      <c r="R34" s="140">
        <f>SUMPRODUCT(D34:J34,D29:J29)/R29</f>
        <v>1.2803340318451489E-2</v>
      </c>
      <c r="S34" s="114"/>
      <c r="T34" s="2"/>
    </row>
    <row r="35" spans="1:21" ht="15.75" x14ac:dyDescent="0.25">
      <c r="A35" s="110"/>
      <c r="B35" s="111" t="s">
        <v>10</v>
      </c>
      <c r="C35" s="142"/>
      <c r="D35" s="141">
        <v>1.2352500000000001E-2</v>
      </c>
      <c r="E35" s="141"/>
      <c r="F35" s="141">
        <v>1.55525E-2</v>
      </c>
      <c r="G35" s="141"/>
      <c r="H35" s="141">
        <v>1.90525E-2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0.10690225602851962</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42139</v>
      </c>
      <c r="S45" s="114"/>
      <c r="T45" s="2"/>
    </row>
    <row r="46" spans="1:21" ht="15.75" x14ac:dyDescent="0.25">
      <c r="A46" s="110"/>
      <c r="B46" s="111" t="s">
        <v>100</v>
      </c>
      <c r="C46" s="111"/>
      <c r="D46" s="148"/>
      <c r="E46" s="148"/>
      <c r="F46" s="148"/>
      <c r="G46" s="148"/>
      <c r="H46" s="148"/>
      <c r="I46" s="148"/>
      <c r="J46" s="148"/>
      <c r="K46" s="148"/>
      <c r="L46" s="148"/>
      <c r="M46" s="148"/>
      <c r="N46" s="111">
        <f>+R46-P46+1</f>
        <v>91</v>
      </c>
      <c r="O46" s="111"/>
      <c r="P46" s="149">
        <v>41960</v>
      </c>
      <c r="Q46" s="150"/>
      <c r="R46" s="149">
        <v>42050</v>
      </c>
      <c r="S46" s="114"/>
      <c r="T46" s="2"/>
    </row>
    <row r="47" spans="1:21" ht="15.75" x14ac:dyDescent="0.25">
      <c r="A47" s="110"/>
      <c r="B47" s="111" t="s">
        <v>101</v>
      </c>
      <c r="C47" s="111"/>
      <c r="D47" s="111"/>
      <c r="E47" s="111"/>
      <c r="F47" s="111"/>
      <c r="G47" s="111"/>
      <c r="H47" s="111"/>
      <c r="I47" s="111"/>
      <c r="J47" s="111"/>
      <c r="K47" s="111"/>
      <c r="L47" s="111"/>
      <c r="M47" s="111"/>
      <c r="N47" s="111">
        <f>+R47-P47+1</f>
        <v>88</v>
      </c>
      <c r="O47" s="111"/>
      <c r="P47" s="149">
        <v>42051</v>
      </c>
      <c r="Q47" s="150"/>
      <c r="R47" s="149">
        <v>42138</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42125</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247</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326187</v>
      </c>
      <c r="I56" s="153"/>
      <c r="J56" s="154">
        <f>287+5</f>
        <v>292</v>
      </c>
      <c r="K56" s="153"/>
      <c r="L56" s="153">
        <f>495+7316+135</f>
        <v>7946</v>
      </c>
      <c r="M56" s="153"/>
      <c r="N56" s="153">
        <f>218+94</f>
        <v>312</v>
      </c>
      <c r="O56" s="153"/>
      <c r="P56" s="153">
        <v>0</v>
      </c>
      <c r="Q56" s="153"/>
      <c r="R56" s="154">
        <f>H56-J56-L56+N56-P56</f>
        <v>318261</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326187</v>
      </c>
      <c r="I59" s="153"/>
      <c r="J59" s="153">
        <f>J56+J57</f>
        <v>292</v>
      </c>
      <c r="K59" s="153"/>
      <c r="L59" s="153">
        <f>SUM(L56:L58)</f>
        <v>7946</v>
      </c>
      <c r="M59" s="153"/>
      <c r="N59" s="153">
        <f>SUM(N56:N58)</f>
        <v>312</v>
      </c>
      <c r="O59" s="153"/>
      <c r="P59" s="153">
        <f>SUM(P56:P58)</f>
        <v>0</v>
      </c>
      <c r="Q59" s="153"/>
      <c r="R59" s="153">
        <f>SUM(R56:R58)</f>
        <v>318261</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2942</v>
      </c>
      <c r="I70" s="153"/>
      <c r="J70" s="153">
        <v>0</v>
      </c>
      <c r="K70" s="153"/>
      <c r="L70" s="153"/>
      <c r="M70" s="153"/>
      <c r="N70" s="153">
        <v>-218</v>
      </c>
      <c r="O70" s="153"/>
      <c r="P70" s="153"/>
      <c r="Q70" s="153"/>
      <c r="R70" s="153">
        <f>H70+N70</f>
        <v>2724</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329129</v>
      </c>
      <c r="I72" s="153"/>
      <c r="J72" s="153"/>
      <c r="K72" s="153"/>
      <c r="L72" s="153"/>
      <c r="M72" s="153"/>
      <c r="N72" s="153"/>
      <c r="O72" s="153"/>
      <c r="P72" s="153"/>
      <c r="Q72" s="153"/>
      <c r="R72" s="153">
        <f>SUM(R59:R71)</f>
        <v>320985</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v>42124</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218</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f>-P77</f>
        <v>-218</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f>
        <v>8238</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4360+24-781-6+9</f>
        <v>3606</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f>79+1</f>
        <v>80</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23</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23</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71</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8238</v>
      </c>
      <c r="Q89" s="111"/>
      <c r="R89" s="153">
        <f>SUM(R76:R88)</f>
        <v>3803</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8238</v>
      </c>
      <c r="Q92" s="111"/>
      <c r="R92" s="153">
        <f>R89+R90+R91</f>
        <v>3803</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-120-15-4</f>
        <v>-139</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-176</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-893</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-90</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-32</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-119</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-30-192</f>
        <v>-222</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-2103</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-94</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-8144</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-8238</v>
      </c>
      <c r="Q117" s="153"/>
      <c r="R117" s="153">
        <f>SUM(R93:R116)</f>
        <v>-3803</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APRIL 2015</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1080.4642320000003</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9419.5357679999997</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+'January 15'!R146</f>
        <v>2942</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N70</f>
        <v>-218</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2724</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+'January 15'!R160</f>
        <v>422</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23</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399</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318261</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2724</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320985</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320985</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+'January 15'!O176</f>
        <v>58</v>
      </c>
      <c r="P174" s="154">
        <f>+'January 15'!P176</f>
        <v>433</v>
      </c>
      <c r="Q174" s="111"/>
      <c r="R174" s="154">
        <f>O174+P174</f>
        <v>491</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218</v>
      </c>
      <c r="P175" s="153">
        <v>94</v>
      </c>
      <c r="Q175" s="111"/>
      <c r="R175" s="154">
        <f>O175+P175</f>
        <v>312</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276</v>
      </c>
      <c r="P176" s="154">
        <f>P175+P174</f>
        <v>527</v>
      </c>
      <c r="Q176" s="111"/>
      <c r="R176" s="154">
        <f>O176+P176</f>
        <v>803</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27197</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3.9025755879059352</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3.48</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28.8</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25.48</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77.375</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68.319999999999993</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APRIL 2015</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42124</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4.5627500000000001E-2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4.5330000000000002E-2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1.2803340318451489E-2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3.2526659681548512E-2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1.1554739934797602E-2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18.34</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(+J56+L56)/H56</f>
        <v>2.5255451627440702E-2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0.1061</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3</v>
      </c>
      <c r="P211" s="173">
        <f>+P263</f>
        <v>1105</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67</v>
      </c>
      <c r="C213" s="176"/>
      <c r="D213" s="133"/>
      <c r="E213" s="133"/>
      <c r="F213" s="133"/>
      <c r="G213" s="133"/>
      <c r="H213" s="133"/>
      <c r="I213" s="133"/>
      <c r="J213" s="133"/>
      <c r="K213" s="133"/>
      <c r="L213" s="133"/>
      <c r="M213" s="133"/>
      <c r="N213" s="133"/>
      <c r="O213" s="111"/>
      <c r="P213" s="173">
        <v>0</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'January 15'!P217+P216</f>
        <v>0</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2226</v>
      </c>
      <c r="O230" s="81">
        <f>N230/$N$239</f>
        <v>0.99820627802690587</v>
      </c>
      <c r="P230" s="82">
        <f>+P242+P254+P266</f>
        <v>317047</v>
      </c>
      <c r="Q230" s="81">
        <f t="shared" ref="Q230:Q237" si="2">P230/$P$239</f>
        <v>0.99618552068899424</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4.4843049327354261E-4</v>
      </c>
      <c r="P231" s="154">
        <f>+P243+P255+P267</f>
        <v>109</v>
      </c>
      <c r="Q231" s="191">
        <f t="shared" si="2"/>
        <v>3.424861984346181E-4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4.4843049327354261E-4</v>
      </c>
      <c r="P232" s="154">
        <f t="shared" ref="P232:P237" si="5">+P244+P256+P268</f>
        <v>192</v>
      </c>
      <c r="Q232" s="191">
        <f t="shared" si="2"/>
        <v>6.0327844127932738E-4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1</v>
      </c>
      <c r="O233" s="191">
        <f t="shared" si="3"/>
        <v>4.4843049327354261E-4</v>
      </c>
      <c r="P233" s="154">
        <f t="shared" si="5"/>
        <v>759</v>
      </c>
      <c r="Q233" s="191">
        <f t="shared" si="2"/>
        <v>2.3848350881823408E-3</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1</v>
      </c>
      <c r="O236" s="191">
        <f t="shared" si="3"/>
        <v>4.4843049327354261E-4</v>
      </c>
      <c r="P236" s="154">
        <f t="shared" si="5"/>
        <v>154</v>
      </c>
      <c r="Q236" s="191">
        <f t="shared" si="2"/>
        <v>4.8387958310946045E-4</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2230</v>
      </c>
      <c r="O239" s="191">
        <f>SUM(O230:O238)</f>
        <v>1.0000000000000002</v>
      </c>
      <c r="P239" s="154">
        <f>SUM(P230:P238)</f>
        <v>318261</v>
      </c>
      <c r="Q239" s="191">
        <f>SUM(Q230:Q238)</f>
        <v>0.99999999999999989</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2226</v>
      </c>
      <c r="O242" s="81">
        <f>N242/$N$251</f>
        <v>0.99955096542433763</v>
      </c>
      <c r="P242" s="82">
        <v>317047</v>
      </c>
      <c r="Q242" s="81">
        <f t="shared" ref="Q242:Q249" si="6">P242/$P$251</f>
        <v>0.99965632054887821</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1</v>
      </c>
      <c r="O243" s="191">
        <f t="shared" ref="O243:O249" si="7">N243/$N$251</f>
        <v>4.4903457566232598E-4</v>
      </c>
      <c r="P243" s="154">
        <v>109</v>
      </c>
      <c r="Q243" s="191">
        <f t="shared" si="6"/>
        <v>3.4367945112184539E-4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0</v>
      </c>
      <c r="O244" s="191">
        <f t="shared" si="7"/>
        <v>0</v>
      </c>
      <c r="P244" s="154">
        <v>0</v>
      </c>
      <c r="Q244" s="191">
        <f t="shared" si="6"/>
        <v>0</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2227</v>
      </c>
      <c r="O251" s="191">
        <f>SUM(O242:O250)</f>
        <v>1</v>
      </c>
      <c r="P251" s="154">
        <f>SUM(P242:P250)</f>
        <v>317156</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1</v>
      </c>
      <c r="O256" s="191">
        <f>N256/N263</f>
        <v>0.33333333333333331</v>
      </c>
      <c r="P256" s="154">
        <v>192</v>
      </c>
      <c r="Q256" s="191">
        <f>P256/P263</f>
        <v>0.17375565610859728</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1</v>
      </c>
      <c r="O257" s="191">
        <f>N257/N263</f>
        <v>0.33333333333333331</v>
      </c>
      <c r="P257" s="154">
        <v>759</v>
      </c>
      <c r="Q257" s="191">
        <f>P257/P263</f>
        <v>0.68687782805429864</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v>0</v>
      </c>
      <c r="P258" s="154">
        <v>0</v>
      </c>
      <c r="Q258" s="191">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1</v>
      </c>
      <c r="O260" s="191">
        <f>N260/N263</f>
        <v>0.33333333333333331</v>
      </c>
      <c r="P260" s="154">
        <v>154</v>
      </c>
      <c r="Q260" s="191">
        <f>P260/P263</f>
        <v>0.13936651583710408</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3</v>
      </c>
      <c r="O263" s="191">
        <f>SUM(O254:O262)</f>
        <v>1</v>
      </c>
      <c r="P263" s="154">
        <f>SUM(P254:P262)</f>
        <v>1105</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2230</v>
      </c>
      <c r="O277" s="191"/>
      <c r="P277" s="196">
        <f>+P275+P263+P251</f>
        <v>318261</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2724</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320985</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320985</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5.4519762182579187E-2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APRIL 2015</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0.98860000000000003</v>
      </c>
      <c r="P16" s="229" t="s">
        <v>239</v>
      </c>
      <c r="Q16" s="229">
        <v>1.14E-2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42236</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289984.52559999999</v>
      </c>
      <c r="E29" s="128"/>
      <c r="F29" s="201">
        <f>F28*F32</f>
        <v>24000</v>
      </c>
      <c r="G29" s="201"/>
      <c r="H29" s="201">
        <f>H28*H32</f>
        <v>7000</v>
      </c>
      <c r="I29" s="124"/>
      <c r="J29" s="201"/>
      <c r="K29" s="124"/>
      <c r="L29" s="128"/>
      <c r="M29" s="124"/>
      <c r="N29" s="128"/>
      <c r="O29" s="124"/>
      <c r="P29" s="124"/>
      <c r="Q29" s="125"/>
      <c r="R29" s="124">
        <f>SUM(D29:J29)</f>
        <v>320984.52559999999</v>
      </c>
      <c r="S29" s="126"/>
      <c r="T29" s="2"/>
    </row>
    <row r="30" spans="1:23" ht="15.75" x14ac:dyDescent="0.25">
      <c r="A30" s="120"/>
      <c r="B30" s="119" t="s">
        <v>108</v>
      </c>
      <c r="C30" s="123"/>
      <c r="D30" s="202">
        <f>D31*D28</f>
        <v>281562.15999999997</v>
      </c>
      <c r="E30" s="202"/>
      <c r="F30" s="202">
        <f t="shared" ref="F30" si="0">F31*F28</f>
        <v>24000</v>
      </c>
      <c r="G30" s="202"/>
      <c r="H30" s="202">
        <f t="shared" ref="H30" si="1">H31*H28</f>
        <v>7000</v>
      </c>
      <c r="I30" s="202"/>
      <c r="J30" s="202"/>
      <c r="K30" s="129"/>
      <c r="L30" s="131"/>
      <c r="M30" s="129"/>
      <c r="N30" s="131"/>
      <c r="O30" s="124"/>
      <c r="P30" s="124"/>
      <c r="Q30" s="125"/>
      <c r="R30" s="203">
        <f>SUM(D30:J30)+1</f>
        <v>312563.15999999997</v>
      </c>
      <c r="S30" s="126"/>
      <c r="T30" s="2"/>
    </row>
    <row r="31" spans="1:23" ht="15.75" x14ac:dyDescent="0.25">
      <c r="A31" s="110"/>
      <c r="B31" s="132" t="s">
        <v>104</v>
      </c>
      <c r="C31" s="133"/>
      <c r="D31" s="134">
        <v>0.88263999999999998</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0.90904240000000003</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1.24688E-2</v>
      </c>
      <c r="E34" s="141"/>
      <c r="F34" s="141">
        <v>1.56688E-2</v>
      </c>
      <c r="G34" s="141"/>
      <c r="H34" s="141">
        <v>1.91688E-2</v>
      </c>
      <c r="I34" s="141"/>
      <c r="J34" s="141"/>
      <c r="K34" s="141"/>
      <c r="L34" s="141"/>
      <c r="M34" s="140"/>
      <c r="N34" s="141"/>
      <c r="O34" s="121"/>
      <c r="P34" s="121"/>
      <c r="Q34" s="113"/>
      <c r="R34" s="140">
        <f>SUMPRODUCT(D34:J34,D29:J29)/R29</f>
        <v>1.285417683325629E-2</v>
      </c>
      <c r="S34" s="114"/>
      <c r="T34" s="2"/>
    </row>
    <row r="35" spans="1:21" ht="15.75" x14ac:dyDescent="0.25">
      <c r="A35" s="110"/>
      <c r="B35" s="111" t="s">
        <v>10</v>
      </c>
      <c r="C35" s="142"/>
      <c r="D35" s="141">
        <v>1.2427499999999999E-2</v>
      </c>
      <c r="E35" s="141"/>
      <c r="F35" s="141">
        <v>1.5627499999999999E-2</v>
      </c>
      <c r="G35" s="141"/>
      <c r="H35" s="141">
        <v>1.9127499999999999E-2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0.11010002196317858</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42233</v>
      </c>
      <c r="S45" s="114"/>
      <c r="T45" s="2"/>
    </row>
    <row r="46" spans="1:21" ht="15.75" x14ac:dyDescent="0.25">
      <c r="A46" s="110"/>
      <c r="B46" s="111" t="s">
        <v>100</v>
      </c>
      <c r="C46" s="111"/>
      <c r="D46" s="148"/>
      <c r="E46" s="148"/>
      <c r="F46" s="148"/>
      <c r="G46" s="148"/>
      <c r="H46" s="148"/>
      <c r="I46" s="148"/>
      <c r="J46" s="148"/>
      <c r="K46" s="148"/>
      <c r="L46" s="148"/>
      <c r="M46" s="148"/>
      <c r="N46" s="111">
        <f>+R46-P46+1</f>
        <v>88</v>
      </c>
      <c r="O46" s="111"/>
      <c r="P46" s="149">
        <v>42051</v>
      </c>
      <c r="Q46" s="150"/>
      <c r="R46" s="149">
        <v>42138</v>
      </c>
      <c r="S46" s="114"/>
      <c r="T46" s="2"/>
    </row>
    <row r="47" spans="1:21" ht="15.75" x14ac:dyDescent="0.25">
      <c r="A47" s="110"/>
      <c r="B47" s="111" t="s">
        <v>101</v>
      </c>
      <c r="C47" s="111"/>
      <c r="D47" s="111"/>
      <c r="E47" s="111"/>
      <c r="F47" s="111"/>
      <c r="G47" s="111"/>
      <c r="H47" s="111"/>
      <c r="I47" s="111"/>
      <c r="J47" s="111"/>
      <c r="K47" s="111"/>
      <c r="L47" s="111"/>
      <c r="M47" s="111"/>
      <c r="N47" s="111">
        <f>+R47-P47+1</f>
        <v>94</v>
      </c>
      <c r="O47" s="111"/>
      <c r="P47" s="149">
        <v>42139</v>
      </c>
      <c r="Q47" s="150"/>
      <c r="R47" s="149">
        <v>42232</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42219</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248</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318261</v>
      </c>
      <c r="I56" s="153"/>
      <c r="J56" s="154">
        <f>281+5</f>
        <v>286</v>
      </c>
      <c r="K56" s="153"/>
      <c r="L56" s="153">
        <f>7806-1047+345</f>
        <v>7104</v>
      </c>
      <c r="M56" s="153"/>
      <c r="N56" s="153">
        <f>275+15</f>
        <v>290</v>
      </c>
      <c r="O56" s="153"/>
      <c r="P56" s="153">
        <v>1047</v>
      </c>
      <c r="Q56" s="153"/>
      <c r="R56" s="154">
        <f>H56-J56-L56+N56-P56</f>
        <v>310114</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318261</v>
      </c>
      <c r="I59" s="153"/>
      <c r="J59" s="153">
        <f>J56+J57</f>
        <v>286</v>
      </c>
      <c r="K59" s="153"/>
      <c r="L59" s="153">
        <f>SUM(L56:L58)</f>
        <v>7104</v>
      </c>
      <c r="M59" s="153"/>
      <c r="N59" s="153">
        <f>SUM(N56:N58)</f>
        <v>290</v>
      </c>
      <c r="O59" s="153"/>
      <c r="P59" s="153">
        <f>SUM(P56:P58)</f>
        <v>1047</v>
      </c>
      <c r="Q59" s="153"/>
      <c r="R59" s="153">
        <f>SUM(R56:R58)</f>
        <v>310114</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2724</v>
      </c>
      <c r="I70" s="153"/>
      <c r="J70" s="153">
        <v>0</v>
      </c>
      <c r="K70" s="153"/>
      <c r="L70" s="153"/>
      <c r="M70" s="153"/>
      <c r="N70" s="153">
        <v>-275</v>
      </c>
      <c r="O70" s="153"/>
      <c r="P70" s="153"/>
      <c r="Q70" s="153"/>
      <c r="R70" s="153">
        <f>H70+N70</f>
        <v>2449</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320985</v>
      </c>
      <c r="I72" s="153"/>
      <c r="J72" s="153"/>
      <c r="K72" s="153"/>
      <c r="L72" s="153"/>
      <c r="M72" s="153"/>
      <c r="N72" s="153"/>
      <c r="O72" s="153"/>
      <c r="P72" s="153"/>
      <c r="Q72" s="153"/>
      <c r="R72" s="153">
        <f>SUM(R59:R71)</f>
        <v>312563</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v>42216</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275</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f>-P77</f>
        <v>-275</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f>
        <v>8437</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4135+24-626-6+9</f>
        <v>3536</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f>70</f>
        <v>70</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17</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23</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107</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8437</v>
      </c>
      <c r="Q89" s="111"/>
      <c r="R89" s="153">
        <f>SUM(R76:R88)</f>
        <v>3753</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8437</v>
      </c>
      <c r="Q92" s="111"/>
      <c r="R92" s="153">
        <f>R89+R90+R91</f>
        <v>3753</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-120-12-3</f>
        <v>-135</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-186</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-931</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-97</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-35</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-119</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-26-164</f>
        <v>-190</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-2031</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-15</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-8422</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-8437</v>
      </c>
      <c r="Q117" s="153"/>
      <c r="R117" s="153">
        <f>SUM(R93:R116)</f>
        <v>-3753</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JULY 2015</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1333.1352000000006</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9166.8647999999994</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+'April 15'!R146</f>
        <v>2724</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N70</f>
        <v>-275</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2449</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+'April 15'!R160</f>
        <v>399</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23</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376</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310114</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2449</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312563</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312563</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+'April 15'!O176</f>
        <v>276</v>
      </c>
      <c r="P174" s="154">
        <f>+'April 15'!P176</f>
        <v>527</v>
      </c>
      <c r="Q174" s="111"/>
      <c r="R174" s="154">
        <f>O174+P174</f>
        <v>803</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275</v>
      </c>
      <c r="P175" s="153">
        <v>15</v>
      </c>
      <c r="Q175" s="111"/>
      <c r="R175" s="154">
        <f>O175+P175</f>
        <v>290</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551</v>
      </c>
      <c r="P176" s="154">
        <f>P175+P174</f>
        <v>542</v>
      </c>
      <c r="Q176" s="111"/>
      <c r="R176" s="154">
        <f>O176+P176</f>
        <v>1093</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26907</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3.6831364124597208</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3.53</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25.75257731958763</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25.54</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67.857142857142861</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68.209999999999994</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JULY 2015</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42216</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4.5668800000000002E-2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4.5170000000000002E-2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1.285417683325629E-2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3.231582316674371E-2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1.1692135146502173E-2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18.100000000000001</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2.6509688588925443E-2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0.1051</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3</v>
      </c>
      <c r="P211" s="173">
        <f>+P263</f>
        <v>1105</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1047</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'April 15'!P217+P216</f>
        <v>0</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2168</v>
      </c>
      <c r="O230" s="81">
        <f>N230/$N$239</f>
        <v>0.99724011039558413</v>
      </c>
      <c r="P230" s="82">
        <f>+P242+P254+P266</f>
        <v>308769</v>
      </c>
      <c r="Q230" s="81">
        <f t="shared" ref="Q230:Q237" si="2">P230/$P$239</f>
        <v>0.995662885261549</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3</v>
      </c>
      <c r="O231" s="191">
        <f t="shared" ref="O231:O237" si="3">N231/$N$239</f>
        <v>1.3799448022079118E-3</v>
      </c>
      <c r="P231" s="154">
        <f>+P243+P255+P267</f>
        <v>240</v>
      </c>
      <c r="Q231" s="191">
        <f t="shared" si="2"/>
        <v>7.7390894961207812E-4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0</v>
      </c>
      <c r="O232" s="191">
        <f t="shared" si="3"/>
        <v>0</v>
      </c>
      <c r="P232" s="154">
        <f t="shared" ref="P232:P237" si="5">+P244+P256+P268</f>
        <v>0</v>
      </c>
      <c r="Q232" s="191">
        <f t="shared" si="2"/>
        <v>0</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1</v>
      </c>
      <c r="O233" s="191">
        <f t="shared" si="3"/>
        <v>4.5998160073597056E-4</v>
      </c>
      <c r="P233" s="154">
        <f t="shared" si="5"/>
        <v>192</v>
      </c>
      <c r="Q233" s="191">
        <f t="shared" si="2"/>
        <v>6.1912715968966256E-4</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1</v>
      </c>
      <c r="O234" s="191">
        <f t="shared" si="3"/>
        <v>4.5998160073597056E-4</v>
      </c>
      <c r="P234" s="154">
        <f t="shared" si="5"/>
        <v>759</v>
      </c>
      <c r="Q234" s="191">
        <f t="shared" si="2"/>
        <v>2.4474870531481971E-3</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1</v>
      </c>
      <c r="O236" s="191">
        <f t="shared" si="3"/>
        <v>4.5998160073597056E-4</v>
      </c>
      <c r="P236" s="154">
        <f t="shared" si="5"/>
        <v>154</v>
      </c>
      <c r="Q236" s="191">
        <f t="shared" si="2"/>
        <v>4.9659157600108342E-4</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2174</v>
      </c>
      <c r="O239" s="191">
        <f>SUM(O230:O238)</f>
        <v>1</v>
      </c>
      <c r="P239" s="154">
        <f>SUM(P230:P238)</f>
        <v>310114</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2168</v>
      </c>
      <c r="O242" s="81">
        <f>N242/$N$251</f>
        <v>0.99861814831874707</v>
      </c>
      <c r="P242" s="82">
        <v>308769</v>
      </c>
      <c r="Q242" s="81">
        <f t="shared" ref="Q242:Q249" si="6">P242/$P$251</f>
        <v>0.99922332359251675</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3</v>
      </c>
      <c r="O243" s="191">
        <f t="shared" ref="O243:O249" si="7">N243/$N$251</f>
        <v>1.3818516812528789E-3</v>
      </c>
      <c r="P243" s="154">
        <v>240</v>
      </c>
      <c r="Q243" s="191">
        <f t="shared" si="6"/>
        <v>7.7667640748327717E-4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0</v>
      </c>
      <c r="O244" s="191">
        <f t="shared" si="7"/>
        <v>0</v>
      </c>
      <c r="P244" s="154">
        <v>0</v>
      </c>
      <c r="Q244" s="191">
        <f t="shared" si="6"/>
        <v>0</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2171</v>
      </c>
      <c r="O251" s="191">
        <f>SUM(O242:O250)</f>
        <v>1</v>
      </c>
      <c r="P251" s="154">
        <f>SUM(P242:P250)</f>
        <v>309009</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1</v>
      </c>
      <c r="O257" s="191">
        <f>N257/N263</f>
        <v>0.33333333333333331</v>
      </c>
      <c r="P257" s="154">
        <v>192</v>
      </c>
      <c r="Q257" s="191">
        <f>P257/P263</f>
        <v>0.17375565610859728</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1</v>
      </c>
      <c r="O258" s="191">
        <f>N258/N263</f>
        <v>0.33333333333333331</v>
      </c>
      <c r="P258" s="154">
        <v>759</v>
      </c>
      <c r="Q258" s="191">
        <f>P258/P263</f>
        <v>0.68687782805429864</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1</v>
      </c>
      <c r="O260" s="191">
        <f>N260/N263</f>
        <v>0.33333333333333331</v>
      </c>
      <c r="P260" s="154">
        <v>154</v>
      </c>
      <c r="Q260" s="191">
        <f>P260/P263</f>
        <v>0.13936651583710408</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3</v>
      </c>
      <c r="O263" s="191">
        <f>SUM(O254:O262)</f>
        <v>1</v>
      </c>
      <c r="P263" s="154">
        <f>SUM(P254:P262)</f>
        <v>1105</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2174</v>
      </c>
      <c r="O277" s="191"/>
      <c r="P277" s="196">
        <f>+P275+P263+P251</f>
        <v>310114</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2449</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312563</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312563</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5.5988684015096345E-2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JULY 2015</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0.98829999999999996</v>
      </c>
      <c r="P16" s="229" t="s">
        <v>239</v>
      </c>
      <c r="Q16" s="229">
        <v>1.17E-2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42331</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281562.15999999997</v>
      </c>
      <c r="E29" s="128"/>
      <c r="F29" s="201">
        <f>F28*F32</f>
        <v>24000</v>
      </c>
      <c r="G29" s="201"/>
      <c r="H29" s="201">
        <f>H28*H32</f>
        <v>7000</v>
      </c>
      <c r="I29" s="124"/>
      <c r="J29" s="201"/>
      <c r="K29" s="124"/>
      <c r="L29" s="128"/>
      <c r="M29" s="124"/>
      <c r="N29" s="128"/>
      <c r="O29" s="124"/>
      <c r="P29" s="124"/>
      <c r="Q29" s="125"/>
      <c r="R29" s="124">
        <f>SUM(D29:J29)+1</f>
        <v>312563.15999999997</v>
      </c>
      <c r="S29" s="126"/>
      <c r="T29" s="2"/>
    </row>
    <row r="30" spans="1:23" ht="15.75" x14ac:dyDescent="0.25">
      <c r="A30" s="120"/>
      <c r="B30" s="119" t="s">
        <v>108</v>
      </c>
      <c r="C30" s="123"/>
      <c r="D30" s="202">
        <f>D31*D28</f>
        <v>273070.3162</v>
      </c>
      <c r="E30" s="202"/>
      <c r="F30" s="202">
        <f t="shared" ref="F30" si="0">F31*F28</f>
        <v>24000</v>
      </c>
      <c r="G30" s="202"/>
      <c r="H30" s="202">
        <f t="shared" ref="H30" si="1">H31*H28</f>
        <v>7000</v>
      </c>
      <c r="I30" s="202"/>
      <c r="J30" s="202"/>
      <c r="K30" s="129"/>
      <c r="L30" s="131"/>
      <c r="M30" s="129"/>
      <c r="N30" s="131"/>
      <c r="O30" s="124"/>
      <c r="P30" s="124"/>
      <c r="Q30" s="125"/>
      <c r="R30" s="203">
        <f>SUM(D30:J30)+1</f>
        <v>304071.3162</v>
      </c>
      <c r="S30" s="126"/>
      <c r="T30" s="2"/>
    </row>
    <row r="31" spans="1:23" ht="15.75" x14ac:dyDescent="0.25">
      <c r="A31" s="110"/>
      <c r="B31" s="132" t="s">
        <v>104</v>
      </c>
      <c r="C31" s="133"/>
      <c r="D31" s="134">
        <v>0.8560198</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0.88263999999999998</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1.2656300000000001E-2</v>
      </c>
      <c r="E34" s="141"/>
      <c r="F34" s="141">
        <v>1.58563E-2</v>
      </c>
      <c r="G34" s="141"/>
      <c r="H34" s="141">
        <v>1.93563E-2</v>
      </c>
      <c r="I34" s="141"/>
      <c r="J34" s="141"/>
      <c r="K34" s="141"/>
      <c r="L34" s="141"/>
      <c r="M34" s="140"/>
      <c r="N34" s="141"/>
      <c r="O34" s="121"/>
      <c r="P34" s="121"/>
      <c r="Q34" s="113"/>
      <c r="R34" s="140">
        <f>SUMPRODUCT(D34:J34,D29:J29)/R29</f>
        <v>1.3052019520176338E-2</v>
      </c>
      <c r="S34" s="114"/>
      <c r="T34" s="2"/>
    </row>
    <row r="35" spans="1:21" ht="15.75" x14ac:dyDescent="0.25">
      <c r="A35" s="110"/>
      <c r="B35" s="111" t="s">
        <v>10</v>
      </c>
      <c r="C35" s="142"/>
      <c r="D35" s="141">
        <v>1.24688E-2</v>
      </c>
      <c r="E35" s="141"/>
      <c r="F35" s="141">
        <v>1.56688E-2</v>
      </c>
      <c r="G35" s="141"/>
      <c r="H35" s="141">
        <v>1.91688E-2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0.11352387337954091</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42324</v>
      </c>
      <c r="S45" s="114"/>
      <c r="T45" s="2"/>
    </row>
    <row r="46" spans="1:21" ht="15.75" x14ac:dyDescent="0.25">
      <c r="A46" s="110"/>
      <c r="B46" s="111" t="s">
        <v>100</v>
      </c>
      <c r="C46" s="111"/>
      <c r="D46" s="148"/>
      <c r="E46" s="148"/>
      <c r="F46" s="148"/>
      <c r="G46" s="148"/>
      <c r="H46" s="148"/>
      <c r="I46" s="148"/>
      <c r="J46" s="148"/>
      <c r="K46" s="148"/>
      <c r="L46" s="148"/>
      <c r="M46" s="148"/>
      <c r="N46" s="111">
        <f>+R46-P46+1</f>
        <v>94</v>
      </c>
      <c r="O46" s="111"/>
      <c r="P46" s="149">
        <v>42139</v>
      </c>
      <c r="Q46" s="150"/>
      <c r="R46" s="149">
        <v>42232</v>
      </c>
      <c r="S46" s="114"/>
      <c r="T46" s="2"/>
    </row>
    <row r="47" spans="1:21" ht="15.75" x14ac:dyDescent="0.25">
      <c r="A47" s="110"/>
      <c r="B47" s="111" t="s">
        <v>101</v>
      </c>
      <c r="C47" s="111"/>
      <c r="D47" s="111"/>
      <c r="E47" s="111"/>
      <c r="F47" s="111"/>
      <c r="G47" s="111"/>
      <c r="H47" s="111"/>
      <c r="I47" s="111"/>
      <c r="J47" s="111"/>
      <c r="K47" s="111"/>
      <c r="L47" s="111"/>
      <c r="M47" s="111"/>
      <c r="N47" s="111">
        <f>+R47-P47+1</f>
        <v>91</v>
      </c>
      <c r="O47" s="111"/>
      <c r="P47" s="149">
        <v>42233</v>
      </c>
      <c r="Q47" s="150"/>
      <c r="R47" s="149">
        <v>42323</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42310</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249</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310114</v>
      </c>
      <c r="I56" s="153"/>
      <c r="J56" s="154">
        <f>274+6</f>
        <v>280</v>
      </c>
      <c r="K56" s="153"/>
      <c r="L56" s="153">
        <f>7472-491+189+13</f>
        <v>7183</v>
      </c>
      <c r="M56" s="153"/>
      <c r="N56" s="153">
        <f>330+18</f>
        <v>348</v>
      </c>
      <c r="O56" s="153"/>
      <c r="P56" s="153">
        <v>491</v>
      </c>
      <c r="Q56" s="153"/>
      <c r="R56" s="154">
        <f>H56-J56-L56+N56-P56</f>
        <v>302508</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310114</v>
      </c>
      <c r="I59" s="153"/>
      <c r="J59" s="153">
        <f>J56+J57</f>
        <v>280</v>
      </c>
      <c r="K59" s="153"/>
      <c r="L59" s="153">
        <f>SUM(L56:L58)</f>
        <v>7183</v>
      </c>
      <c r="M59" s="153"/>
      <c r="N59" s="153">
        <f>SUM(N56:N58)</f>
        <v>348</v>
      </c>
      <c r="O59" s="153"/>
      <c r="P59" s="153">
        <f>SUM(P56:P58)</f>
        <v>491</v>
      </c>
      <c r="Q59" s="153"/>
      <c r="R59" s="153">
        <f>SUM(R56:R58)</f>
        <v>302508</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2449</v>
      </c>
      <c r="I70" s="153"/>
      <c r="J70" s="153">
        <v>0</v>
      </c>
      <c r="K70" s="153"/>
      <c r="L70" s="153"/>
      <c r="M70" s="153"/>
      <c r="N70" s="153">
        <v>-886</v>
      </c>
      <c r="O70" s="153"/>
      <c r="P70" s="153"/>
      <c r="Q70" s="153"/>
      <c r="R70" s="153">
        <f>H70+N70</f>
        <v>1563</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312563</v>
      </c>
      <c r="I72" s="153"/>
      <c r="J72" s="153"/>
      <c r="K72" s="153"/>
      <c r="L72" s="153"/>
      <c r="M72" s="153"/>
      <c r="N72" s="153"/>
      <c r="O72" s="153"/>
      <c r="P72" s="153"/>
      <c r="Q72" s="153"/>
      <c r="R72" s="153">
        <f>SUM(R59:R71)</f>
        <v>304071</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v>42307</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556+330</f>
        <v>886</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-330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+J56+L56+P56-13</f>
        <v>7941</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3846+25-463-6+9</f>
        <v>3411</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156</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15</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30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8497</v>
      </c>
      <c r="Q89" s="111"/>
      <c r="R89" s="153">
        <f>SUM(R76:R88)</f>
        <v>3636</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8497</v>
      </c>
      <c r="Q92" s="111"/>
      <c r="R92" s="153">
        <f>R89+R90+R91</f>
        <v>3636</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-118-11-3</f>
        <v>-132</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-175</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-888</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-95</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13</v>
      </c>
      <c r="Q101" s="111"/>
      <c r="R101" s="154">
        <v>-13</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-34</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-117</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-23-164</f>
        <v>-187</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-1966</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-18</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-8492</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-8510</v>
      </c>
      <c r="Q117" s="153"/>
      <c r="R117" s="153">
        <f>SUM(R93:R116)</f>
        <v>-3636</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OCTOBER 2015</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1587.8905140000006</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8912.1094859999994</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+'July 15'!R146</f>
        <v>2449</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-330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-556</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1563</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13</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13</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-13</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+'July 15'!R160</f>
        <v>376</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352</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302508</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1563</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304071</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304071</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+'July 15'!O176</f>
        <v>551</v>
      </c>
      <c r="P174" s="154">
        <f>+'July 15'!P176</f>
        <v>542</v>
      </c>
      <c r="Q174" s="111"/>
      <c r="R174" s="154">
        <f>O174+P174</f>
        <v>1093</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330</v>
      </c>
      <c r="P175" s="153">
        <v>18</v>
      </c>
      <c r="Q175" s="111"/>
      <c r="R175" s="154">
        <f>O175+P175</f>
        <v>348</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881</v>
      </c>
      <c r="P176" s="154">
        <f>P175+P174</f>
        <v>560</v>
      </c>
      <c r="Q176" s="111"/>
      <c r="R176" s="154">
        <f>O176+P176</f>
        <v>1441</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26559</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3.7454954954954953</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3.56</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25.663157894736841</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25.56</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67.764705882352942</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68.12</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OCTOBER 2015</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42307</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4.5856300000000003E-2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4.5130000000000003E-2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1.3052019520176338E-2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3.2077980479823666E-2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1.1632854816469E-2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17.850000000000001</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2.5648632438393625E-2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0.1038</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759</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491</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13</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'July 15'!P217+P216</f>
        <v>13</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2</v>
      </c>
      <c r="P223" s="173">
        <v>345</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6.25</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2128</v>
      </c>
      <c r="O230" s="81">
        <f>N230/$N$239</f>
        <v>0.99765588373183312</v>
      </c>
      <c r="P230" s="82">
        <f>+P242+P254+P266</f>
        <v>300907</v>
      </c>
      <c r="Q230" s="81">
        <f t="shared" ref="Q230:Q237" si="2">P230/$P$239</f>
        <v>0.99470757798140874</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3</v>
      </c>
      <c r="O231" s="191">
        <f t="shared" ref="O231:O237" si="3">N231/$N$239</f>
        <v>1.4064697609001407E-3</v>
      </c>
      <c r="P231" s="154">
        <f>+P243+P255+P267</f>
        <v>733</v>
      </c>
      <c r="Q231" s="191">
        <f t="shared" si="2"/>
        <v>2.4230764145080461E-3</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4.6882325363338024E-4</v>
      </c>
      <c r="P232" s="154">
        <f t="shared" ref="P232:P237" si="5">+P244+P256+P268</f>
        <v>109</v>
      </c>
      <c r="Q232" s="191">
        <f t="shared" si="2"/>
        <v>3.6032104936067807E-4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1</v>
      </c>
      <c r="O236" s="191">
        <f t="shared" si="3"/>
        <v>4.6882325363338024E-4</v>
      </c>
      <c r="P236" s="154">
        <f t="shared" si="5"/>
        <v>759</v>
      </c>
      <c r="Q236" s="191">
        <f t="shared" si="2"/>
        <v>2.5090245547225195E-3</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2133</v>
      </c>
      <c r="O239" s="191">
        <f>SUM(O230:O238)</f>
        <v>1</v>
      </c>
      <c r="P239" s="154">
        <f>SUM(P230:P238)</f>
        <v>302508</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2128</v>
      </c>
      <c r="O242" s="81">
        <f>N242/$N$251</f>
        <v>0.99812382739212002</v>
      </c>
      <c r="P242" s="82">
        <v>300907</v>
      </c>
      <c r="Q242" s="81">
        <f t="shared" ref="Q242:Q249" si="6">P242/$P$251</f>
        <v>0.99720960135741954</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3</v>
      </c>
      <c r="O243" s="191">
        <f t="shared" ref="O243:O249" si="7">N243/$N$251</f>
        <v>1.4071294559099437E-3</v>
      </c>
      <c r="P243" s="154">
        <v>733</v>
      </c>
      <c r="Q243" s="191">
        <f t="shared" si="6"/>
        <v>2.4291712648592044E-3</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4.6904315196998124E-4</v>
      </c>
      <c r="P244" s="154">
        <v>109</v>
      </c>
      <c r="Q244" s="191">
        <f t="shared" si="6"/>
        <v>3.612273777212186E-4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2132</v>
      </c>
      <c r="O251" s="191">
        <f>SUM(O242:O250)</f>
        <v>0.99999999999999989</v>
      </c>
      <c r="P251" s="154">
        <f>SUM(P242:P250)</f>
        <v>301749</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1</v>
      </c>
      <c r="O260" s="191">
        <f>N260/N263</f>
        <v>1</v>
      </c>
      <c r="P260" s="154">
        <v>759</v>
      </c>
      <c r="Q260" s="191">
        <f>P260/P263</f>
        <v>1</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759</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2133</v>
      </c>
      <c r="O277" s="191"/>
      <c r="P277" s="196">
        <f>+P275+P263+P251</f>
        <v>302508</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1563</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304071</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304071</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5.7552288123387287E-2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OCTOBER 2015</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0.98799999999999999</v>
      </c>
      <c r="P16" s="229" t="s">
        <v>239</v>
      </c>
      <c r="Q16" s="229">
        <v>1.2E-2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42419</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273070.3162</v>
      </c>
      <c r="E29" s="128"/>
      <c r="F29" s="201">
        <f>F28*F32</f>
        <v>24000</v>
      </c>
      <c r="G29" s="201"/>
      <c r="H29" s="201">
        <f>H28*H32</f>
        <v>7000</v>
      </c>
      <c r="I29" s="124"/>
      <c r="J29" s="201"/>
      <c r="K29" s="124"/>
      <c r="L29" s="128"/>
      <c r="M29" s="124"/>
      <c r="N29" s="128"/>
      <c r="O29" s="124"/>
      <c r="P29" s="124"/>
      <c r="Q29" s="125"/>
      <c r="R29" s="124">
        <f>SUM(D29:J29)+1</f>
        <v>304071.3162</v>
      </c>
      <c r="S29" s="126"/>
      <c r="T29" s="2"/>
    </row>
    <row r="30" spans="1:23" ht="15.75" x14ac:dyDescent="0.25">
      <c r="A30" s="120"/>
      <c r="B30" s="119" t="s">
        <v>108</v>
      </c>
      <c r="C30" s="123"/>
      <c r="D30" s="202">
        <f>D31*D28</f>
        <v>264433.83779999998</v>
      </c>
      <c r="E30" s="202"/>
      <c r="F30" s="202">
        <f t="shared" ref="F30" si="0">F31*F28</f>
        <v>24000</v>
      </c>
      <c r="G30" s="202"/>
      <c r="H30" s="202">
        <f t="shared" ref="H30" si="1">H31*H28</f>
        <v>7000</v>
      </c>
      <c r="I30" s="202"/>
      <c r="J30" s="202"/>
      <c r="K30" s="129"/>
      <c r="L30" s="131"/>
      <c r="M30" s="129"/>
      <c r="N30" s="131"/>
      <c r="O30" s="124"/>
      <c r="P30" s="124"/>
      <c r="Q30" s="125"/>
      <c r="R30" s="203">
        <f>SUM(D30:J30)</f>
        <v>295433.83779999998</v>
      </c>
      <c r="S30" s="126"/>
      <c r="T30" s="2"/>
    </row>
    <row r="31" spans="1:23" ht="15.75" x14ac:dyDescent="0.25">
      <c r="A31" s="110"/>
      <c r="B31" s="132" t="s">
        <v>104</v>
      </c>
      <c r="C31" s="133"/>
      <c r="D31" s="134">
        <v>0.82894619999999997</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0.8560198</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1.25313E-2</v>
      </c>
      <c r="E34" s="141"/>
      <c r="F34" s="141">
        <v>1.57313E-2</v>
      </c>
      <c r="G34" s="141"/>
      <c r="H34" s="141">
        <v>1.92313E-2</v>
      </c>
      <c r="I34" s="141"/>
      <c r="J34" s="141"/>
      <c r="K34" s="141"/>
      <c r="L34" s="141"/>
      <c r="M34" s="140"/>
      <c r="N34" s="141"/>
      <c r="O34" s="121"/>
      <c r="P34" s="121"/>
      <c r="Q34" s="113"/>
      <c r="R34" s="140">
        <f>SUMPRODUCT(D34:J34,D29:J29)/R29</f>
        <v>1.2938071247764277E-2</v>
      </c>
      <c r="S34" s="114"/>
      <c r="T34" s="2"/>
    </row>
    <row r="35" spans="1:21" ht="15.75" x14ac:dyDescent="0.25">
      <c r="A35" s="110"/>
      <c r="B35" s="111" t="s">
        <v>10</v>
      </c>
      <c r="C35" s="142"/>
      <c r="D35" s="141">
        <v>1.2656300000000001E-2</v>
      </c>
      <c r="E35" s="141"/>
      <c r="F35" s="141">
        <v>1.58563E-2</v>
      </c>
      <c r="G35" s="141"/>
      <c r="H35" s="141">
        <v>1.93563E-2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0.11723159281697648</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42415</v>
      </c>
      <c r="S45" s="114"/>
      <c r="T45" s="2"/>
    </row>
    <row r="46" spans="1:21" ht="15.75" x14ac:dyDescent="0.25">
      <c r="A46" s="110"/>
      <c r="B46" s="111" t="s">
        <v>100</v>
      </c>
      <c r="C46" s="111"/>
      <c r="D46" s="148"/>
      <c r="E46" s="148"/>
      <c r="F46" s="148"/>
      <c r="G46" s="148"/>
      <c r="H46" s="148"/>
      <c r="I46" s="148"/>
      <c r="J46" s="148"/>
      <c r="K46" s="148"/>
      <c r="L46" s="148"/>
      <c r="M46" s="148"/>
      <c r="N46" s="111">
        <f>+R46-P46+1</f>
        <v>91</v>
      </c>
      <c r="O46" s="111"/>
      <c r="P46" s="149">
        <v>42233</v>
      </c>
      <c r="Q46" s="150"/>
      <c r="R46" s="149">
        <v>42323</v>
      </c>
      <c r="S46" s="114"/>
      <c r="T46" s="2"/>
    </row>
    <row r="47" spans="1:21" ht="15.75" x14ac:dyDescent="0.25">
      <c r="A47" s="110"/>
      <c r="B47" s="111" t="s">
        <v>101</v>
      </c>
      <c r="C47" s="111"/>
      <c r="D47" s="111"/>
      <c r="E47" s="111"/>
      <c r="F47" s="111"/>
      <c r="G47" s="111"/>
      <c r="H47" s="111"/>
      <c r="I47" s="111"/>
      <c r="J47" s="111"/>
      <c r="K47" s="111"/>
      <c r="L47" s="111"/>
      <c r="M47" s="111"/>
      <c r="N47" s="111">
        <f>+R47-P47+1</f>
        <v>91</v>
      </c>
      <c r="O47" s="111"/>
      <c r="P47" s="149">
        <v>42324</v>
      </c>
      <c r="Q47" s="150"/>
      <c r="R47" s="149">
        <v>42414</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42401</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250</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302508</v>
      </c>
      <c r="I56" s="153"/>
      <c r="J56" s="154">
        <f>266+6</f>
        <v>272</v>
      </c>
      <c r="K56" s="153"/>
      <c r="L56" s="153">
        <f>8636-964-272+162-156</f>
        <v>7406</v>
      </c>
      <c r="M56" s="153"/>
      <c r="N56" s="153">
        <f>157+5</f>
        <v>162</v>
      </c>
      <c r="O56" s="153"/>
      <c r="P56" s="153">
        <v>964</v>
      </c>
      <c r="Q56" s="153"/>
      <c r="R56" s="154">
        <f>H56-J56-L56+N56-P56</f>
        <v>294028</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302508</v>
      </c>
      <c r="I59" s="153"/>
      <c r="J59" s="153">
        <f>J56+J57</f>
        <v>272</v>
      </c>
      <c r="K59" s="153"/>
      <c r="L59" s="153">
        <f>SUM(L56:L58)</f>
        <v>7406</v>
      </c>
      <c r="M59" s="153"/>
      <c r="N59" s="153">
        <f>SUM(N56:N58)</f>
        <v>162</v>
      </c>
      <c r="O59" s="153"/>
      <c r="P59" s="153">
        <f>SUM(P56:P58)</f>
        <v>964</v>
      </c>
      <c r="Q59" s="153"/>
      <c r="R59" s="153">
        <f>SUM(R56:R58)</f>
        <v>294028</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1563</v>
      </c>
      <c r="I70" s="153"/>
      <c r="J70" s="153">
        <v>0</v>
      </c>
      <c r="K70" s="153"/>
      <c r="L70" s="153"/>
      <c r="M70" s="153"/>
      <c r="N70" s="153">
        <v>-157</v>
      </c>
      <c r="O70" s="153"/>
      <c r="P70" s="153"/>
      <c r="Q70" s="153"/>
      <c r="R70" s="153">
        <f>H70+N70</f>
        <v>1406</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304071</v>
      </c>
      <c r="I72" s="153"/>
      <c r="J72" s="153"/>
      <c r="K72" s="153"/>
      <c r="L72" s="153"/>
      <c r="M72" s="153"/>
      <c r="N72" s="153"/>
      <c r="O72" s="153"/>
      <c r="P72" s="153"/>
      <c r="Q72" s="153"/>
      <c r="R72" s="153">
        <f>SUM(R59:R71)</f>
        <v>295434</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42398</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157</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f>-P77</f>
        <v>-157</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f>
        <v>8642</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4178+25-907-7+9</f>
        <v>3298</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121</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25</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50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8642</v>
      </c>
      <c r="Q89" s="111"/>
      <c r="R89" s="153">
        <f>SUM(R76:R88)</f>
        <v>3518</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8642</v>
      </c>
      <c r="Q92" s="111"/>
      <c r="R92" s="153">
        <f>R89+R90+R91</f>
        <v>3518</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-115-14-3</f>
        <v>-132</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-176</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-853</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-94</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-34</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-114</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-21-164</f>
        <v>-185</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-1901</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-5</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-8637</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-8642</v>
      </c>
      <c r="Q117" s="153"/>
      <c r="R117" s="153">
        <f>SUM(R93:R116)</f>
        <v>-3518</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JANUARY 2016</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1846.9848660000007</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8653.0151339999993</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+'October 15'!R146</f>
        <v>1563</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-157</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1406</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+'October 15'!R160</f>
        <v>352</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328</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294028</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1406</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295434</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295434</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+'October 15'!O176</f>
        <v>881</v>
      </c>
      <c r="P174" s="154">
        <f>+'October 15'!P176</f>
        <v>560</v>
      </c>
      <c r="Q174" s="111"/>
      <c r="R174" s="154">
        <f>O174+P174</f>
        <v>1441</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157</v>
      </c>
      <c r="P175" s="153">
        <v>5</v>
      </c>
      <c r="Q175" s="111"/>
      <c r="R175" s="154">
        <f>O175+P175</f>
        <v>162</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1038</v>
      </c>
      <c r="P176" s="154">
        <f>P175+P174</f>
        <v>565</v>
      </c>
      <c r="Q176" s="111"/>
      <c r="R176" s="154">
        <f>O176+P176</f>
        <v>1603</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26397</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3.7596717467760845</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3.59</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25.042553191489361</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25.48</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65.705882352941174</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67.739999999999995</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JANUARY 2016</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42398</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4.5731300000000003E-2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4.5109999999999997E-2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1.2938071247764277E-2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3.2171928752235721E-2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1.1569666295042934E-2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17.61</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2.8567839528210823E-2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0.1047</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759</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964</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'October 15'!P217+P216</f>
        <v>13</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2079</v>
      </c>
      <c r="O230" s="81">
        <f>N230/$N$239</f>
        <v>0.99807969275084019</v>
      </c>
      <c r="P230" s="82">
        <f>+P242+P254+P266</f>
        <v>292839</v>
      </c>
      <c r="Q230" s="81">
        <f t="shared" ref="Q230:Q237" si="2">P230/$P$239</f>
        <v>0.99595616743983562</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2</v>
      </c>
      <c r="O231" s="191">
        <f t="shared" ref="O231:O237" si="3">N231/$N$239</f>
        <v>9.6015362457993274E-4</v>
      </c>
      <c r="P231" s="154">
        <f>+P243+P255+P267</f>
        <v>321</v>
      </c>
      <c r="Q231" s="191">
        <f t="shared" si="2"/>
        <v>1.0917327601452922E-3</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4.8007681228996637E-4</v>
      </c>
      <c r="P232" s="154">
        <f t="shared" ref="P232:P237" si="5">+P244+P256+P268</f>
        <v>109</v>
      </c>
      <c r="Q232" s="191">
        <f t="shared" si="2"/>
        <v>3.7071299332036404E-4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1</v>
      </c>
      <c r="O236" s="191">
        <f t="shared" si="3"/>
        <v>4.8007681228996637E-4</v>
      </c>
      <c r="P236" s="154">
        <f t="shared" si="5"/>
        <v>759</v>
      </c>
      <c r="Q236" s="191">
        <f t="shared" si="2"/>
        <v>2.5813868066986816E-3</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0</v>
      </c>
      <c r="O237" s="191">
        <f t="shared" si="3"/>
        <v>0</v>
      </c>
      <c r="P237" s="194">
        <f t="shared" si="5"/>
        <v>0</v>
      </c>
      <c r="Q237" s="191">
        <f t="shared" si="2"/>
        <v>0</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2083</v>
      </c>
      <c r="O239" s="191">
        <f>SUM(O230:O238)</f>
        <v>1</v>
      </c>
      <c r="P239" s="154">
        <f>SUM(P230:P238)</f>
        <v>294028</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2079</v>
      </c>
      <c r="O242" s="81">
        <f>N242/$N$251</f>
        <v>0.99855907780979825</v>
      </c>
      <c r="P242" s="82">
        <v>292839</v>
      </c>
      <c r="Q242" s="81">
        <f t="shared" ref="Q242:Q249" si="6">P242/$P$251</f>
        <v>0.99853376933804805</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2</v>
      </c>
      <c r="O243" s="191">
        <f t="shared" ref="O243:O249" si="7">N243/$N$251</f>
        <v>9.6061479346781938E-4</v>
      </c>
      <c r="P243" s="154">
        <v>321</v>
      </c>
      <c r="Q243" s="191">
        <f t="shared" si="6"/>
        <v>1.0945582383409089E-3</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4.8030739673390969E-4</v>
      </c>
      <c r="P244" s="154">
        <v>109</v>
      </c>
      <c r="Q244" s="191">
        <f t="shared" si="6"/>
        <v>3.7167242361108743E-4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2082</v>
      </c>
      <c r="O251" s="191">
        <f>SUM(O242:O250)</f>
        <v>1</v>
      </c>
      <c r="P251" s="154">
        <f>SUM(P242:P250)</f>
        <v>293269</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1</v>
      </c>
      <c r="O260" s="191">
        <f>N260/N263</f>
        <v>1</v>
      </c>
      <c r="P260" s="154">
        <v>759</v>
      </c>
      <c r="Q260" s="191">
        <f>P260/P263</f>
        <v>1</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0</v>
      </c>
      <c r="O261" s="191">
        <v>0</v>
      </c>
      <c r="P261" s="154">
        <v>0</v>
      </c>
      <c r="Q261" s="191">
        <v>0</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759</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2083</v>
      </c>
      <c r="O277" s="191"/>
      <c r="P277" s="196">
        <f>+P275+P263+P251</f>
        <v>294028</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1406</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295434</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295434</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5.9234920855095095E-2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JANUARY 2016</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0.98719999999999997</v>
      </c>
      <c r="P16" s="229" t="s">
        <v>239</v>
      </c>
      <c r="Q16" s="229">
        <v>1.2800000000000001E-2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42510</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264433.83779999998</v>
      </c>
      <c r="E29" s="128"/>
      <c r="F29" s="201">
        <f>F28*F32</f>
        <v>24000</v>
      </c>
      <c r="G29" s="201"/>
      <c r="H29" s="201">
        <f>H28*H32</f>
        <v>7000</v>
      </c>
      <c r="I29" s="124"/>
      <c r="J29" s="201"/>
      <c r="K29" s="124"/>
      <c r="L29" s="128"/>
      <c r="M29" s="124"/>
      <c r="N29" s="128"/>
      <c r="O29" s="124"/>
      <c r="P29" s="124"/>
      <c r="Q29" s="125"/>
      <c r="R29" s="124">
        <f>SUM(D29:J29)</f>
        <v>295433.83779999998</v>
      </c>
      <c r="S29" s="126"/>
      <c r="T29" s="2"/>
    </row>
    <row r="30" spans="1:23" ht="15.75" x14ac:dyDescent="0.25">
      <c r="A30" s="120"/>
      <c r="B30" s="119" t="s">
        <v>108</v>
      </c>
      <c r="C30" s="123"/>
      <c r="D30" s="202">
        <f>D31*D28</f>
        <v>244777.60009999998</v>
      </c>
      <c r="E30" s="202"/>
      <c r="F30" s="202">
        <f t="shared" ref="F30" si="0">F31*F28</f>
        <v>24000</v>
      </c>
      <c r="G30" s="202"/>
      <c r="H30" s="202">
        <f t="shared" ref="H30" si="1">H31*H28</f>
        <v>7000</v>
      </c>
      <c r="I30" s="202"/>
      <c r="J30" s="202"/>
      <c r="K30" s="129"/>
      <c r="L30" s="131"/>
      <c r="M30" s="129"/>
      <c r="N30" s="131"/>
      <c r="O30" s="124"/>
      <c r="P30" s="124"/>
      <c r="Q30" s="125"/>
      <c r="R30" s="203">
        <f>SUM(D30:J30)</f>
        <v>275777.60009999998</v>
      </c>
      <c r="S30" s="126"/>
      <c r="T30" s="2"/>
    </row>
    <row r="31" spans="1:23" ht="15.75" x14ac:dyDescent="0.25">
      <c r="A31" s="110"/>
      <c r="B31" s="132" t="s">
        <v>104</v>
      </c>
      <c r="C31" s="133"/>
      <c r="D31" s="134">
        <v>0.76732789999999995</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0.82894619999999997</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1.27288E-2</v>
      </c>
      <c r="E34" s="141"/>
      <c r="F34" s="141">
        <v>1.59288E-2</v>
      </c>
      <c r="G34" s="141"/>
      <c r="H34" s="141">
        <v>1.94288E-2</v>
      </c>
      <c r="I34" s="141"/>
      <c r="J34" s="141"/>
      <c r="K34" s="141"/>
      <c r="L34" s="141"/>
      <c r="M34" s="140"/>
      <c r="N34" s="141"/>
      <c r="O34" s="121"/>
      <c r="P34" s="121"/>
      <c r="Q34" s="113"/>
      <c r="R34" s="140">
        <f>SUMPRODUCT(D34:J34,D29:J29)/R29</f>
        <v>1.3147506269130015E-2</v>
      </c>
      <c r="S34" s="114"/>
      <c r="T34" s="2"/>
    </row>
    <row r="35" spans="1:21" ht="15.75" x14ac:dyDescent="0.25">
      <c r="A35" s="110"/>
      <c r="B35" s="111" t="s">
        <v>10</v>
      </c>
      <c r="C35" s="142"/>
      <c r="D35" s="141">
        <v>1.25313E-2</v>
      </c>
      <c r="E35" s="141"/>
      <c r="F35" s="141">
        <v>1.57313E-2</v>
      </c>
      <c r="G35" s="141"/>
      <c r="H35" s="141">
        <v>1.92313E-2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0.12664557536039017</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42506</v>
      </c>
      <c r="S45" s="114"/>
      <c r="T45" s="2"/>
    </row>
    <row r="46" spans="1:21" ht="15.75" x14ac:dyDescent="0.25">
      <c r="A46" s="110"/>
      <c r="B46" s="111" t="s">
        <v>100</v>
      </c>
      <c r="C46" s="111"/>
      <c r="D46" s="148"/>
      <c r="E46" s="148"/>
      <c r="F46" s="148"/>
      <c r="G46" s="148"/>
      <c r="H46" s="148"/>
      <c r="I46" s="148"/>
      <c r="J46" s="148"/>
      <c r="K46" s="148"/>
      <c r="L46" s="148"/>
      <c r="M46" s="148"/>
      <c r="N46" s="111">
        <f>+R46-P46+1</f>
        <v>91</v>
      </c>
      <c r="O46" s="111"/>
      <c r="P46" s="149">
        <v>42324</v>
      </c>
      <c r="Q46" s="150"/>
      <c r="R46" s="149">
        <v>42414</v>
      </c>
      <c r="S46" s="114"/>
      <c r="T46" s="2"/>
    </row>
    <row r="47" spans="1:21" ht="15.75" x14ac:dyDescent="0.25">
      <c r="A47" s="110"/>
      <c r="B47" s="111" t="s">
        <v>101</v>
      </c>
      <c r="C47" s="111"/>
      <c r="D47" s="111"/>
      <c r="E47" s="111"/>
      <c r="F47" s="111"/>
      <c r="G47" s="111"/>
      <c r="H47" s="111"/>
      <c r="I47" s="111"/>
      <c r="J47" s="111"/>
      <c r="K47" s="111"/>
      <c r="L47" s="111"/>
      <c r="M47" s="111"/>
      <c r="N47" s="111">
        <f>+R47-P47+1</f>
        <v>91</v>
      </c>
      <c r="O47" s="111"/>
      <c r="P47" s="149">
        <v>42415</v>
      </c>
      <c r="Q47" s="150"/>
      <c r="R47" s="149">
        <v>42505</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42493</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251</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294028</v>
      </c>
      <c r="I56" s="153"/>
      <c r="J56" s="154">
        <f>264+6</f>
        <v>270</v>
      </c>
      <c r="K56" s="153"/>
      <c r="L56" s="153">
        <f>18773+6-270-4448</f>
        <v>14061</v>
      </c>
      <c r="M56" s="153"/>
      <c r="N56" s="153">
        <f>511+18</f>
        <v>529</v>
      </c>
      <c r="O56" s="153"/>
      <c r="P56" s="153">
        <f>612+1553+2283</f>
        <v>4448</v>
      </c>
      <c r="Q56" s="153"/>
      <c r="R56" s="154">
        <f>H56-J56-L56+N56-P56</f>
        <v>275778</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294028</v>
      </c>
      <c r="I59" s="153"/>
      <c r="J59" s="153">
        <f>J56+J57</f>
        <v>270</v>
      </c>
      <c r="K59" s="153"/>
      <c r="L59" s="153">
        <f>SUM(L56:L58)</f>
        <v>14061</v>
      </c>
      <c r="M59" s="153"/>
      <c r="N59" s="153">
        <f>SUM(N56:N58)</f>
        <v>529</v>
      </c>
      <c r="O59" s="153"/>
      <c r="P59" s="153">
        <f>SUM(P56:P58)</f>
        <v>4448</v>
      </c>
      <c r="Q59" s="153"/>
      <c r="R59" s="153">
        <f>SUM(R56:R58)</f>
        <v>275778</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1406</v>
      </c>
      <c r="I70" s="153"/>
      <c r="J70" s="153">
        <v>0</v>
      </c>
      <c r="K70" s="153"/>
      <c r="L70" s="153"/>
      <c r="M70" s="153"/>
      <c r="N70" s="153">
        <v>-1406</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295434</v>
      </c>
      <c r="I72" s="153"/>
      <c r="J72" s="153"/>
      <c r="K72" s="153"/>
      <c r="L72" s="153"/>
      <c r="M72" s="153"/>
      <c r="N72" s="153"/>
      <c r="O72" s="153"/>
      <c r="P72" s="153"/>
      <c r="Q72" s="153"/>
      <c r="R72" s="153">
        <f>SUM(R59:R71)</f>
        <v>275778</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42489</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1406</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-511</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+J56+L56+P56-1</f>
        <v>18778</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3759+25-565-7+9</f>
        <v>3221</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171</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26</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23</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19673</v>
      </c>
      <c r="Q89" s="111"/>
      <c r="R89" s="153">
        <f>SUM(R76:R88)</f>
        <v>3441</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19673</v>
      </c>
      <c r="Q92" s="111"/>
      <c r="R92" s="153">
        <f>R89+R90+R91</f>
        <v>3441</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-109-20-3</f>
        <v>-132</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-145</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-839</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-95</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-1</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1</v>
      </c>
      <c r="Q101" s="111"/>
      <c r="R101" s="154">
        <v>-1</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-34</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-109</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-19-164</f>
        <v>-183</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-1874</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-18</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v>0</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-19656</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-19674</v>
      </c>
      <c r="Q117" s="153"/>
      <c r="R117" s="153">
        <f>SUM(R93:R116)</f>
        <v>-3441</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APRIL 2016</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2436.6719970000013</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8063.3280029999987</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+'January 16'!R146</f>
        <v>1406</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-511</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-895</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1</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1</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-1</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+'January 16'!R160</f>
        <v>328</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23</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305</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275778</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275778</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275778</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+'January 16'!O176</f>
        <v>1038</v>
      </c>
      <c r="P174" s="154">
        <f>+'January 16'!P176</f>
        <v>565</v>
      </c>
      <c r="Q174" s="111"/>
      <c r="R174" s="154">
        <f>O174+P174</f>
        <v>1603</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511</v>
      </c>
      <c r="P175" s="153">
        <v>18</v>
      </c>
      <c r="Q175" s="111"/>
      <c r="R175" s="154">
        <f>O175+P175</f>
        <v>529</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1549</v>
      </c>
      <c r="P176" s="154">
        <f>P175+P174</f>
        <v>583</v>
      </c>
      <c r="Q176" s="111"/>
      <c r="R176" s="154">
        <f>O176+P176</f>
        <v>2132</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25868</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3.7675804529201429</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3.61</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24.442105263157895</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25.34</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64.705882352941174</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67.319999999999993</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APRIL 2016</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42489</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4.5928799999999999E-2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4.5609999999999998E-2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1.3147506269130015E-2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3.2462493730869985E-2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1.1647271471800807E-2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17.440000000000001</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6.3868066986817587E-2</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0.1237</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759</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4448</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1</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'January 16'!P217+P216</f>
        <v>14</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1965</v>
      </c>
      <c r="O230" s="81">
        <f>N230/$N$239</f>
        <v>0.99796851193499236</v>
      </c>
      <c r="P230" s="82">
        <f>+P242+P254+P266</f>
        <v>274589</v>
      </c>
      <c r="Q230" s="81">
        <f t="shared" ref="Q230:Q237" si="2">P230/$P$239</f>
        <v>0.99568856108899184</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2</v>
      </c>
      <c r="O231" s="191">
        <f t="shared" ref="O231:O237" si="3">N231/$N$239</f>
        <v>1.015744032503809E-3</v>
      </c>
      <c r="P231" s="154">
        <f>+P243+P255+P267</f>
        <v>321</v>
      </c>
      <c r="Q231" s="191">
        <f t="shared" si="2"/>
        <v>1.1639797228205297E-3</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5.0787201625190448E-4</v>
      </c>
      <c r="P232" s="154">
        <f t="shared" ref="P232:P237" si="5">+P244+P256+P268</f>
        <v>109</v>
      </c>
      <c r="Q232" s="191">
        <f t="shared" si="2"/>
        <v>3.9524545105120785E-4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1</v>
      </c>
      <c r="O237" s="191">
        <f t="shared" si="3"/>
        <v>5.0787201625190448E-4</v>
      </c>
      <c r="P237" s="194">
        <f t="shared" si="5"/>
        <v>759</v>
      </c>
      <c r="Q237" s="191">
        <f t="shared" si="2"/>
        <v>2.7522137371363922E-3</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1969</v>
      </c>
      <c r="O239" s="191">
        <f>SUM(O230:O238)</f>
        <v>1</v>
      </c>
      <c r="P239" s="154">
        <f>SUM(P230:P238)</f>
        <v>275778</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1965</v>
      </c>
      <c r="O242" s="81">
        <f>N242/$N$251</f>
        <v>0.99847560975609762</v>
      </c>
      <c r="P242" s="82">
        <v>274589</v>
      </c>
      <c r="Q242" s="81">
        <f t="shared" ref="Q242:Q249" si="6">P242/$P$251</f>
        <v>0.99843647166195792</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2</v>
      </c>
      <c r="O243" s="191">
        <f t="shared" ref="O243:O249" si="7">N243/$N$251</f>
        <v>1.0162601626016261E-3</v>
      </c>
      <c r="P243" s="154">
        <v>321</v>
      </c>
      <c r="Q243" s="191">
        <f t="shared" si="6"/>
        <v>1.1671920849104971E-3</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5.0813008130081306E-4</v>
      </c>
      <c r="P244" s="154">
        <v>109</v>
      </c>
      <c r="Q244" s="191">
        <f t="shared" si="6"/>
        <v>3.9633625313160184E-4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1968</v>
      </c>
      <c r="O251" s="191">
        <f>SUM(O242:O250)</f>
        <v>1</v>
      </c>
      <c r="P251" s="154">
        <f>SUM(P242:P250)</f>
        <v>275019</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1</v>
      </c>
      <c r="O261" s="191">
        <f>N261/N263</f>
        <v>1</v>
      </c>
      <c r="P261" s="154">
        <v>759</v>
      </c>
      <c r="Q261" s="191">
        <f>P261/P263</f>
        <v>1</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759</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1969</v>
      </c>
      <c r="O277" s="191"/>
      <c r="P277" s="196">
        <f>+P275+P263+P251</f>
        <v>275778</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275778</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275778</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6.3456930489112634E-2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APRIL 2016</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926"/>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0.9829</v>
      </c>
      <c r="P16" s="229" t="s">
        <v>239</v>
      </c>
      <c r="Q16" s="229">
        <v>1.7100000000000001E-2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42600</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244777.60009999998</v>
      </c>
      <c r="E29" s="128"/>
      <c r="F29" s="201">
        <f>F28*F32</f>
        <v>24000</v>
      </c>
      <c r="G29" s="201"/>
      <c r="H29" s="201">
        <f>H28*H32</f>
        <v>7000</v>
      </c>
      <c r="I29" s="124"/>
      <c r="J29" s="201"/>
      <c r="K29" s="124"/>
      <c r="L29" s="128"/>
      <c r="M29" s="124"/>
      <c r="N29" s="128"/>
      <c r="O29" s="124"/>
      <c r="P29" s="124"/>
      <c r="Q29" s="125"/>
      <c r="R29" s="124">
        <f>SUM(D29:J29)</f>
        <v>275777.60009999998</v>
      </c>
      <c r="S29" s="126"/>
      <c r="T29" s="2"/>
    </row>
    <row r="30" spans="1:23" ht="15.75" x14ac:dyDescent="0.25">
      <c r="A30" s="120"/>
      <c r="B30" s="119" t="s">
        <v>108</v>
      </c>
      <c r="C30" s="123"/>
      <c r="D30" s="202">
        <f>D31*D28</f>
        <v>174549.52680000002</v>
      </c>
      <c r="E30" s="202"/>
      <c r="F30" s="202">
        <f t="shared" ref="F30" si="0">F31*F28</f>
        <v>24000</v>
      </c>
      <c r="G30" s="202"/>
      <c r="H30" s="202">
        <f t="shared" ref="H30" si="1">H31*H28</f>
        <v>7000</v>
      </c>
      <c r="I30" s="202"/>
      <c r="J30" s="202"/>
      <c r="K30" s="129"/>
      <c r="L30" s="131"/>
      <c r="M30" s="129"/>
      <c r="N30" s="131"/>
      <c r="O30" s="124"/>
      <c r="P30" s="124"/>
      <c r="Q30" s="125"/>
      <c r="R30" s="203">
        <f>SUM(D30:J30)</f>
        <v>205549.52680000002</v>
      </c>
      <c r="S30" s="126"/>
      <c r="T30" s="2"/>
    </row>
    <row r="31" spans="1:23" ht="15.75" x14ac:dyDescent="0.25">
      <c r="A31" s="110"/>
      <c r="B31" s="132" t="s">
        <v>104</v>
      </c>
      <c r="C31" s="133"/>
      <c r="D31" s="134">
        <v>0.54717720000000003</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0.76732789999999995</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1.27075E-2</v>
      </c>
      <c r="E34" s="141"/>
      <c r="F34" s="141">
        <v>1.5907500000000001E-2</v>
      </c>
      <c r="G34" s="141"/>
      <c r="H34" s="141">
        <v>1.9407500000000001E-2</v>
      </c>
      <c r="I34" s="141"/>
      <c r="J34" s="141"/>
      <c r="K34" s="141"/>
      <c r="L34" s="141"/>
      <c r="M34" s="140"/>
      <c r="N34" s="141"/>
      <c r="O34" s="121"/>
      <c r="P34" s="121"/>
      <c r="Q34" s="113"/>
      <c r="R34" s="140">
        <f>SUMPRODUCT(D34:J34,D29:J29)/R29</f>
        <v>1.3156049845800185E-2</v>
      </c>
      <c r="S34" s="114"/>
      <c r="T34" s="2"/>
    </row>
    <row r="35" spans="1:21" ht="15.75" x14ac:dyDescent="0.25">
      <c r="A35" s="110"/>
      <c r="B35" s="111" t="s">
        <v>10</v>
      </c>
      <c r="C35" s="142"/>
      <c r="D35" s="141">
        <v>1.27288E-2</v>
      </c>
      <c r="E35" s="141"/>
      <c r="F35" s="141">
        <v>1.59288E-2</v>
      </c>
      <c r="G35" s="141"/>
      <c r="H35" s="141">
        <v>1.94288E-2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0.17760002314712661</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42597</v>
      </c>
      <c r="S45" s="114"/>
      <c r="T45" s="2"/>
    </row>
    <row r="46" spans="1:21" ht="15.75" x14ac:dyDescent="0.25">
      <c r="A46" s="110"/>
      <c r="B46" s="111" t="s">
        <v>100</v>
      </c>
      <c r="C46" s="111"/>
      <c r="D46" s="148"/>
      <c r="E46" s="148"/>
      <c r="F46" s="148"/>
      <c r="G46" s="148"/>
      <c r="H46" s="148"/>
      <c r="I46" s="148"/>
      <c r="J46" s="148"/>
      <c r="K46" s="148"/>
      <c r="L46" s="148"/>
      <c r="M46" s="148"/>
      <c r="N46" s="111">
        <f>+R46-P46+1</f>
        <v>91</v>
      </c>
      <c r="O46" s="111"/>
      <c r="P46" s="149">
        <v>42415</v>
      </c>
      <c r="Q46" s="150"/>
      <c r="R46" s="149">
        <v>42505</v>
      </c>
      <c r="S46" s="114"/>
      <c r="T46" s="2"/>
    </row>
    <row r="47" spans="1:21" ht="15.75" x14ac:dyDescent="0.25">
      <c r="A47" s="110"/>
      <c r="B47" s="111" t="s">
        <v>101</v>
      </c>
      <c r="C47" s="111"/>
      <c r="D47" s="111"/>
      <c r="E47" s="111"/>
      <c r="F47" s="111"/>
      <c r="G47" s="111"/>
      <c r="H47" s="111"/>
      <c r="I47" s="111"/>
      <c r="J47" s="111"/>
      <c r="K47" s="111"/>
      <c r="L47" s="111"/>
      <c r="M47" s="111"/>
      <c r="N47" s="111">
        <f>+R47-P47+1</f>
        <v>91</v>
      </c>
      <c r="O47" s="111"/>
      <c r="P47" s="149">
        <v>42506</v>
      </c>
      <c r="Q47" s="150"/>
      <c r="R47" s="149">
        <v>42596</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42583</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252</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275778</v>
      </c>
      <c r="I56" s="153"/>
      <c r="J56" s="154">
        <f>219+6</f>
        <v>225</v>
      </c>
      <c r="K56" s="153"/>
      <c r="L56" s="153">
        <f>70228-225-11438+217</f>
        <v>58782</v>
      </c>
      <c r="M56" s="153"/>
      <c r="N56" s="153">
        <v>217</v>
      </c>
      <c r="O56" s="153"/>
      <c r="P56" s="153">
        <f>3209+4258+3971</f>
        <v>11438</v>
      </c>
      <c r="Q56" s="153"/>
      <c r="R56" s="154">
        <f>H56-J56-L56+N56-P56</f>
        <v>205550</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275778</v>
      </c>
      <c r="I59" s="153"/>
      <c r="J59" s="153">
        <f>J56+J57</f>
        <v>225</v>
      </c>
      <c r="K59" s="153"/>
      <c r="L59" s="153">
        <f>SUM(L56:L58)</f>
        <v>58782</v>
      </c>
      <c r="M59" s="153"/>
      <c r="N59" s="153">
        <f>SUM(N56:N58)</f>
        <v>217</v>
      </c>
      <c r="O59" s="153"/>
      <c r="P59" s="153">
        <f>SUM(P56:P58)</f>
        <v>11438</v>
      </c>
      <c r="Q59" s="153"/>
      <c r="R59" s="153">
        <f>SUM(R56:R58)</f>
        <v>205550</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0</v>
      </c>
      <c r="I70" s="153"/>
      <c r="J70" s="153">
        <v>0</v>
      </c>
      <c r="K70" s="153"/>
      <c r="L70" s="153"/>
      <c r="M70" s="153"/>
      <c r="N70" s="153">
        <v>0</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275778</v>
      </c>
      <c r="I72" s="153"/>
      <c r="J72" s="153"/>
      <c r="K72" s="153"/>
      <c r="L72" s="153"/>
      <c r="M72" s="153"/>
      <c r="N72" s="153"/>
      <c r="O72" s="153"/>
      <c r="P72" s="153"/>
      <c r="Q72" s="153"/>
      <c r="R72" s="153">
        <f>SUM(R59:R71)</f>
        <v>205550</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42580</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0</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+J56+L56+P56-1</f>
        <v>70444</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6877+27-4152-7+93</f>
        <v>2838</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305</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43</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24</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70444</v>
      </c>
      <c r="Q89" s="111"/>
      <c r="R89" s="153">
        <f>SUM(R76:R88)</f>
        <v>3210</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70444</v>
      </c>
      <c r="Q92" s="111"/>
      <c r="R92" s="153">
        <f>R89+R90+R91</f>
        <v>3210</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-104-61-3</f>
        <v>-168</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-49</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-775</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-95</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0</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1</v>
      </c>
      <c r="Q101" s="111"/>
      <c r="R101" s="154">
        <v>-1</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-34</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-105</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-18-164</f>
        <v>-182</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-1773</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-3</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f>-O175</f>
        <v>-214</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-70228</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-70445</v>
      </c>
      <c r="Q117" s="153"/>
      <c r="R117" s="153">
        <f>SUM(R93:R116)</f>
        <v>-3210</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JULY 2016</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4543.5141959999992</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5956.4858040000008</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+'April 16'!R146</f>
        <v>0</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1</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1</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-1</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+'April 16'!R160</f>
        <v>305</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24</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281</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205550</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205550</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205550</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+'April 16'!O176</f>
        <v>1549</v>
      </c>
      <c r="P174" s="154">
        <f>+'April 16'!P176</f>
        <v>583</v>
      </c>
      <c r="Q174" s="111"/>
      <c r="R174" s="154">
        <f>O174+P174</f>
        <v>2132</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214</v>
      </c>
      <c r="P175" s="153">
        <v>3</v>
      </c>
      <c r="Q175" s="111"/>
      <c r="R175" s="154">
        <f>O175+P175</f>
        <v>217</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1763</v>
      </c>
      <c r="P176" s="154">
        <f>P175+P174</f>
        <v>586</v>
      </c>
      <c r="Q176" s="111"/>
      <c r="R176" s="154">
        <f>O176+P176</f>
        <v>2349</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25651</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3.8580645161290321</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3.64</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23.315789473684209</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25.1</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61.588235294117645</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66.63</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JULY 2016</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42580</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4.5907499999999997E-2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5.1299999999999998E-2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1.3156049845800185E-2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3.8143950154199815E-2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1.1639797228205295E-2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17.010000000000002</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0.25544097063580123</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0.22919999999999999</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760</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11438</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1</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'April 16'!P217+P216</f>
        <v>15</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1454</v>
      </c>
      <c r="O230" s="81">
        <f>N230/$N$239</f>
        <v>0.99794097460535347</v>
      </c>
      <c r="P230" s="82">
        <f>+P242+P254+P266</f>
        <v>204617</v>
      </c>
      <c r="Q230" s="81">
        <f t="shared" ref="Q230:Q237" si="2">P230/$P$239</f>
        <v>0.99546095840428117</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6.863417982155113E-4</v>
      </c>
      <c r="P231" s="154">
        <f>+P243+P255+P267</f>
        <v>64</v>
      </c>
      <c r="Q231" s="191">
        <f t="shared" si="2"/>
        <v>3.1135976648017516E-4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6.863417982155113E-4</v>
      </c>
      <c r="P232" s="154">
        <f t="shared" ref="P232:P237" si="5">+P244+P256+P268</f>
        <v>109</v>
      </c>
      <c r="Q232" s="191">
        <f t="shared" si="2"/>
        <v>5.3028460228654833E-4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1</v>
      </c>
      <c r="O237" s="191">
        <f t="shared" si="3"/>
        <v>6.863417982155113E-4</v>
      </c>
      <c r="P237" s="194">
        <f t="shared" si="5"/>
        <v>760</v>
      </c>
      <c r="Q237" s="191">
        <f t="shared" si="2"/>
        <v>3.6973972269520798E-3</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1457</v>
      </c>
      <c r="O239" s="191">
        <f>SUM(O230:O238)</f>
        <v>0.99999999999999989</v>
      </c>
      <c r="P239" s="154">
        <f>SUM(P230:P238)</f>
        <v>205550</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1454</v>
      </c>
      <c r="O242" s="81">
        <f>N242/$N$251</f>
        <v>0.99862637362637363</v>
      </c>
      <c r="P242" s="82">
        <v>204617</v>
      </c>
      <c r="Q242" s="81">
        <f t="shared" ref="Q242:Q249" si="6">P242/$P$251</f>
        <v>0.99915523218907176</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1</v>
      </c>
      <c r="O243" s="191">
        <f t="shared" ref="O243:O249" si="7">N243/$N$251</f>
        <v>6.8681318681318687E-4</v>
      </c>
      <c r="P243" s="154">
        <v>64</v>
      </c>
      <c r="Q243" s="191">
        <f t="shared" si="6"/>
        <v>3.1251525953415694E-4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6.8681318681318687E-4</v>
      </c>
      <c r="P244" s="154">
        <v>109</v>
      </c>
      <c r="Q244" s="191">
        <f t="shared" si="6"/>
        <v>5.3225255139411102E-4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1456</v>
      </c>
      <c r="O251" s="191">
        <f>SUM(O242:O250)</f>
        <v>1</v>
      </c>
      <c r="P251" s="154">
        <f>SUM(P242:P250)</f>
        <v>204790</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1</v>
      </c>
      <c r="O261" s="191">
        <f>N261/N263</f>
        <v>1</v>
      </c>
      <c r="P261" s="154">
        <v>760</v>
      </c>
      <c r="Q261" s="191">
        <f>P261/P263</f>
        <v>1</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760</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1457</v>
      </c>
      <c r="O277" s="191"/>
      <c r="P277" s="196">
        <f>+P275+P263+P251</f>
        <v>205550</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205550</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205550</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8.5137632143651318E-2</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JULY 2016</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292"/>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0" t="s">
        <v>208</v>
      </c>
      <c r="C1" s="11"/>
      <c r="D1" s="11"/>
      <c r="E1" s="11"/>
      <c r="F1" s="11"/>
      <c r="G1" s="11"/>
      <c r="H1" s="11"/>
      <c r="I1" s="11"/>
      <c r="J1" s="11"/>
      <c r="K1" s="11"/>
      <c r="L1" s="11"/>
      <c r="M1" s="11"/>
      <c r="N1" s="11"/>
      <c r="O1" s="11"/>
      <c r="P1" s="11"/>
      <c r="Q1" s="11"/>
      <c r="R1" s="11"/>
      <c r="S1" s="215"/>
      <c r="T1" s="2"/>
    </row>
    <row r="2" spans="1:20" ht="15.75" x14ac:dyDescent="0.25">
      <c r="A2" s="12"/>
      <c r="B2" s="13"/>
      <c r="C2" s="14"/>
      <c r="D2" s="14"/>
      <c r="E2" s="14"/>
      <c r="F2" s="14"/>
      <c r="G2" s="14"/>
      <c r="H2" s="14"/>
      <c r="I2" s="14"/>
      <c r="J2" s="14"/>
      <c r="K2" s="14"/>
      <c r="L2" s="14"/>
      <c r="M2" s="14"/>
      <c r="N2" s="14"/>
      <c r="O2" s="14"/>
      <c r="P2" s="14"/>
      <c r="Q2" s="14"/>
      <c r="R2" s="14"/>
      <c r="S2" s="216"/>
      <c r="T2" s="2"/>
    </row>
    <row r="3" spans="1:20" ht="15.75" x14ac:dyDescent="0.25">
      <c r="A3" s="15"/>
      <c r="B3" s="16" t="s">
        <v>209</v>
      </c>
      <c r="C3" s="14"/>
      <c r="D3" s="14"/>
      <c r="E3" s="14"/>
      <c r="F3" s="14"/>
      <c r="G3" s="14"/>
      <c r="H3" s="14"/>
      <c r="I3" s="14"/>
      <c r="J3" s="14"/>
      <c r="K3" s="14"/>
      <c r="L3" s="14"/>
      <c r="M3" s="14"/>
      <c r="N3" s="14"/>
      <c r="O3" s="14"/>
      <c r="P3" s="14"/>
      <c r="Q3" s="14"/>
      <c r="R3" s="14"/>
      <c r="S3" s="216"/>
      <c r="T3" s="2"/>
    </row>
    <row r="4" spans="1:20" ht="15.75" x14ac:dyDescent="0.25">
      <c r="A4" s="12"/>
      <c r="B4" s="13"/>
      <c r="C4" s="14"/>
      <c r="D4" s="14"/>
      <c r="E4" s="14"/>
      <c r="F4" s="14"/>
      <c r="G4" s="14"/>
      <c r="H4" s="14"/>
      <c r="I4" s="14"/>
      <c r="J4" s="14"/>
      <c r="K4" s="14"/>
      <c r="L4" s="14"/>
      <c r="M4" s="14"/>
      <c r="N4" s="14"/>
      <c r="O4" s="14"/>
      <c r="P4" s="14"/>
      <c r="Q4" s="14"/>
      <c r="R4" s="14"/>
      <c r="S4" s="216"/>
      <c r="T4" s="2"/>
    </row>
    <row r="5" spans="1:20" ht="15.75" x14ac:dyDescent="0.25">
      <c r="A5" s="12"/>
      <c r="B5" s="101" t="s">
        <v>110</v>
      </c>
      <c r="C5" s="14"/>
      <c r="D5" s="14"/>
      <c r="E5" s="14"/>
      <c r="F5" s="14"/>
      <c r="G5" s="14"/>
      <c r="H5" s="14"/>
      <c r="I5" s="14"/>
      <c r="J5" s="14"/>
      <c r="K5" s="14"/>
      <c r="L5" s="14"/>
      <c r="M5" s="14"/>
      <c r="N5" s="14"/>
      <c r="O5" s="14"/>
      <c r="P5" s="14"/>
      <c r="Q5" s="14"/>
      <c r="R5" s="14"/>
      <c r="S5" s="216"/>
      <c r="T5" s="2"/>
    </row>
    <row r="6" spans="1:20" ht="15.75" x14ac:dyDescent="0.25">
      <c r="A6" s="12"/>
      <c r="B6" s="101" t="s">
        <v>112</v>
      </c>
      <c r="C6" s="14"/>
      <c r="D6" s="14"/>
      <c r="E6" s="14"/>
      <c r="F6" s="14"/>
      <c r="G6" s="14"/>
      <c r="H6" s="14"/>
      <c r="I6" s="14"/>
      <c r="J6" s="14"/>
      <c r="K6" s="14"/>
      <c r="L6" s="14"/>
      <c r="M6" s="14"/>
      <c r="N6" s="14"/>
      <c r="O6" s="14"/>
      <c r="P6" s="14"/>
      <c r="Q6" s="14"/>
      <c r="R6" s="14"/>
      <c r="S6" s="216"/>
      <c r="T6" s="2"/>
    </row>
    <row r="7" spans="1:20" ht="15.75" x14ac:dyDescent="0.25">
      <c r="A7" s="12"/>
      <c r="B7" s="101" t="s">
        <v>111</v>
      </c>
      <c r="C7" s="14"/>
      <c r="D7" s="14"/>
      <c r="E7" s="14"/>
      <c r="F7" s="14"/>
      <c r="G7" s="14"/>
      <c r="H7" s="14"/>
      <c r="I7" s="14"/>
      <c r="J7" s="14"/>
      <c r="K7" s="14"/>
      <c r="L7" s="14"/>
      <c r="M7" s="14"/>
      <c r="N7" s="14"/>
      <c r="O7" s="14"/>
      <c r="P7" s="14"/>
      <c r="Q7" s="14"/>
      <c r="R7" s="14"/>
      <c r="S7" s="216"/>
      <c r="T7" s="2"/>
    </row>
    <row r="8" spans="1:20" ht="15.75" x14ac:dyDescent="0.25">
      <c r="A8" s="12"/>
      <c r="B8" s="17"/>
      <c r="C8" s="14"/>
      <c r="D8" s="14"/>
      <c r="E8" s="14"/>
      <c r="F8" s="14"/>
      <c r="G8" s="14"/>
      <c r="H8" s="14"/>
      <c r="I8" s="14"/>
      <c r="J8" s="14"/>
      <c r="K8" s="14"/>
      <c r="L8" s="14"/>
      <c r="M8" s="14"/>
      <c r="N8" s="14"/>
      <c r="O8" s="14"/>
      <c r="P8" s="14"/>
      <c r="Q8" s="14"/>
      <c r="R8" s="14"/>
      <c r="S8" s="216"/>
      <c r="T8" s="2"/>
    </row>
    <row r="9" spans="1:20" ht="18.75" x14ac:dyDescent="0.3">
      <c r="A9" s="12"/>
      <c r="B9" s="18" t="s">
        <v>128</v>
      </c>
      <c r="C9" s="14"/>
      <c r="D9" s="14"/>
      <c r="E9" s="19"/>
      <c r="F9" s="14"/>
      <c r="G9" s="14"/>
      <c r="H9" s="19"/>
      <c r="I9" s="14"/>
      <c r="J9" s="19"/>
      <c r="K9" s="19" t="s">
        <v>129</v>
      </c>
      <c r="L9" s="19"/>
      <c r="M9" s="14"/>
      <c r="N9" s="14"/>
      <c r="O9" s="14"/>
      <c r="P9" s="14"/>
      <c r="Q9" s="14"/>
      <c r="R9" s="14"/>
      <c r="S9" s="216"/>
      <c r="T9" s="2"/>
    </row>
    <row r="10" spans="1:20" ht="15.75" x14ac:dyDescent="0.25">
      <c r="A10" s="12"/>
      <c r="B10" s="17"/>
      <c r="C10" s="20"/>
      <c r="D10" s="14"/>
      <c r="E10" s="14"/>
      <c r="F10" s="14"/>
      <c r="G10" s="14"/>
      <c r="H10" s="14"/>
      <c r="I10" s="14"/>
      <c r="J10" s="14"/>
      <c r="K10" s="14"/>
      <c r="L10" s="14"/>
      <c r="M10" s="14"/>
      <c r="N10" s="14"/>
      <c r="O10" s="14"/>
      <c r="P10" s="14"/>
      <c r="Q10" s="14"/>
      <c r="R10" s="14"/>
      <c r="S10" s="216"/>
      <c r="T10" s="2"/>
    </row>
    <row r="11" spans="1:20" ht="15.75" x14ac:dyDescent="0.25">
      <c r="A11" s="12"/>
      <c r="B11" s="88" t="s">
        <v>0</v>
      </c>
      <c r="C11" s="14"/>
      <c r="D11" s="14"/>
      <c r="E11" s="14"/>
      <c r="F11" s="14"/>
      <c r="G11" s="14"/>
      <c r="H11" s="14"/>
      <c r="I11" s="14"/>
      <c r="J11" s="14"/>
      <c r="K11" s="14"/>
      <c r="L11" s="14"/>
      <c r="M11" s="14"/>
      <c r="N11" s="14"/>
      <c r="O11" s="14"/>
      <c r="P11" s="14"/>
      <c r="Q11" s="14"/>
      <c r="R11" s="14"/>
      <c r="S11" s="216"/>
      <c r="T11" s="2"/>
    </row>
    <row r="12" spans="1:20" ht="16.5" thickBot="1" x14ac:dyDescent="0.3">
      <c r="A12" s="12"/>
      <c r="B12" s="20"/>
      <c r="C12" s="14"/>
      <c r="D12" s="14"/>
      <c r="E12" s="14"/>
      <c r="F12" s="14"/>
      <c r="G12" s="14"/>
      <c r="H12" s="14"/>
      <c r="I12" s="14"/>
      <c r="J12" s="14"/>
      <c r="K12" s="14"/>
      <c r="L12" s="14"/>
      <c r="M12" s="14"/>
      <c r="N12" s="14"/>
      <c r="O12" s="14"/>
      <c r="P12" s="14"/>
      <c r="Q12" s="14"/>
      <c r="R12" s="14"/>
      <c r="S12" s="216"/>
      <c r="T12" s="2"/>
    </row>
    <row r="13" spans="1:20" ht="15.75" x14ac:dyDescent="0.25">
      <c r="A13" s="10"/>
      <c r="B13" s="11"/>
      <c r="C13" s="11"/>
      <c r="D13" s="11"/>
      <c r="E13" s="11"/>
      <c r="F13" s="11"/>
      <c r="G13" s="11"/>
      <c r="H13" s="11"/>
      <c r="I13" s="11"/>
      <c r="J13" s="11"/>
      <c r="K13" s="11"/>
      <c r="L13" s="11"/>
      <c r="M13" s="11"/>
      <c r="N13" s="11"/>
      <c r="O13" s="11"/>
      <c r="P13" s="11"/>
      <c r="Q13" s="11"/>
      <c r="R13" s="11"/>
      <c r="S13" s="215"/>
      <c r="T13" s="2"/>
    </row>
    <row r="14" spans="1:20" ht="15.75" x14ac:dyDescent="0.25">
      <c r="A14" s="12"/>
      <c r="B14" s="88" t="s">
        <v>1</v>
      </c>
      <c r="C14" s="84"/>
      <c r="D14" s="84"/>
      <c r="E14" s="84"/>
      <c r="F14" s="84"/>
      <c r="G14" s="84"/>
      <c r="H14" s="84"/>
      <c r="I14" s="84"/>
      <c r="J14" s="84"/>
      <c r="K14" s="84"/>
      <c r="L14" s="84"/>
      <c r="M14" s="84"/>
      <c r="N14" s="84"/>
      <c r="O14" s="84"/>
      <c r="P14" s="84"/>
      <c r="Q14" s="84"/>
      <c r="R14" s="102" t="s">
        <v>210</v>
      </c>
      <c r="S14" s="217"/>
      <c r="T14" s="2"/>
    </row>
    <row r="15" spans="1:20" ht="15.75" x14ac:dyDescent="0.25">
      <c r="A15" s="12"/>
      <c r="B15" s="88" t="s">
        <v>2</v>
      </c>
      <c r="C15" s="84"/>
      <c r="D15" s="103"/>
      <c r="E15" s="103"/>
      <c r="F15" s="103"/>
      <c r="G15" s="103"/>
      <c r="H15" s="103"/>
      <c r="I15" s="103"/>
      <c r="J15" s="103"/>
      <c r="K15" s="103"/>
      <c r="L15" s="103"/>
      <c r="M15" s="103"/>
      <c r="N15" s="104" t="s">
        <v>159</v>
      </c>
      <c r="O15" s="104">
        <v>0.98799999999999999</v>
      </c>
      <c r="P15" s="229" t="s">
        <v>239</v>
      </c>
      <c r="Q15" s="104">
        <v>1.2E-2</v>
      </c>
      <c r="R15" s="102"/>
      <c r="S15" s="217"/>
      <c r="T15" s="2"/>
    </row>
    <row r="16" spans="1:20" ht="15.75" x14ac:dyDescent="0.25">
      <c r="A16" s="12"/>
      <c r="B16" s="88" t="s">
        <v>3</v>
      </c>
      <c r="C16" s="84"/>
      <c r="D16" s="103"/>
      <c r="E16" s="103"/>
      <c r="F16" s="103"/>
      <c r="G16" s="103"/>
      <c r="H16" s="103"/>
      <c r="I16" s="103"/>
      <c r="J16" s="103"/>
      <c r="K16" s="103"/>
      <c r="L16" s="103"/>
      <c r="M16" s="103"/>
      <c r="N16" s="104" t="s">
        <v>159</v>
      </c>
      <c r="O16" s="229">
        <v>0.97929999999999995</v>
      </c>
      <c r="P16" s="229" t="s">
        <v>239</v>
      </c>
      <c r="Q16" s="229">
        <v>2.07E-2</v>
      </c>
      <c r="R16" s="102"/>
      <c r="S16" s="217"/>
      <c r="T16" s="2"/>
    </row>
    <row r="17" spans="1:23" ht="15.75" x14ac:dyDescent="0.25">
      <c r="A17" s="12"/>
      <c r="B17" s="88" t="s">
        <v>4</v>
      </c>
      <c r="C17" s="84"/>
      <c r="D17" s="84"/>
      <c r="E17" s="84"/>
      <c r="F17" s="84"/>
      <c r="G17" s="84"/>
      <c r="H17" s="84"/>
      <c r="I17" s="84"/>
      <c r="J17" s="84"/>
      <c r="K17" s="84"/>
      <c r="L17" s="84"/>
      <c r="M17" s="84"/>
      <c r="N17" s="84"/>
      <c r="O17" s="84"/>
      <c r="P17" s="84"/>
      <c r="Q17" s="84"/>
      <c r="R17" s="105">
        <v>41837</v>
      </c>
      <c r="S17" s="217"/>
      <c r="T17" s="2"/>
    </row>
    <row r="18" spans="1:23" ht="15.75" x14ac:dyDescent="0.25">
      <c r="A18" s="12"/>
      <c r="B18" s="88" t="s">
        <v>5</v>
      </c>
      <c r="C18" s="84"/>
      <c r="D18" s="84"/>
      <c r="E18" s="84"/>
      <c r="F18" s="84"/>
      <c r="G18" s="84"/>
      <c r="H18" s="84"/>
      <c r="I18" s="84"/>
      <c r="J18" s="84"/>
      <c r="K18" s="84"/>
      <c r="L18" s="84"/>
      <c r="M18" s="84"/>
      <c r="N18" s="84"/>
      <c r="O18" s="84"/>
      <c r="P18" s="84"/>
      <c r="Q18" s="84"/>
      <c r="R18" s="105">
        <v>42691</v>
      </c>
      <c r="S18" s="217"/>
      <c r="T18" s="2"/>
    </row>
    <row r="19" spans="1:23" ht="15.75" x14ac:dyDescent="0.25">
      <c r="A19" s="12"/>
      <c r="B19" s="14"/>
      <c r="C19" s="14"/>
      <c r="D19" s="14"/>
      <c r="E19" s="14"/>
      <c r="F19" s="14"/>
      <c r="G19" s="14"/>
      <c r="H19" s="14"/>
      <c r="I19" s="14"/>
      <c r="J19" s="14"/>
      <c r="K19" s="14"/>
      <c r="L19" s="14"/>
      <c r="M19" s="14"/>
      <c r="N19" s="14"/>
      <c r="O19" s="14"/>
      <c r="P19" s="14"/>
      <c r="Q19" s="14"/>
      <c r="R19" s="21"/>
      <c r="S19" s="216"/>
      <c r="T19" s="2"/>
    </row>
    <row r="20" spans="1:23" ht="15.75" x14ac:dyDescent="0.25">
      <c r="A20" s="12"/>
      <c r="B20" s="106" t="s">
        <v>6</v>
      </c>
      <c r="C20" s="84"/>
      <c r="D20" s="84"/>
      <c r="E20" s="84"/>
      <c r="F20" s="84"/>
      <c r="G20" s="84"/>
      <c r="H20" s="84"/>
      <c r="I20" s="84"/>
      <c r="J20" s="84"/>
      <c r="K20" s="84"/>
      <c r="L20" s="84"/>
      <c r="M20" s="84"/>
      <c r="N20" s="84"/>
      <c r="O20" s="84"/>
      <c r="P20" s="107" t="s">
        <v>86</v>
      </c>
      <c r="Q20" s="84"/>
      <c r="R20" s="90"/>
      <c r="S20" s="216"/>
      <c r="T20" s="2"/>
    </row>
    <row r="21" spans="1:23" ht="15.75" x14ac:dyDescent="0.25">
      <c r="A21" s="12"/>
      <c r="B21" s="14"/>
      <c r="C21" s="14"/>
      <c r="D21" s="14"/>
      <c r="E21" s="14"/>
      <c r="F21" s="14"/>
      <c r="G21" s="14"/>
      <c r="H21" s="14"/>
      <c r="I21" s="14"/>
      <c r="J21" s="14"/>
      <c r="K21" s="14"/>
      <c r="L21" s="14"/>
      <c r="M21" s="14"/>
      <c r="N21" s="14"/>
      <c r="O21" s="14"/>
      <c r="P21" s="14"/>
      <c r="Q21" s="14"/>
      <c r="R21" s="23"/>
      <c r="S21" s="216"/>
      <c r="T21" s="2"/>
    </row>
    <row r="22" spans="1:23" ht="15.75" x14ac:dyDescent="0.25">
      <c r="A22" s="53"/>
      <c r="B22" s="54"/>
      <c r="C22" s="55"/>
      <c r="D22" s="55" t="s">
        <v>155</v>
      </c>
      <c r="E22" s="55"/>
      <c r="F22" s="55" t="s">
        <v>185</v>
      </c>
      <c r="G22" s="55"/>
      <c r="H22" s="55" t="s">
        <v>186</v>
      </c>
      <c r="I22" s="55"/>
      <c r="J22" s="55"/>
      <c r="K22" s="55"/>
      <c r="L22" s="55"/>
      <c r="M22" s="55"/>
      <c r="N22" s="55"/>
      <c r="O22" s="56"/>
      <c r="P22" s="57"/>
      <c r="Q22" s="58"/>
      <c r="R22" s="58"/>
      <c r="S22" s="218"/>
      <c r="T22" s="2"/>
    </row>
    <row r="23" spans="1:23" ht="15.75" x14ac:dyDescent="0.25">
      <c r="A23" s="115"/>
      <c r="B23" s="116" t="s">
        <v>131</v>
      </c>
      <c r="C23" s="117"/>
      <c r="D23" s="112" t="s">
        <v>113</v>
      </c>
      <c r="E23" s="112"/>
      <c r="F23" s="112" t="s">
        <v>226</v>
      </c>
      <c r="G23" s="112"/>
      <c r="H23" s="112" t="s">
        <v>157</v>
      </c>
      <c r="I23" s="112"/>
      <c r="J23" s="112"/>
      <c r="K23" s="112"/>
      <c r="L23" s="112"/>
      <c r="M23" s="112"/>
      <c r="N23" s="112"/>
      <c r="O23" s="117"/>
      <c r="P23" s="112"/>
      <c r="Q23" s="113"/>
      <c r="R23" s="113"/>
      <c r="S23" s="114"/>
      <c r="T23" s="2"/>
    </row>
    <row r="24" spans="1:23" ht="15.75" x14ac:dyDescent="0.25">
      <c r="A24" s="115"/>
      <c r="B24" s="111" t="s">
        <v>202</v>
      </c>
      <c r="C24" s="117"/>
      <c r="D24" s="112" t="s">
        <v>204</v>
      </c>
      <c r="E24" s="112"/>
      <c r="F24" s="112" t="s">
        <v>227</v>
      </c>
      <c r="G24" s="112"/>
      <c r="H24" s="112" t="s">
        <v>157</v>
      </c>
      <c r="I24" s="112"/>
      <c r="J24" s="112"/>
      <c r="K24" s="112"/>
      <c r="L24" s="112"/>
      <c r="M24" s="112"/>
      <c r="N24" s="112"/>
      <c r="O24" s="117"/>
      <c r="P24" s="112"/>
      <c r="Q24" s="113"/>
      <c r="R24" s="113"/>
      <c r="S24" s="114"/>
      <c r="T24" s="2"/>
    </row>
    <row r="25" spans="1:23" ht="15.75" x14ac:dyDescent="0.25">
      <c r="A25" s="120"/>
      <c r="B25" s="122" t="s">
        <v>132</v>
      </c>
      <c r="C25" s="112"/>
      <c r="D25" s="117" t="s">
        <v>113</v>
      </c>
      <c r="E25" s="117"/>
      <c r="F25" s="117" t="s">
        <v>226</v>
      </c>
      <c r="G25" s="117"/>
      <c r="H25" s="117" t="s">
        <v>157</v>
      </c>
      <c r="I25" s="117"/>
      <c r="J25" s="117"/>
      <c r="K25" s="117"/>
      <c r="L25" s="117"/>
      <c r="M25" s="117"/>
      <c r="N25" s="117"/>
      <c r="O25" s="112"/>
      <c r="P25" s="121"/>
      <c r="Q25" s="113"/>
      <c r="R25" s="113"/>
      <c r="S25" s="114"/>
      <c r="T25" s="2"/>
      <c r="U25" s="211"/>
      <c r="W25" s="212"/>
    </row>
    <row r="26" spans="1:23" ht="15.75" x14ac:dyDescent="0.25">
      <c r="A26" s="120"/>
      <c r="B26" s="122" t="s">
        <v>203</v>
      </c>
      <c r="C26" s="112"/>
      <c r="D26" s="117" t="s">
        <v>204</v>
      </c>
      <c r="E26" s="117"/>
      <c r="F26" s="117" t="s">
        <v>227</v>
      </c>
      <c r="G26" s="117"/>
      <c r="H26" s="117" t="s">
        <v>157</v>
      </c>
      <c r="I26" s="117"/>
      <c r="J26" s="117"/>
      <c r="K26" s="117"/>
      <c r="L26" s="117"/>
      <c r="M26" s="117"/>
      <c r="N26" s="117"/>
      <c r="O26" s="112"/>
      <c r="P26" s="121"/>
      <c r="Q26" s="113"/>
      <c r="R26" s="113"/>
      <c r="S26" s="114"/>
      <c r="T26" s="2"/>
      <c r="U26" s="211"/>
      <c r="W26" s="212"/>
    </row>
    <row r="27" spans="1:23" ht="15.75" x14ac:dyDescent="0.25">
      <c r="A27" s="120"/>
      <c r="B27" s="111" t="s">
        <v>7</v>
      </c>
      <c r="C27" s="123"/>
      <c r="D27" s="112" t="s">
        <v>212</v>
      </c>
      <c r="E27" s="112"/>
      <c r="F27" s="112" t="s">
        <v>213</v>
      </c>
      <c r="G27" s="112"/>
      <c r="H27" s="112" t="s">
        <v>214</v>
      </c>
      <c r="I27" s="112"/>
      <c r="J27" s="112"/>
      <c r="K27" s="112"/>
      <c r="L27" s="112"/>
      <c r="M27" s="112"/>
      <c r="N27" s="112"/>
      <c r="O27" s="124"/>
      <c r="P27" s="124"/>
      <c r="Q27" s="125"/>
      <c r="R27" s="124"/>
      <c r="S27" s="126"/>
      <c r="T27" s="2"/>
      <c r="U27" s="211"/>
      <c r="W27" s="212"/>
    </row>
    <row r="28" spans="1:23" ht="15.75" x14ac:dyDescent="0.25">
      <c r="A28" s="118"/>
      <c r="B28" s="111" t="s">
        <v>107</v>
      </c>
      <c r="C28" s="127"/>
      <c r="D28" s="201">
        <v>319000</v>
      </c>
      <c r="E28" s="128"/>
      <c r="F28" s="201">
        <v>24000</v>
      </c>
      <c r="G28" s="198"/>
      <c r="H28" s="201">
        <v>7000</v>
      </c>
      <c r="I28" s="124"/>
      <c r="J28" s="201"/>
      <c r="K28" s="124"/>
      <c r="L28" s="128"/>
      <c r="M28" s="124"/>
      <c r="N28" s="128"/>
      <c r="O28" s="129"/>
      <c r="P28" s="129"/>
      <c r="Q28" s="130"/>
      <c r="R28" s="124">
        <f>SUM(D28:J28)</f>
        <v>350000</v>
      </c>
      <c r="S28" s="126"/>
      <c r="T28" s="2"/>
    </row>
    <row r="29" spans="1:23" ht="15.75" x14ac:dyDescent="0.25">
      <c r="A29" s="120"/>
      <c r="B29" s="111" t="s">
        <v>106</v>
      </c>
      <c r="C29" s="123"/>
      <c r="D29" s="201">
        <f>D28*D32</f>
        <v>174549.52680000002</v>
      </c>
      <c r="E29" s="128"/>
      <c r="F29" s="201">
        <f>F28*F32</f>
        <v>24000</v>
      </c>
      <c r="G29" s="201"/>
      <c r="H29" s="201">
        <f>H28*H32</f>
        <v>7000</v>
      </c>
      <c r="I29" s="124"/>
      <c r="J29" s="201"/>
      <c r="K29" s="124"/>
      <c r="L29" s="128"/>
      <c r="M29" s="124"/>
      <c r="N29" s="128"/>
      <c r="O29" s="124"/>
      <c r="P29" s="124"/>
      <c r="Q29" s="125"/>
      <c r="R29" s="124">
        <f>SUM(D29:J29)</f>
        <v>205549.52680000002</v>
      </c>
      <c r="S29" s="126"/>
      <c r="T29" s="2"/>
    </row>
    <row r="30" spans="1:23" ht="15.75" x14ac:dyDescent="0.25">
      <c r="A30" s="120"/>
      <c r="B30" s="119" t="s">
        <v>108</v>
      </c>
      <c r="C30" s="123"/>
      <c r="D30" s="202">
        <f>D31*D28</f>
        <v>138325.64130000002</v>
      </c>
      <c r="E30" s="202"/>
      <c r="F30" s="202">
        <f t="shared" ref="F30" si="0">F31*F28</f>
        <v>24000</v>
      </c>
      <c r="G30" s="202"/>
      <c r="H30" s="202">
        <f t="shared" ref="H30" si="1">H31*H28</f>
        <v>7000</v>
      </c>
      <c r="I30" s="202"/>
      <c r="J30" s="202"/>
      <c r="K30" s="129"/>
      <c r="L30" s="131"/>
      <c r="M30" s="129"/>
      <c r="N30" s="131"/>
      <c r="O30" s="124"/>
      <c r="P30" s="124"/>
      <c r="Q30" s="125"/>
      <c r="R30" s="203">
        <f>SUM(D30:J30)</f>
        <v>169325.64130000002</v>
      </c>
      <c r="S30" s="126"/>
      <c r="T30" s="2"/>
    </row>
    <row r="31" spans="1:23" ht="15.75" x14ac:dyDescent="0.25">
      <c r="A31" s="110"/>
      <c r="B31" s="132" t="s">
        <v>104</v>
      </c>
      <c r="C31" s="133"/>
      <c r="D31" s="134">
        <v>0.43362270000000003</v>
      </c>
      <c r="E31" s="134"/>
      <c r="F31" s="134">
        <v>1</v>
      </c>
      <c r="G31" s="134"/>
      <c r="H31" s="134">
        <v>1</v>
      </c>
      <c r="I31" s="134"/>
      <c r="J31" s="134"/>
      <c r="K31" s="134"/>
      <c r="L31" s="134"/>
      <c r="M31" s="134"/>
      <c r="N31" s="134"/>
      <c r="O31" s="135"/>
      <c r="P31" s="135"/>
      <c r="Q31" s="136"/>
      <c r="R31" s="204"/>
      <c r="S31" s="137"/>
      <c r="T31" s="2"/>
    </row>
    <row r="32" spans="1:23" ht="15.75" x14ac:dyDescent="0.25">
      <c r="A32" s="110"/>
      <c r="B32" s="132" t="s">
        <v>105</v>
      </c>
      <c r="C32" s="133"/>
      <c r="D32" s="134">
        <v>0.54717720000000003</v>
      </c>
      <c r="E32" s="134"/>
      <c r="F32" s="134">
        <v>1</v>
      </c>
      <c r="G32" s="134"/>
      <c r="H32" s="134">
        <v>1</v>
      </c>
      <c r="I32" s="134"/>
      <c r="J32" s="134"/>
      <c r="K32" s="134"/>
      <c r="L32" s="134"/>
      <c r="M32" s="134"/>
      <c r="N32" s="134"/>
      <c r="O32" s="138"/>
      <c r="P32" s="139"/>
      <c r="Q32" s="136"/>
      <c r="R32" s="138"/>
      <c r="S32" s="137"/>
      <c r="T32" s="2"/>
    </row>
    <row r="33" spans="1:21" ht="15.75" x14ac:dyDescent="0.25">
      <c r="A33" s="110"/>
      <c r="B33" s="111" t="s">
        <v>8</v>
      </c>
      <c r="C33" s="111"/>
      <c r="D33" s="121" t="s">
        <v>215</v>
      </c>
      <c r="E33" s="121"/>
      <c r="F33" s="121" t="s">
        <v>216</v>
      </c>
      <c r="G33" s="121"/>
      <c r="H33" s="121" t="s">
        <v>217</v>
      </c>
      <c r="I33" s="121"/>
      <c r="J33" s="121"/>
      <c r="K33" s="121"/>
      <c r="L33" s="121"/>
      <c r="M33" s="121"/>
      <c r="N33" s="121"/>
      <c r="O33" s="140"/>
      <c r="P33" s="141"/>
      <c r="Q33" s="113"/>
      <c r="R33" s="113"/>
      <c r="S33" s="114"/>
      <c r="T33" s="2"/>
    </row>
    <row r="34" spans="1:21" ht="15.75" x14ac:dyDescent="0.25">
      <c r="A34" s="110"/>
      <c r="B34" s="111" t="s">
        <v>9</v>
      </c>
      <c r="C34" s="142"/>
      <c r="D34" s="141">
        <v>1.06563E-2</v>
      </c>
      <c r="E34" s="141"/>
      <c r="F34" s="141">
        <v>1.38563E-2</v>
      </c>
      <c r="G34" s="141"/>
      <c r="H34" s="141">
        <v>1.7356300000000002E-2</v>
      </c>
      <c r="I34" s="141"/>
      <c r="J34" s="141"/>
      <c r="K34" s="141"/>
      <c r="L34" s="141"/>
      <c r="M34" s="140"/>
      <c r="N34" s="141"/>
      <c r="O34" s="121"/>
      <c r="P34" s="121"/>
      <c r="Q34" s="113"/>
      <c r="R34" s="140">
        <f>SUMPRODUCT(D34:J34,D29:J29)/R29</f>
        <v>1.1258101434066838E-2</v>
      </c>
      <c r="S34" s="114"/>
      <c r="T34" s="2"/>
    </row>
    <row r="35" spans="1:21" ht="15.75" x14ac:dyDescent="0.25">
      <c r="A35" s="110"/>
      <c r="B35" s="111" t="s">
        <v>10</v>
      </c>
      <c r="C35" s="142"/>
      <c r="D35" s="141">
        <v>1.27075E-2</v>
      </c>
      <c r="E35" s="141"/>
      <c r="F35" s="141">
        <v>1.5907500000000001E-2</v>
      </c>
      <c r="G35" s="141"/>
      <c r="H35" s="141">
        <v>1.9407500000000001E-2</v>
      </c>
      <c r="I35" s="141"/>
      <c r="J35" s="141"/>
      <c r="K35" s="141"/>
      <c r="L35" s="141"/>
      <c r="M35" s="140"/>
      <c r="N35" s="141"/>
      <c r="O35" s="121"/>
      <c r="P35" s="121"/>
      <c r="Q35" s="113"/>
      <c r="R35" s="113"/>
      <c r="S35" s="114"/>
      <c r="T35" s="2"/>
    </row>
    <row r="36" spans="1:21" ht="15.75" x14ac:dyDescent="0.25">
      <c r="A36" s="110"/>
      <c r="B36" s="111" t="s">
        <v>158</v>
      </c>
      <c r="C36" s="111"/>
      <c r="D36" s="142">
        <v>43327</v>
      </c>
      <c r="E36" s="142"/>
      <c r="F36" s="142">
        <v>43327</v>
      </c>
      <c r="G36" s="142"/>
      <c r="H36" s="142">
        <v>43327</v>
      </c>
      <c r="I36" s="142"/>
      <c r="J36" s="142"/>
      <c r="K36" s="142"/>
      <c r="L36" s="142"/>
      <c r="M36" s="142"/>
      <c r="N36" s="142"/>
      <c r="O36" s="121"/>
      <c r="P36" s="121"/>
      <c r="Q36" s="113"/>
      <c r="R36" s="113"/>
      <c r="S36" s="114"/>
      <c r="T36" s="2"/>
    </row>
    <row r="37" spans="1:21" ht="15.75" x14ac:dyDescent="0.25">
      <c r="A37" s="110"/>
      <c r="B37" s="111" t="s">
        <v>11</v>
      </c>
      <c r="C37" s="111"/>
      <c r="D37" s="142" t="s">
        <v>98</v>
      </c>
      <c r="E37" s="142"/>
      <c r="F37" s="142" t="s">
        <v>98</v>
      </c>
      <c r="G37" s="121"/>
      <c r="H37" s="142" t="s">
        <v>98</v>
      </c>
      <c r="I37" s="121"/>
      <c r="J37" s="142"/>
      <c r="K37" s="121"/>
      <c r="L37" s="142"/>
      <c r="M37" s="121"/>
      <c r="N37" s="142"/>
      <c r="O37" s="121"/>
      <c r="P37" s="121"/>
      <c r="Q37" s="113"/>
      <c r="R37" s="113"/>
      <c r="S37" s="114"/>
      <c r="T37" s="2"/>
    </row>
    <row r="38" spans="1:21" ht="15.75" x14ac:dyDescent="0.25">
      <c r="A38" s="110"/>
      <c r="B38" s="111" t="s">
        <v>99</v>
      </c>
      <c r="C38" s="111"/>
      <c r="D38" s="121" t="s">
        <v>98</v>
      </c>
      <c r="E38" s="121"/>
      <c r="F38" s="121" t="s">
        <v>98</v>
      </c>
      <c r="G38" s="121"/>
      <c r="H38" s="121" t="s">
        <v>98</v>
      </c>
      <c r="I38" s="121"/>
      <c r="J38" s="121"/>
      <c r="K38" s="121"/>
      <c r="L38" s="121"/>
      <c r="M38" s="121"/>
      <c r="N38" s="121"/>
      <c r="O38" s="143"/>
      <c r="P38" s="143"/>
      <c r="Q38" s="143"/>
      <c r="R38" s="143"/>
      <c r="S38" s="114"/>
      <c r="T38" s="2"/>
    </row>
    <row r="39" spans="1:21" ht="15.75" x14ac:dyDescent="0.25">
      <c r="A39" s="110"/>
      <c r="B39" s="111"/>
      <c r="C39" s="111"/>
      <c r="D39" s="121"/>
      <c r="E39" s="121"/>
      <c r="F39" s="121"/>
      <c r="G39" s="121"/>
      <c r="H39" s="121"/>
      <c r="I39" s="121"/>
      <c r="J39" s="121"/>
      <c r="K39" s="121"/>
      <c r="L39" s="121"/>
      <c r="M39" s="121"/>
      <c r="N39" s="121"/>
      <c r="O39" s="111"/>
      <c r="P39" s="111"/>
      <c r="Q39" s="111"/>
      <c r="R39" s="140" t="s">
        <v>133</v>
      </c>
      <c r="S39" s="114"/>
      <c r="T39" s="2"/>
    </row>
    <row r="40" spans="1:21" ht="15.75" x14ac:dyDescent="0.25">
      <c r="A40" s="110"/>
      <c r="B40" s="111" t="s">
        <v>219</v>
      </c>
      <c r="C40" s="111"/>
      <c r="D40" s="121"/>
      <c r="E40" s="121"/>
      <c r="F40" s="121"/>
      <c r="G40" s="121"/>
      <c r="H40" s="121"/>
      <c r="I40" s="121"/>
      <c r="J40" s="121"/>
      <c r="K40" s="121"/>
      <c r="L40" s="121"/>
      <c r="M40" s="121"/>
      <c r="N40" s="121"/>
      <c r="O40" s="111"/>
      <c r="P40" s="111"/>
      <c r="Q40" s="111"/>
      <c r="R40" s="140">
        <f>SUM(F28:I28)/D28</f>
        <v>9.7178683385579931E-2</v>
      </c>
      <c r="S40" s="114"/>
      <c r="T40" s="2"/>
    </row>
    <row r="41" spans="1:21" ht="15.75" x14ac:dyDescent="0.25">
      <c r="A41" s="110"/>
      <c r="B41" s="111" t="s">
        <v>220</v>
      </c>
      <c r="C41" s="111"/>
      <c r="D41" s="111"/>
      <c r="E41" s="111"/>
      <c r="F41" s="111"/>
      <c r="G41" s="111"/>
      <c r="H41" s="111"/>
      <c r="I41" s="111"/>
      <c r="J41" s="111"/>
      <c r="K41" s="111"/>
      <c r="L41" s="111"/>
      <c r="M41" s="111"/>
      <c r="N41" s="111"/>
      <c r="O41" s="111"/>
      <c r="P41" s="111"/>
      <c r="Q41" s="111"/>
      <c r="R41" s="140">
        <f>SUM(F30:I30)/D30</f>
        <v>0.22410884712811374</v>
      </c>
      <c r="S41" s="114"/>
      <c r="T41" s="2"/>
    </row>
    <row r="42" spans="1:21" ht="15.75" x14ac:dyDescent="0.25">
      <c r="A42" s="110"/>
      <c r="B42" s="111" t="s">
        <v>221</v>
      </c>
      <c r="C42" s="111"/>
      <c r="D42" s="111"/>
      <c r="E42" s="111"/>
      <c r="F42" s="111"/>
      <c r="G42" s="111"/>
      <c r="H42" s="111"/>
      <c r="I42" s="111"/>
      <c r="J42" s="111"/>
      <c r="K42" s="111"/>
      <c r="L42" s="111"/>
      <c r="M42" s="111"/>
      <c r="N42" s="111"/>
      <c r="O42" s="111"/>
      <c r="P42" s="121"/>
      <c r="Q42" s="121"/>
      <c r="R42" s="124" t="s">
        <v>152</v>
      </c>
      <c r="S42" s="114"/>
      <c r="T42" s="2"/>
    </row>
    <row r="43" spans="1:21" ht="15.75" x14ac:dyDescent="0.25">
      <c r="A43" s="110"/>
      <c r="B43" s="111"/>
      <c r="C43" s="111"/>
      <c r="D43" s="111"/>
      <c r="E43" s="111"/>
      <c r="F43" s="111"/>
      <c r="G43" s="111"/>
      <c r="H43" s="111"/>
      <c r="I43" s="111"/>
      <c r="J43" s="111"/>
      <c r="K43" s="111"/>
      <c r="L43" s="111"/>
      <c r="M43" s="111"/>
      <c r="N43" s="111"/>
      <c r="O43" s="111"/>
      <c r="P43" s="111"/>
      <c r="Q43" s="111"/>
      <c r="R43" s="144"/>
      <c r="S43" s="114"/>
      <c r="T43" s="2"/>
    </row>
    <row r="44" spans="1:21" ht="15.75" x14ac:dyDescent="0.25">
      <c r="A44" s="110"/>
      <c r="B44" s="111" t="s">
        <v>229</v>
      </c>
      <c r="C44" s="111"/>
      <c r="D44" s="111"/>
      <c r="E44" s="111"/>
      <c r="F44" s="111"/>
      <c r="G44" s="111"/>
      <c r="H44" s="111"/>
      <c r="I44" s="111"/>
      <c r="J44" s="111"/>
      <c r="K44" s="111"/>
      <c r="L44" s="111"/>
      <c r="M44" s="111"/>
      <c r="N44" s="111"/>
      <c r="O44" s="111"/>
      <c r="P44" s="111"/>
      <c r="Q44" s="111"/>
      <c r="R44" s="145" t="s">
        <v>92</v>
      </c>
      <c r="S44" s="114"/>
      <c r="T44" s="2"/>
    </row>
    <row r="45" spans="1:21" ht="15.75" x14ac:dyDescent="0.25">
      <c r="A45" s="110"/>
      <c r="B45" s="119" t="s">
        <v>134</v>
      </c>
      <c r="C45" s="119"/>
      <c r="D45" s="119"/>
      <c r="E45" s="119"/>
      <c r="F45" s="119"/>
      <c r="G45" s="119"/>
      <c r="H45" s="119"/>
      <c r="I45" s="119"/>
      <c r="J45" s="119"/>
      <c r="K45" s="119"/>
      <c r="L45" s="119"/>
      <c r="M45" s="119"/>
      <c r="N45" s="119"/>
      <c r="O45" s="119"/>
      <c r="P45" s="146"/>
      <c r="Q45" s="146"/>
      <c r="R45" s="147">
        <v>42689</v>
      </c>
      <c r="S45" s="114"/>
      <c r="T45" s="2"/>
    </row>
    <row r="46" spans="1:21" ht="15.75" x14ac:dyDescent="0.25">
      <c r="A46" s="110"/>
      <c r="B46" s="111" t="s">
        <v>100</v>
      </c>
      <c r="C46" s="111"/>
      <c r="D46" s="148"/>
      <c r="E46" s="148"/>
      <c r="F46" s="148"/>
      <c r="G46" s="148"/>
      <c r="H46" s="148"/>
      <c r="I46" s="148"/>
      <c r="J46" s="148"/>
      <c r="K46" s="148"/>
      <c r="L46" s="148"/>
      <c r="M46" s="148"/>
      <c r="N46" s="111">
        <f>+R46-P46+1</f>
        <v>91</v>
      </c>
      <c r="O46" s="111"/>
      <c r="P46" s="149">
        <v>42506</v>
      </c>
      <c r="Q46" s="150"/>
      <c r="R46" s="149">
        <v>42596</v>
      </c>
      <c r="S46" s="114"/>
      <c r="T46" s="2"/>
    </row>
    <row r="47" spans="1:21" ht="15.75" x14ac:dyDescent="0.25">
      <c r="A47" s="110"/>
      <c r="B47" s="111" t="s">
        <v>101</v>
      </c>
      <c r="C47" s="111"/>
      <c r="D47" s="111"/>
      <c r="E47" s="111"/>
      <c r="F47" s="111"/>
      <c r="G47" s="111"/>
      <c r="H47" s="111"/>
      <c r="I47" s="111"/>
      <c r="J47" s="111"/>
      <c r="K47" s="111"/>
      <c r="L47" s="111"/>
      <c r="M47" s="111"/>
      <c r="N47" s="111">
        <f>+R47-P47+1</f>
        <v>92</v>
      </c>
      <c r="O47" s="111"/>
      <c r="P47" s="149">
        <v>42597</v>
      </c>
      <c r="Q47" s="150"/>
      <c r="R47" s="149">
        <v>42688</v>
      </c>
      <c r="S47" s="114"/>
      <c r="T47" s="2"/>
    </row>
    <row r="48" spans="1:21" ht="15.75" x14ac:dyDescent="0.25">
      <c r="A48" s="110"/>
      <c r="B48" s="111" t="s">
        <v>228</v>
      </c>
      <c r="C48" s="111"/>
      <c r="D48" s="111"/>
      <c r="E48" s="111"/>
      <c r="F48" s="111"/>
      <c r="G48" s="111"/>
      <c r="H48" s="111"/>
      <c r="I48" s="111"/>
      <c r="J48" s="111"/>
      <c r="K48" s="111"/>
      <c r="L48" s="111"/>
      <c r="M48" s="111"/>
      <c r="N48" s="111"/>
      <c r="O48" s="111"/>
      <c r="P48" s="149"/>
      <c r="Q48" s="150"/>
      <c r="R48" s="149" t="s">
        <v>119</v>
      </c>
      <c r="S48" s="114"/>
      <c r="T48" s="2"/>
      <c r="U48" s="5"/>
    </row>
    <row r="49" spans="1:20" ht="15.75" x14ac:dyDescent="0.25">
      <c r="A49" s="110"/>
      <c r="B49" s="111" t="s">
        <v>12</v>
      </c>
      <c r="C49" s="111"/>
      <c r="D49" s="111"/>
      <c r="E49" s="111"/>
      <c r="F49" s="111"/>
      <c r="G49" s="111"/>
      <c r="H49" s="111"/>
      <c r="I49" s="111"/>
      <c r="J49" s="111"/>
      <c r="K49" s="111"/>
      <c r="L49" s="111"/>
      <c r="M49" s="111"/>
      <c r="N49" s="111"/>
      <c r="O49" s="111"/>
      <c r="P49" s="149"/>
      <c r="Q49" s="150"/>
      <c r="R49" s="149">
        <v>42675</v>
      </c>
      <c r="S49" s="114"/>
      <c r="T49" s="2"/>
    </row>
    <row r="50" spans="1:20" ht="15.75" x14ac:dyDescent="0.25">
      <c r="A50" s="12"/>
      <c r="B50" s="43"/>
      <c r="C50" s="43"/>
      <c r="D50" s="43"/>
      <c r="E50" s="43"/>
      <c r="F50" s="43"/>
      <c r="G50" s="43"/>
      <c r="H50" s="43"/>
      <c r="I50" s="43"/>
      <c r="J50" s="43"/>
      <c r="K50" s="43"/>
      <c r="L50" s="43"/>
      <c r="M50" s="43"/>
      <c r="N50" s="43"/>
      <c r="O50" s="43"/>
      <c r="P50" s="108"/>
      <c r="Q50" s="109"/>
      <c r="R50" s="108"/>
      <c r="S50" s="216"/>
      <c r="T50" s="2"/>
    </row>
    <row r="51" spans="1:20" ht="15.75" x14ac:dyDescent="0.25">
      <c r="A51" s="12"/>
      <c r="B51" s="14"/>
      <c r="C51" s="14"/>
      <c r="D51" s="14"/>
      <c r="E51" s="14"/>
      <c r="F51" s="14"/>
      <c r="G51" s="14"/>
      <c r="H51" s="14"/>
      <c r="I51" s="14"/>
      <c r="J51" s="14"/>
      <c r="K51" s="14"/>
      <c r="L51" s="14"/>
      <c r="M51" s="14"/>
      <c r="N51" s="14"/>
      <c r="O51" s="14"/>
      <c r="P51" s="26"/>
      <c r="Q51" s="27"/>
      <c r="R51" s="26"/>
      <c r="S51" s="216"/>
      <c r="T51" s="2"/>
    </row>
    <row r="52" spans="1:20" ht="19.5" thickBot="1" x14ac:dyDescent="0.35">
      <c r="A52" s="28"/>
      <c r="B52" s="97" t="s">
        <v>255</v>
      </c>
      <c r="C52" s="29"/>
      <c r="D52" s="29"/>
      <c r="E52" s="29"/>
      <c r="F52" s="29"/>
      <c r="G52" s="29"/>
      <c r="H52" s="29"/>
      <c r="I52" s="29"/>
      <c r="J52" s="29"/>
      <c r="K52" s="29"/>
      <c r="L52" s="29"/>
      <c r="M52" s="29"/>
      <c r="N52" s="29"/>
      <c r="O52" s="29"/>
      <c r="P52" s="29"/>
      <c r="Q52" s="29"/>
      <c r="R52" s="30"/>
      <c r="S52" s="31"/>
      <c r="T52" s="2"/>
    </row>
    <row r="53" spans="1:20" ht="15.75" x14ac:dyDescent="0.25">
      <c r="A53" s="53"/>
      <c r="B53" s="59" t="s">
        <v>13</v>
      </c>
      <c r="C53" s="54"/>
      <c r="D53" s="54"/>
      <c r="E53" s="54"/>
      <c r="F53" s="54"/>
      <c r="G53" s="54"/>
      <c r="H53" s="54"/>
      <c r="I53" s="54"/>
      <c r="J53" s="54"/>
      <c r="K53" s="54"/>
      <c r="L53" s="54"/>
      <c r="M53" s="54"/>
      <c r="N53" s="54"/>
      <c r="O53" s="54"/>
      <c r="P53" s="54"/>
      <c r="Q53" s="54"/>
      <c r="R53" s="60"/>
      <c r="S53" s="54"/>
      <c r="T53" s="2"/>
    </row>
    <row r="54" spans="1:20" ht="15.75" x14ac:dyDescent="0.25">
      <c r="A54" s="12"/>
      <c r="B54" s="20"/>
      <c r="C54" s="14"/>
      <c r="D54" s="14"/>
      <c r="E54" s="14"/>
      <c r="F54" s="14"/>
      <c r="G54" s="14"/>
      <c r="H54" s="14"/>
      <c r="I54" s="14"/>
      <c r="J54" s="14"/>
      <c r="K54" s="14"/>
      <c r="L54" s="14"/>
      <c r="M54" s="14"/>
      <c r="N54" s="14"/>
      <c r="O54" s="14"/>
      <c r="P54" s="14"/>
      <c r="Q54" s="14"/>
      <c r="R54" s="33"/>
      <c r="S54" s="216"/>
      <c r="T54" s="2"/>
    </row>
    <row r="55" spans="1:20" ht="47.25" x14ac:dyDescent="0.25">
      <c r="A55" s="12"/>
      <c r="B55" s="34" t="s">
        <v>14</v>
      </c>
      <c r="C55" s="35"/>
      <c r="D55" s="35"/>
      <c r="E55" s="35"/>
      <c r="F55" s="35" t="s">
        <v>77</v>
      </c>
      <c r="G55" s="35"/>
      <c r="H55" s="35" t="s">
        <v>79</v>
      </c>
      <c r="I55" s="35"/>
      <c r="J55" s="35" t="s">
        <v>168</v>
      </c>
      <c r="K55" s="35"/>
      <c r="L55" s="35" t="s">
        <v>169</v>
      </c>
      <c r="M55" s="35"/>
      <c r="N55" s="35" t="s">
        <v>82</v>
      </c>
      <c r="O55" s="35"/>
      <c r="P55" s="35" t="s">
        <v>87</v>
      </c>
      <c r="Q55" s="35"/>
      <c r="R55" s="36" t="s">
        <v>93</v>
      </c>
      <c r="S55" s="220"/>
      <c r="T55" s="2"/>
    </row>
    <row r="56" spans="1:20" ht="15.75" x14ac:dyDescent="0.25">
      <c r="A56" s="110"/>
      <c r="B56" s="111" t="s">
        <v>15</v>
      </c>
      <c r="C56" s="153"/>
      <c r="D56" s="153"/>
      <c r="E56" s="153"/>
      <c r="F56" s="153">
        <v>317450</v>
      </c>
      <c r="G56" s="153"/>
      <c r="H56" s="153">
        <v>205550</v>
      </c>
      <c r="I56" s="153"/>
      <c r="J56" s="154">
        <f>176+6</f>
        <v>182</v>
      </c>
      <c r="K56" s="153"/>
      <c r="L56" s="153">
        <v>29180</v>
      </c>
      <c r="M56" s="153"/>
      <c r="N56" s="153">
        <f>184+42</f>
        <v>226</v>
      </c>
      <c r="O56" s="153"/>
      <c r="P56" s="153">
        <v>7088</v>
      </c>
      <c r="Q56" s="153"/>
      <c r="R56" s="154">
        <f>H56-J56-L56+N56-P56</f>
        <v>169326</v>
      </c>
      <c r="S56" s="114"/>
      <c r="T56" s="2"/>
    </row>
    <row r="57" spans="1:20" ht="15.75" x14ac:dyDescent="0.25">
      <c r="A57" s="110"/>
      <c r="B57" s="111" t="s">
        <v>16</v>
      </c>
      <c r="C57" s="153"/>
      <c r="D57" s="153"/>
      <c r="E57" s="153"/>
      <c r="F57" s="153">
        <v>0</v>
      </c>
      <c r="G57" s="153"/>
      <c r="H57" s="154">
        <v>0</v>
      </c>
      <c r="I57" s="153"/>
      <c r="J57" s="154">
        <v>0</v>
      </c>
      <c r="K57" s="153"/>
      <c r="L57" s="153">
        <v>0</v>
      </c>
      <c r="M57" s="153"/>
      <c r="N57" s="153">
        <v>0</v>
      </c>
      <c r="O57" s="153"/>
      <c r="P57" s="153">
        <v>0</v>
      </c>
      <c r="Q57" s="153"/>
      <c r="R57" s="154">
        <f>F57-J57-L57</f>
        <v>0</v>
      </c>
      <c r="S57" s="114"/>
      <c r="T57" s="2"/>
    </row>
    <row r="58" spans="1:20" ht="15.75" x14ac:dyDescent="0.25">
      <c r="A58" s="110"/>
      <c r="B58" s="111"/>
      <c r="C58" s="153"/>
      <c r="D58" s="153"/>
      <c r="E58" s="153"/>
      <c r="F58" s="153"/>
      <c r="G58" s="153"/>
      <c r="H58" s="154"/>
      <c r="I58" s="153"/>
      <c r="J58" s="154"/>
      <c r="K58" s="153"/>
      <c r="L58" s="153"/>
      <c r="M58" s="153"/>
      <c r="N58" s="153"/>
      <c r="O58" s="153"/>
      <c r="P58" s="153"/>
      <c r="Q58" s="153"/>
      <c r="R58" s="154"/>
      <c r="S58" s="114"/>
      <c r="T58" s="2"/>
    </row>
    <row r="59" spans="1:20" ht="15.75" x14ac:dyDescent="0.25">
      <c r="A59" s="110"/>
      <c r="B59" s="111" t="s">
        <v>17</v>
      </c>
      <c r="C59" s="153"/>
      <c r="D59" s="153"/>
      <c r="E59" s="153"/>
      <c r="F59" s="153">
        <f>SUM(F56:F58)</f>
        <v>317450</v>
      </c>
      <c r="G59" s="153"/>
      <c r="H59" s="153">
        <f>H56+H57</f>
        <v>205550</v>
      </c>
      <c r="I59" s="153"/>
      <c r="J59" s="153">
        <f>J56+J57</f>
        <v>182</v>
      </c>
      <c r="K59" s="153"/>
      <c r="L59" s="153">
        <f>SUM(L56:L58)</f>
        <v>29180</v>
      </c>
      <c r="M59" s="153"/>
      <c r="N59" s="153">
        <f>SUM(N56:N58)</f>
        <v>226</v>
      </c>
      <c r="O59" s="153"/>
      <c r="P59" s="153">
        <f>SUM(P56:P58)</f>
        <v>7088</v>
      </c>
      <c r="Q59" s="153"/>
      <c r="R59" s="153">
        <f>SUM(R56:R58)</f>
        <v>169326</v>
      </c>
      <c r="S59" s="114"/>
      <c r="T59" s="2"/>
    </row>
    <row r="60" spans="1:20" ht="15.75" x14ac:dyDescent="0.25">
      <c r="A60" s="12"/>
      <c r="B60" s="43"/>
      <c r="C60" s="151"/>
      <c r="D60" s="151"/>
      <c r="E60" s="151"/>
      <c r="F60" s="151"/>
      <c r="G60" s="151"/>
      <c r="H60" s="151"/>
      <c r="I60" s="151"/>
      <c r="J60" s="151"/>
      <c r="K60" s="151"/>
      <c r="L60" s="151"/>
      <c r="M60" s="151"/>
      <c r="N60" s="151"/>
      <c r="O60" s="151"/>
      <c r="P60" s="151"/>
      <c r="Q60" s="151"/>
      <c r="R60" s="152"/>
      <c r="S60" s="216"/>
      <c r="T60" s="2"/>
    </row>
    <row r="61" spans="1:20" ht="15.75" x14ac:dyDescent="0.25">
      <c r="A61" s="12"/>
      <c r="B61" s="16" t="s">
        <v>18</v>
      </c>
      <c r="C61" s="38"/>
      <c r="D61" s="38"/>
      <c r="E61" s="38"/>
      <c r="F61" s="38"/>
      <c r="G61" s="38"/>
      <c r="H61" s="38"/>
      <c r="I61" s="38"/>
      <c r="J61" s="38"/>
      <c r="K61" s="38"/>
      <c r="L61" s="38"/>
      <c r="M61" s="38"/>
      <c r="N61" s="38"/>
      <c r="O61" s="38"/>
      <c r="P61" s="38"/>
      <c r="Q61" s="38"/>
      <c r="R61" s="39"/>
      <c r="S61" s="216"/>
      <c r="T61" s="2"/>
    </row>
    <row r="62" spans="1:20" ht="15.75" x14ac:dyDescent="0.25">
      <c r="A62" s="12"/>
      <c r="B62" s="14"/>
      <c r="C62" s="38"/>
      <c r="D62" s="38"/>
      <c r="E62" s="38"/>
      <c r="F62" s="38"/>
      <c r="G62" s="38"/>
      <c r="H62" s="38"/>
      <c r="I62" s="38"/>
      <c r="J62" s="38"/>
      <c r="K62" s="38"/>
      <c r="L62" s="38"/>
      <c r="M62" s="38"/>
      <c r="N62" s="38"/>
      <c r="O62" s="38"/>
      <c r="P62" s="38"/>
      <c r="Q62" s="38"/>
      <c r="R62" s="39"/>
      <c r="S62" s="216"/>
      <c r="T62" s="2"/>
    </row>
    <row r="63" spans="1:20" ht="15.75" x14ac:dyDescent="0.25">
      <c r="A63" s="110"/>
      <c r="B63" s="111" t="s">
        <v>15</v>
      </c>
      <c r="C63" s="153"/>
      <c r="D63" s="153"/>
      <c r="E63" s="153"/>
      <c r="F63" s="153"/>
      <c r="G63" s="153"/>
      <c r="H63" s="153"/>
      <c r="I63" s="153"/>
      <c r="J63" s="153"/>
      <c r="K63" s="153"/>
      <c r="L63" s="153"/>
      <c r="M63" s="153"/>
      <c r="N63" s="153"/>
      <c r="O63" s="153"/>
      <c r="P63" s="153"/>
      <c r="Q63" s="153"/>
      <c r="R63" s="153"/>
      <c r="S63" s="114"/>
      <c r="T63" s="2"/>
    </row>
    <row r="64" spans="1:20" ht="15.75" x14ac:dyDescent="0.25">
      <c r="A64" s="110"/>
      <c r="B64" s="111" t="s">
        <v>16</v>
      </c>
      <c r="C64" s="153"/>
      <c r="D64" s="153"/>
      <c r="E64" s="153"/>
      <c r="F64" s="153"/>
      <c r="G64" s="153"/>
      <c r="H64" s="153"/>
      <c r="I64" s="153"/>
      <c r="J64" s="153"/>
      <c r="K64" s="153"/>
      <c r="L64" s="153"/>
      <c r="M64" s="153"/>
      <c r="N64" s="153"/>
      <c r="O64" s="153"/>
      <c r="P64" s="153"/>
      <c r="Q64" s="153"/>
      <c r="R64" s="153"/>
      <c r="S64" s="114"/>
      <c r="T64" s="2"/>
    </row>
    <row r="65" spans="1:20" ht="15.75" x14ac:dyDescent="0.25">
      <c r="A65" s="110"/>
      <c r="B65" s="111"/>
      <c r="C65" s="153"/>
      <c r="D65" s="153"/>
      <c r="E65" s="153"/>
      <c r="F65" s="153"/>
      <c r="G65" s="153"/>
      <c r="H65" s="153"/>
      <c r="I65" s="153"/>
      <c r="J65" s="153"/>
      <c r="K65" s="153"/>
      <c r="L65" s="153"/>
      <c r="M65" s="153"/>
      <c r="N65" s="153"/>
      <c r="O65" s="153"/>
      <c r="P65" s="153"/>
      <c r="Q65" s="153"/>
      <c r="R65" s="153"/>
      <c r="S65" s="114"/>
      <c r="T65" s="2"/>
    </row>
    <row r="66" spans="1:20" ht="15.75" x14ac:dyDescent="0.25">
      <c r="A66" s="110"/>
      <c r="B66" s="111" t="s">
        <v>17</v>
      </c>
      <c r="C66" s="153"/>
      <c r="D66" s="153"/>
      <c r="E66" s="153"/>
      <c r="F66" s="153"/>
      <c r="G66" s="153"/>
      <c r="H66" s="153"/>
      <c r="I66" s="153"/>
      <c r="J66" s="153"/>
      <c r="K66" s="153"/>
      <c r="L66" s="153"/>
      <c r="M66" s="153"/>
      <c r="N66" s="153"/>
      <c r="O66" s="153"/>
      <c r="P66" s="153"/>
      <c r="Q66" s="153"/>
      <c r="R66" s="153"/>
      <c r="S66" s="114"/>
      <c r="T66" s="2"/>
    </row>
    <row r="67" spans="1:20" ht="15.75" x14ac:dyDescent="0.25">
      <c r="A67" s="110"/>
      <c r="B67" s="111"/>
      <c r="C67" s="153"/>
      <c r="D67" s="153"/>
      <c r="E67" s="153"/>
      <c r="F67" s="153"/>
      <c r="G67" s="153"/>
      <c r="H67" s="153"/>
      <c r="I67" s="153"/>
      <c r="J67" s="153"/>
      <c r="K67" s="153"/>
      <c r="L67" s="153"/>
      <c r="M67" s="153"/>
      <c r="N67" s="153"/>
      <c r="O67" s="153"/>
      <c r="P67" s="153"/>
      <c r="Q67" s="153"/>
      <c r="R67" s="153"/>
      <c r="S67" s="114"/>
      <c r="T67" s="2"/>
    </row>
    <row r="68" spans="1:20" ht="15.75" x14ac:dyDescent="0.25">
      <c r="A68" s="110"/>
      <c r="B68" s="111" t="s">
        <v>19</v>
      </c>
      <c r="C68" s="153"/>
      <c r="D68" s="153"/>
      <c r="E68" s="153"/>
      <c r="F68" s="153">
        <v>0</v>
      </c>
      <c r="G68" s="153"/>
      <c r="H68" s="153">
        <v>0</v>
      </c>
      <c r="I68" s="153"/>
      <c r="J68" s="153"/>
      <c r="K68" s="153"/>
      <c r="L68" s="153"/>
      <c r="M68" s="153"/>
      <c r="N68" s="153"/>
      <c r="O68" s="153"/>
      <c r="P68" s="153"/>
      <c r="Q68" s="153"/>
      <c r="R68" s="154">
        <v>0</v>
      </c>
      <c r="S68" s="114"/>
      <c r="T68" s="2"/>
    </row>
    <row r="69" spans="1:20" ht="15.75" x14ac:dyDescent="0.25">
      <c r="A69" s="110"/>
      <c r="B69" s="111" t="s">
        <v>201</v>
      </c>
      <c r="C69" s="153"/>
      <c r="D69" s="153"/>
      <c r="E69" s="153"/>
      <c r="F69" s="153">
        <v>29550</v>
      </c>
      <c r="G69" s="153"/>
      <c r="H69" s="153">
        <v>0</v>
      </c>
      <c r="I69" s="153"/>
      <c r="J69" s="153">
        <v>0</v>
      </c>
      <c r="K69" s="153"/>
      <c r="L69" s="153">
        <v>0</v>
      </c>
      <c r="M69" s="153"/>
      <c r="N69" s="153"/>
      <c r="O69" s="153"/>
      <c r="P69" s="153"/>
      <c r="Q69" s="153"/>
      <c r="R69" s="153">
        <v>0</v>
      </c>
      <c r="S69" s="114"/>
      <c r="T69" s="2"/>
    </row>
    <row r="70" spans="1:20" ht="15.75" x14ac:dyDescent="0.25">
      <c r="A70" s="110"/>
      <c r="B70" s="111" t="s">
        <v>240</v>
      </c>
      <c r="C70" s="153"/>
      <c r="D70" s="153"/>
      <c r="E70" s="153"/>
      <c r="F70" s="153">
        <v>3000</v>
      </c>
      <c r="G70" s="153"/>
      <c r="H70" s="153">
        <v>0</v>
      </c>
      <c r="I70" s="153"/>
      <c r="J70" s="153">
        <v>0</v>
      </c>
      <c r="K70" s="153"/>
      <c r="L70" s="153"/>
      <c r="M70" s="153"/>
      <c r="N70" s="153">
        <v>0</v>
      </c>
      <c r="O70" s="153"/>
      <c r="P70" s="153"/>
      <c r="Q70" s="153"/>
      <c r="R70" s="153">
        <f>H70+N70</f>
        <v>0</v>
      </c>
      <c r="S70" s="114"/>
      <c r="T70" s="2"/>
    </row>
    <row r="71" spans="1:20" ht="15.75" x14ac:dyDescent="0.25">
      <c r="A71" s="110"/>
      <c r="B71" s="111" t="s">
        <v>20</v>
      </c>
      <c r="C71" s="153"/>
      <c r="D71" s="153"/>
      <c r="E71" s="153"/>
      <c r="F71" s="153">
        <v>0</v>
      </c>
      <c r="G71" s="153"/>
      <c r="H71" s="153">
        <v>0</v>
      </c>
      <c r="I71" s="153"/>
      <c r="J71" s="153"/>
      <c r="K71" s="153"/>
      <c r="L71" s="153"/>
      <c r="M71" s="153"/>
      <c r="N71" s="153"/>
      <c r="O71" s="153"/>
      <c r="P71" s="153"/>
      <c r="Q71" s="153"/>
      <c r="R71" s="153">
        <v>0</v>
      </c>
      <c r="S71" s="114"/>
      <c r="T71" s="2"/>
    </row>
    <row r="72" spans="1:20" ht="15.75" x14ac:dyDescent="0.25">
      <c r="A72" s="110"/>
      <c r="B72" s="111" t="s">
        <v>21</v>
      </c>
      <c r="C72" s="153"/>
      <c r="D72" s="153"/>
      <c r="E72" s="153"/>
      <c r="F72" s="153">
        <f>SUM(F59:F71)</f>
        <v>350000</v>
      </c>
      <c r="G72" s="153"/>
      <c r="H72" s="153">
        <f>SUM(H59:H71)</f>
        <v>205550</v>
      </c>
      <c r="I72" s="153"/>
      <c r="J72" s="153"/>
      <c r="K72" s="153"/>
      <c r="L72" s="153"/>
      <c r="M72" s="153"/>
      <c r="N72" s="153"/>
      <c r="O72" s="153"/>
      <c r="P72" s="153"/>
      <c r="Q72" s="153"/>
      <c r="R72" s="153">
        <f>SUM(R59:R71)</f>
        <v>169326</v>
      </c>
      <c r="S72" s="114"/>
      <c r="T72" s="2"/>
    </row>
    <row r="73" spans="1:20" ht="15.75" x14ac:dyDescent="0.25">
      <c r="A73" s="12"/>
      <c r="B73" s="43"/>
      <c r="C73" s="151"/>
      <c r="D73" s="151"/>
      <c r="E73" s="151"/>
      <c r="F73" s="151"/>
      <c r="G73" s="151"/>
      <c r="H73" s="151"/>
      <c r="I73" s="151"/>
      <c r="J73" s="151"/>
      <c r="K73" s="151"/>
      <c r="L73" s="151"/>
      <c r="M73" s="151"/>
      <c r="N73" s="151"/>
      <c r="O73" s="151"/>
      <c r="P73" s="151"/>
      <c r="Q73" s="151"/>
      <c r="R73" s="152"/>
      <c r="S73" s="216"/>
      <c r="T73" s="2"/>
    </row>
    <row r="74" spans="1:20" ht="15.75" x14ac:dyDescent="0.25">
      <c r="A74" s="12"/>
      <c r="B74" s="14"/>
      <c r="C74" s="14"/>
      <c r="D74" s="14"/>
      <c r="E74" s="14"/>
      <c r="F74" s="14"/>
      <c r="G74" s="14"/>
      <c r="H74" s="14"/>
      <c r="I74" s="14"/>
      <c r="J74" s="14"/>
      <c r="K74" s="14"/>
      <c r="L74" s="14"/>
      <c r="M74" s="14"/>
      <c r="N74" s="14"/>
      <c r="O74" s="14"/>
      <c r="P74" s="14"/>
      <c r="Q74" s="14"/>
      <c r="R74" s="14"/>
      <c r="S74" s="216"/>
      <c r="T74" s="2"/>
    </row>
    <row r="75" spans="1:20" ht="15.75" x14ac:dyDescent="0.25">
      <c r="A75" s="53"/>
      <c r="B75" s="61" t="s">
        <v>22</v>
      </c>
      <c r="C75" s="61"/>
      <c r="D75" s="62"/>
      <c r="E75" s="62"/>
      <c r="F75" s="62"/>
      <c r="G75" s="62"/>
      <c r="H75" s="63" t="s">
        <v>78</v>
      </c>
      <c r="I75" s="62"/>
      <c r="J75" s="64">
        <f>+P191</f>
        <v>42674</v>
      </c>
      <c r="K75" s="62"/>
      <c r="L75" s="62"/>
      <c r="M75" s="62"/>
      <c r="N75" s="62"/>
      <c r="O75" s="62"/>
      <c r="P75" s="62" t="s">
        <v>88</v>
      </c>
      <c r="Q75" s="62"/>
      <c r="R75" s="62" t="s">
        <v>94</v>
      </c>
      <c r="S75" s="218"/>
      <c r="T75" s="2"/>
    </row>
    <row r="76" spans="1:20" ht="15.75" x14ac:dyDescent="0.25">
      <c r="A76" s="77"/>
      <c r="B76" s="79" t="s">
        <v>23</v>
      </c>
      <c r="C76" s="25"/>
      <c r="D76" s="25"/>
      <c r="E76" s="25"/>
      <c r="F76" s="25"/>
      <c r="G76" s="25"/>
      <c r="H76" s="25"/>
      <c r="I76" s="25"/>
      <c r="J76" s="25"/>
      <c r="K76" s="25"/>
      <c r="L76" s="25"/>
      <c r="M76" s="25"/>
      <c r="N76" s="25"/>
      <c r="O76" s="25"/>
      <c r="P76" s="78">
        <v>0</v>
      </c>
      <c r="Q76" s="79"/>
      <c r="R76" s="82">
        <v>0</v>
      </c>
      <c r="S76" s="221"/>
      <c r="T76" s="2"/>
    </row>
    <row r="77" spans="1:20" ht="15.75" x14ac:dyDescent="0.25">
      <c r="A77" s="120"/>
      <c r="B77" s="111" t="s">
        <v>246</v>
      </c>
      <c r="C77" s="133"/>
      <c r="D77" s="155"/>
      <c r="E77" s="155"/>
      <c r="F77" s="155"/>
      <c r="G77" s="156"/>
      <c r="H77" s="155"/>
      <c r="I77" s="133"/>
      <c r="J77" s="157"/>
      <c r="K77" s="133"/>
      <c r="L77" s="133"/>
      <c r="M77" s="133"/>
      <c r="N77" s="133"/>
      <c r="O77" s="133"/>
      <c r="P77" s="153">
        <f>-N70</f>
        <v>0</v>
      </c>
      <c r="Q77" s="111"/>
      <c r="R77" s="154"/>
      <c r="S77" s="137"/>
      <c r="T77" s="2"/>
    </row>
    <row r="78" spans="1:20" ht="15.75" x14ac:dyDescent="0.25">
      <c r="A78" s="120"/>
      <c r="B78" s="111" t="s">
        <v>245</v>
      </c>
      <c r="C78" s="133"/>
      <c r="D78" s="155"/>
      <c r="E78" s="155"/>
      <c r="F78" s="155"/>
      <c r="G78" s="156"/>
      <c r="H78" s="155"/>
      <c r="I78" s="133"/>
      <c r="J78" s="157"/>
      <c r="K78" s="133"/>
      <c r="L78" s="133"/>
      <c r="M78" s="133"/>
      <c r="N78" s="133"/>
      <c r="O78" s="133"/>
      <c r="P78" s="153">
        <v>0</v>
      </c>
      <c r="Q78" s="111"/>
      <c r="R78" s="154"/>
      <c r="S78" s="137"/>
      <c r="T78" s="2"/>
    </row>
    <row r="79" spans="1:20" ht="15.75" x14ac:dyDescent="0.25">
      <c r="A79" s="120"/>
      <c r="B79" s="111" t="s">
        <v>24</v>
      </c>
      <c r="C79" s="133"/>
      <c r="D79" s="155"/>
      <c r="E79" s="155"/>
      <c r="F79" s="155"/>
      <c r="G79" s="156"/>
      <c r="H79" s="155"/>
      <c r="I79" s="133"/>
      <c r="J79" s="157"/>
      <c r="K79" s="133"/>
      <c r="L79" s="133"/>
      <c r="M79" s="133"/>
      <c r="N79" s="133"/>
      <c r="O79" s="133"/>
      <c r="P79" s="153">
        <f>+J56+L56+P56</f>
        <v>36450</v>
      </c>
      <c r="Q79" s="111"/>
      <c r="R79" s="154"/>
      <c r="S79" s="137"/>
      <c r="T79" s="2"/>
    </row>
    <row r="80" spans="1:20" ht="15.75" x14ac:dyDescent="0.25">
      <c r="A80" s="120"/>
      <c r="B80" s="111" t="s">
        <v>138</v>
      </c>
      <c r="C80" s="133"/>
      <c r="D80" s="155"/>
      <c r="E80" s="155"/>
      <c r="F80" s="155"/>
      <c r="G80" s="156"/>
      <c r="H80" s="155"/>
      <c r="I80" s="133"/>
      <c r="J80" s="157"/>
      <c r="K80" s="133"/>
      <c r="L80" s="133"/>
      <c r="M80" s="133"/>
      <c r="N80" s="133"/>
      <c r="O80" s="133"/>
      <c r="P80" s="153"/>
      <c r="Q80" s="111"/>
      <c r="R80" s="154">
        <f>4747+26-2366-7+9</f>
        <v>2409</v>
      </c>
      <c r="S80" s="137"/>
      <c r="T80" s="2"/>
    </row>
    <row r="81" spans="1:20" ht="15.75" x14ac:dyDescent="0.25">
      <c r="A81" s="120"/>
      <c r="B81" s="111" t="s">
        <v>136</v>
      </c>
      <c r="C81" s="133"/>
      <c r="D81" s="155"/>
      <c r="E81" s="155"/>
      <c r="F81" s="155"/>
      <c r="G81" s="156"/>
      <c r="H81" s="155"/>
      <c r="I81" s="133"/>
      <c r="J81" s="157"/>
      <c r="K81" s="133"/>
      <c r="L81" s="133"/>
      <c r="M81" s="133"/>
      <c r="N81" s="133"/>
      <c r="O81" s="133"/>
      <c r="P81" s="153"/>
      <c r="Q81" s="111"/>
      <c r="R81" s="154">
        <v>104</v>
      </c>
      <c r="S81" s="137"/>
      <c r="T81" s="2"/>
    </row>
    <row r="82" spans="1:20" ht="15.75" x14ac:dyDescent="0.25">
      <c r="A82" s="120"/>
      <c r="B82" s="111" t="s">
        <v>137</v>
      </c>
      <c r="C82" s="133"/>
      <c r="D82" s="155"/>
      <c r="E82" s="155"/>
      <c r="F82" s="155"/>
      <c r="G82" s="156"/>
      <c r="H82" s="155"/>
      <c r="I82" s="133"/>
      <c r="J82" s="157"/>
      <c r="K82" s="133"/>
      <c r="L82" s="133"/>
      <c r="M82" s="133"/>
      <c r="N82" s="133"/>
      <c r="O82" s="133"/>
      <c r="P82" s="153"/>
      <c r="Q82" s="111"/>
      <c r="R82" s="154">
        <v>62</v>
      </c>
      <c r="S82" s="137"/>
      <c r="T82" s="2"/>
    </row>
    <row r="83" spans="1:20" ht="15.75" x14ac:dyDescent="0.25">
      <c r="A83" s="120"/>
      <c r="B83" s="111" t="s">
        <v>146</v>
      </c>
      <c r="C83" s="133"/>
      <c r="D83" s="155"/>
      <c r="E83" s="155"/>
      <c r="F83" s="155"/>
      <c r="G83" s="156"/>
      <c r="H83" s="155"/>
      <c r="I83" s="133"/>
      <c r="J83" s="157"/>
      <c r="K83" s="133"/>
      <c r="L83" s="133"/>
      <c r="M83" s="133"/>
      <c r="N83" s="133"/>
      <c r="O83" s="133"/>
      <c r="P83" s="153"/>
      <c r="Q83" s="111"/>
      <c r="R83" s="154">
        <v>0</v>
      </c>
      <c r="S83" s="137"/>
      <c r="T83" s="2"/>
    </row>
    <row r="84" spans="1:20" ht="15.75" x14ac:dyDescent="0.25">
      <c r="A84" s="120"/>
      <c r="B84" s="111" t="s">
        <v>148</v>
      </c>
      <c r="C84" s="133"/>
      <c r="D84" s="155"/>
      <c r="E84" s="155"/>
      <c r="F84" s="155"/>
      <c r="G84" s="156"/>
      <c r="H84" s="155"/>
      <c r="I84" s="133"/>
      <c r="J84" s="157"/>
      <c r="K84" s="133"/>
      <c r="L84" s="133"/>
      <c r="M84" s="133"/>
      <c r="N84" s="133"/>
      <c r="O84" s="133"/>
      <c r="P84" s="153"/>
      <c r="Q84" s="111"/>
      <c r="R84" s="154">
        <v>45</v>
      </c>
      <c r="S84" s="137"/>
      <c r="T84" s="2"/>
    </row>
    <row r="85" spans="1:20" ht="15.75" x14ac:dyDescent="0.25">
      <c r="A85" s="120"/>
      <c r="B85" s="111" t="s">
        <v>170</v>
      </c>
      <c r="C85" s="133"/>
      <c r="D85" s="155"/>
      <c r="E85" s="155"/>
      <c r="F85" s="155"/>
      <c r="G85" s="156"/>
      <c r="H85" s="155"/>
      <c r="I85" s="133"/>
      <c r="J85" s="157"/>
      <c r="K85" s="133"/>
      <c r="L85" s="133"/>
      <c r="M85" s="133"/>
      <c r="N85" s="133"/>
      <c r="O85" s="133"/>
      <c r="P85" s="153"/>
      <c r="Q85" s="111"/>
      <c r="R85" s="154">
        <v>0</v>
      </c>
      <c r="S85" s="137"/>
      <c r="T85" s="2"/>
    </row>
    <row r="86" spans="1:20" ht="15.75" x14ac:dyDescent="0.25">
      <c r="A86" s="120"/>
      <c r="B86" s="111" t="s">
        <v>171</v>
      </c>
      <c r="C86" s="133"/>
      <c r="D86" s="155"/>
      <c r="E86" s="155"/>
      <c r="F86" s="155"/>
      <c r="G86" s="156"/>
      <c r="H86" s="155"/>
      <c r="I86" s="133"/>
      <c r="J86" s="157"/>
      <c r="K86" s="133"/>
      <c r="L86" s="133"/>
      <c r="M86" s="133"/>
      <c r="N86" s="133"/>
      <c r="O86" s="133"/>
      <c r="P86" s="153"/>
      <c r="Q86" s="111"/>
      <c r="R86" s="154">
        <v>0</v>
      </c>
      <c r="S86" s="137"/>
      <c r="T86" s="2"/>
    </row>
    <row r="87" spans="1:20" ht="15.75" x14ac:dyDescent="0.25">
      <c r="A87" s="120"/>
      <c r="B87" s="111" t="s">
        <v>172</v>
      </c>
      <c r="C87" s="133"/>
      <c r="D87" s="133"/>
      <c r="E87" s="133"/>
      <c r="F87" s="133"/>
      <c r="G87" s="133"/>
      <c r="H87" s="133"/>
      <c r="I87" s="133"/>
      <c r="J87" s="133"/>
      <c r="K87" s="133"/>
      <c r="L87" s="133"/>
      <c r="M87" s="133"/>
      <c r="N87" s="133"/>
      <c r="O87" s="133"/>
      <c r="P87" s="153"/>
      <c r="Q87" s="111"/>
      <c r="R87" s="154">
        <v>0</v>
      </c>
      <c r="S87" s="137"/>
      <c r="T87" s="2"/>
    </row>
    <row r="88" spans="1:20" ht="15.75" x14ac:dyDescent="0.25">
      <c r="A88" s="120"/>
      <c r="B88" s="111" t="s">
        <v>218</v>
      </c>
      <c r="C88" s="133"/>
      <c r="D88" s="133"/>
      <c r="E88" s="133"/>
      <c r="F88" s="133"/>
      <c r="G88" s="133"/>
      <c r="H88" s="133"/>
      <c r="I88" s="133"/>
      <c r="J88" s="133"/>
      <c r="K88" s="133"/>
      <c r="L88" s="133"/>
      <c r="M88" s="133"/>
      <c r="N88" s="133"/>
      <c r="O88" s="133"/>
      <c r="P88" s="153"/>
      <c r="Q88" s="111"/>
      <c r="R88" s="154">
        <v>0</v>
      </c>
      <c r="S88" s="137"/>
      <c r="T88" s="2"/>
    </row>
    <row r="89" spans="1:20" ht="15.75" x14ac:dyDescent="0.25">
      <c r="A89" s="120"/>
      <c r="B89" s="111" t="s">
        <v>25</v>
      </c>
      <c r="C89" s="133"/>
      <c r="D89" s="133"/>
      <c r="E89" s="133"/>
      <c r="F89" s="133"/>
      <c r="G89" s="133"/>
      <c r="H89" s="133"/>
      <c r="I89" s="133"/>
      <c r="J89" s="133"/>
      <c r="K89" s="133"/>
      <c r="L89" s="133"/>
      <c r="M89" s="133"/>
      <c r="N89" s="133"/>
      <c r="O89" s="133"/>
      <c r="P89" s="153">
        <f>SUM(P76:P88)</f>
        <v>36450</v>
      </c>
      <c r="Q89" s="111"/>
      <c r="R89" s="153">
        <f>SUM(R76:R88)</f>
        <v>2620</v>
      </c>
      <c r="S89" s="137"/>
      <c r="T89" s="2"/>
    </row>
    <row r="90" spans="1:20" ht="15.75" x14ac:dyDescent="0.25">
      <c r="A90" s="120"/>
      <c r="B90" s="111" t="s">
        <v>26</v>
      </c>
      <c r="C90" s="133"/>
      <c r="D90" s="133"/>
      <c r="E90" s="133"/>
      <c r="F90" s="133"/>
      <c r="G90" s="133"/>
      <c r="H90" s="133"/>
      <c r="I90" s="133"/>
      <c r="J90" s="133"/>
      <c r="K90" s="133"/>
      <c r="L90" s="133"/>
      <c r="M90" s="133"/>
      <c r="N90" s="133"/>
      <c r="O90" s="133"/>
      <c r="P90" s="153">
        <f>-R90</f>
        <v>0</v>
      </c>
      <c r="Q90" s="111"/>
      <c r="R90" s="154">
        <v>0</v>
      </c>
      <c r="S90" s="137"/>
      <c r="T90" s="2"/>
    </row>
    <row r="91" spans="1:20" ht="15.75" x14ac:dyDescent="0.25">
      <c r="A91" s="120"/>
      <c r="B91" s="111" t="s">
        <v>153</v>
      </c>
      <c r="C91" s="133"/>
      <c r="D91" s="133"/>
      <c r="E91" s="133"/>
      <c r="F91" s="133"/>
      <c r="G91" s="133"/>
      <c r="H91" s="133"/>
      <c r="I91" s="133"/>
      <c r="J91" s="133"/>
      <c r="K91" s="133"/>
      <c r="L91" s="133"/>
      <c r="M91" s="133"/>
      <c r="N91" s="133"/>
      <c r="O91" s="133"/>
      <c r="P91" s="153"/>
      <c r="Q91" s="111"/>
      <c r="R91" s="154">
        <v>0</v>
      </c>
      <c r="S91" s="137"/>
      <c r="T91" s="2"/>
    </row>
    <row r="92" spans="1:20" ht="15.75" x14ac:dyDescent="0.25">
      <c r="A92" s="120"/>
      <c r="B92" s="111" t="s">
        <v>27</v>
      </c>
      <c r="C92" s="133"/>
      <c r="D92" s="133"/>
      <c r="E92" s="133"/>
      <c r="F92" s="133"/>
      <c r="G92" s="133"/>
      <c r="H92" s="133"/>
      <c r="I92" s="133"/>
      <c r="J92" s="133"/>
      <c r="K92" s="133"/>
      <c r="L92" s="133"/>
      <c r="M92" s="133"/>
      <c r="N92" s="133"/>
      <c r="O92" s="133"/>
      <c r="P92" s="153">
        <f>P89+P90</f>
        <v>36450</v>
      </c>
      <c r="Q92" s="111"/>
      <c r="R92" s="153">
        <f>R89+R90+R91</f>
        <v>2620</v>
      </c>
      <c r="S92" s="137"/>
      <c r="T92" s="2"/>
    </row>
    <row r="93" spans="1:20" ht="15.75" x14ac:dyDescent="0.25">
      <c r="A93" s="110"/>
      <c r="B93" s="158" t="s">
        <v>28</v>
      </c>
      <c r="C93" s="133"/>
      <c r="D93" s="133"/>
      <c r="E93" s="133"/>
      <c r="F93" s="133"/>
      <c r="G93" s="133"/>
      <c r="H93" s="133"/>
      <c r="I93" s="133"/>
      <c r="J93" s="133"/>
      <c r="K93" s="133"/>
      <c r="L93" s="133"/>
      <c r="M93" s="133"/>
      <c r="N93" s="133"/>
      <c r="O93" s="133"/>
      <c r="P93" s="153"/>
      <c r="Q93" s="111"/>
      <c r="R93" s="154"/>
      <c r="S93" s="137"/>
      <c r="T93" s="2"/>
    </row>
    <row r="94" spans="1:20" ht="15.75" x14ac:dyDescent="0.25">
      <c r="A94" s="120">
        <v>1</v>
      </c>
      <c r="B94" s="111" t="s">
        <v>182</v>
      </c>
      <c r="C94" s="133"/>
      <c r="D94" s="133"/>
      <c r="E94" s="133"/>
      <c r="F94" s="133"/>
      <c r="G94" s="133"/>
      <c r="H94" s="133"/>
      <c r="I94" s="133"/>
      <c r="J94" s="133"/>
      <c r="K94" s="133"/>
      <c r="L94" s="133"/>
      <c r="M94" s="133"/>
      <c r="N94" s="133"/>
      <c r="O94" s="133"/>
      <c r="P94" s="153"/>
      <c r="Q94" s="111"/>
      <c r="R94" s="154">
        <v>0</v>
      </c>
      <c r="S94" s="137"/>
      <c r="T94" s="2"/>
    </row>
    <row r="95" spans="1:20" ht="15.75" x14ac:dyDescent="0.25">
      <c r="A95" s="120">
        <v>2</v>
      </c>
      <c r="B95" s="111" t="s">
        <v>230</v>
      </c>
      <c r="C95" s="111"/>
      <c r="D95" s="133"/>
      <c r="E95" s="133"/>
      <c r="F95" s="133"/>
      <c r="G95" s="133"/>
      <c r="H95" s="133"/>
      <c r="I95" s="133"/>
      <c r="J95" s="133"/>
      <c r="K95" s="133"/>
      <c r="L95" s="133"/>
      <c r="M95" s="133"/>
      <c r="N95" s="133"/>
      <c r="O95" s="133"/>
      <c r="P95" s="111"/>
      <c r="Q95" s="111"/>
      <c r="R95" s="154">
        <v>-3</v>
      </c>
      <c r="S95" s="137"/>
      <c r="T95" s="2"/>
    </row>
    <row r="96" spans="1:20" ht="15.75" x14ac:dyDescent="0.25">
      <c r="A96" s="120">
        <v>3</v>
      </c>
      <c r="B96" s="111" t="s">
        <v>236</v>
      </c>
      <c r="C96" s="111"/>
      <c r="D96" s="133"/>
      <c r="E96" s="133"/>
      <c r="F96" s="133"/>
      <c r="G96" s="133"/>
      <c r="H96" s="133"/>
      <c r="I96" s="133"/>
      <c r="J96" s="133"/>
      <c r="K96" s="133"/>
      <c r="L96" s="133"/>
      <c r="M96" s="133"/>
      <c r="N96" s="133"/>
      <c r="O96" s="133"/>
      <c r="P96" s="111"/>
      <c r="Q96" s="111"/>
      <c r="R96" s="154">
        <f>-78-37-3</f>
        <v>-118</v>
      </c>
      <c r="S96" s="137"/>
      <c r="T96" s="2"/>
    </row>
    <row r="97" spans="1:21" ht="15.75" x14ac:dyDescent="0.25">
      <c r="A97" s="120">
        <v>4</v>
      </c>
      <c r="B97" s="111" t="s">
        <v>97</v>
      </c>
      <c r="C97" s="111"/>
      <c r="D97" s="133"/>
      <c r="E97" s="133"/>
      <c r="F97" s="133"/>
      <c r="G97" s="133"/>
      <c r="H97" s="133"/>
      <c r="I97" s="133"/>
      <c r="J97" s="133"/>
      <c r="K97" s="133"/>
      <c r="L97" s="133"/>
      <c r="M97" s="133"/>
      <c r="N97" s="133"/>
      <c r="O97" s="133"/>
      <c r="P97" s="111"/>
      <c r="Q97" s="111"/>
      <c r="R97" s="154">
        <v>-24</v>
      </c>
      <c r="S97" s="137"/>
      <c r="T97" s="2"/>
    </row>
    <row r="98" spans="1:21" ht="15.75" x14ac:dyDescent="0.25">
      <c r="A98" s="120">
        <v>5</v>
      </c>
      <c r="B98" s="111" t="s">
        <v>160</v>
      </c>
      <c r="C98" s="111"/>
      <c r="D98" s="133"/>
      <c r="E98" s="133"/>
      <c r="F98" s="133"/>
      <c r="G98" s="133"/>
      <c r="H98" s="133"/>
      <c r="I98" s="133"/>
      <c r="J98" s="133"/>
      <c r="K98" s="133"/>
      <c r="L98" s="133"/>
      <c r="M98" s="133"/>
      <c r="N98" s="133"/>
      <c r="O98" s="133"/>
      <c r="P98" s="111"/>
      <c r="Q98" s="111"/>
      <c r="R98" s="154">
        <v>-469</v>
      </c>
      <c r="S98" s="137"/>
      <c r="T98" s="2"/>
      <c r="U98" s="4"/>
    </row>
    <row r="99" spans="1:21" ht="15.75" x14ac:dyDescent="0.25">
      <c r="A99" s="120">
        <v>6</v>
      </c>
      <c r="B99" s="111" t="s">
        <v>195</v>
      </c>
      <c r="C99" s="111"/>
      <c r="D99" s="133"/>
      <c r="E99" s="133"/>
      <c r="F99" s="133"/>
      <c r="G99" s="133"/>
      <c r="H99" s="133"/>
      <c r="I99" s="133"/>
      <c r="J99" s="133"/>
      <c r="K99" s="133"/>
      <c r="L99" s="133"/>
      <c r="M99" s="133"/>
      <c r="N99" s="133"/>
      <c r="O99" s="133"/>
      <c r="P99" s="111"/>
      <c r="Q99" s="111"/>
      <c r="R99" s="154">
        <v>-84</v>
      </c>
      <c r="S99" s="137"/>
      <c r="T99" s="2"/>
      <c r="U99" s="4"/>
    </row>
    <row r="100" spans="1:21" ht="15.75" x14ac:dyDescent="0.25">
      <c r="A100" s="120">
        <v>8</v>
      </c>
      <c r="B100" s="111" t="s">
        <v>161</v>
      </c>
      <c r="C100" s="111"/>
      <c r="D100" s="133"/>
      <c r="E100" s="133"/>
      <c r="F100" s="133"/>
      <c r="G100" s="133"/>
      <c r="H100" s="133"/>
      <c r="I100" s="133"/>
      <c r="J100" s="133"/>
      <c r="K100" s="133"/>
      <c r="L100" s="133"/>
      <c r="M100" s="133"/>
      <c r="N100" s="133"/>
      <c r="O100" s="133"/>
      <c r="P100" s="111"/>
      <c r="Q100" s="111"/>
      <c r="R100" s="154">
        <v>0</v>
      </c>
      <c r="S100" s="137"/>
      <c r="T100" s="2"/>
      <c r="U100" s="4"/>
    </row>
    <row r="101" spans="1:21" ht="15.75" x14ac:dyDescent="0.25">
      <c r="A101" s="120">
        <v>9</v>
      </c>
      <c r="B101" s="111" t="s">
        <v>37</v>
      </c>
      <c r="C101" s="111"/>
      <c r="D101" s="133"/>
      <c r="E101" s="133"/>
      <c r="F101" s="133"/>
      <c r="G101" s="133"/>
      <c r="H101" s="133"/>
      <c r="I101" s="133"/>
      <c r="J101" s="133"/>
      <c r="K101" s="133"/>
      <c r="L101" s="133"/>
      <c r="M101" s="133"/>
      <c r="N101" s="133"/>
      <c r="O101" s="133"/>
      <c r="P101" s="153">
        <f>-R101</f>
        <v>0</v>
      </c>
      <c r="Q101" s="111"/>
      <c r="R101" s="154">
        <v>0</v>
      </c>
      <c r="S101" s="137"/>
      <c r="T101" s="2"/>
    </row>
    <row r="102" spans="1:21" ht="15.75" x14ac:dyDescent="0.25">
      <c r="A102" s="120">
        <v>10</v>
      </c>
      <c r="B102" s="111" t="s">
        <v>102</v>
      </c>
      <c r="C102" s="111"/>
      <c r="D102" s="133"/>
      <c r="E102" s="133"/>
      <c r="F102" s="133"/>
      <c r="G102" s="133"/>
      <c r="H102" s="133"/>
      <c r="I102" s="133"/>
      <c r="J102" s="133"/>
      <c r="K102" s="133"/>
      <c r="L102" s="133"/>
      <c r="M102" s="133"/>
      <c r="N102" s="133"/>
      <c r="O102" s="133"/>
      <c r="P102" s="111"/>
      <c r="Q102" s="111"/>
      <c r="R102" s="154">
        <v>0</v>
      </c>
      <c r="S102" s="137"/>
      <c r="T102" s="2"/>
    </row>
    <row r="103" spans="1:21" ht="15.75" x14ac:dyDescent="0.25">
      <c r="A103" s="120">
        <v>11</v>
      </c>
      <c r="B103" s="111" t="s">
        <v>29</v>
      </c>
      <c r="C103" s="111"/>
      <c r="D103" s="133"/>
      <c r="E103" s="133"/>
      <c r="F103" s="133"/>
      <c r="G103" s="133"/>
      <c r="H103" s="133"/>
      <c r="I103" s="133"/>
      <c r="J103" s="133"/>
      <c r="K103" s="133"/>
      <c r="L103" s="133"/>
      <c r="M103" s="133"/>
      <c r="N103" s="133"/>
      <c r="O103" s="133"/>
      <c r="P103" s="111"/>
      <c r="Q103" s="111"/>
      <c r="R103" s="154">
        <v>-25</v>
      </c>
      <c r="S103" s="137"/>
      <c r="T103" s="2"/>
    </row>
    <row r="104" spans="1:21" ht="15.75" x14ac:dyDescent="0.25">
      <c r="A104" s="120">
        <v>12</v>
      </c>
      <c r="B104" s="111" t="s">
        <v>141</v>
      </c>
      <c r="C104" s="111"/>
      <c r="D104" s="133"/>
      <c r="E104" s="133"/>
      <c r="F104" s="133"/>
      <c r="G104" s="133"/>
      <c r="H104" s="133"/>
      <c r="I104" s="133"/>
      <c r="J104" s="133"/>
      <c r="K104" s="133"/>
      <c r="L104" s="133"/>
      <c r="M104" s="133"/>
      <c r="N104" s="133"/>
      <c r="O104" s="133"/>
      <c r="P104" s="111"/>
      <c r="Q104" s="111"/>
      <c r="R104" s="154">
        <v>0</v>
      </c>
      <c r="S104" s="137"/>
      <c r="T104" s="2"/>
    </row>
    <row r="105" spans="1:21" ht="15.75" x14ac:dyDescent="0.25">
      <c r="A105" s="120">
        <v>13</v>
      </c>
      <c r="B105" s="111" t="s">
        <v>196</v>
      </c>
      <c r="C105" s="111"/>
      <c r="D105" s="133"/>
      <c r="E105" s="133"/>
      <c r="F105" s="133"/>
      <c r="G105" s="133"/>
      <c r="H105" s="133"/>
      <c r="I105" s="133"/>
      <c r="J105" s="133"/>
      <c r="K105" s="133"/>
      <c r="L105" s="133"/>
      <c r="M105" s="133"/>
      <c r="N105" s="133"/>
      <c r="O105" s="133"/>
      <c r="P105" s="111"/>
      <c r="Q105" s="111"/>
      <c r="R105" s="154">
        <v>-31</v>
      </c>
      <c r="S105" s="137"/>
      <c r="T105" s="2"/>
    </row>
    <row r="106" spans="1:21" ht="15.75" x14ac:dyDescent="0.25">
      <c r="A106" s="120">
        <v>14</v>
      </c>
      <c r="B106" s="111" t="s">
        <v>162</v>
      </c>
      <c r="C106" s="111"/>
      <c r="D106" s="133"/>
      <c r="E106" s="133"/>
      <c r="F106" s="133"/>
      <c r="G106" s="133"/>
      <c r="H106" s="133"/>
      <c r="I106" s="133"/>
      <c r="J106" s="133"/>
      <c r="K106" s="133"/>
      <c r="L106" s="133"/>
      <c r="M106" s="133"/>
      <c r="N106" s="133"/>
      <c r="O106" s="133"/>
      <c r="P106" s="111"/>
      <c r="Q106" s="111"/>
      <c r="R106" s="154">
        <v>0</v>
      </c>
      <c r="S106" s="137"/>
      <c r="T106" s="2"/>
    </row>
    <row r="107" spans="1:21" ht="15.75" x14ac:dyDescent="0.25">
      <c r="A107" s="120">
        <v>15</v>
      </c>
      <c r="B107" s="111" t="s">
        <v>222</v>
      </c>
      <c r="C107" s="111"/>
      <c r="D107" s="133"/>
      <c r="E107" s="133"/>
      <c r="F107" s="133"/>
      <c r="G107" s="133"/>
      <c r="H107" s="133"/>
      <c r="I107" s="133"/>
      <c r="J107" s="133"/>
      <c r="K107" s="133"/>
      <c r="L107" s="133"/>
      <c r="M107" s="133"/>
      <c r="N107" s="133"/>
      <c r="O107" s="133"/>
      <c r="P107" s="111"/>
      <c r="Q107" s="111"/>
      <c r="R107" s="154">
        <v>-77</v>
      </c>
      <c r="S107" s="137"/>
      <c r="T107" s="2"/>
    </row>
    <row r="108" spans="1:21" ht="15.75" x14ac:dyDescent="0.25">
      <c r="A108" s="120">
        <v>16</v>
      </c>
      <c r="B108" s="111" t="s">
        <v>173</v>
      </c>
      <c r="C108" s="111"/>
      <c r="D108" s="133"/>
      <c r="E108" s="133"/>
      <c r="F108" s="133"/>
      <c r="G108" s="133"/>
      <c r="H108" s="133"/>
      <c r="I108" s="133"/>
      <c r="J108" s="133"/>
      <c r="K108" s="133"/>
      <c r="L108" s="133"/>
      <c r="M108" s="133"/>
      <c r="N108" s="133"/>
      <c r="O108" s="133"/>
      <c r="P108" s="111"/>
      <c r="Q108" s="111"/>
      <c r="R108" s="154">
        <f>-15-164</f>
        <v>-179</v>
      </c>
      <c r="S108" s="137"/>
      <c r="T108" s="2"/>
    </row>
    <row r="109" spans="1:21" ht="15.75" x14ac:dyDescent="0.25">
      <c r="A109" s="120">
        <v>17</v>
      </c>
      <c r="B109" s="111" t="s">
        <v>178</v>
      </c>
      <c r="C109" s="111"/>
      <c r="D109" s="133"/>
      <c r="E109" s="133"/>
      <c r="F109" s="133"/>
      <c r="G109" s="133"/>
      <c r="H109" s="133"/>
      <c r="I109" s="133"/>
      <c r="J109" s="133"/>
      <c r="K109" s="133"/>
      <c r="L109" s="133"/>
      <c r="M109" s="133"/>
      <c r="N109" s="133"/>
      <c r="O109" s="133"/>
      <c r="P109" s="111"/>
      <c r="Q109" s="111"/>
      <c r="R109" s="154">
        <f>-R92-SUM(R94:R108)</f>
        <v>-1610</v>
      </c>
      <c r="S109" s="137"/>
      <c r="T109" s="2"/>
    </row>
    <row r="110" spans="1:21" ht="15.75" x14ac:dyDescent="0.25">
      <c r="A110" s="120">
        <v>18</v>
      </c>
      <c r="B110" s="111" t="s">
        <v>179</v>
      </c>
      <c r="C110" s="111"/>
      <c r="D110" s="133"/>
      <c r="E110" s="133"/>
      <c r="F110" s="133"/>
      <c r="G110" s="133"/>
      <c r="H110" s="133"/>
      <c r="I110" s="133"/>
      <c r="J110" s="133"/>
      <c r="K110" s="133"/>
      <c r="L110" s="133"/>
      <c r="M110" s="133"/>
      <c r="N110" s="133"/>
      <c r="O110" s="133"/>
      <c r="P110" s="153">
        <f>-R110</f>
        <v>0</v>
      </c>
      <c r="Q110" s="111"/>
      <c r="R110" s="154">
        <v>0</v>
      </c>
      <c r="S110" s="137"/>
      <c r="T110" s="2"/>
    </row>
    <row r="111" spans="1:21" ht="15.75" x14ac:dyDescent="0.25">
      <c r="A111" s="110"/>
      <c r="B111" s="158" t="s">
        <v>30</v>
      </c>
      <c r="C111" s="133"/>
      <c r="D111" s="133"/>
      <c r="E111" s="133"/>
      <c r="F111" s="133"/>
      <c r="G111" s="133"/>
      <c r="H111" s="133"/>
      <c r="I111" s="133"/>
      <c r="J111" s="133"/>
      <c r="K111" s="133"/>
      <c r="L111" s="133"/>
      <c r="M111" s="133"/>
      <c r="N111" s="133"/>
      <c r="O111" s="133"/>
      <c r="P111" s="111"/>
      <c r="Q111" s="111"/>
      <c r="R111" s="159"/>
      <c r="S111" s="137"/>
      <c r="T111" s="2"/>
    </row>
    <row r="112" spans="1:21" ht="15.75" x14ac:dyDescent="0.25">
      <c r="A112" s="110"/>
      <c r="B112" s="111" t="s">
        <v>223</v>
      </c>
      <c r="C112" s="133"/>
      <c r="D112" s="133"/>
      <c r="E112" s="133"/>
      <c r="F112" s="133"/>
      <c r="G112" s="133"/>
      <c r="H112" s="133"/>
      <c r="I112" s="133"/>
      <c r="J112" s="133"/>
      <c r="K112" s="133"/>
      <c r="L112" s="133"/>
      <c r="M112" s="133"/>
      <c r="N112" s="133"/>
      <c r="O112" s="133"/>
      <c r="P112" s="153">
        <f>-P175</f>
        <v>-42</v>
      </c>
      <c r="Q112" s="153"/>
      <c r="R112" s="154"/>
      <c r="S112" s="137"/>
      <c r="T112" s="2"/>
    </row>
    <row r="113" spans="1:20" ht="15.75" x14ac:dyDescent="0.25">
      <c r="A113" s="110"/>
      <c r="B113" s="111" t="s">
        <v>224</v>
      </c>
      <c r="C113" s="133"/>
      <c r="D113" s="133"/>
      <c r="E113" s="133"/>
      <c r="F113" s="133"/>
      <c r="G113" s="133"/>
      <c r="H113" s="133"/>
      <c r="I113" s="133"/>
      <c r="J113" s="133"/>
      <c r="K113" s="133"/>
      <c r="L113" s="133"/>
      <c r="M113" s="133"/>
      <c r="N113" s="133"/>
      <c r="O113" s="133"/>
      <c r="P113" s="153">
        <f>-O175</f>
        <v>-184</v>
      </c>
      <c r="Q113" s="153"/>
      <c r="R113" s="154"/>
      <c r="S113" s="137"/>
      <c r="T113" s="2"/>
    </row>
    <row r="114" spans="1:20" ht="15.75" x14ac:dyDescent="0.25">
      <c r="A114" s="110"/>
      <c r="B114" s="111" t="s">
        <v>163</v>
      </c>
      <c r="C114" s="133"/>
      <c r="D114" s="133"/>
      <c r="E114" s="133"/>
      <c r="F114" s="133"/>
      <c r="G114" s="133"/>
      <c r="H114" s="133"/>
      <c r="I114" s="133"/>
      <c r="J114" s="133"/>
      <c r="K114" s="133"/>
      <c r="L114" s="133"/>
      <c r="M114" s="133"/>
      <c r="N114" s="133"/>
      <c r="O114" s="133"/>
      <c r="P114" s="153">
        <v>-36224</v>
      </c>
      <c r="Q114" s="153"/>
      <c r="R114" s="154"/>
      <c r="S114" s="137"/>
      <c r="T114" s="2"/>
    </row>
    <row r="115" spans="1:20" ht="15.75" x14ac:dyDescent="0.25">
      <c r="A115" s="110"/>
      <c r="B115" s="111" t="s">
        <v>187</v>
      </c>
      <c r="C115" s="133"/>
      <c r="D115" s="133"/>
      <c r="E115" s="133"/>
      <c r="F115" s="133"/>
      <c r="G115" s="133"/>
      <c r="H115" s="133"/>
      <c r="I115" s="133"/>
      <c r="J115" s="133"/>
      <c r="K115" s="133"/>
      <c r="L115" s="133"/>
      <c r="M115" s="133"/>
      <c r="N115" s="133"/>
      <c r="O115" s="133"/>
      <c r="P115" s="153">
        <v>0</v>
      </c>
      <c r="Q115" s="153"/>
      <c r="R115" s="154"/>
      <c r="S115" s="137"/>
      <c r="T115" s="2"/>
    </row>
    <row r="116" spans="1:20" ht="15.75" x14ac:dyDescent="0.25">
      <c r="A116" s="110"/>
      <c r="B116" s="111" t="s">
        <v>188</v>
      </c>
      <c r="C116" s="133"/>
      <c r="D116" s="133"/>
      <c r="E116" s="133"/>
      <c r="F116" s="133"/>
      <c r="G116" s="133"/>
      <c r="H116" s="133"/>
      <c r="I116" s="133"/>
      <c r="J116" s="133"/>
      <c r="K116" s="133"/>
      <c r="L116" s="133"/>
      <c r="M116" s="133"/>
      <c r="N116" s="133"/>
      <c r="O116" s="133"/>
      <c r="P116" s="153">
        <v>0</v>
      </c>
      <c r="Q116" s="153"/>
      <c r="R116" s="154"/>
      <c r="S116" s="137"/>
      <c r="T116" s="2"/>
    </row>
    <row r="117" spans="1:20" ht="15.75" x14ac:dyDescent="0.25">
      <c r="A117" s="110"/>
      <c r="B117" s="111" t="s">
        <v>31</v>
      </c>
      <c r="C117" s="133"/>
      <c r="D117" s="133"/>
      <c r="E117" s="133"/>
      <c r="F117" s="133"/>
      <c r="G117" s="133"/>
      <c r="H117" s="133"/>
      <c r="I117" s="133"/>
      <c r="J117" s="133"/>
      <c r="K117" s="133"/>
      <c r="L117" s="133"/>
      <c r="M117" s="133"/>
      <c r="N117" s="133"/>
      <c r="O117" s="133"/>
      <c r="P117" s="153">
        <f>SUM(P112:P116)</f>
        <v>-36450</v>
      </c>
      <c r="Q117" s="153"/>
      <c r="R117" s="153">
        <f>SUM(R93:R116)</f>
        <v>-2620</v>
      </c>
      <c r="S117" s="137"/>
      <c r="T117" s="2"/>
    </row>
    <row r="118" spans="1:20" ht="15.75" x14ac:dyDescent="0.25">
      <c r="A118" s="110"/>
      <c r="B118" s="111" t="s">
        <v>32</v>
      </c>
      <c r="C118" s="133"/>
      <c r="D118" s="133"/>
      <c r="E118" s="133"/>
      <c r="F118" s="133"/>
      <c r="G118" s="133"/>
      <c r="H118" s="133"/>
      <c r="I118" s="133"/>
      <c r="J118" s="133"/>
      <c r="K118" s="133"/>
      <c r="L118" s="133"/>
      <c r="M118" s="133"/>
      <c r="N118" s="133"/>
      <c r="O118" s="133"/>
      <c r="P118" s="153">
        <f>P92+P117+P101+P110</f>
        <v>0</v>
      </c>
      <c r="Q118" s="153"/>
      <c r="R118" s="153">
        <f>R92+R117</f>
        <v>0</v>
      </c>
      <c r="S118" s="137"/>
      <c r="T118" s="2"/>
    </row>
    <row r="119" spans="1:20" ht="15.75" x14ac:dyDescent="0.25">
      <c r="A119" s="12"/>
      <c r="B119" s="43"/>
      <c r="C119" s="43"/>
      <c r="D119" s="43"/>
      <c r="E119" s="43"/>
      <c r="F119" s="43"/>
      <c r="G119" s="43"/>
      <c r="H119" s="43"/>
      <c r="I119" s="43"/>
      <c r="J119" s="43"/>
      <c r="K119" s="43"/>
      <c r="L119" s="43"/>
      <c r="M119" s="43"/>
      <c r="N119" s="43"/>
      <c r="O119" s="43"/>
      <c r="P119" s="151"/>
      <c r="Q119" s="151"/>
      <c r="R119" s="151"/>
      <c r="S119" s="216"/>
      <c r="T119" s="2"/>
    </row>
    <row r="120" spans="1:20" ht="15.75" x14ac:dyDescent="0.25">
      <c r="A120" s="12"/>
      <c r="B120" s="14"/>
      <c r="C120" s="14"/>
      <c r="D120" s="14"/>
      <c r="E120" s="14"/>
      <c r="F120" s="14"/>
      <c r="G120" s="14"/>
      <c r="H120" s="14"/>
      <c r="I120" s="14"/>
      <c r="J120" s="14"/>
      <c r="K120" s="14"/>
      <c r="L120" s="14"/>
      <c r="M120" s="14"/>
      <c r="N120" s="14"/>
      <c r="O120" s="14"/>
      <c r="P120" s="14"/>
      <c r="Q120" s="14"/>
      <c r="R120" s="33"/>
      <c r="S120" s="216"/>
      <c r="T120" s="2"/>
    </row>
    <row r="121" spans="1:20" ht="19.5" thickBot="1" x14ac:dyDescent="0.35">
      <c r="A121" s="28"/>
      <c r="B121" s="97" t="str">
        <f>B52</f>
        <v>PM20 INVESTOR REPORT QUARTER ENDING OCTOBER 2016</v>
      </c>
      <c r="C121" s="29"/>
      <c r="D121" s="29"/>
      <c r="E121" s="29"/>
      <c r="F121" s="29"/>
      <c r="G121" s="29"/>
      <c r="H121" s="29"/>
      <c r="I121" s="29"/>
      <c r="J121" s="29"/>
      <c r="K121" s="29"/>
      <c r="L121" s="29"/>
      <c r="M121" s="29"/>
      <c r="N121" s="29"/>
      <c r="O121" s="29"/>
      <c r="P121" s="29"/>
      <c r="Q121" s="29"/>
      <c r="R121" s="40"/>
      <c r="S121" s="31"/>
      <c r="T121" s="2"/>
    </row>
    <row r="122" spans="1:20" ht="15.75" x14ac:dyDescent="0.25">
      <c r="A122" s="65"/>
      <c r="B122" s="66" t="s">
        <v>33</v>
      </c>
      <c r="C122" s="67"/>
      <c r="D122" s="67"/>
      <c r="E122" s="67"/>
      <c r="F122" s="67"/>
      <c r="G122" s="67"/>
      <c r="H122" s="67"/>
      <c r="I122" s="67"/>
      <c r="J122" s="67"/>
      <c r="K122" s="67"/>
      <c r="L122" s="67"/>
      <c r="M122" s="67"/>
      <c r="N122" s="67"/>
      <c r="O122" s="67"/>
      <c r="P122" s="67"/>
      <c r="Q122" s="67"/>
      <c r="R122" s="68"/>
      <c r="S122" s="222"/>
      <c r="T122" s="2"/>
    </row>
    <row r="123" spans="1:20" ht="15.75" x14ac:dyDescent="0.25">
      <c r="A123" s="12"/>
      <c r="B123" s="22"/>
      <c r="C123" s="14"/>
      <c r="D123" s="14"/>
      <c r="E123" s="14"/>
      <c r="F123" s="14"/>
      <c r="G123" s="14"/>
      <c r="H123" s="14"/>
      <c r="I123" s="14"/>
      <c r="J123" s="14"/>
      <c r="K123" s="14"/>
      <c r="L123" s="14"/>
      <c r="M123" s="14"/>
      <c r="N123" s="14"/>
      <c r="O123" s="14"/>
      <c r="P123" s="14"/>
      <c r="Q123" s="14"/>
      <c r="R123" s="33"/>
      <c r="S123" s="216"/>
      <c r="T123" s="2"/>
    </row>
    <row r="124" spans="1:20" ht="15.75" x14ac:dyDescent="0.25">
      <c r="A124" s="12"/>
      <c r="B124" s="41" t="s">
        <v>34</v>
      </c>
      <c r="C124" s="14"/>
      <c r="D124" s="14"/>
      <c r="E124" s="14"/>
      <c r="F124" s="14"/>
      <c r="G124" s="14"/>
      <c r="H124" s="14"/>
      <c r="I124" s="14"/>
      <c r="J124" s="14"/>
      <c r="K124" s="14"/>
      <c r="L124" s="14"/>
      <c r="M124" s="14"/>
      <c r="N124" s="14"/>
      <c r="O124" s="14"/>
      <c r="P124" s="14"/>
      <c r="Q124" s="14"/>
      <c r="R124" s="33"/>
      <c r="S124" s="216"/>
      <c r="T124" s="2"/>
    </row>
    <row r="125" spans="1:20" ht="15.75" x14ac:dyDescent="0.25">
      <c r="A125" s="110"/>
      <c r="B125" s="111" t="s">
        <v>35</v>
      </c>
      <c r="C125" s="111"/>
      <c r="D125" s="111"/>
      <c r="E125" s="111"/>
      <c r="F125" s="111"/>
      <c r="G125" s="111"/>
      <c r="H125" s="111"/>
      <c r="I125" s="111"/>
      <c r="J125" s="111"/>
      <c r="K125" s="111"/>
      <c r="L125" s="111"/>
      <c r="M125" s="111"/>
      <c r="N125" s="111"/>
      <c r="O125" s="111"/>
      <c r="P125" s="111"/>
      <c r="Q125" s="111"/>
      <c r="R125" s="154">
        <f>+R28*0.03</f>
        <v>10500</v>
      </c>
      <c r="S125" s="114"/>
      <c r="T125" s="2"/>
    </row>
    <row r="126" spans="1:20" ht="15.75" x14ac:dyDescent="0.25">
      <c r="A126" s="110"/>
      <c r="B126" s="111" t="s">
        <v>36</v>
      </c>
      <c r="C126" s="111"/>
      <c r="D126" s="111"/>
      <c r="E126" s="111"/>
      <c r="F126" s="111"/>
      <c r="G126" s="111"/>
      <c r="H126" s="111"/>
      <c r="I126" s="111"/>
      <c r="J126" s="111"/>
      <c r="K126" s="111"/>
      <c r="L126" s="111"/>
      <c r="M126" s="111"/>
      <c r="N126" s="111"/>
      <c r="O126" s="111"/>
      <c r="P126" s="111"/>
      <c r="Q126" s="111"/>
      <c r="R126" s="154">
        <v>0</v>
      </c>
      <c r="S126" s="114"/>
      <c r="T126" s="2"/>
    </row>
    <row r="127" spans="1:20" ht="15.75" x14ac:dyDescent="0.25">
      <c r="A127" s="110"/>
      <c r="B127" s="111" t="s">
        <v>175</v>
      </c>
      <c r="C127" s="111"/>
      <c r="D127" s="111"/>
      <c r="E127" s="111"/>
      <c r="F127" s="111"/>
      <c r="G127" s="111"/>
      <c r="H127" s="111"/>
      <c r="I127" s="111"/>
      <c r="J127" s="111"/>
      <c r="K127" s="111"/>
      <c r="L127" s="111"/>
      <c r="M127" s="111"/>
      <c r="N127" s="111"/>
      <c r="O127" s="111"/>
      <c r="P127" s="111"/>
      <c r="Q127" s="111"/>
      <c r="R127" s="154">
        <f>R125-R128</f>
        <v>5630.2307609999998</v>
      </c>
      <c r="S127" s="114"/>
      <c r="T127" s="2"/>
    </row>
    <row r="128" spans="1:20" ht="15.75" x14ac:dyDescent="0.25">
      <c r="A128" s="110"/>
      <c r="B128" s="111" t="s">
        <v>235</v>
      </c>
      <c r="C128" s="111"/>
      <c r="D128" s="111"/>
      <c r="E128" s="111"/>
      <c r="F128" s="111"/>
      <c r="G128" s="111"/>
      <c r="H128" s="111"/>
      <c r="I128" s="111"/>
      <c r="J128" s="111"/>
      <c r="K128" s="111"/>
      <c r="L128" s="111"/>
      <c r="M128" s="111"/>
      <c r="N128" s="111"/>
      <c r="O128" s="111"/>
      <c r="P128" s="111"/>
      <c r="Q128" s="111"/>
      <c r="R128" s="154">
        <f>SUM(D30:F30)*0.03</f>
        <v>4869.7692390000002</v>
      </c>
      <c r="S128" s="114"/>
      <c r="T128" s="2"/>
    </row>
    <row r="129" spans="1:21" ht="15.75" x14ac:dyDescent="0.25">
      <c r="A129" s="110"/>
      <c r="B129" s="111" t="s">
        <v>109</v>
      </c>
      <c r="C129" s="111"/>
      <c r="D129" s="111"/>
      <c r="E129" s="111"/>
      <c r="F129" s="111"/>
      <c r="G129" s="111"/>
      <c r="H129" s="111"/>
      <c r="I129" s="111"/>
      <c r="J129" s="111"/>
      <c r="K129" s="111"/>
      <c r="L129" s="111"/>
      <c r="M129" s="111"/>
      <c r="N129" s="111"/>
      <c r="O129" s="111"/>
      <c r="P129" s="111"/>
      <c r="Q129" s="111"/>
      <c r="R129" s="154"/>
      <c r="S129" s="114"/>
      <c r="T129" s="2"/>
    </row>
    <row r="130" spans="1:21" ht="15.75" x14ac:dyDescent="0.25">
      <c r="A130" s="110"/>
      <c r="B130" s="111" t="s">
        <v>160</v>
      </c>
      <c r="C130" s="111"/>
      <c r="D130" s="111"/>
      <c r="E130" s="111"/>
      <c r="F130" s="111"/>
      <c r="G130" s="111"/>
      <c r="H130" s="111"/>
      <c r="I130" s="111"/>
      <c r="J130" s="111"/>
      <c r="K130" s="111"/>
      <c r="L130" s="111"/>
      <c r="M130" s="111"/>
      <c r="N130" s="111"/>
      <c r="O130" s="111"/>
      <c r="P130" s="111"/>
      <c r="Q130" s="111"/>
      <c r="R130" s="154">
        <v>0</v>
      </c>
      <c r="S130" s="114"/>
      <c r="T130" s="2"/>
    </row>
    <row r="131" spans="1:21" ht="15.75" x14ac:dyDescent="0.25">
      <c r="A131" s="110"/>
      <c r="B131" s="111" t="s">
        <v>195</v>
      </c>
      <c r="C131" s="111"/>
      <c r="D131" s="111"/>
      <c r="E131" s="111"/>
      <c r="F131" s="111"/>
      <c r="G131" s="111"/>
      <c r="H131" s="111"/>
      <c r="I131" s="111"/>
      <c r="J131" s="111"/>
      <c r="K131" s="111"/>
      <c r="L131" s="111"/>
      <c r="M131" s="111"/>
      <c r="N131" s="111"/>
      <c r="O131" s="111"/>
      <c r="P131" s="111"/>
      <c r="Q131" s="111"/>
      <c r="R131" s="154">
        <v>0</v>
      </c>
      <c r="S131" s="114"/>
      <c r="T131" s="2"/>
    </row>
    <row r="132" spans="1:21" ht="15.75" x14ac:dyDescent="0.25">
      <c r="A132" s="110"/>
      <c r="B132" s="111" t="s">
        <v>37</v>
      </c>
      <c r="C132" s="111"/>
      <c r="D132" s="111"/>
      <c r="E132" s="111"/>
      <c r="F132" s="111"/>
      <c r="G132" s="111"/>
      <c r="H132" s="111"/>
      <c r="I132" s="111"/>
      <c r="J132" s="111"/>
      <c r="K132" s="111"/>
      <c r="L132" s="111"/>
      <c r="M132" s="111"/>
      <c r="N132" s="111"/>
      <c r="O132" s="111"/>
      <c r="P132" s="111"/>
      <c r="Q132" s="111"/>
      <c r="R132" s="154">
        <v>0</v>
      </c>
      <c r="S132" s="114"/>
      <c r="T132" s="2"/>
    </row>
    <row r="133" spans="1:21" ht="15.75" x14ac:dyDescent="0.25">
      <c r="A133" s="110"/>
      <c r="B133" s="111" t="s">
        <v>103</v>
      </c>
      <c r="C133" s="111"/>
      <c r="D133" s="111"/>
      <c r="E133" s="111"/>
      <c r="F133" s="111"/>
      <c r="G133" s="111"/>
      <c r="H133" s="111"/>
      <c r="I133" s="111"/>
      <c r="J133" s="111"/>
      <c r="K133" s="111"/>
      <c r="L133" s="111"/>
      <c r="M133" s="111"/>
      <c r="N133" s="111"/>
      <c r="O133" s="111"/>
      <c r="P133" s="111"/>
      <c r="Q133" s="111"/>
      <c r="R133" s="154">
        <v>0</v>
      </c>
      <c r="S133" s="114"/>
      <c r="T133" s="2"/>
    </row>
    <row r="134" spans="1:21" ht="15.75" x14ac:dyDescent="0.25">
      <c r="A134" s="110"/>
      <c r="B134" s="111" t="s">
        <v>225</v>
      </c>
      <c r="C134" s="111"/>
      <c r="D134" s="111"/>
      <c r="E134" s="111"/>
      <c r="F134" s="111"/>
      <c r="G134" s="111"/>
      <c r="H134" s="111"/>
      <c r="I134" s="111"/>
      <c r="J134" s="111"/>
      <c r="K134" s="111"/>
      <c r="L134" s="111"/>
      <c r="M134" s="111"/>
      <c r="N134" s="111"/>
      <c r="O134" s="111"/>
      <c r="P134" s="111"/>
      <c r="Q134" s="111"/>
      <c r="R134" s="154">
        <v>0</v>
      </c>
      <c r="S134" s="114"/>
      <c r="T134" s="2"/>
      <c r="U134" s="4"/>
    </row>
    <row r="135" spans="1:21" ht="15.75" x14ac:dyDescent="0.25">
      <c r="A135" s="110"/>
      <c r="B135" s="111" t="s">
        <v>38</v>
      </c>
      <c r="C135" s="111"/>
      <c r="D135" s="111"/>
      <c r="E135" s="111"/>
      <c r="F135" s="111"/>
      <c r="G135" s="111"/>
      <c r="H135" s="111"/>
      <c r="I135" s="111"/>
      <c r="J135" s="111"/>
      <c r="K135" s="111"/>
      <c r="L135" s="111"/>
      <c r="M135" s="111"/>
      <c r="N135" s="111"/>
      <c r="O135" s="111"/>
      <c r="P135" s="111"/>
      <c r="Q135" s="111"/>
      <c r="R135" s="154">
        <f>SUM(R126:R134)</f>
        <v>10500</v>
      </c>
      <c r="S135" s="114"/>
      <c r="T135" s="2"/>
    </row>
    <row r="136" spans="1:21" ht="15.75" x14ac:dyDescent="0.25">
      <c r="A136" s="12"/>
      <c r="B136" s="43"/>
      <c r="C136" s="43"/>
      <c r="D136" s="43"/>
      <c r="E136" s="43"/>
      <c r="F136" s="43"/>
      <c r="G136" s="43"/>
      <c r="H136" s="43"/>
      <c r="I136" s="43"/>
      <c r="J136" s="43"/>
      <c r="K136" s="43"/>
      <c r="L136" s="43"/>
      <c r="M136" s="43"/>
      <c r="N136" s="43"/>
      <c r="O136" s="43"/>
      <c r="P136" s="43"/>
      <c r="Q136" s="43"/>
      <c r="R136" s="160"/>
      <c r="S136" s="216"/>
      <c r="T136" s="2"/>
    </row>
    <row r="137" spans="1:21" ht="15.75" x14ac:dyDescent="0.25">
      <c r="A137" s="12"/>
      <c r="B137" s="41" t="s">
        <v>206</v>
      </c>
      <c r="C137" s="14"/>
      <c r="D137" s="14"/>
      <c r="E137" s="14"/>
      <c r="F137" s="14"/>
      <c r="G137" s="14"/>
      <c r="H137" s="14"/>
      <c r="I137" s="14"/>
      <c r="J137" s="14"/>
      <c r="K137" s="14"/>
      <c r="L137" s="14"/>
      <c r="M137" s="14"/>
      <c r="N137" s="14"/>
      <c r="O137" s="14"/>
      <c r="P137" s="14"/>
      <c r="Q137" s="14"/>
      <c r="R137" s="33"/>
      <c r="S137" s="216"/>
      <c r="T137" s="2"/>
    </row>
    <row r="138" spans="1:21" ht="15.75" x14ac:dyDescent="0.25">
      <c r="A138" s="110"/>
      <c r="B138" s="111" t="s">
        <v>174</v>
      </c>
      <c r="C138" s="111"/>
      <c r="D138" s="111"/>
      <c r="E138" s="111"/>
      <c r="F138" s="111"/>
      <c r="G138" s="111"/>
      <c r="H138" s="111"/>
      <c r="I138" s="111"/>
      <c r="J138" s="111"/>
      <c r="K138" s="111"/>
      <c r="L138" s="111"/>
      <c r="M138" s="111"/>
      <c r="N138" s="111"/>
      <c r="O138" s="111"/>
      <c r="P138" s="111"/>
      <c r="Q138" s="111"/>
      <c r="R138" s="154">
        <v>0</v>
      </c>
      <c r="S138" s="137"/>
      <c r="T138" s="2"/>
    </row>
    <row r="139" spans="1:21" ht="15.75" x14ac:dyDescent="0.25">
      <c r="A139" s="110"/>
      <c r="B139" s="111" t="s">
        <v>197</v>
      </c>
      <c r="C139" s="113"/>
      <c r="D139" s="113"/>
      <c r="E139" s="113"/>
      <c r="F139" s="113"/>
      <c r="G139" s="113"/>
      <c r="H139" s="113"/>
      <c r="I139" s="113"/>
      <c r="J139" s="113"/>
      <c r="K139" s="113"/>
      <c r="L139" s="113"/>
      <c r="M139" s="113"/>
      <c r="N139" s="113"/>
      <c r="O139" s="113"/>
      <c r="P139" s="113"/>
      <c r="Q139" s="113"/>
      <c r="R139" s="154">
        <f>+J69</f>
        <v>0</v>
      </c>
      <c r="S139" s="137"/>
      <c r="T139" s="2"/>
    </row>
    <row r="140" spans="1:21" ht="15.75" x14ac:dyDescent="0.25">
      <c r="A140" s="110"/>
      <c r="B140" s="111" t="s">
        <v>233</v>
      </c>
      <c r="C140" s="111"/>
      <c r="D140" s="111"/>
      <c r="E140" s="111"/>
      <c r="F140" s="111"/>
      <c r="G140" s="111"/>
      <c r="H140" s="111"/>
      <c r="I140" s="111"/>
      <c r="J140" s="111"/>
      <c r="K140" s="111"/>
      <c r="L140" s="111"/>
      <c r="M140" s="111"/>
      <c r="N140" s="111"/>
      <c r="O140" s="111"/>
      <c r="P140" s="111"/>
      <c r="Q140" s="111"/>
      <c r="R140" s="154">
        <f>R138+R139</f>
        <v>0</v>
      </c>
      <c r="S140" s="137"/>
      <c r="T140" s="2"/>
    </row>
    <row r="141" spans="1:21" ht="15.75" x14ac:dyDescent="0.25">
      <c r="A141" s="12"/>
      <c r="B141" s="161"/>
      <c r="C141" s="161"/>
      <c r="D141" s="161"/>
      <c r="E141" s="161"/>
      <c r="F141" s="161"/>
      <c r="G141" s="161"/>
      <c r="H141" s="161"/>
      <c r="I141" s="161"/>
      <c r="J141" s="161"/>
      <c r="K141" s="161"/>
      <c r="L141" s="161"/>
      <c r="M141" s="161"/>
      <c r="N141" s="161"/>
      <c r="O141" s="161"/>
      <c r="P141" s="161"/>
      <c r="Q141" s="161"/>
      <c r="R141" s="194"/>
      <c r="S141" s="216"/>
      <c r="T141" s="2"/>
    </row>
    <row r="142" spans="1:21" ht="15.75" x14ac:dyDescent="0.25">
      <c r="A142" s="12"/>
      <c r="B142" s="41" t="s">
        <v>234</v>
      </c>
      <c r="C142" s="161"/>
      <c r="D142" s="161"/>
      <c r="E142" s="161"/>
      <c r="F142" s="161"/>
      <c r="G142" s="161"/>
      <c r="H142" s="161"/>
      <c r="I142" s="161"/>
      <c r="J142" s="161"/>
      <c r="K142" s="161"/>
      <c r="L142" s="161"/>
      <c r="M142" s="161"/>
      <c r="N142" s="161"/>
      <c r="O142" s="161"/>
      <c r="P142" s="161"/>
      <c r="Q142" s="161"/>
      <c r="R142" s="194"/>
      <c r="S142" s="216"/>
      <c r="T142" s="2"/>
    </row>
    <row r="143" spans="1:21" ht="15.75" x14ac:dyDescent="0.25">
      <c r="A143" s="230"/>
      <c r="B143" s="231" t="s">
        <v>244</v>
      </c>
      <c r="C143" s="231"/>
      <c r="D143" s="231"/>
      <c r="E143" s="231"/>
      <c r="F143" s="231"/>
      <c r="G143" s="231"/>
      <c r="H143" s="231"/>
      <c r="I143" s="231"/>
      <c r="J143" s="231"/>
      <c r="K143" s="231"/>
      <c r="L143" s="231"/>
      <c r="M143" s="231"/>
      <c r="N143" s="231"/>
      <c r="O143" s="231"/>
      <c r="P143" s="231"/>
      <c r="Q143" s="231"/>
      <c r="R143" s="232">
        <f>+'July 16'!R146</f>
        <v>0</v>
      </c>
      <c r="S143" s="233"/>
      <c r="T143" s="2"/>
    </row>
    <row r="144" spans="1:21" ht="15.75" x14ac:dyDescent="0.25">
      <c r="A144" s="230"/>
      <c r="B144" s="231" t="s">
        <v>232</v>
      </c>
      <c r="C144" s="231"/>
      <c r="D144" s="231"/>
      <c r="E144" s="231"/>
      <c r="F144" s="231"/>
      <c r="G144" s="231"/>
      <c r="H144" s="231"/>
      <c r="I144" s="231"/>
      <c r="J144" s="231"/>
      <c r="K144" s="231"/>
      <c r="L144" s="231"/>
      <c r="M144" s="231"/>
      <c r="N144" s="231"/>
      <c r="O144" s="231"/>
      <c r="P144" s="231"/>
      <c r="Q144" s="231"/>
      <c r="R144" s="232">
        <f>P78</f>
        <v>0</v>
      </c>
      <c r="S144" s="233"/>
      <c r="T144" s="2"/>
    </row>
    <row r="145" spans="1:252" ht="15.75" x14ac:dyDescent="0.25">
      <c r="A145" s="234"/>
      <c r="B145" s="111" t="s">
        <v>238</v>
      </c>
      <c r="C145" s="235"/>
      <c r="D145" s="235"/>
      <c r="E145" s="235"/>
      <c r="F145" s="235"/>
      <c r="G145" s="235"/>
      <c r="H145" s="235"/>
      <c r="I145" s="235"/>
      <c r="J145" s="235"/>
      <c r="K145" s="235"/>
      <c r="L145" s="235"/>
      <c r="M145" s="235"/>
      <c r="N145" s="235"/>
      <c r="O145" s="235"/>
      <c r="P145" s="235"/>
      <c r="Q145" s="235"/>
      <c r="R145" s="236">
        <v>0</v>
      </c>
      <c r="S145" s="237"/>
      <c r="T145" s="2"/>
    </row>
    <row r="146" spans="1:252" ht="15.75" x14ac:dyDescent="0.25">
      <c r="A146" s="234"/>
      <c r="B146" s="111" t="s">
        <v>237</v>
      </c>
      <c r="C146" s="235"/>
      <c r="D146" s="235"/>
      <c r="E146" s="235"/>
      <c r="F146" s="235"/>
      <c r="G146" s="235"/>
      <c r="H146" s="235"/>
      <c r="I146" s="235"/>
      <c r="J146" s="235"/>
      <c r="K146" s="235"/>
      <c r="L146" s="235"/>
      <c r="M146" s="235"/>
      <c r="N146" s="235"/>
      <c r="O146" s="235"/>
      <c r="P146" s="235"/>
      <c r="Q146" s="235"/>
      <c r="R146" s="236">
        <f>R143+R144+R145</f>
        <v>0</v>
      </c>
      <c r="S146" s="237"/>
      <c r="T146" s="2"/>
    </row>
    <row r="147" spans="1:252" ht="15.75" x14ac:dyDescent="0.25">
      <c r="A147" s="12"/>
      <c r="B147" s="43"/>
      <c r="C147" s="43"/>
      <c r="D147" s="43"/>
      <c r="E147" s="43"/>
      <c r="F147" s="43"/>
      <c r="G147" s="43"/>
      <c r="H147" s="43"/>
      <c r="I147" s="43"/>
      <c r="J147" s="43"/>
      <c r="K147" s="43"/>
      <c r="L147" s="43"/>
      <c r="M147" s="43"/>
      <c r="N147" s="43"/>
      <c r="O147" s="43"/>
      <c r="P147" s="43"/>
      <c r="Q147" s="43"/>
      <c r="R147" s="160"/>
      <c r="S147" s="216"/>
      <c r="T147" s="2"/>
    </row>
    <row r="148" spans="1:252" ht="15.75" x14ac:dyDescent="0.25">
      <c r="A148" s="12"/>
      <c r="B148" s="41" t="s">
        <v>39</v>
      </c>
      <c r="C148" s="14"/>
      <c r="D148" s="14"/>
      <c r="E148" s="14"/>
      <c r="F148" s="14"/>
      <c r="G148" s="14"/>
      <c r="H148" s="14"/>
      <c r="I148" s="14"/>
      <c r="J148" s="14"/>
      <c r="K148" s="14"/>
      <c r="L148" s="14"/>
      <c r="M148" s="14"/>
      <c r="N148" s="14"/>
      <c r="O148" s="14"/>
      <c r="P148" s="14"/>
      <c r="Q148" s="14"/>
      <c r="R148" s="42"/>
      <c r="S148" s="216"/>
      <c r="T148" s="2"/>
    </row>
    <row r="149" spans="1:252" ht="15.75" x14ac:dyDescent="0.25">
      <c r="A149" s="110"/>
      <c r="B149" s="111" t="s">
        <v>40</v>
      </c>
      <c r="C149" s="111"/>
      <c r="D149" s="111"/>
      <c r="E149" s="111"/>
      <c r="F149" s="111"/>
      <c r="G149" s="111"/>
      <c r="H149" s="111"/>
      <c r="I149" s="111"/>
      <c r="J149" s="111"/>
      <c r="K149" s="111"/>
      <c r="L149" s="111"/>
      <c r="M149" s="111"/>
      <c r="N149" s="111"/>
      <c r="O149" s="111"/>
      <c r="P149" s="111"/>
      <c r="Q149" s="111"/>
      <c r="R149" s="154">
        <v>0</v>
      </c>
      <c r="S149" s="114"/>
      <c r="T149" s="2"/>
    </row>
    <row r="150" spans="1:252" ht="15.75" x14ac:dyDescent="0.25">
      <c r="A150" s="110"/>
      <c r="B150" s="111" t="s">
        <v>41</v>
      </c>
      <c r="C150" s="111"/>
      <c r="D150" s="111"/>
      <c r="E150" s="111"/>
      <c r="F150" s="111"/>
      <c r="G150" s="111"/>
      <c r="H150" s="111"/>
      <c r="I150" s="111"/>
      <c r="J150" s="111"/>
      <c r="K150" s="111"/>
      <c r="L150" s="111"/>
      <c r="M150" s="111"/>
      <c r="N150" s="111"/>
      <c r="O150" s="111"/>
      <c r="P150" s="111"/>
      <c r="Q150" s="111"/>
      <c r="R150" s="154">
        <f>+P101</f>
        <v>0</v>
      </c>
      <c r="S150" s="114"/>
      <c r="T150" s="2"/>
    </row>
    <row r="151" spans="1:252" ht="15.75" x14ac:dyDescent="0.25">
      <c r="A151" s="110"/>
      <c r="B151" s="111" t="s">
        <v>42</v>
      </c>
      <c r="C151" s="111"/>
      <c r="D151" s="111"/>
      <c r="E151" s="111"/>
      <c r="F151" s="111"/>
      <c r="G151" s="111"/>
      <c r="H151" s="111"/>
      <c r="I151" s="111"/>
      <c r="J151" s="111"/>
      <c r="K151" s="111"/>
      <c r="L151" s="111"/>
      <c r="M151" s="111"/>
      <c r="N151" s="111"/>
      <c r="O151" s="111"/>
      <c r="P151" s="111"/>
      <c r="Q151" s="111"/>
      <c r="R151" s="154">
        <f>R150+R149</f>
        <v>0</v>
      </c>
      <c r="S151" s="114"/>
      <c r="T151" s="2"/>
    </row>
    <row r="152" spans="1:252" ht="15.75" x14ac:dyDescent="0.25">
      <c r="A152" s="110"/>
      <c r="B152" s="111" t="s">
        <v>253</v>
      </c>
      <c r="C152" s="111"/>
      <c r="D152" s="111"/>
      <c r="E152" s="111"/>
      <c r="F152" s="111"/>
      <c r="G152" s="111"/>
      <c r="H152" s="111"/>
      <c r="I152" s="111"/>
      <c r="J152" s="111"/>
      <c r="K152" s="111"/>
      <c r="L152" s="111"/>
      <c r="M152" s="111"/>
      <c r="N152" s="111"/>
      <c r="O152" s="111"/>
      <c r="P152" s="111"/>
      <c r="Q152" s="111"/>
      <c r="R152" s="154">
        <f>R101</f>
        <v>0</v>
      </c>
      <c r="S152" s="114"/>
      <c r="T152" s="2"/>
    </row>
    <row r="153" spans="1:252" ht="15.75" x14ac:dyDescent="0.25">
      <c r="A153" s="110"/>
      <c r="B153" s="111" t="s">
        <v>43</v>
      </c>
      <c r="C153" s="111"/>
      <c r="D153" s="111"/>
      <c r="E153" s="111"/>
      <c r="F153" s="111"/>
      <c r="G153" s="111"/>
      <c r="H153" s="111"/>
      <c r="I153" s="111"/>
      <c r="J153" s="111"/>
      <c r="K153" s="111"/>
      <c r="L153" s="111"/>
      <c r="M153" s="111"/>
      <c r="N153" s="111"/>
      <c r="O153" s="111"/>
      <c r="P153" s="111"/>
      <c r="Q153" s="111"/>
      <c r="R153" s="154">
        <f>R151+R152</f>
        <v>0</v>
      </c>
      <c r="S153" s="114"/>
      <c r="T153" s="2"/>
    </row>
    <row r="154" spans="1:252" ht="15.75" x14ac:dyDescent="0.25">
      <c r="A154" s="110"/>
      <c r="B154" s="111" t="s">
        <v>153</v>
      </c>
      <c r="C154" s="111"/>
      <c r="D154" s="111"/>
      <c r="E154" s="111"/>
      <c r="F154" s="111"/>
      <c r="G154" s="111"/>
      <c r="H154" s="111"/>
      <c r="I154" s="111"/>
      <c r="J154" s="111"/>
      <c r="K154" s="111"/>
      <c r="L154" s="111"/>
      <c r="M154" s="111"/>
      <c r="N154" s="111"/>
      <c r="O154" s="111"/>
      <c r="P154" s="111"/>
      <c r="Q154" s="111"/>
      <c r="R154" s="154">
        <f>-R91</f>
        <v>0</v>
      </c>
      <c r="S154" s="114"/>
      <c r="T154" s="2"/>
    </row>
    <row r="155" spans="1:252" ht="16.5" thickBot="1" x14ac:dyDescent="0.3">
      <c r="A155" s="12"/>
      <c r="B155" s="43"/>
      <c r="C155" s="43"/>
      <c r="D155" s="43"/>
      <c r="E155" s="43"/>
      <c r="F155" s="43"/>
      <c r="G155" s="43"/>
      <c r="H155" s="43"/>
      <c r="I155" s="43"/>
      <c r="J155" s="43"/>
      <c r="K155" s="43"/>
      <c r="L155" s="43"/>
      <c r="M155" s="43"/>
      <c r="N155" s="43"/>
      <c r="O155" s="43"/>
      <c r="P155" s="43"/>
      <c r="Q155" s="43"/>
      <c r="R155" s="160"/>
      <c r="S155" s="216"/>
      <c r="T155" s="2"/>
    </row>
    <row r="156" spans="1:252" ht="15.75" x14ac:dyDescent="0.25">
      <c r="A156" s="10"/>
      <c r="B156" s="11"/>
      <c r="C156" s="11"/>
      <c r="D156" s="11"/>
      <c r="E156" s="11"/>
      <c r="F156" s="11"/>
      <c r="G156" s="11"/>
      <c r="H156" s="11"/>
      <c r="I156" s="11"/>
      <c r="J156" s="11"/>
      <c r="K156" s="11"/>
      <c r="L156" s="11"/>
      <c r="M156" s="11"/>
      <c r="N156" s="11"/>
      <c r="O156" s="11"/>
      <c r="P156" s="11"/>
      <c r="Q156" s="11"/>
      <c r="R156" s="32"/>
      <c r="S156" s="215"/>
      <c r="T156" s="2"/>
    </row>
    <row r="157" spans="1:252" s="6" customFormat="1" ht="15.75" x14ac:dyDescent="0.25">
      <c r="A157" s="12"/>
      <c r="B157" s="41" t="s">
        <v>207</v>
      </c>
      <c r="C157" s="43"/>
      <c r="D157" s="43"/>
      <c r="E157" s="43"/>
      <c r="F157" s="43"/>
      <c r="G157" s="43"/>
      <c r="H157" s="43"/>
      <c r="I157" s="43"/>
      <c r="J157" s="43"/>
      <c r="K157" s="43"/>
      <c r="L157" s="43"/>
      <c r="M157" s="43"/>
      <c r="N157" s="43"/>
      <c r="O157" s="43"/>
      <c r="P157" s="43"/>
      <c r="Q157" s="43"/>
      <c r="R157" s="44"/>
      <c r="S157" s="2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75" x14ac:dyDescent="0.25">
      <c r="A158" s="110"/>
      <c r="B158" s="111" t="s">
        <v>144</v>
      </c>
      <c r="C158" s="111"/>
      <c r="D158" s="111"/>
      <c r="E158" s="111"/>
      <c r="F158" s="111"/>
      <c r="G158" s="111"/>
      <c r="H158" s="111"/>
      <c r="I158" s="111"/>
      <c r="J158" s="111"/>
      <c r="K158" s="111"/>
      <c r="L158" s="111"/>
      <c r="M158" s="111"/>
      <c r="N158" s="111"/>
      <c r="O158" s="111"/>
      <c r="P158" s="111"/>
      <c r="Q158" s="111"/>
      <c r="R158" s="154">
        <f>+'July 16'!R160</f>
        <v>281</v>
      </c>
      <c r="S158" s="114"/>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75" x14ac:dyDescent="0.25">
      <c r="A159" s="110"/>
      <c r="B159" s="111" t="s">
        <v>147</v>
      </c>
      <c r="C159" s="111"/>
      <c r="D159" s="111"/>
      <c r="E159" s="111"/>
      <c r="F159" s="111"/>
      <c r="G159" s="111"/>
      <c r="H159" s="111"/>
      <c r="I159" s="111"/>
      <c r="J159" s="111"/>
      <c r="K159" s="111"/>
      <c r="L159" s="111"/>
      <c r="M159" s="111"/>
      <c r="N159" s="111"/>
      <c r="O159" s="111"/>
      <c r="P159" s="111"/>
      <c r="Q159" s="111"/>
      <c r="R159" s="154">
        <f>+R84</f>
        <v>45</v>
      </c>
      <c r="S159" s="114"/>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75" x14ac:dyDescent="0.25">
      <c r="A160" s="110"/>
      <c r="B160" s="111" t="s">
        <v>145</v>
      </c>
      <c r="C160" s="111"/>
      <c r="D160" s="111"/>
      <c r="E160" s="111"/>
      <c r="F160" s="111"/>
      <c r="G160" s="111"/>
      <c r="H160" s="111"/>
      <c r="I160" s="111"/>
      <c r="J160" s="111"/>
      <c r="K160" s="111"/>
      <c r="L160" s="111"/>
      <c r="M160" s="111"/>
      <c r="N160" s="111"/>
      <c r="O160" s="111"/>
      <c r="P160" s="111"/>
      <c r="Q160" s="111"/>
      <c r="R160" s="154">
        <f>+R158-R159</f>
        <v>236</v>
      </c>
      <c r="S160" s="114"/>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5" thickBot="1" x14ac:dyDescent="0.3">
      <c r="A161" s="28"/>
      <c r="B161" s="43"/>
      <c r="C161" s="43"/>
      <c r="D161" s="43"/>
      <c r="E161" s="43"/>
      <c r="F161" s="43"/>
      <c r="G161" s="43"/>
      <c r="H161" s="43"/>
      <c r="I161" s="43"/>
      <c r="J161" s="43"/>
      <c r="K161" s="43"/>
      <c r="L161" s="43"/>
      <c r="M161" s="43"/>
      <c r="N161" s="43"/>
      <c r="O161" s="43"/>
      <c r="P161" s="43"/>
      <c r="Q161" s="43"/>
      <c r="R161" s="160"/>
      <c r="S161" s="2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75" x14ac:dyDescent="0.25">
      <c r="A162" s="10"/>
      <c r="B162" s="11"/>
      <c r="C162" s="11"/>
      <c r="D162" s="11"/>
      <c r="E162" s="11"/>
      <c r="F162" s="11"/>
      <c r="G162" s="11"/>
      <c r="H162" s="11"/>
      <c r="I162" s="11"/>
      <c r="J162" s="11"/>
      <c r="K162" s="11"/>
      <c r="L162" s="11"/>
      <c r="M162" s="11"/>
      <c r="N162" s="11"/>
      <c r="O162" s="11"/>
      <c r="P162" s="11"/>
      <c r="Q162" s="11"/>
      <c r="R162" s="32"/>
      <c r="S162" s="215"/>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75" x14ac:dyDescent="0.25">
      <c r="A163" s="12"/>
      <c r="B163" s="41" t="s">
        <v>44</v>
      </c>
      <c r="C163" s="14"/>
      <c r="D163" s="14"/>
      <c r="E163" s="14"/>
      <c r="F163" s="14"/>
      <c r="G163" s="14"/>
      <c r="H163" s="14"/>
      <c r="I163" s="14"/>
      <c r="J163" s="14"/>
      <c r="K163" s="14"/>
      <c r="L163" s="14"/>
      <c r="M163" s="14"/>
      <c r="N163" s="14"/>
      <c r="O163" s="14"/>
      <c r="P163" s="14"/>
      <c r="Q163" s="14"/>
      <c r="R163" s="33"/>
      <c r="S163" s="216"/>
      <c r="T163" s="2"/>
    </row>
    <row r="164" spans="1:252" ht="15.75" x14ac:dyDescent="0.25">
      <c r="A164" s="12"/>
      <c r="B164" s="22"/>
      <c r="C164" s="14"/>
      <c r="D164" s="14"/>
      <c r="E164" s="14"/>
      <c r="F164" s="14"/>
      <c r="G164" s="14"/>
      <c r="H164" s="14"/>
      <c r="I164" s="14"/>
      <c r="J164" s="14"/>
      <c r="K164" s="14"/>
      <c r="L164" s="14"/>
      <c r="M164" s="14"/>
      <c r="N164" s="14"/>
      <c r="O164" s="14"/>
      <c r="P164" s="14"/>
      <c r="Q164" s="14"/>
      <c r="R164" s="33"/>
      <c r="S164" s="216"/>
      <c r="T164" s="2"/>
    </row>
    <row r="165" spans="1:252" ht="15.75" x14ac:dyDescent="0.25">
      <c r="A165" s="110"/>
      <c r="B165" s="111" t="s">
        <v>180</v>
      </c>
      <c r="C165" s="111"/>
      <c r="D165" s="111"/>
      <c r="E165" s="111"/>
      <c r="F165" s="111"/>
      <c r="G165" s="111"/>
      <c r="H165" s="111"/>
      <c r="I165" s="111"/>
      <c r="J165" s="111"/>
      <c r="K165" s="111"/>
      <c r="L165" s="111"/>
      <c r="M165" s="111"/>
      <c r="N165" s="111"/>
      <c r="O165" s="111"/>
      <c r="P165" s="111"/>
      <c r="Q165" s="111"/>
      <c r="R165" s="154">
        <f>+R59</f>
        <v>169326</v>
      </c>
      <c r="S165" s="114"/>
      <c r="T165" s="2"/>
    </row>
    <row r="166" spans="1:252" ht="15.75" x14ac:dyDescent="0.25">
      <c r="A166" s="110"/>
      <c r="B166" s="111" t="s">
        <v>181</v>
      </c>
      <c r="C166" s="111"/>
      <c r="D166" s="111"/>
      <c r="E166" s="111"/>
      <c r="F166" s="111"/>
      <c r="G166" s="111"/>
      <c r="H166" s="111"/>
      <c r="I166" s="111"/>
      <c r="J166" s="111"/>
      <c r="K166" s="111"/>
      <c r="L166" s="111"/>
      <c r="M166" s="111"/>
      <c r="N166" s="111"/>
      <c r="O166" s="111"/>
      <c r="P166" s="111"/>
      <c r="Q166" s="111"/>
      <c r="R166" s="154">
        <f>+R69</f>
        <v>0</v>
      </c>
      <c r="S166" s="114"/>
      <c r="T166" s="2"/>
    </row>
    <row r="167" spans="1:252" ht="15.75" x14ac:dyDescent="0.25">
      <c r="A167" s="110"/>
      <c r="B167" s="111" t="s">
        <v>242</v>
      </c>
      <c r="C167" s="111"/>
      <c r="D167" s="111"/>
      <c r="E167" s="111"/>
      <c r="F167" s="111"/>
      <c r="G167" s="111"/>
      <c r="H167" s="111"/>
      <c r="I167" s="111"/>
      <c r="J167" s="111"/>
      <c r="K167" s="111"/>
      <c r="L167" s="111"/>
      <c r="M167" s="111"/>
      <c r="N167" s="111"/>
      <c r="O167" s="111"/>
      <c r="P167" s="111"/>
      <c r="Q167" s="111"/>
      <c r="R167" s="154">
        <f>+R70</f>
        <v>0</v>
      </c>
      <c r="S167" s="114"/>
      <c r="T167" s="2"/>
    </row>
    <row r="168" spans="1:252" ht="15.75" x14ac:dyDescent="0.25">
      <c r="A168" s="110"/>
      <c r="B168" s="111" t="s">
        <v>127</v>
      </c>
      <c r="C168" s="111"/>
      <c r="D168" s="111"/>
      <c r="E168" s="111"/>
      <c r="F168" s="111"/>
      <c r="G168" s="111"/>
      <c r="H168" s="111"/>
      <c r="I168" s="111"/>
      <c r="J168" s="111"/>
      <c r="K168" s="111"/>
      <c r="L168" s="111"/>
      <c r="M168" s="111"/>
      <c r="N168" s="111"/>
      <c r="O168" s="111"/>
      <c r="P168" s="111"/>
      <c r="Q168" s="111"/>
      <c r="R168" s="154">
        <f>+R165+R166+R167</f>
        <v>169326</v>
      </c>
      <c r="S168" s="114"/>
      <c r="T168" s="2"/>
      <c r="U168" s="4"/>
    </row>
    <row r="169" spans="1:252" ht="15.75" x14ac:dyDescent="0.25">
      <c r="A169" s="110"/>
      <c r="B169" s="111" t="s">
        <v>45</v>
      </c>
      <c r="C169" s="111"/>
      <c r="D169" s="111"/>
      <c r="E169" s="111"/>
      <c r="F169" s="111"/>
      <c r="G169" s="111"/>
      <c r="H169" s="111"/>
      <c r="I169" s="111"/>
      <c r="J169" s="111"/>
      <c r="K169" s="111"/>
      <c r="L169" s="111"/>
      <c r="M169" s="111"/>
      <c r="N169" s="111"/>
      <c r="O169" s="111"/>
      <c r="P169" s="111"/>
      <c r="Q169" s="111"/>
      <c r="R169" s="154">
        <f>R72</f>
        <v>169326</v>
      </c>
      <c r="S169" s="114"/>
      <c r="T169" s="2"/>
    </row>
    <row r="170" spans="1:252" ht="16.5" thickBot="1" x14ac:dyDescent="0.3">
      <c r="A170" s="12"/>
      <c r="B170" s="43"/>
      <c r="C170" s="43"/>
      <c r="D170" s="43"/>
      <c r="E170" s="43"/>
      <c r="F170" s="43"/>
      <c r="G170" s="43"/>
      <c r="H170" s="43"/>
      <c r="I170" s="43"/>
      <c r="J170" s="43"/>
      <c r="K170" s="43"/>
      <c r="L170" s="43"/>
      <c r="M170" s="43"/>
      <c r="N170" s="43"/>
      <c r="O170" s="43"/>
      <c r="P170" s="43"/>
      <c r="Q170" s="43"/>
      <c r="R170" s="160"/>
      <c r="S170" s="216"/>
      <c r="T170" s="2"/>
    </row>
    <row r="171" spans="1:252" ht="15.75" x14ac:dyDescent="0.25">
      <c r="A171" s="10"/>
      <c r="B171" s="11"/>
      <c r="C171" s="11"/>
      <c r="D171" s="11"/>
      <c r="E171" s="11"/>
      <c r="F171" s="11"/>
      <c r="G171" s="11"/>
      <c r="H171" s="11"/>
      <c r="I171" s="11"/>
      <c r="J171" s="11"/>
      <c r="K171" s="11"/>
      <c r="L171" s="11"/>
      <c r="M171" s="11"/>
      <c r="N171" s="11"/>
      <c r="O171" s="11"/>
      <c r="P171" s="11"/>
      <c r="Q171" s="11"/>
      <c r="R171" s="32"/>
      <c r="S171" s="215"/>
      <c r="T171" s="2"/>
    </row>
    <row r="172" spans="1:252" ht="15.75" x14ac:dyDescent="0.25">
      <c r="A172" s="12"/>
      <c r="B172" s="41" t="s">
        <v>46</v>
      </c>
      <c r="C172" s="37"/>
      <c r="D172" s="45"/>
      <c r="E172" s="45"/>
      <c r="F172" s="45"/>
      <c r="G172" s="45"/>
      <c r="H172" s="45"/>
      <c r="I172" s="45"/>
      <c r="J172" s="45"/>
      <c r="K172" s="45"/>
      <c r="L172" s="45"/>
      <c r="M172" s="45"/>
      <c r="N172" s="45"/>
      <c r="O172" s="45" t="s">
        <v>83</v>
      </c>
      <c r="P172" s="45" t="s">
        <v>176</v>
      </c>
      <c r="Q172" s="16"/>
      <c r="R172" s="46" t="s">
        <v>95</v>
      </c>
      <c r="S172" s="223"/>
      <c r="T172" s="2"/>
    </row>
    <row r="173" spans="1:252" ht="15.75" x14ac:dyDescent="0.25">
      <c r="A173" s="110"/>
      <c r="B173" s="111" t="s">
        <v>47</v>
      </c>
      <c r="C173" s="111"/>
      <c r="D173" s="111"/>
      <c r="E173" s="111"/>
      <c r="F173" s="111"/>
      <c r="G173" s="111"/>
      <c r="H173" s="111"/>
      <c r="I173" s="111"/>
      <c r="J173" s="111"/>
      <c r="K173" s="111"/>
      <c r="L173" s="111"/>
      <c r="M173" s="111"/>
      <c r="N173" s="111"/>
      <c r="O173" s="154">
        <f>+R28*0.08</f>
        <v>28000</v>
      </c>
      <c r="P173" s="143"/>
      <c r="Q173" s="111"/>
      <c r="R173" s="154"/>
      <c r="S173" s="114"/>
      <c r="T173" s="2"/>
    </row>
    <row r="174" spans="1:252" ht="15.75" x14ac:dyDescent="0.25">
      <c r="A174" s="110"/>
      <c r="B174" s="111" t="s">
        <v>48</v>
      </c>
      <c r="C174" s="111"/>
      <c r="D174" s="111"/>
      <c r="E174" s="111"/>
      <c r="F174" s="111"/>
      <c r="G174" s="111"/>
      <c r="H174" s="111"/>
      <c r="I174" s="111"/>
      <c r="J174" s="111"/>
      <c r="K174" s="111"/>
      <c r="L174" s="111"/>
      <c r="M174" s="111"/>
      <c r="N174" s="111"/>
      <c r="O174" s="154">
        <f>+'July 16'!O176</f>
        <v>1763</v>
      </c>
      <c r="P174" s="154">
        <f>+'July 16'!P176</f>
        <v>586</v>
      </c>
      <c r="Q174" s="111"/>
      <c r="R174" s="154">
        <f>O174+P174</f>
        <v>2349</v>
      </c>
      <c r="S174" s="114"/>
      <c r="T174" s="2"/>
    </row>
    <row r="175" spans="1:252" ht="15.75" x14ac:dyDescent="0.25">
      <c r="A175" s="110"/>
      <c r="B175" s="111" t="s">
        <v>49</v>
      </c>
      <c r="C175" s="111"/>
      <c r="D175" s="111"/>
      <c r="E175" s="111"/>
      <c r="F175" s="111"/>
      <c r="G175" s="111"/>
      <c r="H175" s="111"/>
      <c r="I175" s="111"/>
      <c r="J175" s="111"/>
      <c r="K175" s="111"/>
      <c r="L175" s="111"/>
      <c r="M175" s="111"/>
      <c r="N175" s="111"/>
      <c r="O175" s="153">
        <v>184</v>
      </c>
      <c r="P175" s="153">
        <v>42</v>
      </c>
      <c r="Q175" s="111"/>
      <c r="R175" s="154">
        <f>O175+P175</f>
        <v>226</v>
      </c>
      <c r="S175" s="114"/>
      <c r="T175" s="2"/>
    </row>
    <row r="176" spans="1:252" ht="15.75" x14ac:dyDescent="0.25">
      <c r="A176" s="110"/>
      <c r="B176" s="111" t="s">
        <v>50</v>
      </c>
      <c r="C176" s="111"/>
      <c r="D176" s="111"/>
      <c r="E176" s="111"/>
      <c r="F176" s="111"/>
      <c r="G176" s="111"/>
      <c r="H176" s="111"/>
      <c r="I176" s="111"/>
      <c r="J176" s="111"/>
      <c r="K176" s="111"/>
      <c r="L176" s="111"/>
      <c r="M176" s="111"/>
      <c r="N176" s="111"/>
      <c r="O176" s="154">
        <f>O174+O175</f>
        <v>1947</v>
      </c>
      <c r="P176" s="154">
        <f>P175+P174</f>
        <v>628</v>
      </c>
      <c r="Q176" s="111"/>
      <c r="R176" s="154">
        <f>O176+P176</f>
        <v>2575</v>
      </c>
      <c r="S176" s="114"/>
      <c r="T176" s="2"/>
    </row>
    <row r="177" spans="1:20" ht="15.75" x14ac:dyDescent="0.25">
      <c r="A177" s="110"/>
      <c r="B177" s="111" t="s">
        <v>51</v>
      </c>
      <c r="C177" s="111"/>
      <c r="D177" s="111"/>
      <c r="E177" s="111"/>
      <c r="F177" s="111"/>
      <c r="G177" s="111"/>
      <c r="H177" s="111"/>
      <c r="I177" s="111"/>
      <c r="J177" s="111"/>
      <c r="K177" s="111"/>
      <c r="L177" s="111"/>
      <c r="M177" s="111"/>
      <c r="N177" s="111"/>
      <c r="O177" s="154">
        <f>O173-O176-P176</f>
        <v>25425</v>
      </c>
      <c r="P177" s="143"/>
      <c r="Q177" s="111"/>
      <c r="R177" s="154"/>
      <c r="S177" s="114"/>
      <c r="T177" s="2"/>
    </row>
    <row r="178" spans="1:20" ht="16.5" thickBot="1" x14ac:dyDescent="0.3">
      <c r="A178" s="12"/>
      <c r="B178" s="43"/>
      <c r="C178" s="43"/>
      <c r="D178" s="43"/>
      <c r="E178" s="43"/>
      <c r="F178" s="43"/>
      <c r="G178" s="43"/>
      <c r="H178" s="43"/>
      <c r="I178" s="43"/>
      <c r="J178" s="43"/>
      <c r="K178" s="43"/>
      <c r="L178" s="43"/>
      <c r="M178" s="43"/>
      <c r="N178" s="43"/>
      <c r="O178" s="43"/>
      <c r="P178" s="43"/>
      <c r="Q178" s="43"/>
      <c r="R178" s="160"/>
      <c r="S178" s="216"/>
      <c r="T178" s="2"/>
    </row>
    <row r="179" spans="1:20" ht="15.75" x14ac:dyDescent="0.25">
      <c r="A179" s="10"/>
      <c r="B179" s="11"/>
      <c r="C179" s="11"/>
      <c r="D179" s="11"/>
      <c r="E179" s="11"/>
      <c r="F179" s="11"/>
      <c r="G179" s="11"/>
      <c r="H179" s="11"/>
      <c r="I179" s="11"/>
      <c r="J179" s="11"/>
      <c r="K179" s="11"/>
      <c r="L179" s="11"/>
      <c r="M179" s="11"/>
      <c r="N179" s="11"/>
      <c r="O179" s="11"/>
      <c r="P179" s="11"/>
      <c r="Q179" s="11"/>
      <c r="R179" s="32"/>
      <c r="S179" s="215"/>
      <c r="T179" s="2"/>
    </row>
    <row r="180" spans="1:20" ht="15.75" x14ac:dyDescent="0.25">
      <c r="A180" s="12"/>
      <c r="B180" s="41" t="s">
        <v>52</v>
      </c>
      <c r="C180" s="14"/>
      <c r="D180" s="14"/>
      <c r="E180" s="14"/>
      <c r="F180" s="14"/>
      <c r="G180" s="14"/>
      <c r="H180" s="14"/>
      <c r="I180" s="14"/>
      <c r="J180" s="14"/>
      <c r="K180" s="14"/>
      <c r="L180" s="14"/>
      <c r="M180" s="14"/>
      <c r="N180" s="14"/>
      <c r="O180" s="14"/>
      <c r="P180" s="14"/>
      <c r="Q180" s="14"/>
      <c r="R180" s="47"/>
      <c r="S180" s="216"/>
      <c r="T180" s="2"/>
    </row>
    <row r="181" spans="1:20" ht="15.75" x14ac:dyDescent="0.25">
      <c r="A181" s="110"/>
      <c r="B181" s="111" t="s">
        <v>53</v>
      </c>
      <c r="C181" s="111"/>
      <c r="D181" s="111"/>
      <c r="E181" s="111"/>
      <c r="F181" s="111"/>
      <c r="G181" s="111"/>
      <c r="H181" s="111"/>
      <c r="I181" s="111"/>
      <c r="J181" s="111"/>
      <c r="K181" s="111"/>
      <c r="L181" s="111"/>
      <c r="M181" s="111"/>
      <c r="N181" s="111"/>
      <c r="O181" s="111"/>
      <c r="P181" s="111"/>
      <c r="Q181" s="111"/>
      <c r="R181" s="159">
        <f>(R92+R94+R95+R96+R97)/-(R98)</f>
        <v>5.2771855010660982</v>
      </c>
      <c r="S181" s="114" t="s">
        <v>96</v>
      </c>
      <c r="T181" s="2"/>
    </row>
    <row r="182" spans="1:20" ht="15.75" x14ac:dyDescent="0.25">
      <c r="A182" s="110"/>
      <c r="B182" s="111" t="s">
        <v>54</v>
      </c>
      <c r="C182" s="111"/>
      <c r="D182" s="111"/>
      <c r="E182" s="111"/>
      <c r="F182" s="111"/>
      <c r="G182" s="111"/>
      <c r="H182" s="111"/>
      <c r="I182" s="111"/>
      <c r="J182" s="111"/>
      <c r="K182" s="111"/>
      <c r="L182" s="111"/>
      <c r="M182" s="111"/>
      <c r="N182" s="111"/>
      <c r="O182" s="111"/>
      <c r="P182" s="111"/>
      <c r="Q182" s="111"/>
      <c r="R182" s="162">
        <v>3.74</v>
      </c>
      <c r="S182" s="114" t="s">
        <v>96</v>
      </c>
      <c r="T182" s="2"/>
    </row>
    <row r="183" spans="1:20" ht="15.75" x14ac:dyDescent="0.25">
      <c r="A183" s="110"/>
      <c r="B183" s="111" t="s">
        <v>189</v>
      </c>
      <c r="C183" s="111"/>
      <c r="D183" s="111"/>
      <c r="E183" s="111"/>
      <c r="F183" s="111"/>
      <c r="G183" s="111"/>
      <c r="H183" s="111"/>
      <c r="I183" s="111"/>
      <c r="J183" s="111"/>
      <c r="K183" s="111"/>
      <c r="L183" s="111"/>
      <c r="M183" s="111"/>
      <c r="N183" s="111"/>
      <c r="O183" s="111"/>
      <c r="P183" s="111"/>
      <c r="Q183" s="111"/>
      <c r="R183" s="159">
        <f>(R92+R94+R95+R96+R97+R98)/-(R99)</f>
        <v>23.88095238095238</v>
      </c>
      <c r="S183" s="114" t="s">
        <v>96</v>
      </c>
      <c r="T183" s="2"/>
    </row>
    <row r="184" spans="1:20" ht="15.75" x14ac:dyDescent="0.25">
      <c r="A184" s="110"/>
      <c r="B184" s="111" t="s">
        <v>190</v>
      </c>
      <c r="C184" s="111"/>
      <c r="D184" s="111"/>
      <c r="E184" s="111"/>
      <c r="F184" s="111"/>
      <c r="G184" s="111"/>
      <c r="H184" s="111"/>
      <c r="I184" s="111"/>
      <c r="J184" s="111"/>
      <c r="K184" s="111"/>
      <c r="L184" s="111"/>
      <c r="M184" s="111"/>
      <c r="N184" s="111"/>
      <c r="O184" s="111"/>
      <c r="P184" s="111"/>
      <c r="Q184" s="111"/>
      <c r="R184" s="162">
        <v>24.98</v>
      </c>
      <c r="S184" s="114" t="s">
        <v>96</v>
      </c>
      <c r="T184" s="2"/>
    </row>
    <row r="185" spans="1:20" ht="15.75" x14ac:dyDescent="0.25">
      <c r="A185" s="110"/>
      <c r="B185" s="111" t="s">
        <v>191</v>
      </c>
      <c r="C185" s="111"/>
      <c r="D185" s="111"/>
      <c r="E185" s="111"/>
      <c r="F185" s="111"/>
      <c r="G185" s="111"/>
      <c r="H185" s="111"/>
      <c r="I185" s="111"/>
      <c r="J185" s="111"/>
      <c r="K185" s="111"/>
      <c r="L185" s="111"/>
      <c r="M185" s="111"/>
      <c r="N185" s="111"/>
      <c r="O185" s="111"/>
      <c r="P185" s="111"/>
      <c r="Q185" s="111"/>
      <c r="R185" s="159">
        <f>(R92+R94+R95+R96+R97+R98+R99+R100+R101+R102+R103+R104)/-(R105)</f>
        <v>61.193548387096776</v>
      </c>
      <c r="S185" s="114" t="s">
        <v>96</v>
      </c>
      <c r="T185" s="2"/>
    </row>
    <row r="186" spans="1:20" ht="15.75" x14ac:dyDescent="0.25">
      <c r="A186" s="110"/>
      <c r="B186" s="111" t="s">
        <v>192</v>
      </c>
      <c r="C186" s="111"/>
      <c r="D186" s="111"/>
      <c r="E186" s="111"/>
      <c r="F186" s="111"/>
      <c r="G186" s="111"/>
      <c r="H186" s="111"/>
      <c r="I186" s="111"/>
      <c r="J186" s="111"/>
      <c r="K186" s="111"/>
      <c r="L186" s="111"/>
      <c r="M186" s="111"/>
      <c r="N186" s="111"/>
      <c r="O186" s="111"/>
      <c r="P186" s="111"/>
      <c r="Q186" s="111"/>
      <c r="R186" s="162">
        <v>66.09</v>
      </c>
      <c r="S186" s="114" t="s">
        <v>96</v>
      </c>
      <c r="T186" s="2"/>
    </row>
    <row r="187" spans="1:20" ht="15.75" x14ac:dyDescent="0.25">
      <c r="A187" s="110"/>
      <c r="B187" s="111"/>
      <c r="C187" s="111"/>
      <c r="D187" s="111"/>
      <c r="E187" s="111"/>
      <c r="F187" s="111"/>
      <c r="G187" s="111"/>
      <c r="H187" s="111"/>
      <c r="I187" s="111"/>
      <c r="J187" s="111"/>
      <c r="K187" s="111"/>
      <c r="L187" s="111"/>
      <c r="M187" s="111"/>
      <c r="N187" s="111"/>
      <c r="O187" s="111"/>
      <c r="P187" s="111"/>
      <c r="Q187" s="111"/>
      <c r="R187" s="111"/>
      <c r="S187" s="114"/>
      <c r="T187" s="2"/>
    </row>
    <row r="188" spans="1:20" ht="15.75" x14ac:dyDescent="0.25">
      <c r="A188" s="12"/>
      <c r="B188" s="161"/>
      <c r="C188" s="161"/>
      <c r="D188" s="161"/>
      <c r="E188" s="161"/>
      <c r="F188" s="161"/>
      <c r="G188" s="161"/>
      <c r="H188" s="161"/>
      <c r="I188" s="161"/>
      <c r="J188" s="161"/>
      <c r="K188" s="161"/>
      <c r="L188" s="161"/>
      <c r="M188" s="161"/>
      <c r="N188" s="161"/>
      <c r="O188" s="161"/>
      <c r="P188" s="161"/>
      <c r="Q188" s="161"/>
      <c r="R188" s="161"/>
      <c r="S188" s="217"/>
      <c r="T188" s="2"/>
    </row>
    <row r="189" spans="1:20" ht="15.75" x14ac:dyDescent="0.25">
      <c r="A189" s="12"/>
      <c r="B189" s="84"/>
      <c r="C189" s="84"/>
      <c r="D189" s="84"/>
      <c r="E189" s="84"/>
      <c r="F189" s="84"/>
      <c r="G189" s="84"/>
      <c r="H189" s="84"/>
      <c r="I189" s="84"/>
      <c r="J189" s="84"/>
      <c r="K189" s="84"/>
      <c r="L189" s="84"/>
      <c r="M189" s="84"/>
      <c r="N189" s="84"/>
      <c r="O189" s="84"/>
      <c r="P189" s="84"/>
      <c r="Q189" s="84"/>
      <c r="R189" s="84"/>
      <c r="S189" s="217"/>
      <c r="T189" s="2"/>
    </row>
    <row r="190" spans="1:20" ht="19.5" thickBot="1" x14ac:dyDescent="0.35">
      <c r="A190" s="28"/>
      <c r="B190" s="97" t="str">
        <f>B121</f>
        <v>PM20 INVESTOR REPORT QUARTER ENDING OCTOBER 2016</v>
      </c>
      <c r="C190" s="98"/>
      <c r="D190" s="98"/>
      <c r="E190" s="98"/>
      <c r="F190" s="98"/>
      <c r="G190" s="98"/>
      <c r="H190" s="98"/>
      <c r="I190" s="98"/>
      <c r="J190" s="98"/>
      <c r="K190" s="98"/>
      <c r="L190" s="98"/>
      <c r="M190" s="98"/>
      <c r="N190" s="98"/>
      <c r="O190" s="98"/>
      <c r="P190" s="98"/>
      <c r="Q190" s="98"/>
      <c r="R190" s="98"/>
      <c r="S190" s="99"/>
      <c r="T190" s="2"/>
    </row>
    <row r="191" spans="1:20" ht="15.75" x14ac:dyDescent="0.25">
      <c r="A191" s="65"/>
      <c r="B191" s="66" t="s">
        <v>55</v>
      </c>
      <c r="C191" s="69"/>
      <c r="D191" s="70"/>
      <c r="E191" s="70"/>
      <c r="F191" s="70"/>
      <c r="G191" s="70"/>
      <c r="H191" s="70"/>
      <c r="I191" s="70"/>
      <c r="J191" s="70"/>
      <c r="K191" s="70"/>
      <c r="L191" s="70"/>
      <c r="M191" s="70"/>
      <c r="N191" s="70"/>
      <c r="O191" s="70"/>
      <c r="P191" s="70">
        <v>42674</v>
      </c>
      <c r="Q191" s="67"/>
      <c r="R191" s="67"/>
      <c r="S191" s="222"/>
      <c r="T191" s="2"/>
    </row>
    <row r="192" spans="1:20" ht="15.75" x14ac:dyDescent="0.25">
      <c r="A192" s="48"/>
      <c r="B192" s="49"/>
      <c r="C192" s="50"/>
      <c r="D192" s="51"/>
      <c r="E192" s="51"/>
      <c r="F192" s="51"/>
      <c r="G192" s="51"/>
      <c r="H192" s="51"/>
      <c r="I192" s="51"/>
      <c r="J192" s="51"/>
      <c r="K192" s="51"/>
      <c r="L192" s="51"/>
      <c r="M192" s="51"/>
      <c r="N192" s="51"/>
      <c r="O192" s="51"/>
      <c r="P192" s="51"/>
      <c r="Q192" s="14"/>
      <c r="R192" s="14"/>
      <c r="S192" s="216"/>
      <c r="T192" s="2"/>
    </row>
    <row r="193" spans="1:20" ht="15.75" x14ac:dyDescent="0.25">
      <c r="A193" s="165"/>
      <c r="B193" s="111" t="s">
        <v>56</v>
      </c>
      <c r="C193" s="166"/>
      <c r="D193" s="146"/>
      <c r="E193" s="146"/>
      <c r="F193" s="146"/>
      <c r="G193" s="146"/>
      <c r="H193" s="146"/>
      <c r="I193" s="146"/>
      <c r="J193" s="146"/>
      <c r="K193" s="146"/>
      <c r="L193" s="146"/>
      <c r="M193" s="146"/>
      <c r="N193" s="146"/>
      <c r="O193" s="146"/>
      <c r="P193" s="140">
        <v>4.5449999999999997E-2</v>
      </c>
      <c r="Q193" s="111"/>
      <c r="R193" s="111"/>
      <c r="S193" s="114"/>
      <c r="T193" s="2"/>
    </row>
    <row r="194" spans="1:20" ht="15.75" x14ac:dyDescent="0.25">
      <c r="A194" s="165"/>
      <c r="B194" s="111" t="s">
        <v>164</v>
      </c>
      <c r="C194" s="166"/>
      <c r="D194" s="146"/>
      <c r="E194" s="146"/>
      <c r="F194" s="146"/>
      <c r="G194" s="146"/>
      <c r="H194" s="146"/>
      <c r="I194" s="146"/>
      <c r="J194" s="146"/>
      <c r="K194" s="146"/>
      <c r="L194" s="146"/>
      <c r="M194" s="146"/>
      <c r="N194" s="146"/>
      <c r="O194" s="146"/>
      <c r="P194" s="140">
        <v>1.3245728571428571E-2</v>
      </c>
      <c r="Q194" s="111"/>
      <c r="R194" s="111"/>
      <c r="S194" s="114"/>
      <c r="T194" s="2"/>
    </row>
    <row r="195" spans="1:20" ht="15.75" x14ac:dyDescent="0.25">
      <c r="A195" s="165"/>
      <c r="B195" s="111" t="s">
        <v>57</v>
      </c>
      <c r="C195" s="166"/>
      <c r="D195" s="146"/>
      <c r="E195" s="146"/>
      <c r="F195" s="146"/>
      <c r="G195" s="146"/>
      <c r="H195" s="146"/>
      <c r="I195" s="146"/>
      <c r="J195" s="146"/>
      <c r="K195" s="146"/>
      <c r="L195" s="146"/>
      <c r="M195" s="146"/>
      <c r="N195" s="146"/>
      <c r="O195" s="146"/>
      <c r="P195" s="210">
        <f>P193-P194</f>
        <v>3.2204271428571428E-2</v>
      </c>
      <c r="Q195" s="111"/>
      <c r="R195" s="111"/>
      <c r="S195" s="114"/>
      <c r="T195" s="2"/>
    </row>
    <row r="196" spans="1:20" ht="15.75" x14ac:dyDescent="0.25">
      <c r="A196" s="165"/>
      <c r="B196" s="111" t="s">
        <v>167</v>
      </c>
      <c r="C196" s="166"/>
      <c r="D196" s="146"/>
      <c r="E196" s="146"/>
      <c r="F196" s="146"/>
      <c r="G196" s="146"/>
      <c r="H196" s="146"/>
      <c r="I196" s="146"/>
      <c r="J196" s="146"/>
      <c r="K196" s="146"/>
      <c r="L196" s="146"/>
      <c r="M196" s="146"/>
      <c r="N196" s="146"/>
      <c r="O196" s="146"/>
      <c r="P196" s="210">
        <v>4.3856300000000001E-2</v>
      </c>
      <c r="Q196" s="111"/>
      <c r="R196" s="111"/>
      <c r="S196" s="114"/>
      <c r="T196" s="2"/>
    </row>
    <row r="197" spans="1:20" ht="15.75" x14ac:dyDescent="0.25">
      <c r="A197" s="165"/>
      <c r="B197" s="111" t="s">
        <v>58</v>
      </c>
      <c r="C197" s="166"/>
      <c r="D197" s="146"/>
      <c r="E197" s="146"/>
      <c r="F197" s="146"/>
      <c r="G197" s="146"/>
      <c r="H197" s="146"/>
      <c r="I197" s="146"/>
      <c r="J197" s="146"/>
      <c r="K197" s="146"/>
      <c r="L197" s="146"/>
      <c r="M197" s="146"/>
      <c r="N197" s="146"/>
      <c r="O197" s="146"/>
      <c r="P197" s="208">
        <v>5.1610000000000003E-2</v>
      </c>
      <c r="Q197" s="111"/>
      <c r="R197" s="111"/>
      <c r="S197" s="114"/>
      <c r="T197" s="2"/>
    </row>
    <row r="198" spans="1:20" ht="15.75" x14ac:dyDescent="0.25">
      <c r="A198" s="165"/>
      <c r="B198" s="111" t="s">
        <v>165</v>
      </c>
      <c r="C198" s="166"/>
      <c r="D198" s="146"/>
      <c r="E198" s="146"/>
      <c r="F198" s="146"/>
      <c r="G198" s="146"/>
      <c r="H198" s="146"/>
      <c r="I198" s="146"/>
      <c r="J198" s="146"/>
      <c r="K198" s="146"/>
      <c r="L198" s="146"/>
      <c r="M198" s="146"/>
      <c r="N198" s="146"/>
      <c r="O198" s="146"/>
      <c r="P198" s="140">
        <f>R34</f>
        <v>1.1258101434066838E-2</v>
      </c>
      <c r="Q198" s="111"/>
      <c r="R198" s="111"/>
      <c r="S198" s="114"/>
      <c r="T198" s="2"/>
    </row>
    <row r="199" spans="1:20" ht="15.75" x14ac:dyDescent="0.25">
      <c r="A199" s="165"/>
      <c r="B199" s="111" t="s">
        <v>59</v>
      </c>
      <c r="C199" s="166"/>
      <c r="D199" s="146"/>
      <c r="E199" s="146"/>
      <c r="F199" s="146"/>
      <c r="G199" s="146"/>
      <c r="H199" s="146"/>
      <c r="I199" s="146"/>
      <c r="J199" s="146"/>
      <c r="K199" s="146"/>
      <c r="L199" s="146"/>
      <c r="M199" s="146"/>
      <c r="N199" s="146"/>
      <c r="O199" s="146"/>
      <c r="P199" s="140">
        <f>P197-P198</f>
        <v>4.0351898565933166E-2</v>
      </c>
      <c r="Q199" s="111"/>
      <c r="R199" s="111"/>
      <c r="S199" s="114"/>
      <c r="T199" s="2"/>
    </row>
    <row r="200" spans="1:20" ht="15.75" x14ac:dyDescent="0.25">
      <c r="A200" s="165"/>
      <c r="B200" s="111" t="s">
        <v>142</v>
      </c>
      <c r="C200" s="166"/>
      <c r="D200" s="146"/>
      <c r="E200" s="146"/>
      <c r="F200" s="146"/>
      <c r="G200" s="146"/>
      <c r="H200" s="146"/>
      <c r="I200" s="146"/>
      <c r="J200" s="146"/>
      <c r="K200" s="146"/>
      <c r="L200" s="146"/>
      <c r="M200" s="146"/>
      <c r="N200" s="146"/>
      <c r="O200" s="146"/>
      <c r="P200" s="140">
        <f>(+R92+R94)/H72</f>
        <v>1.274629044028217E-2</v>
      </c>
      <c r="Q200" s="111"/>
      <c r="R200" s="111"/>
      <c r="S200" s="114"/>
      <c r="T200" s="2"/>
    </row>
    <row r="201" spans="1:20" ht="15.75" x14ac:dyDescent="0.25">
      <c r="A201" s="165"/>
      <c r="B201" s="111" t="s">
        <v>135</v>
      </c>
      <c r="C201" s="166"/>
      <c r="D201" s="146"/>
      <c r="E201" s="146"/>
      <c r="F201" s="146"/>
      <c r="G201" s="146"/>
      <c r="H201" s="146"/>
      <c r="I201" s="146"/>
      <c r="J201" s="146"/>
      <c r="K201" s="146"/>
      <c r="L201" s="146"/>
      <c r="M201" s="146"/>
      <c r="N201" s="146"/>
      <c r="O201" s="146"/>
      <c r="P201" s="167">
        <v>51820</v>
      </c>
      <c r="Q201" s="111"/>
      <c r="R201" s="111"/>
      <c r="S201" s="114"/>
      <c r="T201" s="2"/>
    </row>
    <row r="202" spans="1:20" ht="15.75" x14ac:dyDescent="0.25">
      <c r="A202" s="165"/>
      <c r="B202" s="111" t="s">
        <v>193</v>
      </c>
      <c r="C202" s="166"/>
      <c r="D202" s="146"/>
      <c r="E202" s="146"/>
      <c r="F202" s="146"/>
      <c r="G202" s="146"/>
      <c r="H202" s="146"/>
      <c r="I202" s="146"/>
      <c r="J202" s="146"/>
      <c r="K202" s="146"/>
      <c r="L202" s="146"/>
      <c r="M202" s="146"/>
      <c r="N202" s="146"/>
      <c r="O202" s="146"/>
      <c r="P202" s="167">
        <v>51820</v>
      </c>
      <c r="Q202" s="111"/>
      <c r="R202" s="111"/>
      <c r="S202" s="114"/>
      <c r="T202" s="2"/>
    </row>
    <row r="203" spans="1:20" ht="15.75" x14ac:dyDescent="0.25">
      <c r="A203" s="165"/>
      <c r="B203" s="111" t="s">
        <v>194</v>
      </c>
      <c r="C203" s="166"/>
      <c r="D203" s="146"/>
      <c r="E203" s="146"/>
      <c r="F203" s="146"/>
      <c r="G203" s="146"/>
      <c r="H203" s="146"/>
      <c r="I203" s="146"/>
      <c r="J203" s="146"/>
      <c r="K203" s="146"/>
      <c r="L203" s="146"/>
      <c r="M203" s="146"/>
      <c r="N203" s="146"/>
      <c r="O203" s="146"/>
      <c r="P203" s="167">
        <v>51820</v>
      </c>
      <c r="Q203" s="111"/>
      <c r="R203" s="111"/>
      <c r="S203" s="114"/>
      <c r="T203" s="2"/>
    </row>
    <row r="204" spans="1:20" ht="15.75" x14ac:dyDescent="0.25">
      <c r="A204" s="165"/>
      <c r="B204" s="111" t="s">
        <v>60</v>
      </c>
      <c r="C204" s="166"/>
      <c r="D204" s="146"/>
      <c r="E204" s="146"/>
      <c r="F204" s="146"/>
      <c r="G204" s="146"/>
      <c r="H204" s="146"/>
      <c r="I204" s="146"/>
      <c r="J204" s="146"/>
      <c r="K204" s="146"/>
      <c r="L204" s="146"/>
      <c r="M204" s="146"/>
      <c r="N204" s="146"/>
      <c r="O204" s="146"/>
      <c r="P204" s="144">
        <v>18.95</v>
      </c>
      <c r="Q204" s="111" t="s">
        <v>91</v>
      </c>
      <c r="R204" s="111"/>
      <c r="S204" s="114"/>
      <c r="T204" s="2"/>
    </row>
    <row r="205" spans="1:20" ht="15.75" x14ac:dyDescent="0.25">
      <c r="A205" s="165"/>
      <c r="B205" s="111" t="s">
        <v>61</v>
      </c>
      <c r="C205" s="166"/>
      <c r="D205" s="146"/>
      <c r="E205" s="146"/>
      <c r="F205" s="146"/>
      <c r="G205" s="146"/>
      <c r="H205" s="146"/>
      <c r="I205" s="146"/>
      <c r="J205" s="146"/>
      <c r="K205" s="146"/>
      <c r="L205" s="146"/>
      <c r="M205" s="146"/>
      <c r="N205" s="146"/>
      <c r="O205" s="146"/>
      <c r="P205" s="209">
        <v>16.54</v>
      </c>
      <c r="Q205" s="111" t="s">
        <v>91</v>
      </c>
      <c r="R205" s="111"/>
      <c r="S205" s="114"/>
      <c r="T205" s="2"/>
    </row>
    <row r="206" spans="1:20" ht="15.75" x14ac:dyDescent="0.25">
      <c r="A206" s="165"/>
      <c r="B206" s="111" t="s">
        <v>62</v>
      </c>
      <c r="C206" s="166"/>
      <c r="D206" s="146"/>
      <c r="E206" s="146"/>
      <c r="F206" s="146"/>
      <c r="G206" s="146"/>
      <c r="H206" s="146"/>
      <c r="I206" s="146"/>
      <c r="J206" s="146"/>
      <c r="K206" s="146"/>
      <c r="L206" s="146"/>
      <c r="M206" s="146"/>
      <c r="N206" s="146"/>
      <c r="O206" s="146"/>
      <c r="P206" s="140">
        <f>(+J56+L56+P56)/H56</f>
        <v>0.17732911700316226</v>
      </c>
      <c r="Q206" s="111"/>
      <c r="R206" s="111"/>
      <c r="S206" s="114"/>
      <c r="T206" s="2"/>
    </row>
    <row r="207" spans="1:20" ht="15.75" x14ac:dyDescent="0.25">
      <c r="A207" s="165"/>
      <c r="B207" s="111" t="s">
        <v>63</v>
      </c>
      <c r="C207" s="166"/>
      <c r="D207" s="146"/>
      <c r="E207" s="146"/>
      <c r="F207" s="146"/>
      <c r="G207" s="146"/>
      <c r="H207" s="146"/>
      <c r="I207" s="146"/>
      <c r="J207" s="146"/>
      <c r="K207" s="146"/>
      <c r="L207" s="146"/>
      <c r="M207" s="146"/>
      <c r="N207" s="146"/>
      <c r="O207" s="146"/>
      <c r="P207" s="210">
        <v>0.2717</v>
      </c>
      <c r="Q207" s="111"/>
      <c r="R207" s="111"/>
      <c r="S207" s="114"/>
      <c r="T207" s="2"/>
    </row>
    <row r="208" spans="1:20" ht="15.75" x14ac:dyDescent="0.25">
      <c r="A208" s="48"/>
      <c r="B208" s="163"/>
      <c r="C208" s="163"/>
      <c r="D208" s="43"/>
      <c r="E208" s="43"/>
      <c r="F208" s="43"/>
      <c r="G208" s="43"/>
      <c r="H208" s="43"/>
      <c r="I208" s="43"/>
      <c r="J208" s="43"/>
      <c r="K208" s="43"/>
      <c r="L208" s="43"/>
      <c r="M208" s="43"/>
      <c r="N208" s="43"/>
      <c r="O208" s="43"/>
      <c r="P208" s="160"/>
      <c r="Q208" s="43"/>
      <c r="R208" s="164"/>
      <c r="S208" s="216"/>
      <c r="T208" s="2"/>
    </row>
    <row r="209" spans="1:20" ht="15.75" x14ac:dyDescent="0.25">
      <c r="A209" s="71"/>
      <c r="B209" s="61" t="s">
        <v>64</v>
      </c>
      <c r="C209" s="62"/>
      <c r="D209" s="62"/>
      <c r="E209" s="62"/>
      <c r="F209" s="62"/>
      <c r="G209" s="62"/>
      <c r="H209" s="62"/>
      <c r="I209" s="62"/>
      <c r="J209" s="62"/>
      <c r="K209" s="62"/>
      <c r="L209" s="62"/>
      <c r="M209" s="62"/>
      <c r="N209" s="62"/>
      <c r="O209" s="62" t="s">
        <v>84</v>
      </c>
      <c r="P209" s="72" t="s">
        <v>89</v>
      </c>
      <c r="Q209" s="54"/>
      <c r="R209" s="54"/>
      <c r="S209" s="218"/>
      <c r="T209" s="2"/>
    </row>
    <row r="210" spans="1:20" ht="15.75" x14ac:dyDescent="0.25">
      <c r="A210" s="52"/>
      <c r="B210" s="79" t="s">
        <v>65</v>
      </c>
      <c r="C210" s="78"/>
      <c r="D210" s="95"/>
      <c r="E210" s="95"/>
      <c r="F210" s="95"/>
      <c r="G210" s="95"/>
      <c r="H210" s="95"/>
      <c r="I210" s="95"/>
      <c r="J210" s="95"/>
      <c r="K210" s="95"/>
      <c r="L210" s="95"/>
      <c r="M210" s="95"/>
      <c r="N210" s="95"/>
      <c r="O210" s="95">
        <v>0</v>
      </c>
      <c r="P210" s="96">
        <v>0</v>
      </c>
      <c r="Q210" s="79"/>
      <c r="R210" s="94"/>
      <c r="S210" s="224"/>
      <c r="T210" s="2"/>
    </row>
    <row r="211" spans="1:20" ht="15.75" x14ac:dyDescent="0.25">
      <c r="A211" s="171"/>
      <c r="B211" s="111" t="s">
        <v>114</v>
      </c>
      <c r="C211" s="153"/>
      <c r="D211" s="121"/>
      <c r="E211" s="121"/>
      <c r="F211" s="121"/>
      <c r="G211" s="121"/>
      <c r="H211" s="121"/>
      <c r="I211" s="121"/>
      <c r="J211" s="121"/>
      <c r="K211" s="121"/>
      <c r="L211" s="121"/>
      <c r="M211" s="121"/>
      <c r="N211" s="121"/>
      <c r="O211" s="172">
        <f>+N263</f>
        <v>1</v>
      </c>
      <c r="P211" s="173">
        <f>+P263</f>
        <v>760</v>
      </c>
      <c r="Q211" s="111"/>
      <c r="R211" s="174"/>
      <c r="S211" s="175"/>
      <c r="T211" s="2"/>
    </row>
    <row r="212" spans="1:20" ht="15.75" x14ac:dyDescent="0.25">
      <c r="A212" s="171"/>
      <c r="B212" s="111" t="s">
        <v>66</v>
      </c>
      <c r="C212" s="153"/>
      <c r="D212" s="121"/>
      <c r="E212" s="121"/>
      <c r="F212" s="121"/>
      <c r="G212" s="121"/>
      <c r="H212" s="121"/>
      <c r="I212" s="121"/>
      <c r="J212" s="121"/>
      <c r="K212" s="121"/>
      <c r="L212" s="121"/>
      <c r="M212" s="121"/>
      <c r="N212" s="121"/>
      <c r="O212" s="172">
        <f>+N275</f>
        <v>0</v>
      </c>
      <c r="P212" s="173">
        <f>+P275</f>
        <v>0</v>
      </c>
      <c r="Q212" s="111"/>
      <c r="R212" s="174"/>
      <c r="S212" s="175"/>
      <c r="T212" s="2"/>
    </row>
    <row r="213" spans="1:20" ht="15.75" x14ac:dyDescent="0.25">
      <c r="A213" s="171"/>
      <c r="B213" s="132" t="s">
        <v>254</v>
      </c>
      <c r="C213" s="176"/>
      <c r="D213" s="133"/>
      <c r="E213" s="133"/>
      <c r="F213" s="133"/>
      <c r="G213" s="133"/>
      <c r="H213" s="133"/>
      <c r="I213" s="133"/>
      <c r="J213" s="133"/>
      <c r="K213" s="133"/>
      <c r="L213" s="133"/>
      <c r="M213" s="133"/>
      <c r="N213" s="133"/>
      <c r="O213" s="111"/>
      <c r="P213" s="173">
        <f>+P56</f>
        <v>7088</v>
      </c>
      <c r="Q213" s="133"/>
      <c r="R213" s="177"/>
      <c r="S213" s="175"/>
      <c r="T213" s="2"/>
    </row>
    <row r="214" spans="1:20" ht="15.75" x14ac:dyDescent="0.25">
      <c r="A214" s="171"/>
      <c r="B214" s="132" t="s">
        <v>143</v>
      </c>
      <c r="C214" s="176"/>
      <c r="D214" s="133"/>
      <c r="E214" s="133"/>
      <c r="F214" s="133"/>
      <c r="G214" s="133"/>
      <c r="H214" s="133"/>
      <c r="I214" s="133"/>
      <c r="J214" s="133"/>
      <c r="K214" s="133"/>
      <c r="L214" s="133"/>
      <c r="M214" s="133"/>
      <c r="N214" s="133"/>
      <c r="O214" s="111"/>
      <c r="P214" s="173">
        <f>-J69</f>
        <v>0</v>
      </c>
      <c r="Q214" s="133"/>
      <c r="R214" s="177"/>
      <c r="S214" s="175"/>
      <c r="T214" s="2"/>
    </row>
    <row r="215" spans="1:20" ht="15.75" x14ac:dyDescent="0.25">
      <c r="A215" s="178"/>
      <c r="B215" s="132" t="s">
        <v>68</v>
      </c>
      <c r="C215" s="179"/>
      <c r="D215" s="133"/>
      <c r="E215" s="133"/>
      <c r="F215" s="133"/>
      <c r="G215" s="133"/>
      <c r="H215" s="133"/>
      <c r="I215" s="133"/>
      <c r="J215" s="133"/>
      <c r="K215" s="133"/>
      <c r="L215" s="133"/>
      <c r="M215" s="133"/>
      <c r="N215" s="133"/>
      <c r="O215" s="111"/>
      <c r="P215" s="173"/>
      <c r="Q215" s="133"/>
      <c r="R215" s="177"/>
      <c r="S215" s="180"/>
      <c r="T215" s="2"/>
    </row>
    <row r="216" spans="1:20" ht="15.75" x14ac:dyDescent="0.25">
      <c r="A216" s="178"/>
      <c r="B216" s="116" t="s">
        <v>69</v>
      </c>
      <c r="C216" s="179"/>
      <c r="D216" s="133"/>
      <c r="E216" s="133"/>
      <c r="F216" s="133"/>
      <c r="G216" s="133"/>
      <c r="H216" s="133"/>
      <c r="I216" s="133"/>
      <c r="J216" s="133"/>
      <c r="K216" s="133"/>
      <c r="L216" s="133"/>
      <c r="M216" s="133"/>
      <c r="N216" s="133"/>
      <c r="O216" s="121"/>
      <c r="P216" s="173">
        <f>R150</f>
        <v>0</v>
      </c>
      <c r="Q216" s="133"/>
      <c r="R216" s="177"/>
      <c r="S216" s="180"/>
      <c r="T216" s="2"/>
    </row>
    <row r="217" spans="1:20" ht="15.75" x14ac:dyDescent="0.25">
      <c r="A217" s="171"/>
      <c r="B217" s="111" t="s">
        <v>70</v>
      </c>
      <c r="C217" s="176"/>
      <c r="D217" s="133"/>
      <c r="E217" s="133"/>
      <c r="F217" s="133"/>
      <c r="G217" s="133"/>
      <c r="H217" s="133"/>
      <c r="I217" s="133"/>
      <c r="J217" s="133"/>
      <c r="K217" s="133"/>
      <c r="L217" s="133"/>
      <c r="M217" s="133"/>
      <c r="N217" s="133"/>
      <c r="O217" s="121"/>
      <c r="P217" s="173">
        <f>'July 16'!P217+P216</f>
        <v>15</v>
      </c>
      <c r="Q217" s="133"/>
      <c r="R217" s="177"/>
      <c r="S217" s="180"/>
      <c r="T217" s="2"/>
    </row>
    <row r="218" spans="1:20" ht="15.75" x14ac:dyDescent="0.25">
      <c r="A218" s="178"/>
      <c r="B218" s="132" t="s">
        <v>154</v>
      </c>
      <c r="C218" s="179"/>
      <c r="D218" s="133"/>
      <c r="E218" s="133"/>
      <c r="F218" s="133"/>
      <c r="G218" s="133"/>
      <c r="H218" s="133"/>
      <c r="I218" s="133"/>
      <c r="J218" s="133"/>
      <c r="K218" s="133"/>
      <c r="L218" s="133"/>
      <c r="M218" s="133"/>
      <c r="N218" s="133"/>
      <c r="O218" s="121"/>
      <c r="P218" s="173"/>
      <c r="Q218" s="133"/>
      <c r="R218" s="177"/>
      <c r="S218" s="180"/>
      <c r="T218" s="2"/>
    </row>
    <row r="219" spans="1:20" ht="15.75" x14ac:dyDescent="0.25">
      <c r="A219" s="178"/>
      <c r="B219" s="111" t="s">
        <v>166</v>
      </c>
      <c r="C219" s="179"/>
      <c r="D219" s="133"/>
      <c r="E219" s="133"/>
      <c r="F219" s="133"/>
      <c r="G219" s="133"/>
      <c r="H219" s="133"/>
      <c r="I219" s="133"/>
      <c r="J219" s="133"/>
      <c r="K219" s="133"/>
      <c r="L219" s="133"/>
      <c r="M219" s="133"/>
      <c r="N219" s="133"/>
      <c r="O219" s="121">
        <v>0</v>
      </c>
      <c r="P219" s="173">
        <v>0</v>
      </c>
      <c r="Q219" s="133"/>
      <c r="R219" s="177"/>
      <c r="S219" s="180"/>
      <c r="T219" s="2"/>
    </row>
    <row r="220" spans="1:20" ht="15.75" x14ac:dyDescent="0.25">
      <c r="A220" s="171"/>
      <c r="B220" s="111" t="s">
        <v>71</v>
      </c>
      <c r="C220" s="181"/>
      <c r="D220" s="133"/>
      <c r="E220" s="133"/>
      <c r="F220" s="133"/>
      <c r="G220" s="133"/>
      <c r="H220" s="133"/>
      <c r="I220" s="133"/>
      <c r="J220" s="133"/>
      <c r="K220" s="133"/>
      <c r="L220" s="133"/>
      <c r="M220" s="133"/>
      <c r="N220" s="133"/>
      <c r="O220" s="111"/>
      <c r="P220" s="182">
        <v>0</v>
      </c>
      <c r="Q220" s="133"/>
      <c r="R220" s="177"/>
      <c r="S220" s="180"/>
      <c r="T220" s="2"/>
    </row>
    <row r="221" spans="1:20" ht="15.75" x14ac:dyDescent="0.25">
      <c r="A221" s="171"/>
      <c r="B221" s="111" t="s">
        <v>72</v>
      </c>
      <c r="C221" s="181"/>
      <c r="D221" s="133"/>
      <c r="E221" s="133"/>
      <c r="F221" s="133"/>
      <c r="G221" s="133"/>
      <c r="H221" s="133"/>
      <c r="I221" s="133"/>
      <c r="J221" s="133"/>
      <c r="K221" s="133"/>
      <c r="L221" s="133"/>
      <c r="M221" s="133"/>
      <c r="N221" s="133"/>
      <c r="O221" s="111"/>
      <c r="P221" s="182">
        <v>0</v>
      </c>
      <c r="Q221" s="133"/>
      <c r="R221" s="177"/>
      <c r="S221" s="180"/>
      <c r="T221" s="2"/>
    </row>
    <row r="222" spans="1:20" ht="15.75" x14ac:dyDescent="0.25">
      <c r="A222" s="171"/>
      <c r="B222" s="132" t="s">
        <v>139</v>
      </c>
      <c r="C222" s="181"/>
      <c r="D222" s="133"/>
      <c r="E222" s="133"/>
      <c r="F222" s="133"/>
      <c r="G222" s="133"/>
      <c r="H222" s="133"/>
      <c r="I222" s="133"/>
      <c r="J222" s="133"/>
      <c r="K222" s="133"/>
      <c r="L222" s="133"/>
      <c r="M222" s="133"/>
      <c r="N222" s="133"/>
      <c r="O222" s="111"/>
      <c r="P222" s="183"/>
      <c r="Q222" s="133"/>
      <c r="R222" s="177"/>
      <c r="S222" s="180"/>
      <c r="T222" s="2"/>
    </row>
    <row r="223" spans="1:20" ht="15.75" x14ac:dyDescent="0.25">
      <c r="A223" s="171"/>
      <c r="B223" s="111" t="s">
        <v>166</v>
      </c>
      <c r="C223" s="181"/>
      <c r="D223" s="133"/>
      <c r="E223" s="133"/>
      <c r="F223" s="133"/>
      <c r="G223" s="133"/>
      <c r="H223" s="133"/>
      <c r="I223" s="133"/>
      <c r="J223" s="133"/>
      <c r="K223" s="133"/>
      <c r="L223" s="133"/>
      <c r="M223" s="133"/>
      <c r="N223" s="133"/>
      <c r="O223" s="121">
        <v>0</v>
      </c>
      <c r="P223" s="173">
        <v>0</v>
      </c>
      <c r="Q223" s="133"/>
      <c r="R223" s="177"/>
      <c r="S223" s="180"/>
      <c r="T223" s="2"/>
    </row>
    <row r="224" spans="1:20" ht="15.75" x14ac:dyDescent="0.25">
      <c r="A224" s="171"/>
      <c r="B224" s="111" t="s">
        <v>140</v>
      </c>
      <c r="C224" s="181"/>
      <c r="D224" s="133"/>
      <c r="E224" s="133"/>
      <c r="F224" s="133"/>
      <c r="G224" s="133"/>
      <c r="H224" s="133"/>
      <c r="I224" s="133"/>
      <c r="J224" s="133"/>
      <c r="K224" s="133"/>
      <c r="L224" s="133"/>
      <c r="M224" s="133"/>
      <c r="N224" s="133"/>
      <c r="O224" s="111"/>
      <c r="P224" s="182">
        <v>0</v>
      </c>
      <c r="Q224" s="133"/>
      <c r="R224" s="177"/>
      <c r="S224" s="180"/>
      <c r="T224" s="2"/>
    </row>
    <row r="225" spans="1:20" ht="15.75" x14ac:dyDescent="0.25">
      <c r="A225" s="171"/>
      <c r="B225" s="179"/>
      <c r="C225" s="181"/>
      <c r="D225" s="133"/>
      <c r="E225" s="133"/>
      <c r="F225" s="133"/>
      <c r="G225" s="133"/>
      <c r="H225" s="133"/>
      <c r="I225" s="133"/>
      <c r="J225" s="133"/>
      <c r="K225" s="133"/>
      <c r="L225" s="133"/>
      <c r="M225" s="133"/>
      <c r="N225" s="133"/>
      <c r="O225" s="111"/>
      <c r="P225" s="183"/>
      <c r="Q225" s="133"/>
      <c r="R225" s="177"/>
      <c r="S225" s="180"/>
      <c r="T225" s="2"/>
    </row>
    <row r="226" spans="1:20" ht="15.75" x14ac:dyDescent="0.25">
      <c r="A226" s="171"/>
      <c r="B226" s="179"/>
      <c r="C226" s="181"/>
      <c r="D226" s="133"/>
      <c r="E226" s="133"/>
      <c r="F226" s="133"/>
      <c r="G226" s="133"/>
      <c r="H226" s="133"/>
      <c r="I226" s="133"/>
      <c r="J226" s="133"/>
      <c r="K226" s="133"/>
      <c r="L226" s="133"/>
      <c r="M226" s="133"/>
      <c r="N226" s="133"/>
      <c r="O226" s="133"/>
      <c r="P226" s="184"/>
      <c r="Q226" s="133"/>
      <c r="R226" s="177"/>
      <c r="S226" s="180"/>
      <c r="T226" s="2"/>
    </row>
    <row r="227" spans="1:20" ht="18.75" x14ac:dyDescent="0.3">
      <c r="A227" s="171"/>
      <c r="B227" s="185" t="s">
        <v>130</v>
      </c>
      <c r="C227" s="181"/>
      <c r="D227" s="133"/>
      <c r="E227" s="133"/>
      <c r="F227" s="133"/>
      <c r="G227" s="133"/>
      <c r="H227" s="133"/>
      <c r="I227" s="133"/>
      <c r="J227" s="133"/>
      <c r="K227" s="133"/>
      <c r="L227" s="186"/>
      <c r="M227" s="133"/>
      <c r="N227" s="186" t="s">
        <v>129</v>
      </c>
      <c r="O227" s="186"/>
      <c r="P227" s="184"/>
      <c r="Q227" s="133"/>
      <c r="R227" s="177"/>
      <c r="S227" s="180"/>
      <c r="T227" s="2"/>
    </row>
    <row r="228" spans="1:20" ht="18.75" x14ac:dyDescent="0.3">
      <c r="A228" s="168"/>
      <c r="B228" s="199"/>
      <c r="C228" s="169"/>
      <c r="D228" s="43"/>
      <c r="E228" s="43"/>
      <c r="F228" s="43"/>
      <c r="G228" s="43"/>
      <c r="H228" s="43"/>
      <c r="I228" s="43"/>
      <c r="J228" s="43"/>
      <c r="K228" s="43"/>
      <c r="L228" s="200"/>
      <c r="M228" s="43"/>
      <c r="N228" s="43"/>
      <c r="O228" s="43"/>
      <c r="P228" s="170"/>
      <c r="Q228" s="43"/>
      <c r="R228" s="164"/>
      <c r="S228" s="225"/>
      <c r="T228" s="2"/>
    </row>
    <row r="229" spans="1:20" ht="15.75" x14ac:dyDescent="0.25">
      <c r="A229" s="53"/>
      <c r="B229" s="61" t="s">
        <v>156</v>
      </c>
      <c r="C229" s="62"/>
      <c r="D229" s="62"/>
      <c r="E229" s="62"/>
      <c r="F229" s="62"/>
      <c r="G229" s="62"/>
      <c r="H229" s="62"/>
      <c r="I229" s="62"/>
      <c r="J229" s="62"/>
      <c r="K229" s="62"/>
      <c r="L229" s="62"/>
      <c r="M229" s="62"/>
      <c r="N229" s="72" t="s">
        <v>84</v>
      </c>
      <c r="O229" s="62" t="s">
        <v>85</v>
      </c>
      <c r="P229" s="72" t="s">
        <v>90</v>
      </c>
      <c r="Q229" s="62" t="s">
        <v>85</v>
      </c>
      <c r="R229" s="54"/>
      <c r="S229" s="226"/>
      <c r="T229" s="2"/>
    </row>
    <row r="230" spans="1:20" ht="15.75" x14ac:dyDescent="0.25">
      <c r="A230" s="24"/>
      <c r="B230" s="78" t="s">
        <v>73</v>
      </c>
      <c r="C230" s="93"/>
      <c r="D230" s="93"/>
      <c r="E230" s="93"/>
      <c r="F230" s="93"/>
      <c r="G230" s="93"/>
      <c r="H230" s="93"/>
      <c r="I230" s="93"/>
      <c r="J230" s="93"/>
      <c r="K230" s="93"/>
      <c r="L230" s="93"/>
      <c r="M230" s="93"/>
      <c r="N230" s="78">
        <f>+N242+N254+N266</f>
        <v>1166</v>
      </c>
      <c r="O230" s="81">
        <f>N230/$N$239</f>
        <v>0.99743370402053033</v>
      </c>
      <c r="P230" s="82">
        <f>+P242+P254+P266</f>
        <v>168394</v>
      </c>
      <c r="Q230" s="81">
        <f t="shared" ref="Q230:Q237" si="2">P230/$P$239</f>
        <v>0.99449582462232622</v>
      </c>
      <c r="R230" s="94"/>
      <c r="S230" s="227"/>
      <c r="T230" s="2"/>
    </row>
    <row r="231" spans="1:20" ht="15.75" x14ac:dyDescent="0.25">
      <c r="A231" s="110"/>
      <c r="B231" s="153" t="s">
        <v>74</v>
      </c>
      <c r="C231" s="190"/>
      <c r="D231" s="190"/>
      <c r="E231" s="190"/>
      <c r="F231" s="190"/>
      <c r="G231" s="190"/>
      <c r="H231" s="190"/>
      <c r="I231" s="190"/>
      <c r="J231" s="190"/>
      <c r="K231" s="190"/>
      <c r="L231" s="190"/>
      <c r="M231" s="190"/>
      <c r="N231" s="153">
        <f>+N243+N255+N267</f>
        <v>1</v>
      </c>
      <c r="O231" s="191">
        <f t="shared" ref="O231:O237" si="3">N231/$N$239</f>
        <v>8.5543199315654401E-4</v>
      </c>
      <c r="P231" s="154">
        <f>+P243+P255+P267</f>
        <v>64</v>
      </c>
      <c r="Q231" s="191">
        <f t="shared" si="2"/>
        <v>3.7796912464713037E-4</v>
      </c>
      <c r="R231" s="174"/>
      <c r="S231" s="192"/>
      <c r="T231" s="2"/>
    </row>
    <row r="232" spans="1:20" ht="15.75" x14ac:dyDescent="0.25">
      <c r="A232" s="110"/>
      <c r="B232" s="153" t="s">
        <v>75</v>
      </c>
      <c r="C232" s="190"/>
      <c r="D232" s="190"/>
      <c r="E232" s="190"/>
      <c r="F232" s="190"/>
      <c r="G232" s="190"/>
      <c r="H232" s="190"/>
      <c r="I232" s="190"/>
      <c r="J232" s="190"/>
      <c r="K232" s="190"/>
      <c r="L232" s="190"/>
      <c r="M232" s="190"/>
      <c r="N232" s="153">
        <f t="shared" ref="N232:N237" si="4">+N244+N256+N268</f>
        <v>1</v>
      </c>
      <c r="O232" s="191">
        <f t="shared" si="3"/>
        <v>8.5543199315654401E-4</v>
      </c>
      <c r="P232" s="154">
        <f t="shared" ref="P232:P237" si="5">+P244+P256+P268</f>
        <v>108</v>
      </c>
      <c r="Q232" s="191">
        <f t="shared" si="2"/>
        <v>6.3782289784203251E-4</v>
      </c>
      <c r="R232" s="174"/>
      <c r="S232" s="192"/>
      <c r="T232" s="2"/>
    </row>
    <row r="233" spans="1:20" ht="15.75" x14ac:dyDescent="0.25">
      <c r="A233" s="110"/>
      <c r="B233" s="153" t="s">
        <v>120</v>
      </c>
      <c r="C233" s="190"/>
      <c r="D233" s="190"/>
      <c r="E233" s="190"/>
      <c r="F233" s="190"/>
      <c r="G233" s="190"/>
      <c r="H233" s="190"/>
      <c r="I233" s="190"/>
      <c r="J233" s="190"/>
      <c r="K233" s="190"/>
      <c r="L233" s="190"/>
      <c r="M233" s="190"/>
      <c r="N233" s="153">
        <f t="shared" si="4"/>
        <v>0</v>
      </c>
      <c r="O233" s="191">
        <f t="shared" si="3"/>
        <v>0</v>
      </c>
      <c r="P233" s="154">
        <f t="shared" si="5"/>
        <v>0</v>
      </c>
      <c r="Q233" s="191">
        <f t="shared" si="2"/>
        <v>0</v>
      </c>
      <c r="R233" s="174"/>
      <c r="S233" s="192"/>
      <c r="T233" s="2"/>
    </row>
    <row r="234" spans="1:20" ht="15.75" x14ac:dyDescent="0.25">
      <c r="A234" s="110"/>
      <c r="B234" s="153" t="s">
        <v>121</v>
      </c>
      <c r="C234" s="190"/>
      <c r="D234" s="190"/>
      <c r="E234" s="190"/>
      <c r="F234" s="190"/>
      <c r="G234" s="190"/>
      <c r="H234" s="190"/>
      <c r="I234" s="190"/>
      <c r="J234" s="190"/>
      <c r="K234" s="190"/>
      <c r="L234" s="190"/>
      <c r="M234" s="190"/>
      <c r="N234" s="153">
        <f t="shared" si="4"/>
        <v>0</v>
      </c>
      <c r="O234" s="191">
        <f t="shared" si="3"/>
        <v>0</v>
      </c>
      <c r="P234" s="154">
        <f t="shared" si="5"/>
        <v>0</v>
      </c>
      <c r="Q234" s="191">
        <f t="shared" si="2"/>
        <v>0</v>
      </c>
      <c r="R234" s="174"/>
      <c r="S234" s="192"/>
      <c r="T234" s="2"/>
    </row>
    <row r="235" spans="1:20" ht="15.75" x14ac:dyDescent="0.25">
      <c r="A235" s="110"/>
      <c r="B235" s="153" t="s">
        <v>122</v>
      </c>
      <c r="C235" s="190"/>
      <c r="D235" s="190"/>
      <c r="E235" s="190"/>
      <c r="F235" s="190"/>
      <c r="G235" s="190"/>
      <c r="H235" s="190"/>
      <c r="I235" s="190"/>
      <c r="J235" s="190"/>
      <c r="K235" s="190"/>
      <c r="L235" s="190"/>
      <c r="M235" s="190"/>
      <c r="N235" s="153">
        <f t="shared" si="4"/>
        <v>0</v>
      </c>
      <c r="O235" s="191">
        <f t="shared" si="3"/>
        <v>0</v>
      </c>
      <c r="P235" s="154">
        <f t="shared" si="5"/>
        <v>0</v>
      </c>
      <c r="Q235" s="191">
        <f t="shared" si="2"/>
        <v>0</v>
      </c>
      <c r="R235" s="174"/>
      <c r="S235" s="192"/>
      <c r="T235" s="2"/>
    </row>
    <row r="236" spans="1:20" ht="15.75" x14ac:dyDescent="0.25">
      <c r="A236" s="110"/>
      <c r="B236" s="153" t="s">
        <v>123</v>
      </c>
      <c r="C236" s="190"/>
      <c r="D236" s="190"/>
      <c r="E236" s="190"/>
      <c r="F236" s="190"/>
      <c r="G236" s="190"/>
      <c r="H236" s="190"/>
      <c r="I236" s="190"/>
      <c r="J236" s="190"/>
      <c r="K236" s="190"/>
      <c r="L236" s="190"/>
      <c r="M236" s="190"/>
      <c r="N236" s="153">
        <f t="shared" si="4"/>
        <v>0</v>
      </c>
      <c r="O236" s="191">
        <f t="shared" si="3"/>
        <v>0</v>
      </c>
      <c r="P236" s="154">
        <f t="shared" si="5"/>
        <v>0</v>
      </c>
      <c r="Q236" s="191">
        <f t="shared" si="2"/>
        <v>0</v>
      </c>
      <c r="R236" s="174"/>
      <c r="S236" s="192"/>
      <c r="T236" s="2"/>
    </row>
    <row r="237" spans="1:20" ht="15.75" x14ac:dyDescent="0.25">
      <c r="A237" s="110"/>
      <c r="B237" s="153" t="s">
        <v>124</v>
      </c>
      <c r="C237" s="190"/>
      <c r="D237" s="190"/>
      <c r="E237" s="190"/>
      <c r="F237" s="190"/>
      <c r="G237" s="190"/>
      <c r="H237" s="190"/>
      <c r="I237" s="190"/>
      <c r="J237" s="190"/>
      <c r="K237" s="190"/>
      <c r="L237" s="190"/>
      <c r="M237" s="190"/>
      <c r="N237" s="197">
        <f t="shared" si="4"/>
        <v>1</v>
      </c>
      <c r="O237" s="191">
        <f t="shared" si="3"/>
        <v>8.5543199315654401E-4</v>
      </c>
      <c r="P237" s="194">
        <f t="shared" si="5"/>
        <v>760</v>
      </c>
      <c r="Q237" s="191">
        <f t="shared" si="2"/>
        <v>4.4883833551846736E-3</v>
      </c>
      <c r="R237" s="174"/>
      <c r="S237" s="192"/>
      <c r="T237" s="2"/>
    </row>
    <row r="238" spans="1:20" ht="15.75" x14ac:dyDescent="0.25">
      <c r="A238" s="110"/>
      <c r="B238" s="153"/>
      <c r="C238" s="190"/>
      <c r="D238" s="190"/>
      <c r="E238" s="190"/>
      <c r="F238" s="190"/>
      <c r="G238" s="190"/>
      <c r="H238" s="190"/>
      <c r="I238" s="190"/>
      <c r="J238" s="190"/>
      <c r="K238" s="190"/>
      <c r="L238" s="190"/>
      <c r="M238" s="190"/>
      <c r="N238" s="153"/>
      <c r="O238" s="191"/>
      <c r="P238" s="154"/>
      <c r="Q238" s="191"/>
      <c r="R238" s="174"/>
      <c r="S238" s="192"/>
      <c r="T238" s="2"/>
    </row>
    <row r="239" spans="1:20" ht="15.75" x14ac:dyDescent="0.25">
      <c r="A239" s="110"/>
      <c r="B239" s="111" t="s">
        <v>95</v>
      </c>
      <c r="C239" s="111"/>
      <c r="D239" s="193"/>
      <c r="E239" s="193"/>
      <c r="F239" s="193"/>
      <c r="G239" s="193"/>
      <c r="H239" s="193"/>
      <c r="I239" s="193"/>
      <c r="J239" s="193"/>
      <c r="K239" s="193"/>
      <c r="L239" s="193"/>
      <c r="M239" s="193"/>
      <c r="N239" s="153">
        <f>SUM(N230:N238)</f>
        <v>1169</v>
      </c>
      <c r="O239" s="191">
        <f>SUM(O230:O238)</f>
        <v>0.99999999999999989</v>
      </c>
      <c r="P239" s="154">
        <f>SUM(P230:P238)</f>
        <v>169326</v>
      </c>
      <c r="Q239" s="191">
        <f>SUM(Q230:Q238)</f>
        <v>1</v>
      </c>
      <c r="R239" s="111"/>
      <c r="S239" s="114"/>
      <c r="T239" s="2"/>
    </row>
    <row r="240" spans="1:20" ht="15.75" x14ac:dyDescent="0.25">
      <c r="A240" s="12"/>
      <c r="B240" s="163"/>
      <c r="C240" s="169"/>
      <c r="D240" s="43"/>
      <c r="E240" s="43"/>
      <c r="F240" s="43"/>
      <c r="G240" s="43"/>
      <c r="H240" s="43"/>
      <c r="I240" s="43"/>
      <c r="J240" s="43"/>
      <c r="K240" s="43"/>
      <c r="L240" s="43"/>
      <c r="M240" s="43"/>
      <c r="N240" s="43"/>
      <c r="O240" s="43"/>
      <c r="P240" s="170"/>
      <c r="Q240" s="43"/>
      <c r="R240" s="43"/>
      <c r="S240" s="216"/>
      <c r="T240" s="2"/>
    </row>
    <row r="241" spans="1:21" ht="15.75" x14ac:dyDescent="0.25">
      <c r="A241" s="53"/>
      <c r="B241" s="61" t="s">
        <v>125</v>
      </c>
      <c r="C241" s="62"/>
      <c r="D241" s="62"/>
      <c r="E241" s="62"/>
      <c r="F241" s="62"/>
      <c r="G241" s="62"/>
      <c r="H241" s="62"/>
      <c r="I241" s="62"/>
      <c r="J241" s="62"/>
      <c r="K241" s="62"/>
      <c r="L241" s="62"/>
      <c r="M241" s="62"/>
      <c r="N241" s="72" t="s">
        <v>84</v>
      </c>
      <c r="O241" s="62" t="s">
        <v>85</v>
      </c>
      <c r="P241" s="72" t="s">
        <v>90</v>
      </c>
      <c r="Q241" s="62" t="s">
        <v>85</v>
      </c>
      <c r="R241" s="54"/>
      <c r="S241" s="226"/>
      <c r="T241" s="2"/>
    </row>
    <row r="242" spans="1:21" ht="15.75" x14ac:dyDescent="0.25">
      <c r="A242" s="24"/>
      <c r="B242" s="78" t="s">
        <v>73</v>
      </c>
      <c r="C242" s="93"/>
      <c r="D242" s="93"/>
      <c r="E242" s="93"/>
      <c r="F242" s="93"/>
      <c r="G242" s="93"/>
      <c r="H242" s="93"/>
      <c r="I242" s="93"/>
      <c r="J242" s="93"/>
      <c r="K242" s="93"/>
      <c r="L242" s="93"/>
      <c r="M242" s="93"/>
      <c r="N242" s="78">
        <v>1166</v>
      </c>
      <c r="O242" s="81">
        <f>N242/$N$251</f>
        <v>0.99828767123287676</v>
      </c>
      <c r="P242" s="82">
        <v>168394</v>
      </c>
      <c r="Q242" s="81">
        <f t="shared" ref="Q242:Q249" si="6">P242/$P$251</f>
        <v>0.99897962815751695</v>
      </c>
      <c r="R242" s="94"/>
      <c r="S242" s="227"/>
      <c r="T242" s="2"/>
    </row>
    <row r="243" spans="1:21" ht="15.75" x14ac:dyDescent="0.25">
      <c r="A243" s="110"/>
      <c r="B243" s="153" t="s">
        <v>74</v>
      </c>
      <c r="C243" s="190"/>
      <c r="D243" s="190"/>
      <c r="E243" s="190"/>
      <c r="F243" s="190"/>
      <c r="G243" s="190"/>
      <c r="H243" s="190"/>
      <c r="I243" s="190"/>
      <c r="J243" s="190"/>
      <c r="K243" s="190"/>
      <c r="L243" s="190"/>
      <c r="M243" s="190"/>
      <c r="N243" s="153">
        <v>1</v>
      </c>
      <c r="O243" s="191">
        <f t="shared" ref="O243:O249" si="7">N243/$N$251</f>
        <v>8.5616438356164379E-4</v>
      </c>
      <c r="P243" s="154">
        <v>64</v>
      </c>
      <c r="Q243" s="191">
        <f t="shared" si="6"/>
        <v>3.7967324371462809E-4</v>
      </c>
      <c r="R243" s="174"/>
      <c r="S243" s="192"/>
      <c r="T243" s="2"/>
      <c r="U243" s="4"/>
    </row>
    <row r="244" spans="1:21" ht="15.75" x14ac:dyDescent="0.25">
      <c r="A244" s="110"/>
      <c r="B244" s="153" t="s">
        <v>75</v>
      </c>
      <c r="C244" s="190"/>
      <c r="D244" s="190"/>
      <c r="E244" s="190"/>
      <c r="F244" s="190"/>
      <c r="G244" s="190"/>
      <c r="H244" s="190"/>
      <c r="I244" s="190"/>
      <c r="J244" s="190"/>
      <c r="K244" s="190"/>
      <c r="L244" s="190"/>
      <c r="M244" s="190"/>
      <c r="N244" s="153">
        <v>1</v>
      </c>
      <c r="O244" s="191">
        <f t="shared" si="7"/>
        <v>8.5616438356164379E-4</v>
      </c>
      <c r="P244" s="154">
        <v>108</v>
      </c>
      <c r="Q244" s="191">
        <f t="shared" si="6"/>
        <v>6.4069859876843488E-4</v>
      </c>
      <c r="R244" s="174"/>
      <c r="S244" s="192"/>
      <c r="T244" s="2"/>
    </row>
    <row r="245" spans="1:21" ht="15.75" x14ac:dyDescent="0.25">
      <c r="A245" s="110"/>
      <c r="B245" s="153" t="s">
        <v>120</v>
      </c>
      <c r="C245" s="190"/>
      <c r="D245" s="190"/>
      <c r="E245" s="190"/>
      <c r="F245" s="190"/>
      <c r="G245" s="190"/>
      <c r="H245" s="190"/>
      <c r="I245" s="190"/>
      <c r="J245" s="190"/>
      <c r="K245" s="190"/>
      <c r="L245" s="190"/>
      <c r="M245" s="190"/>
      <c r="N245" s="153">
        <v>0</v>
      </c>
      <c r="O245" s="191">
        <f t="shared" si="7"/>
        <v>0</v>
      </c>
      <c r="P245" s="154">
        <v>0</v>
      </c>
      <c r="Q245" s="191">
        <f t="shared" si="6"/>
        <v>0</v>
      </c>
      <c r="R245" s="174"/>
      <c r="S245" s="192"/>
      <c r="T245" s="2"/>
      <c r="U245" s="4"/>
    </row>
    <row r="246" spans="1:21" ht="15.75" x14ac:dyDescent="0.25">
      <c r="A246" s="110"/>
      <c r="B246" s="153" t="s">
        <v>121</v>
      </c>
      <c r="C246" s="190"/>
      <c r="D246" s="190"/>
      <c r="E246" s="190"/>
      <c r="F246" s="190"/>
      <c r="G246" s="190"/>
      <c r="H246" s="190"/>
      <c r="I246" s="190"/>
      <c r="J246" s="190"/>
      <c r="K246" s="190"/>
      <c r="L246" s="190"/>
      <c r="M246" s="190"/>
      <c r="N246" s="153">
        <v>0</v>
      </c>
      <c r="O246" s="191">
        <f t="shared" si="7"/>
        <v>0</v>
      </c>
      <c r="P246" s="154">
        <v>0</v>
      </c>
      <c r="Q246" s="191">
        <f t="shared" si="6"/>
        <v>0</v>
      </c>
      <c r="R246" s="174"/>
      <c r="S246" s="192"/>
      <c r="T246" s="2"/>
    </row>
    <row r="247" spans="1:21" ht="15.75" x14ac:dyDescent="0.25">
      <c r="A247" s="110"/>
      <c r="B247" s="153" t="s">
        <v>122</v>
      </c>
      <c r="C247" s="190"/>
      <c r="D247" s="190"/>
      <c r="E247" s="190"/>
      <c r="F247" s="190"/>
      <c r="G247" s="190"/>
      <c r="H247" s="190"/>
      <c r="I247" s="190"/>
      <c r="J247" s="190"/>
      <c r="K247" s="190"/>
      <c r="L247" s="190"/>
      <c r="M247" s="190"/>
      <c r="N247" s="153">
        <v>0</v>
      </c>
      <c r="O247" s="191">
        <f t="shared" si="7"/>
        <v>0</v>
      </c>
      <c r="P247" s="154">
        <v>0</v>
      </c>
      <c r="Q247" s="191">
        <f t="shared" si="6"/>
        <v>0</v>
      </c>
      <c r="R247" s="174"/>
      <c r="S247" s="192"/>
      <c r="T247" s="2"/>
      <c r="U247" s="4"/>
    </row>
    <row r="248" spans="1:21" ht="15.75" x14ac:dyDescent="0.25">
      <c r="A248" s="110"/>
      <c r="B248" s="153" t="s">
        <v>123</v>
      </c>
      <c r="C248" s="190"/>
      <c r="D248" s="190"/>
      <c r="E248" s="190"/>
      <c r="F248" s="190"/>
      <c r="G248" s="190"/>
      <c r="H248" s="190"/>
      <c r="I248" s="190"/>
      <c r="J248" s="190"/>
      <c r="K248" s="190"/>
      <c r="L248" s="190"/>
      <c r="M248" s="190"/>
      <c r="N248" s="153">
        <v>0</v>
      </c>
      <c r="O248" s="191">
        <f t="shared" si="7"/>
        <v>0</v>
      </c>
      <c r="P248" s="154">
        <v>0</v>
      </c>
      <c r="Q248" s="191">
        <f t="shared" si="6"/>
        <v>0</v>
      </c>
      <c r="R248" s="174"/>
      <c r="S248" s="192"/>
      <c r="T248" s="2"/>
    </row>
    <row r="249" spans="1:21" ht="15.75" x14ac:dyDescent="0.25">
      <c r="A249" s="110"/>
      <c r="B249" s="153" t="s">
        <v>124</v>
      </c>
      <c r="C249" s="190"/>
      <c r="D249" s="190"/>
      <c r="E249" s="190"/>
      <c r="F249" s="190"/>
      <c r="G249" s="190"/>
      <c r="H249" s="190"/>
      <c r="I249" s="190"/>
      <c r="J249" s="190"/>
      <c r="K249" s="190"/>
      <c r="L249" s="190"/>
      <c r="M249" s="190"/>
      <c r="N249" s="153">
        <v>0</v>
      </c>
      <c r="O249" s="191">
        <f t="shared" si="7"/>
        <v>0</v>
      </c>
      <c r="P249" s="154">
        <v>0</v>
      </c>
      <c r="Q249" s="191">
        <f t="shared" si="6"/>
        <v>0</v>
      </c>
      <c r="R249" s="174"/>
      <c r="S249" s="192"/>
      <c r="T249" s="2"/>
      <c r="U249" s="4"/>
    </row>
    <row r="250" spans="1:21" ht="15.75" x14ac:dyDescent="0.25">
      <c r="A250" s="110"/>
      <c r="B250" s="153"/>
      <c r="C250" s="190"/>
      <c r="D250" s="190"/>
      <c r="E250" s="190"/>
      <c r="F250" s="190"/>
      <c r="G250" s="190"/>
      <c r="H250" s="190"/>
      <c r="I250" s="190"/>
      <c r="J250" s="190"/>
      <c r="K250" s="190"/>
      <c r="L250" s="190"/>
      <c r="M250" s="190"/>
      <c r="N250" s="153"/>
      <c r="O250" s="191"/>
      <c r="P250" s="154"/>
      <c r="Q250" s="191"/>
      <c r="R250" s="174"/>
      <c r="S250" s="192"/>
      <c r="T250" s="2"/>
    </row>
    <row r="251" spans="1:21" ht="15.75" x14ac:dyDescent="0.25">
      <c r="A251" s="110"/>
      <c r="B251" s="111" t="s">
        <v>95</v>
      </c>
      <c r="C251" s="111"/>
      <c r="D251" s="193"/>
      <c r="E251" s="193"/>
      <c r="F251" s="193"/>
      <c r="G251" s="193"/>
      <c r="H251" s="193"/>
      <c r="I251" s="193"/>
      <c r="J251" s="193"/>
      <c r="K251" s="193"/>
      <c r="L251" s="193"/>
      <c r="M251" s="193"/>
      <c r="N251" s="153">
        <f>SUM(N242:N250)</f>
        <v>1168</v>
      </c>
      <c r="O251" s="191">
        <f>SUM(O242:O250)</f>
        <v>1</v>
      </c>
      <c r="P251" s="154">
        <f>SUM(P242:P250)</f>
        <v>168566</v>
      </c>
      <c r="Q251" s="191">
        <f>SUM(Q242:Q250)</f>
        <v>1</v>
      </c>
      <c r="R251" s="111"/>
      <c r="S251" s="114"/>
      <c r="T251" s="2"/>
    </row>
    <row r="252" spans="1:21" ht="15.75" x14ac:dyDescent="0.25">
      <c r="A252" s="12"/>
      <c r="B252" s="43"/>
      <c r="C252" s="43"/>
      <c r="D252" s="187"/>
      <c r="E252" s="187"/>
      <c r="F252" s="187"/>
      <c r="G252" s="187"/>
      <c r="H252" s="187"/>
      <c r="I252" s="187"/>
      <c r="J252" s="187"/>
      <c r="K252" s="187"/>
      <c r="L252" s="187"/>
      <c r="M252" s="187"/>
      <c r="N252" s="151"/>
      <c r="O252" s="188"/>
      <c r="P252" s="189"/>
      <c r="Q252" s="188"/>
      <c r="R252" s="43"/>
      <c r="S252" s="216"/>
      <c r="T252" s="2"/>
    </row>
    <row r="253" spans="1:21" ht="15.75" x14ac:dyDescent="0.25">
      <c r="A253" s="73"/>
      <c r="B253" s="61" t="s">
        <v>149</v>
      </c>
      <c r="C253" s="62"/>
      <c r="D253" s="62"/>
      <c r="E253" s="62"/>
      <c r="F253" s="62"/>
      <c r="G253" s="62"/>
      <c r="H253" s="62"/>
      <c r="I253" s="62"/>
      <c r="J253" s="62"/>
      <c r="K253" s="62"/>
      <c r="L253" s="62"/>
      <c r="M253" s="62"/>
      <c r="N253" s="72" t="s">
        <v>84</v>
      </c>
      <c r="O253" s="62" t="s">
        <v>85</v>
      </c>
      <c r="P253" s="72" t="s">
        <v>90</v>
      </c>
      <c r="Q253" s="62" t="s">
        <v>85</v>
      </c>
      <c r="R253" s="74"/>
      <c r="S253" s="75"/>
      <c r="T253" s="2"/>
    </row>
    <row r="254" spans="1:21" ht="15.75" x14ac:dyDescent="0.25">
      <c r="A254" s="24"/>
      <c r="B254" s="78" t="s">
        <v>73</v>
      </c>
      <c r="C254" s="93"/>
      <c r="D254" s="93"/>
      <c r="E254" s="93"/>
      <c r="F254" s="93"/>
      <c r="G254" s="93"/>
      <c r="H254" s="93"/>
      <c r="I254" s="93"/>
      <c r="J254" s="93"/>
      <c r="K254" s="93"/>
      <c r="L254" s="93"/>
      <c r="M254" s="93"/>
      <c r="N254" s="78">
        <v>0</v>
      </c>
      <c r="O254" s="81">
        <v>0</v>
      </c>
      <c r="P254" s="82">
        <v>0</v>
      </c>
      <c r="Q254" s="81">
        <v>0</v>
      </c>
      <c r="R254" s="79"/>
      <c r="S254" s="219"/>
      <c r="T254" s="2"/>
    </row>
    <row r="255" spans="1:21" ht="15.75" x14ac:dyDescent="0.25">
      <c r="A255" s="110"/>
      <c r="B255" s="153" t="s">
        <v>74</v>
      </c>
      <c r="C255" s="190"/>
      <c r="D255" s="190"/>
      <c r="E255" s="190"/>
      <c r="F255" s="190"/>
      <c r="G255" s="190"/>
      <c r="H255" s="190"/>
      <c r="I255" s="190"/>
      <c r="J255" s="190"/>
      <c r="K255" s="190"/>
      <c r="L255" s="190"/>
      <c r="M255" s="190"/>
      <c r="N255" s="153">
        <v>0</v>
      </c>
      <c r="O255" s="191">
        <v>0</v>
      </c>
      <c r="P255" s="154">
        <v>0</v>
      </c>
      <c r="Q255" s="191">
        <f>P255/$P$263</f>
        <v>0</v>
      </c>
      <c r="R255" s="111"/>
      <c r="S255" s="114"/>
      <c r="T255" s="2"/>
    </row>
    <row r="256" spans="1:21" ht="15.75" x14ac:dyDescent="0.25">
      <c r="A256" s="110"/>
      <c r="B256" s="153" t="s">
        <v>75</v>
      </c>
      <c r="C256" s="190"/>
      <c r="D256" s="190"/>
      <c r="E256" s="190"/>
      <c r="F256" s="190"/>
      <c r="G256" s="190"/>
      <c r="H256" s="190"/>
      <c r="I256" s="190"/>
      <c r="J256" s="190"/>
      <c r="K256" s="190"/>
      <c r="L256" s="190"/>
      <c r="M256" s="190"/>
      <c r="N256" s="153">
        <v>0</v>
      </c>
      <c r="O256" s="191">
        <f>N256/N263</f>
        <v>0</v>
      </c>
      <c r="P256" s="154">
        <v>0</v>
      </c>
      <c r="Q256" s="191">
        <f>P256/P263</f>
        <v>0</v>
      </c>
      <c r="R256" s="111"/>
      <c r="S256" s="114"/>
      <c r="T256" s="2"/>
    </row>
    <row r="257" spans="1:20" ht="15.75" x14ac:dyDescent="0.25">
      <c r="A257" s="110"/>
      <c r="B257" s="153" t="s">
        <v>120</v>
      </c>
      <c r="C257" s="190"/>
      <c r="D257" s="190"/>
      <c r="E257" s="190"/>
      <c r="F257" s="190"/>
      <c r="G257" s="190"/>
      <c r="H257" s="190"/>
      <c r="I257" s="190"/>
      <c r="J257" s="190"/>
      <c r="K257" s="190"/>
      <c r="L257" s="190"/>
      <c r="M257" s="190"/>
      <c r="N257" s="153">
        <v>0</v>
      </c>
      <c r="O257" s="191">
        <f>N257/N263</f>
        <v>0</v>
      </c>
      <c r="P257" s="154">
        <v>0</v>
      </c>
      <c r="Q257" s="191">
        <f>P257/P263</f>
        <v>0</v>
      </c>
      <c r="R257" s="111"/>
      <c r="S257" s="114"/>
      <c r="T257" s="2"/>
    </row>
    <row r="258" spans="1:20" ht="15.75" x14ac:dyDescent="0.25">
      <c r="A258" s="110"/>
      <c r="B258" s="153" t="s">
        <v>121</v>
      </c>
      <c r="C258" s="190"/>
      <c r="D258" s="190"/>
      <c r="E258" s="190"/>
      <c r="F258" s="190"/>
      <c r="G258" s="190"/>
      <c r="H258" s="190"/>
      <c r="I258" s="190"/>
      <c r="J258" s="190"/>
      <c r="K258" s="190"/>
      <c r="L258" s="190"/>
      <c r="M258" s="190"/>
      <c r="N258" s="153">
        <v>0</v>
      </c>
      <c r="O258" s="191">
        <f>N258/N263</f>
        <v>0</v>
      </c>
      <c r="P258" s="154">
        <v>0</v>
      </c>
      <c r="Q258" s="191">
        <f>P258/P263</f>
        <v>0</v>
      </c>
      <c r="R258" s="111"/>
      <c r="S258" s="114"/>
      <c r="T258" s="2"/>
    </row>
    <row r="259" spans="1:20" ht="15.75" x14ac:dyDescent="0.25">
      <c r="A259" s="110"/>
      <c r="B259" s="153" t="s">
        <v>122</v>
      </c>
      <c r="C259" s="190"/>
      <c r="D259" s="190"/>
      <c r="E259" s="190"/>
      <c r="F259" s="190"/>
      <c r="G259" s="190"/>
      <c r="H259" s="190"/>
      <c r="I259" s="190"/>
      <c r="J259" s="190"/>
      <c r="K259" s="190"/>
      <c r="L259" s="190"/>
      <c r="M259" s="190"/>
      <c r="N259" s="153">
        <v>0</v>
      </c>
      <c r="O259" s="191">
        <v>0</v>
      </c>
      <c r="P259" s="154">
        <v>0</v>
      </c>
      <c r="Q259" s="191">
        <v>0</v>
      </c>
      <c r="R259" s="111"/>
      <c r="S259" s="114"/>
      <c r="T259" s="2"/>
    </row>
    <row r="260" spans="1:20" ht="15.75" x14ac:dyDescent="0.25">
      <c r="A260" s="110"/>
      <c r="B260" s="153" t="s">
        <v>123</v>
      </c>
      <c r="C260" s="190"/>
      <c r="D260" s="190"/>
      <c r="E260" s="190"/>
      <c r="F260" s="190"/>
      <c r="G260" s="190"/>
      <c r="H260" s="190"/>
      <c r="I260" s="190"/>
      <c r="J260" s="190"/>
      <c r="K260" s="190"/>
      <c r="L260" s="190"/>
      <c r="M260" s="190"/>
      <c r="N260" s="153">
        <v>0</v>
      </c>
      <c r="O260" s="191">
        <v>0</v>
      </c>
      <c r="P260" s="154">
        <v>0</v>
      </c>
      <c r="Q260" s="191">
        <v>0</v>
      </c>
      <c r="R260" s="111"/>
      <c r="S260" s="114"/>
      <c r="T260" s="2"/>
    </row>
    <row r="261" spans="1:20" ht="15.75" x14ac:dyDescent="0.25">
      <c r="A261" s="110"/>
      <c r="B261" s="153" t="s">
        <v>124</v>
      </c>
      <c r="C261" s="190"/>
      <c r="D261" s="190"/>
      <c r="E261" s="190"/>
      <c r="F261" s="190"/>
      <c r="G261" s="190"/>
      <c r="H261" s="190"/>
      <c r="I261" s="190"/>
      <c r="J261" s="190"/>
      <c r="K261" s="190"/>
      <c r="L261" s="190"/>
      <c r="M261" s="190"/>
      <c r="N261" s="153">
        <v>1</v>
      </c>
      <c r="O261" s="191">
        <f>N261/N263</f>
        <v>1</v>
      </c>
      <c r="P261" s="154">
        <v>760</v>
      </c>
      <c r="Q261" s="191">
        <f>P261/P263</f>
        <v>1</v>
      </c>
      <c r="R261" s="111"/>
      <c r="S261" s="114"/>
      <c r="T261" s="2"/>
    </row>
    <row r="262" spans="1:20" ht="15.75" x14ac:dyDescent="0.25">
      <c r="A262" s="110"/>
      <c r="B262" s="153"/>
      <c r="C262" s="190"/>
      <c r="D262" s="190"/>
      <c r="E262" s="190"/>
      <c r="F262" s="190"/>
      <c r="G262" s="190"/>
      <c r="H262" s="190"/>
      <c r="I262" s="190"/>
      <c r="J262" s="190"/>
      <c r="K262" s="190"/>
      <c r="L262" s="190"/>
      <c r="M262" s="190"/>
      <c r="N262" s="153"/>
      <c r="O262" s="191"/>
      <c r="P262" s="154"/>
      <c r="Q262" s="191"/>
      <c r="R262" s="111"/>
      <c r="S262" s="114"/>
      <c r="T262" s="2"/>
    </row>
    <row r="263" spans="1:20" ht="15.75" x14ac:dyDescent="0.25">
      <c r="A263" s="110"/>
      <c r="B263" s="111" t="s">
        <v>95</v>
      </c>
      <c r="C263" s="111"/>
      <c r="D263" s="193"/>
      <c r="E263" s="193"/>
      <c r="F263" s="193"/>
      <c r="G263" s="193"/>
      <c r="H263" s="193"/>
      <c r="I263" s="193"/>
      <c r="J263" s="193"/>
      <c r="K263" s="193"/>
      <c r="L263" s="193"/>
      <c r="M263" s="193"/>
      <c r="N263" s="153">
        <f>SUM(N254:N262)</f>
        <v>1</v>
      </c>
      <c r="O263" s="191">
        <f>SUM(O254:O262)</f>
        <v>1</v>
      </c>
      <c r="P263" s="154">
        <f>SUM(P254:P262)</f>
        <v>760</v>
      </c>
      <c r="Q263" s="191">
        <f>SUM(Q254:Q262)</f>
        <v>1</v>
      </c>
      <c r="R263" s="111"/>
      <c r="S263" s="114"/>
      <c r="T263" s="2"/>
    </row>
    <row r="264" spans="1:20" ht="15.75" x14ac:dyDescent="0.25">
      <c r="A264" s="12"/>
      <c r="B264" s="43"/>
      <c r="C264" s="43"/>
      <c r="D264" s="187"/>
      <c r="E264" s="187"/>
      <c r="F264" s="187"/>
      <c r="G264" s="187"/>
      <c r="H264" s="187"/>
      <c r="I264" s="187"/>
      <c r="J264" s="187"/>
      <c r="K264" s="187"/>
      <c r="L264" s="187"/>
      <c r="M264" s="187"/>
      <c r="N264" s="151"/>
      <c r="O264" s="188"/>
      <c r="P264" s="189"/>
      <c r="Q264" s="188"/>
      <c r="R264" s="43"/>
      <c r="S264" s="216"/>
      <c r="T264" s="2"/>
    </row>
    <row r="265" spans="1:20" ht="15.75" x14ac:dyDescent="0.25">
      <c r="A265" s="73"/>
      <c r="B265" s="61" t="s">
        <v>126</v>
      </c>
      <c r="C265" s="74"/>
      <c r="D265" s="76"/>
      <c r="E265" s="76"/>
      <c r="F265" s="76"/>
      <c r="G265" s="76"/>
      <c r="H265" s="76"/>
      <c r="I265" s="76"/>
      <c r="J265" s="76"/>
      <c r="K265" s="76"/>
      <c r="L265" s="76"/>
      <c r="M265" s="76"/>
      <c r="N265" s="72" t="s">
        <v>84</v>
      </c>
      <c r="O265" s="62" t="s">
        <v>85</v>
      </c>
      <c r="P265" s="72" t="s">
        <v>90</v>
      </c>
      <c r="Q265" s="62" t="s">
        <v>85</v>
      </c>
      <c r="R265" s="74"/>
      <c r="S265" s="75"/>
      <c r="T265" s="2"/>
    </row>
    <row r="266" spans="1:20" ht="15.75" x14ac:dyDescent="0.25">
      <c r="A266" s="77"/>
      <c r="B266" s="78" t="s">
        <v>73</v>
      </c>
      <c r="C266" s="79"/>
      <c r="D266" s="80"/>
      <c r="E266" s="80"/>
      <c r="F266" s="80"/>
      <c r="G266" s="80"/>
      <c r="H266" s="80"/>
      <c r="I266" s="80"/>
      <c r="J266" s="80"/>
      <c r="K266" s="80"/>
      <c r="L266" s="80"/>
      <c r="M266" s="80"/>
      <c r="N266" s="78">
        <v>0</v>
      </c>
      <c r="O266" s="81">
        <v>0</v>
      </c>
      <c r="P266" s="82">
        <v>0</v>
      </c>
      <c r="Q266" s="81">
        <v>0</v>
      </c>
      <c r="R266" s="79"/>
      <c r="S266" s="219"/>
      <c r="T266" s="2"/>
    </row>
    <row r="267" spans="1:20" ht="15.75" x14ac:dyDescent="0.25">
      <c r="A267" s="120"/>
      <c r="B267" s="153" t="s">
        <v>74</v>
      </c>
      <c r="C267" s="111"/>
      <c r="D267" s="193"/>
      <c r="E267" s="193"/>
      <c r="F267" s="193"/>
      <c r="G267" s="193"/>
      <c r="H267" s="193"/>
      <c r="I267" s="193"/>
      <c r="J267" s="193"/>
      <c r="K267" s="193"/>
      <c r="L267" s="193"/>
      <c r="M267" s="193"/>
      <c r="N267" s="153">
        <v>0</v>
      </c>
      <c r="O267" s="191">
        <v>0</v>
      </c>
      <c r="P267" s="154">
        <v>0</v>
      </c>
      <c r="Q267" s="191">
        <v>0</v>
      </c>
      <c r="R267" s="111"/>
      <c r="S267" s="114"/>
      <c r="T267" s="2"/>
    </row>
    <row r="268" spans="1:20" ht="15.75" x14ac:dyDescent="0.25">
      <c r="A268" s="120"/>
      <c r="B268" s="153" t="s">
        <v>75</v>
      </c>
      <c r="C268" s="111"/>
      <c r="D268" s="193"/>
      <c r="E268" s="193"/>
      <c r="F268" s="193"/>
      <c r="G268" s="193"/>
      <c r="H268" s="193"/>
      <c r="I268" s="193"/>
      <c r="J268" s="193"/>
      <c r="K268" s="193"/>
      <c r="L268" s="193"/>
      <c r="M268" s="193"/>
      <c r="N268" s="153">
        <v>0</v>
      </c>
      <c r="O268" s="191">
        <v>0</v>
      </c>
      <c r="P268" s="154">
        <v>0</v>
      </c>
      <c r="Q268" s="191">
        <v>0</v>
      </c>
      <c r="R268" s="111"/>
      <c r="S268" s="114"/>
      <c r="T268" s="2"/>
    </row>
    <row r="269" spans="1:20" ht="15.75" x14ac:dyDescent="0.25">
      <c r="A269" s="120"/>
      <c r="B269" s="153" t="s">
        <v>120</v>
      </c>
      <c r="C269" s="111"/>
      <c r="D269" s="193"/>
      <c r="E269" s="193"/>
      <c r="F269" s="193"/>
      <c r="G269" s="193"/>
      <c r="H269" s="193"/>
      <c r="I269" s="193"/>
      <c r="J269" s="193"/>
      <c r="K269" s="193"/>
      <c r="L269" s="193"/>
      <c r="M269" s="193"/>
      <c r="N269" s="153">
        <v>0</v>
      </c>
      <c r="O269" s="191">
        <v>0</v>
      </c>
      <c r="P269" s="154">
        <v>0</v>
      </c>
      <c r="Q269" s="191">
        <v>0</v>
      </c>
      <c r="R269" s="111"/>
      <c r="S269" s="114"/>
      <c r="T269" s="2"/>
    </row>
    <row r="270" spans="1:20" ht="15.75" x14ac:dyDescent="0.25">
      <c r="A270" s="120"/>
      <c r="B270" s="153" t="s">
        <v>121</v>
      </c>
      <c r="C270" s="111"/>
      <c r="D270" s="193"/>
      <c r="E270" s="193"/>
      <c r="F270" s="193"/>
      <c r="G270" s="193"/>
      <c r="H270" s="193"/>
      <c r="I270" s="193"/>
      <c r="J270" s="193"/>
      <c r="K270" s="193"/>
      <c r="L270" s="193"/>
      <c r="M270" s="193"/>
      <c r="N270" s="153">
        <v>0</v>
      </c>
      <c r="O270" s="191">
        <v>0</v>
      </c>
      <c r="P270" s="154">
        <v>0</v>
      </c>
      <c r="Q270" s="191">
        <v>0</v>
      </c>
      <c r="R270" s="111"/>
      <c r="S270" s="114"/>
      <c r="T270" s="2"/>
    </row>
    <row r="271" spans="1:20" ht="15.75" x14ac:dyDescent="0.25">
      <c r="A271" s="120"/>
      <c r="B271" s="153" t="s">
        <v>122</v>
      </c>
      <c r="C271" s="111"/>
      <c r="D271" s="193"/>
      <c r="E271" s="193"/>
      <c r="F271" s="193"/>
      <c r="G271" s="193"/>
      <c r="H271" s="193"/>
      <c r="I271" s="193"/>
      <c r="J271" s="193"/>
      <c r="K271" s="193"/>
      <c r="L271" s="193"/>
      <c r="M271" s="193"/>
      <c r="N271" s="153">
        <v>0</v>
      </c>
      <c r="O271" s="191">
        <v>0</v>
      </c>
      <c r="P271" s="154">
        <v>0</v>
      </c>
      <c r="Q271" s="191">
        <v>0</v>
      </c>
      <c r="R271" s="111"/>
      <c r="S271" s="114"/>
      <c r="T271" s="2"/>
    </row>
    <row r="272" spans="1:20" ht="15.75" x14ac:dyDescent="0.25">
      <c r="A272" s="120"/>
      <c r="B272" s="153" t="s">
        <v>123</v>
      </c>
      <c r="C272" s="111"/>
      <c r="D272" s="193"/>
      <c r="E272" s="193"/>
      <c r="F272" s="193"/>
      <c r="G272" s="193"/>
      <c r="H272" s="193"/>
      <c r="I272" s="193"/>
      <c r="J272" s="193"/>
      <c r="K272" s="193"/>
      <c r="L272" s="193"/>
      <c r="M272" s="193"/>
      <c r="N272" s="153">
        <v>0</v>
      </c>
      <c r="O272" s="191">
        <v>0</v>
      </c>
      <c r="P272" s="154">
        <v>0</v>
      </c>
      <c r="Q272" s="191">
        <v>0</v>
      </c>
      <c r="R272" s="111"/>
      <c r="S272" s="114"/>
      <c r="T272" s="2"/>
    </row>
    <row r="273" spans="1:20" ht="15.75" x14ac:dyDescent="0.25">
      <c r="A273" s="120"/>
      <c r="B273" s="153" t="s">
        <v>124</v>
      </c>
      <c r="C273" s="111"/>
      <c r="D273" s="193"/>
      <c r="E273" s="193"/>
      <c r="F273" s="193"/>
      <c r="G273" s="193"/>
      <c r="H273" s="193"/>
      <c r="I273" s="193"/>
      <c r="J273" s="193"/>
      <c r="K273" s="193"/>
      <c r="L273" s="193"/>
      <c r="M273" s="193"/>
      <c r="N273" s="153">
        <v>0</v>
      </c>
      <c r="O273" s="191">
        <v>0</v>
      </c>
      <c r="P273" s="154">
        <v>0</v>
      </c>
      <c r="Q273" s="191">
        <v>0</v>
      </c>
      <c r="R273" s="111"/>
      <c r="S273" s="114"/>
      <c r="T273" s="2"/>
    </row>
    <row r="274" spans="1:20" ht="15.75" x14ac:dyDescent="0.25">
      <c r="A274" s="120"/>
      <c r="B274" s="153"/>
      <c r="C274" s="111"/>
      <c r="D274" s="193"/>
      <c r="E274" s="193"/>
      <c r="F274" s="193"/>
      <c r="G274" s="193"/>
      <c r="H274" s="193"/>
      <c r="I274" s="193"/>
      <c r="J274" s="193"/>
      <c r="K274" s="193"/>
      <c r="L274" s="193"/>
      <c r="M274" s="193"/>
      <c r="N274" s="153"/>
      <c r="O274" s="191"/>
      <c r="P274" s="154"/>
      <c r="Q274" s="191"/>
      <c r="R274" s="111"/>
      <c r="S274" s="114"/>
      <c r="T274" s="2"/>
    </row>
    <row r="275" spans="1:20" ht="15.75" x14ac:dyDescent="0.25">
      <c r="A275" s="120"/>
      <c r="B275" s="111" t="s">
        <v>95</v>
      </c>
      <c r="C275" s="111"/>
      <c r="D275" s="193"/>
      <c r="E275" s="193"/>
      <c r="F275" s="193"/>
      <c r="G275" s="193"/>
      <c r="H275" s="193"/>
      <c r="I275" s="193"/>
      <c r="J275" s="193"/>
      <c r="K275" s="193"/>
      <c r="L275" s="193"/>
      <c r="M275" s="193"/>
      <c r="N275" s="153">
        <f>SUM(N266:N273)</f>
        <v>0</v>
      </c>
      <c r="O275" s="191">
        <f>SUM(O266:O273)</f>
        <v>0</v>
      </c>
      <c r="P275" s="154">
        <f>SUM(P266:P273)</f>
        <v>0</v>
      </c>
      <c r="Q275" s="191">
        <f>SUM(Q266:Q273)</f>
        <v>0</v>
      </c>
      <c r="R275" s="111"/>
      <c r="S275" s="114"/>
      <c r="T275" s="2"/>
    </row>
    <row r="276" spans="1:20" ht="15.75" x14ac:dyDescent="0.25">
      <c r="A276" s="120"/>
      <c r="B276" s="111"/>
      <c r="C276" s="111"/>
      <c r="D276" s="193"/>
      <c r="E276" s="193"/>
      <c r="F276" s="193"/>
      <c r="G276" s="193"/>
      <c r="H276" s="193"/>
      <c r="I276" s="193"/>
      <c r="J276" s="193"/>
      <c r="K276" s="193"/>
      <c r="L276" s="193"/>
      <c r="M276" s="193"/>
      <c r="N276" s="153"/>
      <c r="O276" s="191"/>
      <c r="P276" s="154"/>
      <c r="Q276" s="191"/>
      <c r="R276" s="111"/>
      <c r="S276" s="114"/>
      <c r="T276" s="2"/>
    </row>
    <row r="277" spans="1:20" ht="15.75" x14ac:dyDescent="0.25">
      <c r="A277" s="120"/>
      <c r="B277" s="122" t="s">
        <v>184</v>
      </c>
      <c r="C277" s="111"/>
      <c r="D277" s="193"/>
      <c r="E277" s="193"/>
      <c r="F277" s="193"/>
      <c r="G277" s="193"/>
      <c r="H277" s="193"/>
      <c r="I277" s="193"/>
      <c r="J277" s="193"/>
      <c r="K277" s="193"/>
      <c r="L277" s="193"/>
      <c r="M277" s="193"/>
      <c r="N277" s="195">
        <f>N275+N263+N251</f>
        <v>1169</v>
      </c>
      <c r="O277" s="191"/>
      <c r="P277" s="196">
        <f>+P275+P263+P251</f>
        <v>169326</v>
      </c>
      <c r="Q277" s="191"/>
      <c r="R277" s="111"/>
      <c r="S277" s="114"/>
      <c r="T277" s="2"/>
    </row>
    <row r="278" spans="1:20" ht="15.75" x14ac:dyDescent="0.25">
      <c r="A278" s="120"/>
      <c r="B278" s="122" t="s">
        <v>241</v>
      </c>
      <c r="C278" s="122"/>
      <c r="D278" s="205"/>
      <c r="E278" s="205"/>
      <c r="F278" s="205"/>
      <c r="G278" s="205"/>
      <c r="H278" s="205"/>
      <c r="I278" s="205"/>
      <c r="J278" s="205"/>
      <c r="K278" s="205"/>
      <c r="L278" s="205"/>
      <c r="M278" s="205"/>
      <c r="N278" s="195"/>
      <c r="O278" s="206"/>
      <c r="P278" s="207">
        <f>+R166+R146</f>
        <v>0</v>
      </c>
      <c r="Q278" s="191"/>
      <c r="R278" s="111"/>
      <c r="S278" s="114"/>
      <c r="T278" s="2"/>
    </row>
    <row r="279" spans="1:20" ht="15.75" x14ac:dyDescent="0.25">
      <c r="A279" s="120"/>
      <c r="B279" s="122" t="s">
        <v>127</v>
      </c>
      <c r="C279" s="122"/>
      <c r="D279" s="205"/>
      <c r="E279" s="205"/>
      <c r="F279" s="205"/>
      <c r="G279" s="205"/>
      <c r="H279" s="205"/>
      <c r="I279" s="205"/>
      <c r="J279" s="205"/>
      <c r="K279" s="205"/>
      <c r="L279" s="205"/>
      <c r="M279" s="205"/>
      <c r="N279" s="195"/>
      <c r="O279" s="206"/>
      <c r="P279" s="207">
        <f>+P277+P278</f>
        <v>169326</v>
      </c>
      <c r="Q279" s="191"/>
      <c r="R279" s="111"/>
      <c r="S279" s="114"/>
      <c r="T279" s="2"/>
    </row>
    <row r="280" spans="1:20" ht="15.75" x14ac:dyDescent="0.25">
      <c r="A280" s="120"/>
      <c r="B280" s="122" t="s">
        <v>183</v>
      </c>
      <c r="C280" s="111"/>
      <c r="D280" s="193"/>
      <c r="E280" s="193"/>
      <c r="F280" s="193"/>
      <c r="G280" s="193"/>
      <c r="H280" s="193"/>
      <c r="I280" s="193"/>
      <c r="J280" s="193"/>
      <c r="K280" s="193"/>
      <c r="L280" s="193"/>
      <c r="M280" s="193"/>
      <c r="N280" s="195"/>
      <c r="O280" s="191"/>
      <c r="P280" s="196">
        <f>+R72</f>
        <v>169326</v>
      </c>
      <c r="Q280" s="191"/>
      <c r="R280" s="111"/>
      <c r="S280" s="114"/>
      <c r="T280" s="2"/>
    </row>
    <row r="281" spans="1:20" ht="15.75" x14ac:dyDescent="0.25">
      <c r="A281" s="120"/>
      <c r="B281" s="122"/>
      <c r="C281" s="111"/>
      <c r="D281" s="193"/>
      <c r="E281" s="193"/>
      <c r="F281" s="193"/>
      <c r="G281" s="193"/>
      <c r="H281" s="193"/>
      <c r="I281" s="193"/>
      <c r="J281" s="193"/>
      <c r="K281" s="193"/>
      <c r="L281" s="193"/>
      <c r="M281" s="193"/>
      <c r="N281" s="195"/>
      <c r="O281" s="191"/>
      <c r="P281" s="196"/>
      <c r="Q281" s="191"/>
      <c r="R281" s="111"/>
      <c r="S281" s="114"/>
      <c r="T281" s="2"/>
    </row>
    <row r="282" spans="1:20" ht="15.75" x14ac:dyDescent="0.25">
      <c r="A282" s="120"/>
      <c r="B282" s="122" t="s">
        <v>205</v>
      </c>
      <c r="C282" s="111"/>
      <c r="D282" s="193"/>
      <c r="E282" s="193"/>
      <c r="F282" s="193"/>
      <c r="G282" s="193"/>
      <c r="H282" s="193"/>
      <c r="I282" s="193"/>
      <c r="J282" s="193"/>
      <c r="K282" s="193"/>
      <c r="L282" s="193"/>
      <c r="M282" s="193"/>
      <c r="N282" s="195"/>
      <c r="O282" s="191"/>
      <c r="P282" s="214">
        <f>(H30+R135)/R30</f>
        <v>0.10335115145965786</v>
      </c>
      <c r="Q282" s="191"/>
      <c r="R282" s="111"/>
      <c r="S282" s="114"/>
      <c r="T282" s="2"/>
    </row>
    <row r="283" spans="1:20" ht="15.75" x14ac:dyDescent="0.25">
      <c r="A283" s="83"/>
      <c r="B283" s="84"/>
      <c r="C283" s="84"/>
      <c r="D283" s="85"/>
      <c r="E283" s="85"/>
      <c r="F283" s="85"/>
      <c r="G283" s="85"/>
      <c r="H283" s="85"/>
      <c r="I283" s="85"/>
      <c r="J283" s="85"/>
      <c r="K283" s="85"/>
      <c r="L283" s="85"/>
      <c r="M283" s="85"/>
      <c r="N283" s="85"/>
      <c r="O283" s="85"/>
      <c r="P283" s="86"/>
      <c r="Q283" s="85"/>
      <c r="R283" s="84"/>
      <c r="S283" s="217"/>
      <c r="T283" s="2"/>
    </row>
    <row r="284" spans="1:20" ht="15.75" x14ac:dyDescent="0.25">
      <c r="A284" s="87"/>
      <c r="B284" s="88" t="s">
        <v>76</v>
      </c>
      <c r="C284" s="84"/>
      <c r="D284" s="89" t="s">
        <v>80</v>
      </c>
      <c r="E284" s="88"/>
      <c r="F284" s="88" t="s">
        <v>81</v>
      </c>
      <c r="G284" s="84"/>
      <c r="H284" s="88"/>
      <c r="I284" s="90"/>
      <c r="J284" s="90"/>
      <c r="K284" s="90"/>
      <c r="L284" s="90"/>
      <c r="M284" s="90"/>
      <c r="N284" s="90"/>
      <c r="O284" s="90"/>
      <c r="P284" s="90"/>
      <c r="Q284" s="90"/>
      <c r="R284" s="90"/>
      <c r="S284" s="228"/>
      <c r="T284" s="2"/>
    </row>
    <row r="285" spans="1:20" ht="15.75" x14ac:dyDescent="0.25">
      <c r="A285" s="87"/>
      <c r="B285" s="90"/>
      <c r="C285" s="84"/>
      <c r="D285" s="84"/>
      <c r="E285" s="84"/>
      <c r="F285" s="84"/>
      <c r="G285" s="84"/>
      <c r="H285" s="84"/>
      <c r="I285" s="90"/>
      <c r="J285" s="90"/>
      <c r="K285" s="90"/>
      <c r="L285" s="90"/>
      <c r="M285" s="90"/>
      <c r="N285" s="90"/>
      <c r="O285" s="90"/>
      <c r="P285" s="90"/>
      <c r="Q285" s="90"/>
      <c r="R285" s="90"/>
      <c r="S285" s="228"/>
      <c r="T285" s="2"/>
    </row>
    <row r="286" spans="1:20" ht="15.75" x14ac:dyDescent="0.25">
      <c r="A286" s="87"/>
      <c r="B286" s="213" t="s">
        <v>198</v>
      </c>
      <c r="C286" s="88"/>
      <c r="D286" s="91" t="s">
        <v>116</v>
      </c>
      <c r="E286" s="88"/>
      <c r="F286" s="88" t="s">
        <v>117</v>
      </c>
      <c r="G286" s="88"/>
      <c r="H286" s="88"/>
      <c r="I286" s="90"/>
      <c r="J286" s="90"/>
      <c r="K286" s="90"/>
      <c r="L286" s="90"/>
      <c r="M286" s="90"/>
      <c r="N286" s="90"/>
      <c r="O286" s="90"/>
      <c r="P286" s="90"/>
      <c r="Q286" s="90"/>
      <c r="R286" s="90"/>
      <c r="S286" s="228"/>
      <c r="T286" s="2"/>
    </row>
    <row r="287" spans="1:20" ht="15.75" x14ac:dyDescent="0.25">
      <c r="A287" s="87"/>
      <c r="B287" s="213" t="s">
        <v>199</v>
      </c>
      <c r="C287" s="88"/>
      <c r="D287" s="91" t="s">
        <v>150</v>
      </c>
      <c r="E287" s="88"/>
      <c r="F287" s="88" t="s">
        <v>151</v>
      </c>
      <c r="G287" s="88"/>
      <c r="H287" s="88"/>
      <c r="I287" s="90"/>
      <c r="J287" s="90"/>
      <c r="K287" s="90"/>
      <c r="L287" s="90"/>
      <c r="M287" s="90"/>
      <c r="N287" s="90"/>
      <c r="O287" s="90"/>
      <c r="P287" s="90"/>
      <c r="Q287" s="90"/>
      <c r="R287" s="90"/>
      <c r="S287" s="228"/>
      <c r="T287" s="2"/>
    </row>
    <row r="288" spans="1:20" ht="15.75" x14ac:dyDescent="0.25">
      <c r="A288" s="87"/>
      <c r="B288" s="213" t="s">
        <v>200</v>
      </c>
      <c r="C288" s="88"/>
      <c r="D288" s="91" t="s">
        <v>115</v>
      </c>
      <c r="E288" s="88"/>
      <c r="F288" s="88" t="s">
        <v>118</v>
      </c>
      <c r="G288" s="88"/>
      <c r="H288" s="88"/>
      <c r="I288" s="90"/>
      <c r="J288" s="90"/>
      <c r="K288" s="90"/>
      <c r="L288" s="90"/>
      <c r="M288" s="90"/>
      <c r="N288" s="90"/>
      <c r="O288" s="90"/>
      <c r="P288" s="90"/>
      <c r="Q288" s="90"/>
      <c r="R288" s="90"/>
      <c r="S288" s="228"/>
      <c r="T288" s="2"/>
    </row>
    <row r="289" spans="1:20" ht="15.75" x14ac:dyDescent="0.25">
      <c r="A289" s="87"/>
      <c r="B289" s="88"/>
      <c r="C289" s="88"/>
      <c r="D289" s="90"/>
      <c r="E289" s="90"/>
      <c r="F289" s="90"/>
      <c r="G289" s="90"/>
      <c r="H289" s="90"/>
      <c r="I289" s="90"/>
      <c r="J289" s="90"/>
      <c r="K289" s="90"/>
      <c r="L289" s="90"/>
      <c r="M289" s="90"/>
      <c r="N289" s="90"/>
      <c r="O289" s="90"/>
      <c r="P289" s="90"/>
      <c r="Q289" s="90"/>
      <c r="R289" s="90"/>
      <c r="S289" s="228"/>
      <c r="T289" s="2"/>
    </row>
    <row r="290" spans="1:20" ht="15.75" x14ac:dyDescent="0.25">
      <c r="A290" s="87"/>
      <c r="B290" s="88"/>
      <c r="C290" s="88"/>
      <c r="D290" s="90"/>
      <c r="E290" s="90"/>
      <c r="F290" s="90"/>
      <c r="G290" s="90"/>
      <c r="H290" s="90"/>
      <c r="I290" s="90"/>
      <c r="J290" s="90"/>
      <c r="K290" s="90"/>
      <c r="L290" s="90"/>
      <c r="M290" s="90"/>
      <c r="N290" s="90"/>
      <c r="O290" s="90"/>
      <c r="P290" s="90"/>
      <c r="Q290" s="90"/>
      <c r="R290" s="90"/>
      <c r="S290" s="228"/>
      <c r="T290" s="2"/>
    </row>
    <row r="291" spans="1:20" ht="19.5" thickBot="1" x14ac:dyDescent="0.35">
      <c r="A291" s="87"/>
      <c r="B291" s="92" t="str">
        <f>B190</f>
        <v>PM20 INVESTOR REPORT QUARTER ENDING OCTOBER 2016</v>
      </c>
      <c r="C291" s="88"/>
      <c r="D291" s="90"/>
      <c r="E291" s="90"/>
      <c r="F291" s="90"/>
      <c r="G291" s="90"/>
      <c r="H291" s="90"/>
      <c r="I291" s="90"/>
      <c r="J291" s="90"/>
      <c r="K291" s="90"/>
      <c r="L291" s="90"/>
      <c r="M291" s="90"/>
      <c r="N291" s="90"/>
      <c r="O291" s="90"/>
      <c r="P291" s="90"/>
      <c r="Q291" s="90"/>
      <c r="R291" s="90"/>
      <c r="S291" s="99"/>
      <c r="T291" s="2"/>
    </row>
    <row r="292" spans="1:20" x14ac:dyDescent="0.2">
      <c r="A292" s="3"/>
      <c r="B292" s="3"/>
      <c r="C292" s="3"/>
      <c r="D292" s="3"/>
      <c r="E292" s="3"/>
      <c r="F292" s="3"/>
      <c r="G292" s="3"/>
      <c r="H292" s="3"/>
      <c r="I292" s="3"/>
      <c r="J292" s="3"/>
      <c r="K292" s="3"/>
      <c r="L292" s="3"/>
      <c r="M292" s="3"/>
      <c r="N292" s="3"/>
      <c r="O292" s="3"/>
      <c r="P292" s="3"/>
      <c r="Q292" s="3"/>
      <c r="R292" s="3"/>
      <c r="S292" s="3"/>
    </row>
  </sheetData>
  <hyperlinks>
    <hyperlink ref="N227"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1" max="18" man="1"/>
    <brk id="190"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80</vt:i4>
      </vt:variant>
    </vt:vector>
  </HeadingPairs>
  <TitlesOfParts>
    <vt:vector size="96" baseType="lpstr">
      <vt:lpstr>October 14</vt:lpstr>
      <vt:lpstr>January 15</vt:lpstr>
      <vt:lpstr>April 15</vt:lpstr>
      <vt:lpstr>July 15</vt:lpstr>
      <vt:lpstr>October 15</vt:lpstr>
      <vt:lpstr>January 16</vt:lpstr>
      <vt:lpstr>April 16</vt:lpstr>
      <vt:lpstr>July 16</vt:lpstr>
      <vt:lpstr>October 16</vt:lpstr>
      <vt:lpstr>January 17</vt:lpstr>
      <vt:lpstr>April 17</vt:lpstr>
      <vt:lpstr>July 17</vt:lpstr>
      <vt:lpstr>Oct 17</vt:lpstr>
      <vt:lpstr>Jan 18</vt:lpstr>
      <vt:lpstr>April 18</vt:lpstr>
      <vt:lpstr>July 18</vt:lpstr>
      <vt:lpstr>'April 15'!_1PAGE_1</vt:lpstr>
      <vt:lpstr>'April 16'!_1PAGE_1</vt:lpstr>
      <vt:lpstr>'April 17'!_1PAGE_1</vt:lpstr>
      <vt:lpstr>'April 18'!_1PAGE_1</vt:lpstr>
      <vt:lpstr>'Jan 18'!_1PAGE_1</vt:lpstr>
      <vt:lpstr>'January 15'!_1PAGE_1</vt:lpstr>
      <vt:lpstr>'January 16'!_1PAGE_1</vt:lpstr>
      <vt:lpstr>'January 17'!_1PAGE_1</vt:lpstr>
      <vt:lpstr>'July 15'!_1PAGE_1</vt:lpstr>
      <vt:lpstr>'July 16'!_1PAGE_1</vt:lpstr>
      <vt:lpstr>'July 17'!_1PAGE_1</vt:lpstr>
      <vt:lpstr>'July 18'!_1PAGE_1</vt:lpstr>
      <vt:lpstr>'Oct 17'!_1PAGE_1</vt:lpstr>
      <vt:lpstr>'October 14'!_1PAGE_1</vt:lpstr>
      <vt:lpstr>'October 15'!_1PAGE_1</vt:lpstr>
      <vt:lpstr>'October 16'!_1PAGE_1</vt:lpstr>
      <vt:lpstr>'April 15'!_3PAGE_2</vt:lpstr>
      <vt:lpstr>'April 16'!_3PAGE_2</vt:lpstr>
      <vt:lpstr>'April 17'!_3PAGE_2</vt:lpstr>
      <vt:lpstr>'April 18'!_3PAGE_2</vt:lpstr>
      <vt:lpstr>'Jan 18'!_3PAGE_2</vt:lpstr>
      <vt:lpstr>'January 15'!_3PAGE_2</vt:lpstr>
      <vt:lpstr>'January 16'!_3PAGE_2</vt:lpstr>
      <vt:lpstr>'January 17'!_3PAGE_2</vt:lpstr>
      <vt:lpstr>'July 15'!_3PAGE_2</vt:lpstr>
      <vt:lpstr>'July 16'!_3PAGE_2</vt:lpstr>
      <vt:lpstr>'July 17'!_3PAGE_2</vt:lpstr>
      <vt:lpstr>'July 18'!_3PAGE_2</vt:lpstr>
      <vt:lpstr>'Oct 17'!_3PAGE_2</vt:lpstr>
      <vt:lpstr>'October 14'!_3PAGE_2</vt:lpstr>
      <vt:lpstr>'October 15'!_3PAGE_2</vt:lpstr>
      <vt:lpstr>'October 16'!_3PAGE_2</vt:lpstr>
      <vt:lpstr>'April 15'!_5PAGE_3</vt:lpstr>
      <vt:lpstr>'April 16'!_5PAGE_3</vt:lpstr>
      <vt:lpstr>'April 17'!_5PAGE_3</vt:lpstr>
      <vt:lpstr>'April 18'!_5PAGE_3</vt:lpstr>
      <vt:lpstr>'Jan 18'!_5PAGE_3</vt:lpstr>
      <vt:lpstr>'January 15'!_5PAGE_3</vt:lpstr>
      <vt:lpstr>'January 16'!_5PAGE_3</vt:lpstr>
      <vt:lpstr>'January 17'!_5PAGE_3</vt:lpstr>
      <vt:lpstr>'July 15'!_5PAGE_3</vt:lpstr>
      <vt:lpstr>'July 16'!_5PAGE_3</vt:lpstr>
      <vt:lpstr>'July 17'!_5PAGE_3</vt:lpstr>
      <vt:lpstr>'July 18'!_5PAGE_3</vt:lpstr>
      <vt:lpstr>'Oct 17'!_5PAGE_3</vt:lpstr>
      <vt:lpstr>'October 14'!_5PAGE_3</vt:lpstr>
      <vt:lpstr>'October 15'!_5PAGE_3</vt:lpstr>
      <vt:lpstr>'October 16'!_5PAGE_3</vt:lpstr>
      <vt:lpstr>'April 15'!_7PAGE_4</vt:lpstr>
      <vt:lpstr>'April 16'!_7PAGE_4</vt:lpstr>
      <vt:lpstr>'April 17'!_7PAGE_4</vt:lpstr>
      <vt:lpstr>'April 18'!_7PAGE_4</vt:lpstr>
      <vt:lpstr>'Jan 18'!_7PAGE_4</vt:lpstr>
      <vt:lpstr>'January 15'!_7PAGE_4</vt:lpstr>
      <vt:lpstr>'January 16'!_7PAGE_4</vt:lpstr>
      <vt:lpstr>'January 17'!_7PAGE_4</vt:lpstr>
      <vt:lpstr>'July 15'!_7PAGE_4</vt:lpstr>
      <vt:lpstr>'July 16'!_7PAGE_4</vt:lpstr>
      <vt:lpstr>'July 17'!_7PAGE_4</vt:lpstr>
      <vt:lpstr>'July 18'!_7PAGE_4</vt:lpstr>
      <vt:lpstr>'Oct 17'!_7PAGE_4</vt:lpstr>
      <vt:lpstr>'October 14'!_7PAGE_4</vt:lpstr>
      <vt:lpstr>'October 15'!_7PAGE_4</vt:lpstr>
      <vt:lpstr>'October 16'!_7PAGE_4</vt:lpstr>
      <vt:lpstr>'April 15'!Print_Area</vt:lpstr>
      <vt:lpstr>'April 16'!Print_Area</vt:lpstr>
      <vt:lpstr>'April 17'!Print_Area</vt:lpstr>
      <vt:lpstr>'April 18'!Print_Area</vt:lpstr>
      <vt:lpstr>'Jan 18'!Print_Area</vt:lpstr>
      <vt:lpstr>'January 15'!Print_Area</vt:lpstr>
      <vt:lpstr>'January 16'!Print_Area</vt:lpstr>
      <vt:lpstr>'January 17'!Print_Area</vt:lpstr>
      <vt:lpstr>'July 15'!Print_Area</vt:lpstr>
      <vt:lpstr>'July 16'!Print_Area</vt:lpstr>
      <vt:lpstr>'July 17'!Print_Area</vt:lpstr>
      <vt:lpstr>'July 18'!Print_Area</vt:lpstr>
      <vt:lpstr>'Oct 17'!Print_Area</vt:lpstr>
      <vt:lpstr>'October 14'!Print_Area</vt:lpstr>
      <vt:lpstr>'October 15'!Print_Area</vt:lpstr>
      <vt:lpstr>'October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Julia Gilbride</cp:lastModifiedBy>
  <cp:lastPrinted>2018-05-08T07:54:26Z</cp:lastPrinted>
  <dcterms:created xsi:type="dcterms:W3CDTF">2003-11-18T07:58:35Z</dcterms:created>
  <dcterms:modified xsi:type="dcterms:W3CDTF">2018-08-17T14:14:17Z</dcterms:modified>
</cp:coreProperties>
</file>