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11" yWindow="255" windowWidth="12120" windowHeight="9000" firstSheet="3" activeTab="12"/>
  </bookViews>
  <sheets>
    <sheet name="June 02" sheetId="1" r:id="rId1"/>
    <sheet name="Sept 02" sheetId="2" r:id="rId2"/>
    <sheet name="Dec 02" sheetId="3" r:id="rId3"/>
    <sheet name="Mar 03" sheetId="4" r:id="rId4"/>
    <sheet name="June 03" sheetId="5" r:id="rId5"/>
    <sheet name="Sept 03" sheetId="6" r:id="rId6"/>
    <sheet name="Dec 03" sheetId="7" r:id="rId7"/>
    <sheet name="Mar 04" sheetId="8" r:id="rId8"/>
    <sheet name="June 04" sheetId="9" r:id="rId9"/>
    <sheet name="Sept 04" sheetId="10" r:id="rId10"/>
    <sheet name="Dec 04" sheetId="11" r:id="rId11"/>
    <sheet name="Mar 05" sheetId="12" r:id="rId12"/>
    <sheet name="June 05" sheetId="13" r:id="rId13"/>
  </sheets>
  <definedNames>
    <definedName name="PAGE1" localSheetId="6">'Dec 03'!$A$1:$M$53</definedName>
    <definedName name="PAGE1" localSheetId="10">'Dec 04'!$A$1:$M$53</definedName>
    <definedName name="PAGE1" localSheetId="8">'June 04'!$A$1:$M$53</definedName>
    <definedName name="PAGE1" localSheetId="12">'June 05'!$A$1:$M$53</definedName>
    <definedName name="PAGE1" localSheetId="7">'Mar 04'!$A$1:$M$53</definedName>
    <definedName name="PAGE1" localSheetId="11">'Mar 05'!$A$1:$M$53</definedName>
    <definedName name="PAGE1" localSheetId="5">'Sept 03'!$A$1:$M$53</definedName>
    <definedName name="PAGE1" localSheetId="9">'Sept 04'!$A$1:$M$53</definedName>
    <definedName name="PAGE1">'June 03'!$A$1:$M$53</definedName>
    <definedName name="PAGE2" localSheetId="6">'Dec 03'!$A$54:$M$106</definedName>
    <definedName name="PAGE2" localSheetId="10">'Dec 04'!$A$54:$M$106</definedName>
    <definedName name="PAGE2" localSheetId="8">'June 04'!$A$54:$M$106</definedName>
    <definedName name="PAGE2" localSheetId="12">'June 05'!$A$54:$M$108</definedName>
    <definedName name="PAGE2" localSheetId="7">'Mar 04'!$A$54:$M$106</definedName>
    <definedName name="PAGE2" localSheetId="11">'Mar 05'!$A$54:$M$107</definedName>
    <definedName name="PAGE2" localSheetId="5">'Sept 03'!$A$54:$M$106</definedName>
    <definedName name="PAGE2" localSheetId="9">'Sept 04'!$A$54:$M$106</definedName>
    <definedName name="PAGE2">'June 03'!$A$54:$M$106</definedName>
    <definedName name="PAGE3" localSheetId="6">'Dec 03'!$A$107:$M$156</definedName>
    <definedName name="PAGE3" localSheetId="10">'Dec 04'!$A$107:$M$156</definedName>
    <definedName name="PAGE3" localSheetId="8">'June 04'!$A$107:$M$156</definedName>
    <definedName name="PAGE3" localSheetId="12">'June 05'!$A$109:$M$159</definedName>
    <definedName name="PAGE3" localSheetId="7">'Mar 04'!$A$107:$M$156</definedName>
    <definedName name="PAGE3" localSheetId="11">'Mar 05'!$A$108:$M$157</definedName>
    <definedName name="PAGE3" localSheetId="5">'Sept 03'!$A$107:$M$156</definedName>
    <definedName name="PAGE3" localSheetId="9">'Sept 04'!$A$107:$M$156</definedName>
    <definedName name="PAGE3">'June 03'!$A$107:$M$156</definedName>
    <definedName name="PAGE4" localSheetId="6">'Dec 03'!$A$157:$M$203</definedName>
    <definedName name="PAGE4" localSheetId="10">'Dec 04'!$A$157:$M$204</definedName>
    <definedName name="PAGE4" localSheetId="8">'June 04'!$A$157:$M$204</definedName>
    <definedName name="PAGE4" localSheetId="12">'June 05'!$A$160:$M$222</definedName>
    <definedName name="PAGE4" localSheetId="7">'Mar 04'!$A$157:$M$204</definedName>
    <definedName name="PAGE4" localSheetId="11">'Mar 05'!$A$158:$M$220</definedName>
    <definedName name="PAGE4" localSheetId="5">'Sept 03'!$A$157:$M$203</definedName>
    <definedName name="PAGE4" localSheetId="9">'Sept 04'!$A$157:$M$204</definedName>
    <definedName name="PAGE4">'June 03'!$A$157:$M$203</definedName>
    <definedName name="_xlnm.Print_Area" localSheetId="2">'Dec 02'!$A$1:$N$204</definedName>
    <definedName name="_xlnm.Print_Area" localSheetId="6">'Dec 03'!$A$1:$N$204</definedName>
    <definedName name="_xlnm.Print_Area" localSheetId="10">'Dec 04'!$A$1:$N$205</definedName>
    <definedName name="_xlnm.Print_Area" localSheetId="0">'June 02'!$1:$204</definedName>
    <definedName name="_xlnm.Print_Area" localSheetId="4">'June 03'!$A$1:$N$204</definedName>
    <definedName name="_xlnm.Print_Area" localSheetId="8">'June 04'!$A$1:$N$205</definedName>
    <definedName name="_xlnm.Print_Area" localSheetId="12">'June 05'!$A$1:$N$223</definedName>
    <definedName name="_xlnm.Print_Area" localSheetId="3">'Mar 03'!$A$1:$N$204</definedName>
    <definedName name="_xlnm.Print_Area" localSheetId="7">'Mar 04'!$A$1:$N$205</definedName>
    <definedName name="_xlnm.Print_Area" localSheetId="11">'Mar 05'!$A$1:$N$221</definedName>
    <definedName name="_xlnm.Print_Area" localSheetId="1">'Sept 02'!$A$1:$N$204</definedName>
    <definedName name="_xlnm.Print_Area" localSheetId="5">'Sept 03'!$A$1:$N$204</definedName>
    <definedName name="_xlnm.Print_Area" localSheetId="9">'Sept 04'!$A$1:$N$205</definedName>
    <definedName name="_xlnm.Print_Area">'Mar 03'!$A$157:$M$203</definedName>
  </definedNames>
  <calcPr calcMode="autoNoTable" fullCalcOnLoad="1" iterate="1" iterateCount="1" iterateDelta="0"/>
</workbook>
</file>

<file path=xl/sharedStrings.xml><?xml version="1.0" encoding="utf-8"?>
<sst xmlns="http://schemas.openxmlformats.org/spreadsheetml/2006/main" count="2929" uniqueCount="226">
  <si>
    <t>Paragon Mortgages (No. 4) PLC</t>
  </si>
  <si>
    <t>This performance report is issued by Paragon Finance PLC for and on behalf of Paragon Mortgages (No.4) PLC</t>
  </si>
  <si>
    <t>N.B. This data fact sheet and its notes can only be a summary of certain features of the bonds and their structure. No representation can be made that the information herein is accurate or complete and no liability is</t>
  </si>
  <si>
    <t xml:space="preserve"> accepted therefor. Reference should be made to the issuer  documentation for a full description of the bonds and their structure. This data fact sheet and its notes are for information purposes only and are not intended as  </t>
  </si>
  <si>
    <t xml:space="preserve">an offer or invitation with respect to the purchase or sale of any security. Reliance should not be placedon the information herein when making any decision whether to buy, hold or sell bonds (or other securities) or for any </t>
  </si>
  <si>
    <t>other purpose.</t>
  </si>
  <si>
    <t>Summary Transaction  Features</t>
  </si>
  <si>
    <t>Name of Issuer</t>
  </si>
  <si>
    <t>Originator % at Closing</t>
  </si>
  <si>
    <t xml:space="preserve">Originator % at the Quarter End </t>
  </si>
  <si>
    <t>Date of Issue</t>
  </si>
  <si>
    <t>Date of Production</t>
  </si>
  <si>
    <t>Security Level Data</t>
  </si>
  <si>
    <t>Moody's Rating at Closing</t>
  </si>
  <si>
    <t>Standard &amp; Poor's Rating at Closing</t>
  </si>
  <si>
    <t>Fitch's Rating at Closing</t>
  </si>
  <si>
    <t>Current Moody's Rating</t>
  </si>
  <si>
    <t>Current Standard &amp; Poor's Rating</t>
  </si>
  <si>
    <t xml:space="preserve">Current Fitch Rating </t>
  </si>
  <si>
    <t>ISIN</t>
  </si>
  <si>
    <t>Original Issue Amount (£'000)</t>
  </si>
  <si>
    <t>Previous Outstanding Note Principal (1)</t>
  </si>
  <si>
    <t>Outstanding Note Principal (1)</t>
  </si>
  <si>
    <t xml:space="preserve">Note Interest Margins: </t>
  </si>
  <si>
    <t>Current Note Interest Rates:</t>
  </si>
  <si>
    <t>Previous Note Interest Rates:</t>
  </si>
  <si>
    <t>Optional Redemption (Call) Dates</t>
  </si>
  <si>
    <t>Step-up Dates</t>
  </si>
  <si>
    <t>Step-up Margins</t>
  </si>
  <si>
    <t>Class B Notes as a percentage Class A Notes at issue</t>
  </si>
  <si>
    <t>Outstanding Class B Notes as a percentage of Outstanding Class A Notes</t>
  </si>
  <si>
    <t>Determination Event for Paying Class B Notes</t>
  </si>
  <si>
    <t>Interest Payment Cycle</t>
  </si>
  <si>
    <t>Interest Payment Date</t>
  </si>
  <si>
    <t>Previous Interest Period (No. of Days)</t>
  </si>
  <si>
    <t>Current Interest Period (No. of Days)</t>
  </si>
  <si>
    <t>Interest Calculated on</t>
  </si>
  <si>
    <t>Record Date</t>
  </si>
  <si>
    <t>PM4 INVESTOR REPORT QUARTER ENDING JUNE 2002</t>
  </si>
  <si>
    <t>Asset Movements</t>
  </si>
  <si>
    <t>Mortgages</t>
  </si>
  <si>
    <t>Current Principal Balance (£'000)</t>
  </si>
  <si>
    <t>Accrued Arrears and Interest Sold to Issuer (£'000)</t>
  </si>
  <si>
    <t>Total (£'000)</t>
  </si>
  <si>
    <t>Consumer Loans</t>
  </si>
  <si>
    <t>Credit Enhancement</t>
  </si>
  <si>
    <t>Pre-Funding Reserve</t>
  </si>
  <si>
    <t>Unreplenished Losses on Mortgages</t>
  </si>
  <si>
    <t>Outstanding Note Principal</t>
  </si>
  <si>
    <t>Principal/Revenue Analysis</t>
  </si>
  <si>
    <t>Opening cash balance</t>
  </si>
  <si>
    <t xml:space="preserve">Total principal cash received this period from assets </t>
  </si>
  <si>
    <t>Total revenue cash received this period from assets</t>
  </si>
  <si>
    <t>Drawing on Sub Loan for Interest Shortfalls</t>
  </si>
  <si>
    <t>Initial income for distribution this period</t>
  </si>
  <si>
    <t>Revenue adjustment for payment of Accrued Arrears and Interest Sold at closing</t>
  </si>
  <si>
    <t>Final income for distribution this period</t>
  </si>
  <si>
    <t>Revenue payments made or accrued from Revenue Income:</t>
  </si>
  <si>
    <t>Accrued Arrears and Interest not Sold to Issuer</t>
  </si>
  <si>
    <t>Trustee Fee</t>
  </si>
  <si>
    <t>Administrator Fee/Substitute Administrators Commitment Fee</t>
  </si>
  <si>
    <t>Payments to swap counterparty</t>
  </si>
  <si>
    <t>A Note Interest</t>
  </si>
  <si>
    <t>B Note Interest</t>
  </si>
  <si>
    <t>Third Party payments for Corporation Tax and VAT</t>
  </si>
  <si>
    <t>PDL Replensishment</t>
  </si>
  <si>
    <t>First Loss fund Replenishment</t>
  </si>
  <si>
    <t>Termination Fees to Swap Provider</t>
  </si>
  <si>
    <t>Cap/Swap Retention fund</t>
  </si>
  <si>
    <t>Fee Letter to PFPLC/PML</t>
  </si>
  <si>
    <t>Surplus income</t>
  </si>
  <si>
    <t>Principal payments made from Principal Income:</t>
  </si>
  <si>
    <t>Mandatory Further Advances</t>
  </si>
  <si>
    <t>Discretionary Further Advances</t>
  </si>
  <si>
    <t>A Note repayments</t>
  </si>
  <si>
    <t>B Note repayments</t>
  </si>
  <si>
    <t>Total payments made this quarter</t>
  </si>
  <si>
    <t>Total closing cash balance</t>
  </si>
  <si>
    <t>Available Credit Enhancement</t>
  </si>
  <si>
    <t>First Loss Fund Analysis</t>
  </si>
  <si>
    <t>First Loss Fund at Closing</t>
  </si>
  <si>
    <t>Last Quarter closing First Loss Fund balance</t>
  </si>
  <si>
    <t>Replenishments</t>
  </si>
  <si>
    <t>Drawing this quarter</t>
  </si>
  <si>
    <t>Drawing used to pay</t>
  </si>
  <si>
    <t>PDL Replenishment</t>
  </si>
  <si>
    <t>Closing First Loss Fund Balance</t>
  </si>
  <si>
    <t>Spread Trap</t>
  </si>
  <si>
    <t>Requirement</t>
  </si>
  <si>
    <t>Build up - prior periods</t>
  </si>
  <si>
    <t>Build up - this period</t>
  </si>
  <si>
    <t>Requirement Outstanding</t>
  </si>
  <si>
    <t>Principal Deficiency Ledger (PDL)</t>
  </si>
  <si>
    <t>Opening PDL Balance</t>
  </si>
  <si>
    <t>Losses this quarter</t>
  </si>
  <si>
    <t>Total PDL balance</t>
  </si>
  <si>
    <t>PDL  replenishment  from Revenue income</t>
  </si>
  <si>
    <t>Closing PDL Balance</t>
  </si>
  <si>
    <t>Over Collateralisation</t>
  </si>
  <si>
    <t>Current Principal Balance Outstanding and Accrued Arrears (£'000)</t>
  </si>
  <si>
    <t>Outstanding Note Principal (£'000)</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</si>
  <si>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</si>
  <si>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</si>
  <si>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</si>
  <si>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</si>
  <si>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</si>
  <si>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</si>
  <si>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</si>
  <si>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</si>
  <si>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 xml:space="preserve">Cover Ratio for Class A Notes (cumulative) </t>
  </si>
  <si>
    <t>Cover Ratio for Class B Notes (at last Interest Payment Date)</t>
  </si>
  <si>
    <t xml:space="preserve">Cover Ratio for Class B Notes (cumulative) </t>
  </si>
  <si>
    <t>Collateral Level Data</t>
  </si>
  <si>
    <t>Original Weighted Average Yield</t>
  </si>
  <si>
    <t>Original Weighted Average Note Coupon</t>
  </si>
  <si>
    <t>Original Spread</t>
  </si>
  <si>
    <t>Current Weighted Average Yield</t>
  </si>
  <si>
    <t>Current Weighted Average Note Coupon</t>
  </si>
  <si>
    <t>Current Spread</t>
  </si>
  <si>
    <t>Stated Maturity - Class A Notes</t>
  </si>
  <si>
    <t>Stated Maturity - Class B Notes</t>
  </si>
  <si>
    <t>Original Weighted Average Maturity</t>
  </si>
  <si>
    <t>Current Weighted Average Maturity</t>
  </si>
  <si>
    <t>Quarterly Prepayment Rate</t>
  </si>
  <si>
    <t>Life Time Prepayment Rate</t>
  </si>
  <si>
    <t>Delinquency Status</t>
  </si>
  <si>
    <t>Enforcements in Progress</t>
  </si>
  <si>
    <t>Enforcements Completed</t>
  </si>
  <si>
    <t>Aggregate Principal Balance of Repurchased Loans</t>
  </si>
  <si>
    <t>Aggregate Balance of Substituted Loans</t>
  </si>
  <si>
    <t>Principal Losses</t>
  </si>
  <si>
    <t>Agg Loan Principal Losses (during related Collection Period)</t>
  </si>
  <si>
    <t>Cumulative Principal Losses (since closing date)</t>
  </si>
  <si>
    <t>Recoveries</t>
  </si>
  <si>
    <t>Properties Sold</t>
  </si>
  <si>
    <t>Properties Sold by Mortgagee</t>
  </si>
  <si>
    <t>Average Number of months in Arrears @ Redemption date</t>
  </si>
  <si>
    <t>Average months between Possession &amp; Redemption</t>
  </si>
  <si>
    <t>Average Sale Price/Orig Loan Valuation</t>
  </si>
  <si>
    <t>Delinquency Summary</t>
  </si>
  <si>
    <t>Performing</t>
  </si>
  <si>
    <t>&gt;1&lt;=2 Months</t>
  </si>
  <si>
    <t>&gt;2&lt;=3 Months</t>
  </si>
  <si>
    <t>&gt;3 Months</t>
  </si>
  <si>
    <t>Contact Name/Address</t>
  </si>
  <si>
    <t>John Harvey, St. Catherines Court, Herbert Road, Solihull, West Midlands, B91 3QE</t>
  </si>
  <si>
    <t>Jimmy Giles, St. Catherines Court, Herbert Road, Solihull, West Midlands, B91 3QE</t>
  </si>
  <si>
    <t>Pool</t>
  </si>
  <si>
    <t>Factor</t>
  </si>
  <si>
    <t>As at Closing</t>
  </si>
  <si>
    <t>PDD =</t>
  </si>
  <si>
    <t>Last Quarter Balance</t>
  </si>
  <si>
    <t>Tel.</t>
  </si>
  <si>
    <t>0121 712 3894</t>
  </si>
  <si>
    <t>0121 712 2315</t>
  </si>
  <si>
    <t>Class A Notes</t>
  </si>
  <si>
    <t>Aaa</t>
  </si>
  <si>
    <t>AAA</t>
  </si>
  <si>
    <t>XS0145293659</t>
  </si>
  <si>
    <t>26 bp</t>
  </si>
  <si>
    <t>April 2005</t>
  </si>
  <si>
    <t>7 April 2008</t>
  </si>
  <si>
    <t>52 bp</t>
  </si>
  <si>
    <t>This Quarter Redemptions and Repayments</t>
  </si>
  <si>
    <t>E-mail</t>
  </si>
  <si>
    <t>jharvey@paragon-group.co.uk</t>
  </si>
  <si>
    <t>jgiles@paragon-group.co.uk</t>
  </si>
  <si>
    <t>Class B Notes</t>
  </si>
  <si>
    <t>A2</t>
  </si>
  <si>
    <t>A</t>
  </si>
  <si>
    <t>XS0145294897</t>
  </si>
  <si>
    <t>85 bp</t>
  </si>
  <si>
    <t>170 bp</t>
  </si>
  <si>
    <t>Additions this quarter</t>
  </si>
  <si>
    <t>DFA's</t>
  </si>
  <si>
    <t>No.</t>
  </si>
  <si>
    <t>%</t>
  </si>
  <si>
    <t>PML</t>
  </si>
  <si>
    <t>Senior/Subordinate</t>
  </si>
  <si>
    <t xml:space="preserve">or the IPD falling  in April  2007, whichever is the later </t>
  </si>
  <si>
    <t>Repurchases this quarter</t>
  </si>
  <si>
    <t>Principal (£'000)</t>
  </si>
  <si>
    <t>MFA's</t>
  </si>
  <si>
    <t>July  2032</t>
  </si>
  <si>
    <t>July  2044</t>
  </si>
  <si>
    <t>£'000 Value</t>
  </si>
  <si>
    <t>£'000 Principal</t>
  </si>
  <si>
    <t>=</t>
  </si>
  <si>
    <t>years</t>
  </si>
  <si>
    <t>PM4  PLC</t>
  </si>
  <si>
    <t>Quarterly</t>
  </si>
  <si>
    <t>ACTUAL/365</t>
  </si>
  <si>
    <t>Current Principal Outstanding</t>
  </si>
  <si>
    <t>Revenue (£'000)</t>
  </si>
  <si>
    <t>n/a</t>
  </si>
  <si>
    <t>Total</t>
  </si>
  <si>
    <t>x</t>
  </si>
  <si>
    <t>PM4 INVESTOR REPORT QUARTER ENDING SEPTEMBER 2002</t>
  </si>
  <si>
    <t>PM4 INVESTOR REPORT QUARTER ENDING DECEMBER 2002</t>
  </si>
  <si>
    <t>PM4 INVESTOR REPORT QUARTER ENDING MARCH 2003</t>
  </si>
  <si>
    <t>PM4 INVESTOR REPORT QUARTER ENDING JUNE 2003</t>
  </si>
  <si>
    <t>PM4 INVESTOR REPORT QUARTER ENDING SEPTEMBER 2003</t>
  </si>
  <si>
    <t>PM4 INVESTOR REPORT QUARTER ENDING DECEMBER 2003</t>
  </si>
  <si>
    <t>ACTUAL/366</t>
  </si>
  <si>
    <t>PM4 INVESTOR REPORT QUARTER ENDING MARCH 2004</t>
  </si>
  <si>
    <t>Appointment of a Receiver of Rent</t>
  </si>
  <si>
    <t>PM4 INVESTOR REPORT QUARTER ENDING JUNE 2004</t>
  </si>
  <si>
    <t>AA-</t>
  </si>
  <si>
    <t>PM4 INVESTOR REPORT QUARTER ENDING SEPTEMBER 2004</t>
  </si>
  <si>
    <t>PM4 INVESTOR REPORT QUARTER ENDING DECEMBER 2004</t>
  </si>
  <si>
    <t>john.harvey@paragon-group.co.uk</t>
  </si>
  <si>
    <t>jimmy.giles@paragon-group.co.uk</t>
  </si>
  <si>
    <t>PM4 INVESTOR REPORT QUARTER ENDING MARCH 2005</t>
  </si>
  <si>
    <t>&gt;3&lt;=4 Months</t>
  </si>
  <si>
    <t>&gt;4&lt;=5 Months</t>
  </si>
  <si>
    <t>&gt;5&lt;=6 Months</t>
  </si>
  <si>
    <t>&gt;6&lt;=12 Months</t>
  </si>
  <si>
    <t>&gt;12 Months</t>
  </si>
  <si>
    <t>Contact Name      Tel.                        Email</t>
  </si>
  <si>
    <t>Jimmy Giles         0121 712 2315      jimmy.giles@paragon-group.co.uk</t>
  </si>
  <si>
    <t>John Harvey         0121 712 3894      john.harvey@paagon-group.co.uk</t>
  </si>
  <si>
    <t>Delinquency Summary (Excluding Receiver of Rent and Possession Cases)</t>
  </si>
  <si>
    <t>Delinquency Summary (For Receiver of Rent and Possession Cases)</t>
  </si>
  <si>
    <t>PM4 INVESTOR REPORT QUARTER ENDING JUNE 2005</t>
  </si>
  <si>
    <t>Release of the First Fund following repayment of the Notes</t>
  </si>
  <si>
    <t>Repayment of the First Loss Fund</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</si>
</sst>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09]#,##0"/>
    <numFmt numFmtId="181" formatCode="#,##0.000000"/>
    <numFmt numFmtId="182" formatCode="0.00000%"/>
    <numFmt numFmtId="183" formatCode="0.0%"/>
    <numFmt numFmtId="184" formatCode="[$£-809]#,##0.00"/>
    <numFmt numFmtId="185" formatCode="&quot;£&quot;#,##0"/>
    <numFmt numFmtId="186" formatCode="#,##0.0"/>
  </numFmts>
  <fonts count="28">
    <font>
      <sz val="12"/>
      <name val="Arial"/>
      <family val="0"/>
    </font>
    <font>
      <b/>
      <sz val="10"/>
      <name val="Arial"/>
      <family val="0"/>
    </font>
    <font>
      <i/>
      <sz val="10"/>
      <name val="Arial"/>
      <family val="0"/>
    </font>
    <font>
      <b/>
      <i/>
      <sz val="10"/>
      <name val="Arial"/>
      <family val="0"/>
    </font>
    <font>
      <sz val="12"/>
      <name val="Times New Roman"/>
      <family val="0"/>
    </font>
    <font>
      <b/>
      <u val="single"/>
      <sz val="16"/>
      <color indexed="12"/>
      <name val="Times New Roman"/>
      <family val="0"/>
    </font>
    <font>
      <b/>
      <u val="single"/>
      <sz val="12"/>
      <name val="Times New Roman"/>
      <family val="0"/>
    </font>
    <font>
      <u val="single"/>
      <sz val="12"/>
      <name val="Times New Roman"/>
      <family val="0"/>
    </font>
    <font>
      <b/>
      <sz val="12"/>
      <color indexed="29"/>
      <name val="Times New Roman"/>
      <family val="0"/>
    </font>
    <font>
      <b/>
      <i/>
      <sz val="10"/>
      <name val="Times New Roman"/>
      <family val="0"/>
    </font>
    <font>
      <b/>
      <i/>
      <sz val="12"/>
      <name val="Times New Roman"/>
      <family val="0"/>
    </font>
    <font>
      <b/>
      <sz val="12"/>
      <name val="Times New Roman"/>
      <family val="0"/>
    </font>
    <font>
      <b/>
      <sz val="12"/>
      <color indexed="12"/>
      <name val="Times New Roman"/>
      <family val="0"/>
    </font>
    <font>
      <sz val="12"/>
      <color indexed="12"/>
      <name val="Times New Roman"/>
      <family val="0"/>
    </font>
    <font>
      <b/>
      <u val="single"/>
      <sz val="12"/>
      <color indexed="12"/>
      <name val="Times New Roman"/>
      <family val="0"/>
    </font>
    <font>
      <b/>
      <sz val="12"/>
      <color indexed="12"/>
      <name val="Arial"/>
      <family val="0"/>
    </font>
    <font>
      <sz val="12"/>
      <color indexed="8"/>
      <name val="Times New Roman"/>
      <family val="0"/>
    </font>
    <font>
      <b/>
      <sz val="14"/>
      <name val="Times New Roman"/>
      <family val="0"/>
    </font>
    <font>
      <b/>
      <sz val="12"/>
      <color indexed="8"/>
      <name val="Times New Roman"/>
      <family val="0"/>
    </font>
    <font>
      <b/>
      <u val="single"/>
      <sz val="12"/>
      <color indexed="8"/>
      <name val="Times New Roman"/>
      <family val="0"/>
    </font>
    <font>
      <sz val="12"/>
      <color indexed="12"/>
      <name val="Arial"/>
      <family val="0"/>
    </font>
    <font>
      <b/>
      <sz val="12"/>
      <color indexed="12"/>
      <name val="Arial MT"/>
      <family val="0"/>
    </font>
    <font>
      <b/>
      <sz val="12"/>
      <name val="Arial"/>
      <family val="0"/>
    </font>
    <font>
      <b/>
      <sz val="12"/>
      <color indexed="53"/>
      <name val="Times New Roman"/>
      <family val="1"/>
    </font>
    <font>
      <b/>
      <u val="single"/>
      <sz val="12"/>
      <color indexed="53"/>
      <name val="Times New Roman"/>
      <family val="1"/>
    </font>
    <font>
      <sz val="12"/>
      <color indexed="53"/>
      <name val="Times New Roman"/>
      <family val="1"/>
    </font>
    <font>
      <u val="single"/>
      <sz val="8.4"/>
      <color indexed="12"/>
      <name val="Arial"/>
      <family val="0"/>
    </font>
    <font>
      <u val="single"/>
      <sz val="8.4"/>
      <color indexed="36"/>
      <name val="Arial"/>
      <family val="0"/>
    </font>
  </fonts>
  <fills count="3">
    <fill>
      <patternFill/>
    </fill>
    <fill>
      <patternFill patternType="gray125"/>
    </fill>
    <fill>
      <patternFill patternType="solid">
        <fgColor indexed="26"/>
        <bgColor indexed="64"/>
      </patternFill>
    </fill>
  </fills>
  <borders count="16">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cellStyleXfs>
  <cellXfs count="164">
    <xf numFmtId="0" fontId="0" fillId="0" borderId="0" xfId="0" applyAlignment="1">
      <alignment/>
    </xf>
    <xf numFmtId="0" fontId="0" fillId="0" borderId="0" xfId="0" applyNumberFormat="1" applyFont="1" applyAlignment="1">
      <alignment/>
    </xf>
    <xf numFmtId="0" fontId="4" fillId="2" borderId="1" xfId="0" applyNumberFormat="1" applyFont="1" applyFill="1" applyAlignment="1">
      <alignment/>
    </xf>
    <xf numFmtId="0" fontId="5" fillId="2" borderId="2" xfId="0" applyNumberFormat="1" applyFont="1" applyFill="1" applyAlignment="1">
      <alignment/>
    </xf>
    <xf numFmtId="0" fontId="6" fillId="2" borderId="2" xfId="0" applyNumberFormat="1" applyFont="1" applyFill="1" applyAlignment="1">
      <alignment/>
    </xf>
    <xf numFmtId="0" fontId="4" fillId="2" borderId="2" xfId="0" applyNumberFormat="1" applyFont="1" applyFill="1" applyAlignment="1">
      <alignment/>
    </xf>
    <xf numFmtId="0" fontId="0" fillId="0" borderId="3" xfId="0" applyNumberFormat="1" applyAlignment="1">
      <alignment/>
    </xf>
    <xf numFmtId="0" fontId="4" fillId="2" borderId="3" xfId="0" applyNumberFormat="1" applyFont="1" applyFill="1" applyAlignment="1">
      <alignment/>
    </xf>
    <xf numFmtId="0" fontId="7" fillId="2" borderId="0" xfId="0" applyNumberFormat="1" applyFont="1" applyFill="1" applyAlignment="1">
      <alignment/>
    </xf>
    <xf numFmtId="0" fontId="4" fillId="2" borderId="0" xfId="0" applyNumberFormat="1" applyFont="1" applyFill="1" applyAlignment="1">
      <alignment/>
    </xf>
    <xf numFmtId="0" fontId="4" fillId="2" borderId="3" xfId="0" applyNumberFormat="1" applyFont="1" applyFill="1" applyAlignment="1">
      <alignment horizontal="center"/>
    </xf>
    <xf numFmtId="0" fontId="8" fillId="2" borderId="0" xfId="0" applyNumberFormat="1" applyFont="1" applyFill="1" applyAlignment="1">
      <alignment/>
    </xf>
    <xf numFmtId="0" fontId="9" fillId="2" borderId="0" xfId="0" applyNumberFormat="1" applyFont="1" applyFill="1" applyAlignment="1">
      <alignment/>
    </xf>
    <xf numFmtId="0" fontId="10" fillId="2" borderId="0" xfId="0" applyNumberFormat="1" applyFont="1" applyFill="1" applyAlignment="1">
      <alignment/>
    </xf>
    <xf numFmtId="0" fontId="0" fillId="2" borderId="0" xfId="0" applyNumberFormat="1" applyFont="1" applyFill="1" applyAlignment="1">
      <alignment/>
    </xf>
    <xf numFmtId="0" fontId="11" fillId="2" borderId="0" xfId="0" applyNumberFormat="1" applyFont="1" applyFill="1" applyAlignment="1">
      <alignment/>
    </xf>
    <xf numFmtId="0" fontId="12" fillId="2" borderId="0" xfId="0" applyNumberFormat="1" applyFont="1" applyFill="1" applyAlignment="1">
      <alignment/>
    </xf>
    <xf numFmtId="0" fontId="13" fillId="2" borderId="0" xfId="0" applyNumberFormat="1" applyFont="1" applyFill="1" applyAlignment="1">
      <alignment/>
    </xf>
    <xf numFmtId="0" fontId="14" fillId="2" borderId="0" xfId="0" applyNumberFormat="1" applyFont="1" applyFill="1" applyAlignment="1">
      <alignment horizontal="center" wrapText="1"/>
    </xf>
    <xf numFmtId="0" fontId="12" fillId="2" borderId="0" xfId="0" applyNumberFormat="1" applyFont="1" applyFill="1" applyAlignment="1">
      <alignment horizontal="center"/>
    </xf>
    <xf numFmtId="9" fontId="12" fillId="2" borderId="0" xfId="0" applyNumberFormat="1" applyFont="1" applyFill="1" applyAlignment="1">
      <alignment horizontal="center"/>
    </xf>
    <xf numFmtId="15" fontId="12" fillId="2" borderId="0" xfId="0" applyNumberFormat="1" applyFont="1" applyFill="1" applyAlignment="1">
      <alignment horizontal="center"/>
    </xf>
    <xf numFmtId="0" fontId="4" fillId="2" borderId="0" xfId="0" applyNumberFormat="1" applyFont="1" applyFill="1" applyAlignment="1">
      <alignment horizontal="center"/>
    </xf>
    <xf numFmtId="0" fontId="6" fillId="2" borderId="0" xfId="0" applyNumberFormat="1" applyFont="1" applyFill="1" applyAlignment="1">
      <alignment/>
    </xf>
    <xf numFmtId="0" fontId="4" fillId="2" borderId="0" xfId="0" applyNumberFormat="1" applyFont="1" applyFill="1" applyAlignment="1">
      <alignment horizontal="right"/>
    </xf>
    <xf numFmtId="0" fontId="4" fillId="2" borderId="0" xfId="0" applyNumberFormat="1" applyFont="1" applyFill="1" applyAlignment="1">
      <alignment horizontal="center" wrapText="1"/>
    </xf>
    <xf numFmtId="0" fontId="8" fillId="2" borderId="0" xfId="0" applyNumberFormat="1" applyFont="1" applyFill="1" applyAlignment="1">
      <alignment horizontal="center" wrapText="1"/>
    </xf>
    <xf numFmtId="0" fontId="4" fillId="2" borderId="4" xfId="0" applyNumberFormat="1" applyFont="1" applyFill="1" applyAlignment="1">
      <alignment/>
    </xf>
    <xf numFmtId="0" fontId="4" fillId="2" borderId="5" xfId="0" applyNumberFormat="1" applyFont="1" applyFill="1" applyAlignment="1">
      <alignment/>
    </xf>
    <xf numFmtId="0" fontId="4" fillId="2" borderId="5" xfId="0" applyNumberFormat="1" applyFont="1" applyFill="1" applyAlignment="1">
      <alignment horizontal="center"/>
    </xf>
    <xf numFmtId="0" fontId="4" fillId="2" borderId="5" xfId="0" applyNumberFormat="1" applyFont="1" applyFill="1" applyAlignment="1">
      <alignment horizontal="center" wrapText="1"/>
    </xf>
    <xf numFmtId="0" fontId="0" fillId="2" borderId="5" xfId="0" applyNumberFormat="1" applyFont="1" applyFill="1" applyAlignment="1">
      <alignment/>
    </xf>
    <xf numFmtId="0" fontId="12" fillId="2" borderId="4" xfId="0" applyNumberFormat="1" applyFont="1" applyFill="1" applyAlignment="1">
      <alignment/>
    </xf>
    <xf numFmtId="0" fontId="12" fillId="2" borderId="5" xfId="0" applyNumberFormat="1" applyFont="1" applyFill="1" applyAlignment="1">
      <alignment/>
    </xf>
    <xf numFmtId="0" fontId="12" fillId="2" borderId="5" xfId="0" applyNumberFormat="1" applyFont="1" applyFill="1" applyAlignment="1">
      <alignment horizontal="center" wrapText="1"/>
    </xf>
    <xf numFmtId="180" fontId="4" fillId="2" borderId="5" xfId="0" applyNumberFormat="1" applyFont="1" applyFill="1" applyAlignment="1">
      <alignment horizontal="center"/>
    </xf>
    <xf numFmtId="180" fontId="4" fillId="2" borderId="5" xfId="0" applyNumberFormat="1" applyFont="1" applyFill="1" applyAlignment="1">
      <alignment/>
    </xf>
    <xf numFmtId="180" fontId="0" fillId="2" borderId="5" xfId="0" applyNumberFormat="1" applyFont="1" applyFill="1" applyAlignment="1">
      <alignment/>
    </xf>
    <xf numFmtId="3" fontId="4" fillId="2" borderId="5" xfId="0" applyNumberFormat="1" applyFont="1" applyFill="1" applyAlignment="1">
      <alignment/>
    </xf>
    <xf numFmtId="181" fontId="4" fillId="2" borderId="5" xfId="0" applyNumberFormat="1" applyFont="1" applyFill="1" applyAlignment="1">
      <alignment vertical="top"/>
    </xf>
    <xf numFmtId="181" fontId="12" fillId="2" borderId="5" xfId="0" applyNumberFormat="1" applyFont="1" applyFill="1" applyAlignment="1">
      <alignment/>
    </xf>
    <xf numFmtId="180" fontId="12" fillId="2" borderId="5" xfId="0" applyNumberFormat="1" applyFont="1" applyFill="1" applyAlignment="1">
      <alignment horizontal="center"/>
    </xf>
    <xf numFmtId="180" fontId="12" fillId="2" borderId="5" xfId="0" applyNumberFormat="1" applyFont="1" applyFill="1" applyAlignment="1">
      <alignment/>
    </xf>
    <xf numFmtId="180" fontId="15" fillId="2" borderId="5" xfId="0" applyNumberFormat="1" applyFont="1" applyFill="1" applyAlignment="1">
      <alignment/>
    </xf>
    <xf numFmtId="0" fontId="4" fillId="2" borderId="5" xfId="0" applyNumberFormat="1" applyFont="1" applyFill="1" applyAlignment="1">
      <alignment vertical="top"/>
    </xf>
    <xf numFmtId="182" fontId="4" fillId="2" borderId="5" xfId="0" applyNumberFormat="1" applyFont="1" applyFill="1" applyAlignment="1">
      <alignment horizontal="center"/>
    </xf>
    <xf numFmtId="10" fontId="4" fillId="2" borderId="5" xfId="0" applyNumberFormat="1" applyFont="1" applyFill="1" applyAlignment="1">
      <alignment horizontal="center"/>
    </xf>
    <xf numFmtId="0" fontId="4" fillId="2" borderId="5" xfId="0" applyNumberFormat="1" applyFont="1" applyFill="1" applyAlignment="1">
      <alignment horizontal="right"/>
    </xf>
    <xf numFmtId="4" fontId="4" fillId="2" borderId="5" xfId="0" applyNumberFormat="1" applyFont="1" applyFill="1" applyAlignment="1">
      <alignment horizontal="center"/>
    </xf>
    <xf numFmtId="15" fontId="12" fillId="2" borderId="5" xfId="0" applyNumberFormat="1" applyFont="1" applyFill="1" applyAlignment="1">
      <alignment horizontal="center"/>
    </xf>
    <xf numFmtId="15" fontId="12" fillId="2" borderId="5" xfId="0" applyNumberFormat="1" applyFont="1" applyFill="1" applyAlignment="1">
      <alignment horizontal="center"/>
    </xf>
    <xf numFmtId="15" fontId="16" fillId="2" borderId="5" xfId="0" applyNumberFormat="1" applyFont="1" applyFill="1" applyAlignment="1">
      <alignment horizontal="center"/>
    </xf>
    <xf numFmtId="15" fontId="16" fillId="2" borderId="5" xfId="0" applyNumberFormat="1" applyFont="1" applyFill="1" applyAlignment="1">
      <alignment horizontal="center"/>
    </xf>
    <xf numFmtId="15" fontId="16" fillId="2" borderId="0" xfId="0" applyNumberFormat="1" applyFont="1" applyFill="1" applyAlignment="1">
      <alignment horizontal="center"/>
    </xf>
    <xf numFmtId="15" fontId="16" fillId="2" borderId="0" xfId="0" applyNumberFormat="1" applyFont="1" applyFill="1" applyAlignment="1">
      <alignment horizontal="center"/>
    </xf>
    <xf numFmtId="0" fontId="17" fillId="2" borderId="0" xfId="0" applyNumberFormat="1" applyFont="1" applyFill="1" applyAlignment="1">
      <alignment/>
    </xf>
    <xf numFmtId="0" fontId="4" fillId="2" borderId="2" xfId="0" applyNumberFormat="1" applyFont="1" applyFill="1" applyAlignment="1">
      <alignment horizontal="right"/>
    </xf>
    <xf numFmtId="0" fontId="14" fillId="2" borderId="0" xfId="0" applyNumberFormat="1" applyFont="1" applyFill="1" applyAlignment="1">
      <alignment/>
    </xf>
    <xf numFmtId="4" fontId="4" fillId="2" borderId="0" xfId="0" applyNumberFormat="1" applyFont="1" applyFill="1" applyAlignment="1">
      <alignment horizontal="right"/>
    </xf>
    <xf numFmtId="3" fontId="16" fillId="2" borderId="5" xfId="0" applyNumberFormat="1" applyFont="1" applyFill="1" applyAlignment="1">
      <alignment horizontal="right"/>
    </xf>
    <xf numFmtId="3" fontId="16" fillId="2" borderId="5" xfId="0" applyNumberFormat="1" applyFont="1" applyFill="1" applyAlignment="1">
      <alignment/>
    </xf>
    <xf numFmtId="3" fontId="4" fillId="2" borderId="0" xfId="0" applyNumberFormat="1" applyFont="1" applyFill="1" applyAlignment="1">
      <alignment/>
    </xf>
    <xf numFmtId="3" fontId="16" fillId="2" borderId="0" xfId="0" applyNumberFormat="1" applyFont="1" applyFill="1" applyAlignment="1">
      <alignment/>
    </xf>
    <xf numFmtId="15" fontId="4" fillId="2" borderId="5" xfId="0" applyNumberFormat="1" applyFont="1" applyFill="1" applyAlignment="1">
      <alignment/>
    </xf>
    <xf numFmtId="0" fontId="6" fillId="2" borderId="5" xfId="0" applyNumberFormat="1" applyFont="1" applyFill="1" applyAlignment="1">
      <alignment/>
    </xf>
    <xf numFmtId="4" fontId="16" fillId="2" borderId="5" xfId="0" applyNumberFormat="1" applyFont="1" applyFill="1" applyAlignment="1">
      <alignment horizontal="right"/>
    </xf>
    <xf numFmtId="4" fontId="4" fillId="2" borderId="2" xfId="0" applyNumberFormat="1" applyFont="1" applyFill="1" applyAlignment="1">
      <alignment horizontal="right"/>
    </xf>
    <xf numFmtId="4" fontId="4" fillId="2" borderId="5" xfId="0" applyNumberFormat="1" applyFont="1" applyFill="1" applyAlignment="1">
      <alignment horizontal="right"/>
    </xf>
    <xf numFmtId="4" fontId="4" fillId="2" borderId="5" xfId="0" applyNumberFormat="1" applyFont="1" applyFill="1" applyAlignment="1">
      <alignment/>
    </xf>
    <xf numFmtId="4" fontId="16" fillId="2" borderId="5" xfId="0" applyNumberFormat="1" applyFont="1" applyFill="1" applyAlignment="1">
      <alignment horizontal="center"/>
    </xf>
    <xf numFmtId="4" fontId="16" fillId="2" borderId="0" xfId="0" applyNumberFormat="1" applyFont="1" applyFill="1" applyAlignment="1">
      <alignment horizontal="right"/>
    </xf>
    <xf numFmtId="15" fontId="18" fillId="2" borderId="5" xfId="0" applyNumberFormat="1" applyFont="1" applyFill="1" applyAlignment="1">
      <alignment horizontal="center"/>
    </xf>
    <xf numFmtId="0" fontId="11" fillId="2" borderId="5" xfId="0" applyNumberFormat="1" applyFont="1" applyFill="1" applyAlignment="1">
      <alignment/>
    </xf>
    <xf numFmtId="0" fontId="4" fillId="2" borderId="0" xfId="0" applyNumberFormat="1" applyFont="1" applyFill="1" applyAlignment="1">
      <alignment/>
    </xf>
    <xf numFmtId="2" fontId="16" fillId="2" borderId="5" xfId="0" applyNumberFormat="1" applyFont="1" applyFill="1" applyAlignment="1">
      <alignment horizontal="right"/>
    </xf>
    <xf numFmtId="0" fontId="0" fillId="2" borderId="2" xfId="0" applyNumberFormat="1" applyFont="1" applyFill="1" applyAlignment="1">
      <alignment/>
    </xf>
    <xf numFmtId="0" fontId="13" fillId="2" borderId="3" xfId="0" applyNumberFormat="1" applyFont="1" applyFill="1" applyAlignment="1">
      <alignment/>
    </xf>
    <xf numFmtId="15" fontId="12" fillId="2" borderId="0" xfId="0" applyNumberFormat="1" applyFont="1" applyFill="1" applyAlignment="1">
      <alignment horizontal="centerContinuous"/>
    </xf>
    <xf numFmtId="0" fontId="16" fillId="2" borderId="3" xfId="0" applyNumberFormat="1" applyFont="1" applyFill="1" applyAlignment="1">
      <alignment/>
    </xf>
    <xf numFmtId="0" fontId="19" fillId="2" borderId="0" xfId="0" applyNumberFormat="1" applyFont="1" applyFill="1" applyAlignment="1">
      <alignment/>
    </xf>
    <xf numFmtId="15" fontId="18" fillId="2" borderId="0" xfId="0" applyNumberFormat="1" applyFont="1" applyFill="1" applyAlignment="1">
      <alignment horizontal="centerContinuous"/>
    </xf>
    <xf numFmtId="15" fontId="18" fillId="2" borderId="0" xfId="0" applyNumberFormat="1" applyFont="1" applyFill="1" applyAlignment="1">
      <alignment horizontal="center"/>
    </xf>
    <xf numFmtId="0" fontId="16" fillId="2" borderId="4" xfId="0" applyNumberFormat="1" applyFont="1" applyFill="1" applyAlignment="1">
      <alignment/>
    </xf>
    <xf numFmtId="0" fontId="16" fillId="2" borderId="5" xfId="0" applyNumberFormat="1" applyFont="1" applyFill="1" applyAlignment="1">
      <alignment/>
    </xf>
    <xf numFmtId="15" fontId="18" fillId="2" borderId="5" xfId="0" applyNumberFormat="1" applyFont="1" applyFill="1" applyAlignment="1">
      <alignment horizontal="centerContinuous"/>
    </xf>
    <xf numFmtId="10" fontId="16" fillId="2" borderId="5" xfId="0" applyNumberFormat="1" applyFont="1" applyFill="1" applyAlignment="1">
      <alignment horizontal="center"/>
    </xf>
    <xf numFmtId="3" fontId="16" fillId="2" borderId="5" xfId="0" applyNumberFormat="1" applyFont="1" applyFill="1" applyAlignment="1">
      <alignment horizontal="center"/>
    </xf>
    <xf numFmtId="4" fontId="16" fillId="2" borderId="5" xfId="0" applyNumberFormat="1" applyFont="1" applyFill="1" applyAlignment="1">
      <alignment horizontal="center"/>
    </xf>
    <xf numFmtId="0" fontId="4" fillId="2" borderId="5" xfId="0" applyNumberFormat="1" applyFont="1" applyFill="1" applyAlignment="1">
      <alignment/>
    </xf>
    <xf numFmtId="0" fontId="16" fillId="2" borderId="3" xfId="0" applyNumberFormat="1" applyFont="1" applyFill="1" applyAlignment="1">
      <alignment horizontal="right"/>
    </xf>
    <xf numFmtId="0" fontId="18" fillId="2" borderId="0" xfId="0" applyNumberFormat="1" applyFont="1" applyFill="1" applyAlignment="1">
      <alignment horizontal="center"/>
    </xf>
    <xf numFmtId="3" fontId="18" fillId="2" borderId="0" xfId="0" applyNumberFormat="1" applyFont="1" applyFill="1" applyAlignment="1">
      <alignment horizontal="center"/>
    </xf>
    <xf numFmtId="3" fontId="12" fillId="2" borderId="0" xfId="0" applyNumberFormat="1" applyFont="1" applyFill="1" applyAlignment="1">
      <alignment horizontal="center"/>
    </xf>
    <xf numFmtId="0" fontId="16" fillId="2" borderId="4" xfId="0" applyNumberFormat="1" applyFont="1" applyFill="1" applyAlignment="1">
      <alignment horizontal="right"/>
    </xf>
    <xf numFmtId="3" fontId="16" fillId="2" borderId="5" xfId="0" applyNumberFormat="1" applyFont="1" applyFill="1" applyAlignment="1">
      <alignment horizontal="center"/>
    </xf>
    <xf numFmtId="3" fontId="18" fillId="2" borderId="5" xfId="0" applyNumberFormat="1" applyFont="1" applyFill="1" applyAlignment="1">
      <alignment/>
    </xf>
    <xf numFmtId="0" fontId="16" fillId="2" borderId="4" xfId="0" applyNumberFormat="1" applyFont="1" applyFill="1" applyAlignment="1">
      <alignment horizontal="center"/>
    </xf>
    <xf numFmtId="0" fontId="18" fillId="2" borderId="5" xfId="0" applyNumberFormat="1" applyFont="1" applyFill="1" applyAlignment="1">
      <alignment/>
    </xf>
    <xf numFmtId="0" fontId="16" fillId="2" borderId="5" xfId="0" applyNumberFormat="1" applyFont="1" applyFill="1" applyAlignment="1">
      <alignment horizontal="right"/>
    </xf>
    <xf numFmtId="4" fontId="16" fillId="2" borderId="5" xfId="0" applyNumberFormat="1" applyFont="1" applyFill="1" applyAlignment="1">
      <alignment horizontal="right"/>
    </xf>
    <xf numFmtId="9" fontId="16" fillId="2" borderId="5" xfId="0" applyNumberFormat="1" applyFont="1" applyFill="1" applyAlignment="1">
      <alignment horizontal="right"/>
    </xf>
    <xf numFmtId="10" fontId="16" fillId="2" borderId="5" xfId="0" applyNumberFormat="1" applyFont="1" applyFill="1" applyAlignment="1">
      <alignment horizontal="center"/>
    </xf>
    <xf numFmtId="0" fontId="18" fillId="2" borderId="0" xfId="0" applyNumberFormat="1" applyFont="1" applyFill="1" applyAlignment="1">
      <alignment/>
    </xf>
    <xf numFmtId="183" fontId="16" fillId="2" borderId="5" xfId="0" applyNumberFormat="1" applyFont="1" applyFill="1" applyAlignment="1">
      <alignment/>
    </xf>
    <xf numFmtId="183" fontId="4" fillId="2" borderId="5" xfId="0" applyNumberFormat="1" applyFont="1" applyFill="1" applyAlignment="1">
      <alignment/>
    </xf>
    <xf numFmtId="10" fontId="16" fillId="2" borderId="5" xfId="0" applyNumberFormat="1" applyFont="1" applyFill="1" applyAlignment="1">
      <alignment/>
    </xf>
    <xf numFmtId="10" fontId="18" fillId="2" borderId="5" xfId="0" applyNumberFormat="1" applyFont="1" applyFill="1" applyAlignment="1">
      <alignment/>
    </xf>
    <xf numFmtId="9" fontId="4" fillId="2" borderId="5" xfId="0" applyNumberFormat="1" applyFont="1" applyFill="1" applyAlignment="1">
      <alignment/>
    </xf>
    <xf numFmtId="9" fontId="4" fillId="2" borderId="0" xfId="0" applyNumberFormat="1" applyFont="1" applyFill="1" applyAlignment="1">
      <alignment/>
    </xf>
    <xf numFmtId="3" fontId="16" fillId="2" borderId="0" xfId="0" applyNumberFormat="1" applyFont="1" applyFill="1" applyAlignment="1">
      <alignment horizontal="right"/>
    </xf>
    <xf numFmtId="0" fontId="20" fillId="2" borderId="3" xfId="0" applyNumberFormat="1" applyFont="1" applyFill="1" applyAlignment="1">
      <alignment/>
    </xf>
    <xf numFmtId="0" fontId="21" fillId="2" borderId="0" xfId="0" applyNumberFormat="1" applyFont="1" applyFill="1" applyAlignment="1">
      <alignment horizontal="center"/>
    </xf>
    <xf numFmtId="0" fontId="20" fillId="2" borderId="0" xfId="0" applyNumberFormat="1" applyFont="1" applyFill="1" applyAlignment="1">
      <alignment/>
    </xf>
    <xf numFmtId="0" fontId="0" fillId="2" borderId="3" xfId="0" applyNumberFormat="1" applyFont="1" applyFill="1" applyAlignment="1">
      <alignment/>
    </xf>
    <xf numFmtId="0" fontId="22" fillId="2" borderId="0" xfId="0" applyNumberFormat="1" applyFont="1" applyFill="1" applyAlignment="1">
      <alignment/>
    </xf>
    <xf numFmtId="0" fontId="11" fillId="2" borderId="0" xfId="0" applyNumberFormat="1" applyFont="1" applyFill="1" applyAlignment="1">
      <alignment horizontal="center"/>
    </xf>
    <xf numFmtId="0" fontId="0" fillId="0" borderId="2" xfId="0" applyNumberFormat="1" applyAlignment="1">
      <alignment/>
    </xf>
    <xf numFmtId="182" fontId="4" fillId="2" borderId="5" xfId="0" applyNumberFormat="1" applyFont="1" applyFill="1" applyAlignment="1">
      <alignment/>
    </xf>
    <xf numFmtId="0" fontId="4" fillId="2" borderId="6" xfId="0" applyNumberFormat="1" applyFont="1" applyFill="1" applyBorder="1" applyAlignment="1">
      <alignment/>
    </xf>
    <xf numFmtId="0" fontId="17" fillId="2" borderId="7" xfId="0" applyNumberFormat="1" applyFont="1" applyFill="1" applyBorder="1" applyAlignment="1">
      <alignment/>
    </xf>
    <xf numFmtId="0" fontId="4" fillId="2" borderId="7" xfId="0" applyNumberFormat="1" applyFont="1" applyFill="1" applyBorder="1" applyAlignment="1">
      <alignment/>
    </xf>
    <xf numFmtId="15" fontId="16" fillId="2" borderId="7" xfId="0" applyNumberFormat="1" applyFont="1" applyFill="1" applyBorder="1" applyAlignment="1">
      <alignment horizontal="center"/>
    </xf>
    <xf numFmtId="15" fontId="16" fillId="2" borderId="7" xfId="0" applyNumberFormat="1" applyFont="1" applyFill="1" applyBorder="1" applyAlignment="1">
      <alignment horizontal="center"/>
    </xf>
    <xf numFmtId="0" fontId="4" fillId="2" borderId="8" xfId="0" applyNumberFormat="1" applyFont="1" applyFill="1" applyBorder="1" applyAlignment="1">
      <alignment/>
    </xf>
    <xf numFmtId="4" fontId="4" fillId="2" borderId="7" xfId="0" applyNumberFormat="1" applyFont="1" applyFill="1" applyBorder="1" applyAlignment="1">
      <alignment horizontal="right"/>
    </xf>
    <xf numFmtId="0" fontId="0" fillId="2" borderId="0" xfId="0" applyNumberFormat="1" applyFont="1" applyFill="1" applyAlignment="1">
      <alignment/>
    </xf>
    <xf numFmtId="0" fontId="0" fillId="2" borderId="5" xfId="0" applyNumberFormat="1" applyFont="1" applyFill="1" applyAlignment="1">
      <alignment/>
    </xf>
    <xf numFmtId="180" fontId="0" fillId="2" borderId="5" xfId="0" applyNumberFormat="1" applyFont="1" applyFill="1" applyAlignment="1">
      <alignment/>
    </xf>
    <xf numFmtId="0" fontId="0" fillId="2" borderId="2" xfId="0" applyNumberFormat="1" applyFont="1" applyFill="1" applyAlignment="1">
      <alignment/>
    </xf>
    <xf numFmtId="0" fontId="0" fillId="2" borderId="3" xfId="0" applyNumberFormat="1" applyFont="1" applyFill="1" applyAlignment="1">
      <alignment/>
    </xf>
    <xf numFmtId="182" fontId="4" fillId="2" borderId="5" xfId="0" applyNumberFormat="1" applyFont="1" applyFill="1" applyAlignment="1">
      <alignment horizontal="right"/>
    </xf>
    <xf numFmtId="0" fontId="23" fillId="2" borderId="0" xfId="0" applyNumberFormat="1" applyFont="1" applyFill="1" applyAlignment="1">
      <alignment/>
    </xf>
    <xf numFmtId="0" fontId="23" fillId="2" borderId="0" xfId="0" applyNumberFormat="1" applyFont="1" applyFill="1" applyAlignment="1">
      <alignment horizontal="center"/>
    </xf>
    <xf numFmtId="0" fontId="23" fillId="2" borderId="0" xfId="0" applyNumberFormat="1" applyFont="1" applyFill="1" applyAlignment="1">
      <alignment horizontal="center" wrapText="1"/>
    </xf>
    <xf numFmtId="0" fontId="23" fillId="2" borderId="0" xfId="0" applyNumberFormat="1" applyFont="1" applyFill="1" applyAlignment="1">
      <alignment horizontal="left" vertical="top" wrapText="1"/>
    </xf>
    <xf numFmtId="0" fontId="23" fillId="2" borderId="0" xfId="0" applyNumberFormat="1" applyFont="1" applyFill="1" applyAlignment="1">
      <alignment horizontal="center" vertical="top" wrapText="1"/>
    </xf>
    <xf numFmtId="4" fontId="23" fillId="2" borderId="0" xfId="0" applyNumberFormat="1" applyFont="1" applyFill="1" applyAlignment="1">
      <alignment horizontal="center" vertical="top" wrapText="1"/>
    </xf>
    <xf numFmtId="0" fontId="24" fillId="2" borderId="5" xfId="0" applyNumberFormat="1" applyFont="1" applyFill="1" applyAlignment="1">
      <alignment/>
    </xf>
    <xf numFmtId="0" fontId="24" fillId="2" borderId="0" xfId="0" applyNumberFormat="1" applyFont="1" applyFill="1" applyAlignment="1">
      <alignment/>
    </xf>
    <xf numFmtId="0" fontId="23" fillId="2" borderId="0" xfId="0" applyNumberFormat="1" applyFont="1" applyFill="1" applyAlignment="1">
      <alignment horizontal="right"/>
    </xf>
    <xf numFmtId="4" fontId="23" fillId="2" borderId="0" xfId="0" applyNumberFormat="1" applyFont="1" applyFill="1" applyAlignment="1">
      <alignment horizontal="right"/>
    </xf>
    <xf numFmtId="0" fontId="23" fillId="2" borderId="5" xfId="0" applyNumberFormat="1" applyFont="1" applyFill="1" applyAlignment="1">
      <alignment/>
    </xf>
    <xf numFmtId="0" fontId="25" fillId="2" borderId="2" xfId="0" applyNumberFormat="1" applyFont="1" applyFill="1" applyAlignment="1">
      <alignment/>
    </xf>
    <xf numFmtId="10" fontId="4" fillId="2" borderId="5" xfId="0" applyNumberFormat="1" applyFont="1" applyFill="1" applyAlignment="1">
      <alignment/>
    </xf>
    <xf numFmtId="184" fontId="0" fillId="0" borderId="0" xfId="0" applyNumberFormat="1" applyFont="1" applyAlignment="1">
      <alignment/>
    </xf>
    <xf numFmtId="3" fontId="0" fillId="0" borderId="0" xfId="0" applyNumberFormat="1" applyFont="1" applyAlignment="1">
      <alignment/>
    </xf>
    <xf numFmtId="0" fontId="4" fillId="2" borderId="9" xfId="0" applyNumberFormat="1" applyFont="1" applyFill="1" applyBorder="1" applyAlignment="1">
      <alignment/>
    </xf>
    <xf numFmtId="0" fontId="4" fillId="2" borderId="10" xfId="0" applyNumberFormat="1" applyFont="1" applyFill="1" applyBorder="1" applyAlignment="1">
      <alignment/>
    </xf>
    <xf numFmtId="0" fontId="4" fillId="2" borderId="11" xfId="0" applyNumberFormat="1" applyFont="1" applyFill="1" applyBorder="1" applyAlignment="1">
      <alignment/>
    </xf>
    <xf numFmtId="0" fontId="4" fillId="2" borderId="3" xfId="0" applyNumberFormat="1" applyFont="1" applyFill="1" applyBorder="1" applyAlignment="1">
      <alignment/>
    </xf>
    <xf numFmtId="0" fontId="4" fillId="2" borderId="0" xfId="0" applyNumberFormat="1" applyFont="1" applyFill="1" applyBorder="1" applyAlignment="1">
      <alignment/>
    </xf>
    <xf numFmtId="3" fontId="4" fillId="2" borderId="0" xfId="0" applyNumberFormat="1" applyFont="1" applyFill="1" applyBorder="1" applyAlignment="1">
      <alignment/>
    </xf>
    <xf numFmtId="9" fontId="4" fillId="2" borderId="0" xfId="0" applyNumberFormat="1" applyFont="1" applyFill="1" applyBorder="1" applyAlignment="1">
      <alignment/>
    </xf>
    <xf numFmtId="3" fontId="16" fillId="2" borderId="0" xfId="0" applyNumberFormat="1" applyFont="1" applyFill="1" applyBorder="1" applyAlignment="1">
      <alignment horizontal="right"/>
    </xf>
    <xf numFmtId="0" fontId="4" fillId="2" borderId="12" xfId="0" applyNumberFormat="1" applyFont="1" applyFill="1" applyBorder="1" applyAlignment="1">
      <alignment/>
    </xf>
    <xf numFmtId="0" fontId="12" fillId="2" borderId="10" xfId="0" applyNumberFormat="1" applyFont="1" applyFill="1" applyBorder="1" applyAlignment="1">
      <alignment/>
    </xf>
    <xf numFmtId="0" fontId="12" fillId="2" borderId="10" xfId="0" applyNumberFormat="1" applyFont="1" applyFill="1" applyBorder="1" applyAlignment="1">
      <alignment horizontal="center"/>
    </xf>
    <xf numFmtId="3" fontId="12" fillId="2" borderId="10" xfId="0" applyNumberFormat="1" applyFont="1" applyFill="1" applyBorder="1" applyAlignment="1">
      <alignment horizontal="center"/>
    </xf>
    <xf numFmtId="0" fontId="4" fillId="2" borderId="13" xfId="0" applyNumberFormat="1" applyFont="1" applyFill="1" applyBorder="1" applyAlignment="1">
      <alignment/>
    </xf>
    <xf numFmtId="0" fontId="4" fillId="2" borderId="14" xfId="0" applyNumberFormat="1" applyFont="1" applyFill="1" applyBorder="1" applyAlignment="1">
      <alignment/>
    </xf>
    <xf numFmtId="3" fontId="4" fillId="2" borderId="14" xfId="0" applyNumberFormat="1" applyFont="1" applyFill="1" applyBorder="1" applyAlignment="1">
      <alignment/>
    </xf>
    <xf numFmtId="9" fontId="4" fillId="2" borderId="14" xfId="0" applyNumberFormat="1" applyFont="1" applyFill="1" applyBorder="1" applyAlignment="1">
      <alignment/>
    </xf>
    <xf numFmtId="3" fontId="16" fillId="2" borderId="14" xfId="0" applyNumberFormat="1" applyFont="1" applyFill="1" applyBorder="1" applyAlignment="1">
      <alignment horizontal="right"/>
    </xf>
    <xf numFmtId="0" fontId="4" fillId="2" borderId="15" xfId="0" applyNumberFormat="1" applyFont="1" applyFill="1" applyBorder="1" applyAlignment="1">
      <alignment/>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51</xdr:row>
      <xdr:rowOff>152400</xdr:rowOff>
    </xdr:from>
    <xdr:to>
      <xdr:col>1</xdr:col>
      <xdr:colOff>57150</xdr:colOff>
      <xdr:row>52</xdr:row>
      <xdr:rowOff>190500</xdr:rowOff>
    </xdr:to>
    <xdr:pic>
      <xdr:nvPicPr>
        <xdr:cNvPr id="1" name="Picture 1"/>
        <xdr:cNvPicPr preferRelativeResize="1">
          <a:picLocks noChangeAspect="1"/>
        </xdr:cNvPicPr>
      </xdr:nvPicPr>
      <xdr:blipFill>
        <a:blip r:link="rId1"/>
        <a:stretch>
          <a:fillRect/>
        </a:stretch>
      </xdr:blipFill>
      <xdr:spPr>
        <a:xfrm>
          <a:off x="57150" y="10134600"/>
          <a:ext cx="314325" cy="238125"/>
        </a:xfrm>
        <a:prstGeom prst="rect">
          <a:avLst/>
        </a:prstGeom>
        <a:noFill/>
        <a:ln w="9525" cmpd="sng">
          <a:noFill/>
        </a:ln>
      </xdr:spPr>
    </xdr:pic>
    <xdr:clientData/>
  </xdr:twoCellAnchor>
  <xdr:twoCellAnchor>
    <xdr:from>
      <xdr:col>0</xdr:col>
      <xdr:colOff>57150</xdr:colOff>
      <xdr:row>104</xdr:row>
      <xdr:rowOff>0</xdr:rowOff>
    </xdr:from>
    <xdr:to>
      <xdr:col>1</xdr:col>
      <xdr:colOff>57150</xdr:colOff>
      <xdr:row>105</xdr:row>
      <xdr:rowOff>85725</xdr:rowOff>
    </xdr:to>
    <xdr:pic>
      <xdr:nvPicPr>
        <xdr:cNvPr id="2" name="Picture 2"/>
        <xdr:cNvPicPr preferRelativeResize="1">
          <a:picLocks noChangeAspect="1"/>
        </xdr:cNvPicPr>
      </xdr:nvPicPr>
      <xdr:blipFill>
        <a:blip r:link="rId1"/>
        <a:stretch>
          <a:fillRect/>
        </a:stretch>
      </xdr:blipFill>
      <xdr:spPr>
        <a:xfrm>
          <a:off x="57150" y="21183600"/>
          <a:ext cx="314325" cy="238125"/>
        </a:xfrm>
        <a:prstGeom prst="rect">
          <a:avLst/>
        </a:prstGeom>
        <a:noFill/>
        <a:ln w="9525" cmpd="sng">
          <a:noFill/>
        </a:ln>
      </xdr:spPr>
    </xdr:pic>
    <xdr:clientData/>
  </xdr:twoCellAnchor>
  <xdr:twoCellAnchor>
    <xdr:from>
      <xdr:col>0</xdr:col>
      <xdr:colOff>38100</xdr:colOff>
      <xdr:row>154</xdr:row>
      <xdr:rowOff>57150</xdr:rowOff>
    </xdr:from>
    <xdr:to>
      <xdr:col>1</xdr:col>
      <xdr:colOff>38100</xdr:colOff>
      <xdr:row>155</xdr:row>
      <xdr:rowOff>133350</xdr:rowOff>
    </xdr:to>
    <xdr:pic>
      <xdr:nvPicPr>
        <xdr:cNvPr id="3" name="Picture 3"/>
        <xdr:cNvPicPr preferRelativeResize="1">
          <a:picLocks noChangeAspect="1"/>
        </xdr:cNvPicPr>
      </xdr:nvPicPr>
      <xdr:blipFill>
        <a:blip r:link="rId1"/>
        <a:stretch>
          <a:fillRect/>
        </a:stretch>
      </xdr:blipFill>
      <xdr:spPr>
        <a:xfrm>
          <a:off x="38100" y="30584775"/>
          <a:ext cx="314325" cy="238125"/>
        </a:xfrm>
        <a:prstGeom prst="rect">
          <a:avLst/>
        </a:prstGeom>
        <a:noFill/>
        <a:ln w="9525" cmpd="sng">
          <a:noFill/>
        </a:ln>
      </xdr:spPr>
    </xdr:pic>
    <xdr:clientData/>
  </xdr:twoCellAnchor>
  <xdr:twoCellAnchor>
    <xdr:from>
      <xdr:col>0</xdr:col>
      <xdr:colOff>0</xdr:colOff>
      <xdr:row>201</xdr:row>
      <xdr:rowOff>123825</xdr:rowOff>
    </xdr:from>
    <xdr:to>
      <xdr:col>1</xdr:col>
      <xdr:colOff>0</xdr:colOff>
      <xdr:row>202</xdr:row>
      <xdr:rowOff>161925</xdr:rowOff>
    </xdr:to>
    <xdr:pic>
      <xdr:nvPicPr>
        <xdr:cNvPr id="4" name="Picture 4"/>
        <xdr:cNvPicPr preferRelativeResize="1">
          <a:picLocks noChangeAspect="1"/>
        </xdr:cNvPicPr>
      </xdr:nvPicPr>
      <xdr:blipFill>
        <a:blip r:link="rId1"/>
        <a:stretch>
          <a:fillRect/>
        </a:stretch>
      </xdr:blipFill>
      <xdr:spPr>
        <a:xfrm>
          <a:off x="0" y="40005000"/>
          <a:ext cx="314325" cy="238125"/>
        </a:xfrm>
        <a:prstGeom prst="rect">
          <a:avLst/>
        </a:prstGeom>
        <a:noFill/>
        <a:ln w="9525" cmpd="sng">
          <a:noFill/>
        </a:ln>
      </xdr:spPr>
    </xdr:pic>
    <xdr:clientData/>
  </xdr:twoCellAnchor>
  <xdr:twoCellAnchor>
    <xdr:from>
      <xdr:col>12</xdr:col>
      <xdr:colOff>1704975</xdr:colOff>
      <xdr:row>201</xdr:row>
      <xdr:rowOff>104775</xdr:rowOff>
    </xdr:from>
    <xdr:to>
      <xdr:col>12</xdr:col>
      <xdr:colOff>2505075</xdr:colOff>
      <xdr:row>202</xdr:row>
      <xdr:rowOff>133350</xdr:rowOff>
    </xdr:to>
    <xdr:pic>
      <xdr:nvPicPr>
        <xdr:cNvPr id="5" name="Picture 5"/>
        <xdr:cNvPicPr preferRelativeResize="1">
          <a:picLocks noChangeAspect="1"/>
        </xdr:cNvPicPr>
      </xdr:nvPicPr>
      <xdr:blipFill>
        <a:blip r:link="rId2"/>
        <a:stretch>
          <a:fillRect/>
        </a:stretch>
      </xdr:blipFill>
      <xdr:spPr>
        <a:xfrm>
          <a:off x="15763875" y="39985950"/>
          <a:ext cx="800100" cy="228600"/>
        </a:xfrm>
        <a:prstGeom prst="rect">
          <a:avLst/>
        </a:prstGeom>
        <a:noFill/>
        <a:ln w="9525" cmpd="sng">
          <a:noFill/>
        </a:ln>
      </xdr:spPr>
    </xdr:pic>
    <xdr:clientData/>
  </xdr:twoCellAnchor>
  <xdr:twoCellAnchor>
    <xdr:from>
      <xdr:col>12</xdr:col>
      <xdr:colOff>1771650</xdr:colOff>
      <xdr:row>154</xdr:row>
      <xdr:rowOff>9525</xdr:rowOff>
    </xdr:from>
    <xdr:to>
      <xdr:col>12</xdr:col>
      <xdr:colOff>2571750</xdr:colOff>
      <xdr:row>155</xdr:row>
      <xdr:rowOff>76200</xdr:rowOff>
    </xdr:to>
    <xdr:pic>
      <xdr:nvPicPr>
        <xdr:cNvPr id="6" name="Picture 6"/>
        <xdr:cNvPicPr preferRelativeResize="1">
          <a:picLocks noChangeAspect="1"/>
        </xdr:cNvPicPr>
      </xdr:nvPicPr>
      <xdr:blipFill>
        <a:blip r:link="rId2"/>
        <a:stretch>
          <a:fillRect/>
        </a:stretch>
      </xdr:blipFill>
      <xdr:spPr>
        <a:xfrm>
          <a:off x="15830550" y="30537150"/>
          <a:ext cx="800100" cy="228600"/>
        </a:xfrm>
        <a:prstGeom prst="rect">
          <a:avLst/>
        </a:prstGeom>
        <a:noFill/>
        <a:ln w="9525" cmpd="sng">
          <a:noFill/>
        </a:ln>
      </xdr:spPr>
    </xdr:pic>
    <xdr:clientData/>
  </xdr:twoCellAnchor>
  <xdr:twoCellAnchor>
    <xdr:from>
      <xdr:col>12</xdr:col>
      <xdr:colOff>1781175</xdr:colOff>
      <xdr:row>104</xdr:row>
      <xdr:rowOff>9525</xdr:rowOff>
    </xdr:from>
    <xdr:to>
      <xdr:col>12</xdr:col>
      <xdr:colOff>2581275</xdr:colOff>
      <xdr:row>105</xdr:row>
      <xdr:rowOff>85725</xdr:rowOff>
    </xdr:to>
    <xdr:pic>
      <xdr:nvPicPr>
        <xdr:cNvPr id="7" name="Picture 7"/>
        <xdr:cNvPicPr preferRelativeResize="1">
          <a:picLocks noChangeAspect="1"/>
        </xdr:cNvPicPr>
      </xdr:nvPicPr>
      <xdr:blipFill>
        <a:blip r:link="rId2"/>
        <a:stretch>
          <a:fillRect/>
        </a:stretch>
      </xdr:blipFill>
      <xdr:spPr>
        <a:xfrm>
          <a:off x="15840075" y="21193125"/>
          <a:ext cx="800100" cy="228600"/>
        </a:xfrm>
        <a:prstGeom prst="rect">
          <a:avLst/>
        </a:prstGeom>
        <a:noFill/>
        <a:ln w="9525" cmpd="sng">
          <a:noFill/>
        </a:ln>
      </xdr:spPr>
    </xdr:pic>
    <xdr:clientData/>
  </xdr:twoCellAnchor>
  <xdr:twoCellAnchor>
    <xdr:from>
      <xdr:col>12</xdr:col>
      <xdr:colOff>1800225</xdr:colOff>
      <xdr:row>51</xdr:row>
      <xdr:rowOff>85725</xdr:rowOff>
    </xdr:from>
    <xdr:to>
      <xdr:col>12</xdr:col>
      <xdr:colOff>2600325</xdr:colOff>
      <xdr:row>52</xdr:row>
      <xdr:rowOff>114300</xdr:rowOff>
    </xdr:to>
    <xdr:pic>
      <xdr:nvPicPr>
        <xdr:cNvPr id="8" name="Picture 8"/>
        <xdr:cNvPicPr preferRelativeResize="1">
          <a:picLocks noChangeAspect="1"/>
        </xdr:cNvPicPr>
      </xdr:nvPicPr>
      <xdr:blipFill>
        <a:blip r:link="rId2"/>
        <a:stretch>
          <a:fillRect/>
        </a:stretch>
      </xdr:blipFill>
      <xdr:spPr>
        <a:xfrm>
          <a:off x="15859125" y="10067925"/>
          <a:ext cx="800100" cy="228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51</xdr:row>
      <xdr:rowOff>133350</xdr:rowOff>
    </xdr:from>
    <xdr:to>
      <xdr:col>1</xdr:col>
      <xdr:colOff>57150</xdr:colOff>
      <xdr:row>52</xdr:row>
      <xdr:rowOff>171450</xdr:rowOff>
    </xdr:to>
    <xdr:pic>
      <xdr:nvPicPr>
        <xdr:cNvPr id="1" name="Picture 1"/>
        <xdr:cNvPicPr preferRelativeResize="1">
          <a:picLocks noChangeAspect="1"/>
        </xdr:cNvPicPr>
      </xdr:nvPicPr>
      <xdr:blipFill>
        <a:blip r:link="rId1"/>
        <a:stretch>
          <a:fillRect/>
        </a:stretch>
      </xdr:blipFill>
      <xdr:spPr>
        <a:xfrm>
          <a:off x="57150" y="10115550"/>
          <a:ext cx="314325" cy="238125"/>
        </a:xfrm>
        <a:prstGeom prst="rect">
          <a:avLst/>
        </a:prstGeom>
        <a:noFill/>
        <a:ln w="9525" cmpd="sng">
          <a:noFill/>
        </a:ln>
      </xdr:spPr>
    </xdr:pic>
    <xdr:clientData/>
  </xdr:twoCellAnchor>
  <xdr:twoCellAnchor>
    <xdr:from>
      <xdr:col>0</xdr:col>
      <xdr:colOff>0</xdr:colOff>
      <xdr:row>104</xdr:row>
      <xdr:rowOff>38100</xdr:rowOff>
    </xdr:from>
    <xdr:to>
      <xdr:col>1</xdr:col>
      <xdr:colOff>0</xdr:colOff>
      <xdr:row>105</xdr:row>
      <xdr:rowOff>123825</xdr:rowOff>
    </xdr:to>
    <xdr:pic>
      <xdr:nvPicPr>
        <xdr:cNvPr id="2" name="Picture 2"/>
        <xdr:cNvPicPr preferRelativeResize="1">
          <a:picLocks noChangeAspect="1"/>
        </xdr:cNvPicPr>
      </xdr:nvPicPr>
      <xdr:blipFill>
        <a:blip r:link="rId1"/>
        <a:stretch>
          <a:fillRect/>
        </a:stretch>
      </xdr:blipFill>
      <xdr:spPr>
        <a:xfrm>
          <a:off x="0" y="21221700"/>
          <a:ext cx="314325" cy="238125"/>
        </a:xfrm>
        <a:prstGeom prst="rect">
          <a:avLst/>
        </a:prstGeom>
        <a:noFill/>
        <a:ln w="9525" cmpd="sng">
          <a:noFill/>
        </a:ln>
      </xdr:spPr>
    </xdr:pic>
    <xdr:clientData/>
  </xdr:twoCellAnchor>
  <xdr:twoCellAnchor>
    <xdr:from>
      <xdr:col>0</xdr:col>
      <xdr:colOff>0</xdr:colOff>
      <xdr:row>154</xdr:row>
      <xdr:rowOff>57150</xdr:rowOff>
    </xdr:from>
    <xdr:to>
      <xdr:col>1</xdr:col>
      <xdr:colOff>0</xdr:colOff>
      <xdr:row>155</xdr:row>
      <xdr:rowOff>133350</xdr:rowOff>
    </xdr:to>
    <xdr:pic>
      <xdr:nvPicPr>
        <xdr:cNvPr id="3" name="Picture 3"/>
        <xdr:cNvPicPr preferRelativeResize="1">
          <a:picLocks noChangeAspect="1"/>
        </xdr:cNvPicPr>
      </xdr:nvPicPr>
      <xdr:blipFill>
        <a:blip r:link="rId1"/>
        <a:stretch>
          <a:fillRect/>
        </a:stretch>
      </xdr:blipFill>
      <xdr:spPr>
        <a:xfrm>
          <a:off x="0" y="30584775"/>
          <a:ext cx="314325" cy="238125"/>
        </a:xfrm>
        <a:prstGeom prst="rect">
          <a:avLst/>
        </a:prstGeom>
        <a:noFill/>
        <a:ln w="9525" cmpd="sng">
          <a:noFill/>
        </a:ln>
      </xdr:spPr>
    </xdr:pic>
    <xdr:clientData/>
  </xdr:twoCellAnchor>
  <xdr:twoCellAnchor>
    <xdr:from>
      <xdr:col>0</xdr:col>
      <xdr:colOff>38100</xdr:colOff>
      <xdr:row>202</xdr:row>
      <xdr:rowOff>104775</xdr:rowOff>
    </xdr:from>
    <xdr:to>
      <xdr:col>1</xdr:col>
      <xdr:colOff>38100</xdr:colOff>
      <xdr:row>203</xdr:row>
      <xdr:rowOff>142875</xdr:rowOff>
    </xdr:to>
    <xdr:pic>
      <xdr:nvPicPr>
        <xdr:cNvPr id="4" name="Picture 4"/>
        <xdr:cNvPicPr preferRelativeResize="1">
          <a:picLocks noChangeAspect="1"/>
        </xdr:cNvPicPr>
      </xdr:nvPicPr>
      <xdr:blipFill>
        <a:blip r:link="rId1"/>
        <a:stretch>
          <a:fillRect/>
        </a:stretch>
      </xdr:blipFill>
      <xdr:spPr>
        <a:xfrm>
          <a:off x="38100" y="40185975"/>
          <a:ext cx="314325" cy="238125"/>
        </a:xfrm>
        <a:prstGeom prst="rect">
          <a:avLst/>
        </a:prstGeom>
        <a:noFill/>
        <a:ln w="9525" cmpd="sng">
          <a:noFill/>
        </a:ln>
      </xdr:spPr>
    </xdr:pic>
    <xdr:clientData/>
  </xdr:twoCellAnchor>
  <xdr:twoCellAnchor>
    <xdr:from>
      <xdr:col>12</xdr:col>
      <xdr:colOff>1676400</xdr:colOff>
      <xdr:row>202</xdr:row>
      <xdr:rowOff>57150</xdr:rowOff>
    </xdr:from>
    <xdr:to>
      <xdr:col>12</xdr:col>
      <xdr:colOff>2476500</xdr:colOff>
      <xdr:row>203</xdr:row>
      <xdr:rowOff>85725</xdr:rowOff>
    </xdr:to>
    <xdr:pic>
      <xdr:nvPicPr>
        <xdr:cNvPr id="5" name="Picture 5"/>
        <xdr:cNvPicPr preferRelativeResize="1">
          <a:picLocks noChangeAspect="1"/>
        </xdr:cNvPicPr>
      </xdr:nvPicPr>
      <xdr:blipFill>
        <a:blip r:link="rId2"/>
        <a:stretch>
          <a:fillRect/>
        </a:stretch>
      </xdr:blipFill>
      <xdr:spPr>
        <a:xfrm>
          <a:off x="15735300" y="40138350"/>
          <a:ext cx="800100" cy="228600"/>
        </a:xfrm>
        <a:prstGeom prst="rect">
          <a:avLst/>
        </a:prstGeom>
        <a:noFill/>
        <a:ln w="9525" cmpd="sng">
          <a:noFill/>
        </a:ln>
      </xdr:spPr>
    </xdr:pic>
    <xdr:clientData/>
  </xdr:twoCellAnchor>
  <xdr:twoCellAnchor>
    <xdr:from>
      <xdr:col>12</xdr:col>
      <xdr:colOff>1647825</xdr:colOff>
      <xdr:row>153</xdr:row>
      <xdr:rowOff>152400</xdr:rowOff>
    </xdr:from>
    <xdr:to>
      <xdr:col>12</xdr:col>
      <xdr:colOff>2447925</xdr:colOff>
      <xdr:row>155</xdr:row>
      <xdr:rowOff>57150</xdr:rowOff>
    </xdr:to>
    <xdr:pic>
      <xdr:nvPicPr>
        <xdr:cNvPr id="6" name="Picture 6"/>
        <xdr:cNvPicPr preferRelativeResize="1">
          <a:picLocks noChangeAspect="1"/>
        </xdr:cNvPicPr>
      </xdr:nvPicPr>
      <xdr:blipFill>
        <a:blip r:link="rId2"/>
        <a:stretch>
          <a:fillRect/>
        </a:stretch>
      </xdr:blipFill>
      <xdr:spPr>
        <a:xfrm>
          <a:off x="15706725" y="30518100"/>
          <a:ext cx="800100" cy="228600"/>
        </a:xfrm>
        <a:prstGeom prst="rect">
          <a:avLst/>
        </a:prstGeom>
        <a:noFill/>
        <a:ln w="9525" cmpd="sng">
          <a:noFill/>
        </a:ln>
      </xdr:spPr>
    </xdr:pic>
    <xdr:clientData/>
  </xdr:twoCellAnchor>
  <xdr:twoCellAnchor>
    <xdr:from>
      <xdr:col>12</xdr:col>
      <xdr:colOff>1714500</xdr:colOff>
      <xdr:row>104</xdr:row>
      <xdr:rowOff>0</xdr:rowOff>
    </xdr:from>
    <xdr:to>
      <xdr:col>12</xdr:col>
      <xdr:colOff>2514600</xdr:colOff>
      <xdr:row>105</xdr:row>
      <xdr:rowOff>76200</xdr:rowOff>
    </xdr:to>
    <xdr:pic>
      <xdr:nvPicPr>
        <xdr:cNvPr id="7" name="Picture 7"/>
        <xdr:cNvPicPr preferRelativeResize="1">
          <a:picLocks noChangeAspect="1"/>
        </xdr:cNvPicPr>
      </xdr:nvPicPr>
      <xdr:blipFill>
        <a:blip r:link="rId2"/>
        <a:stretch>
          <a:fillRect/>
        </a:stretch>
      </xdr:blipFill>
      <xdr:spPr>
        <a:xfrm>
          <a:off x="15773400" y="21183600"/>
          <a:ext cx="800100" cy="228600"/>
        </a:xfrm>
        <a:prstGeom prst="rect">
          <a:avLst/>
        </a:prstGeom>
        <a:noFill/>
        <a:ln w="9525" cmpd="sng">
          <a:noFill/>
        </a:ln>
      </xdr:spPr>
    </xdr:pic>
    <xdr:clientData/>
  </xdr:twoCellAnchor>
  <xdr:twoCellAnchor>
    <xdr:from>
      <xdr:col>12</xdr:col>
      <xdr:colOff>1676400</xdr:colOff>
      <xdr:row>51</xdr:row>
      <xdr:rowOff>133350</xdr:rowOff>
    </xdr:from>
    <xdr:to>
      <xdr:col>12</xdr:col>
      <xdr:colOff>2476500</xdr:colOff>
      <xdr:row>52</xdr:row>
      <xdr:rowOff>161925</xdr:rowOff>
    </xdr:to>
    <xdr:pic>
      <xdr:nvPicPr>
        <xdr:cNvPr id="8" name="Picture 8"/>
        <xdr:cNvPicPr preferRelativeResize="1">
          <a:picLocks noChangeAspect="1"/>
        </xdr:cNvPicPr>
      </xdr:nvPicPr>
      <xdr:blipFill>
        <a:blip r:link="rId2"/>
        <a:stretch>
          <a:fillRect/>
        </a:stretch>
      </xdr:blipFill>
      <xdr:spPr>
        <a:xfrm>
          <a:off x="15735300" y="10115550"/>
          <a:ext cx="800100" cy="228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51</xdr:row>
      <xdr:rowOff>133350</xdr:rowOff>
    </xdr:from>
    <xdr:to>
      <xdr:col>1</xdr:col>
      <xdr:colOff>57150</xdr:colOff>
      <xdr:row>52</xdr:row>
      <xdr:rowOff>171450</xdr:rowOff>
    </xdr:to>
    <xdr:pic>
      <xdr:nvPicPr>
        <xdr:cNvPr id="1" name="Picture 1"/>
        <xdr:cNvPicPr preferRelativeResize="1">
          <a:picLocks noChangeAspect="1"/>
        </xdr:cNvPicPr>
      </xdr:nvPicPr>
      <xdr:blipFill>
        <a:blip r:link="rId1"/>
        <a:stretch>
          <a:fillRect/>
        </a:stretch>
      </xdr:blipFill>
      <xdr:spPr>
        <a:xfrm>
          <a:off x="57150" y="10115550"/>
          <a:ext cx="314325" cy="238125"/>
        </a:xfrm>
        <a:prstGeom prst="rect">
          <a:avLst/>
        </a:prstGeom>
        <a:noFill/>
        <a:ln w="9525" cmpd="sng">
          <a:noFill/>
        </a:ln>
      </xdr:spPr>
    </xdr:pic>
    <xdr:clientData/>
  </xdr:twoCellAnchor>
  <xdr:twoCellAnchor>
    <xdr:from>
      <xdr:col>0</xdr:col>
      <xdr:colOff>0</xdr:colOff>
      <xdr:row>104</xdr:row>
      <xdr:rowOff>38100</xdr:rowOff>
    </xdr:from>
    <xdr:to>
      <xdr:col>1</xdr:col>
      <xdr:colOff>0</xdr:colOff>
      <xdr:row>105</xdr:row>
      <xdr:rowOff>123825</xdr:rowOff>
    </xdr:to>
    <xdr:pic>
      <xdr:nvPicPr>
        <xdr:cNvPr id="2" name="Picture 2"/>
        <xdr:cNvPicPr preferRelativeResize="1">
          <a:picLocks noChangeAspect="1"/>
        </xdr:cNvPicPr>
      </xdr:nvPicPr>
      <xdr:blipFill>
        <a:blip r:link="rId1"/>
        <a:stretch>
          <a:fillRect/>
        </a:stretch>
      </xdr:blipFill>
      <xdr:spPr>
        <a:xfrm>
          <a:off x="0" y="21221700"/>
          <a:ext cx="314325" cy="238125"/>
        </a:xfrm>
        <a:prstGeom prst="rect">
          <a:avLst/>
        </a:prstGeom>
        <a:noFill/>
        <a:ln w="9525" cmpd="sng">
          <a:noFill/>
        </a:ln>
      </xdr:spPr>
    </xdr:pic>
    <xdr:clientData/>
  </xdr:twoCellAnchor>
  <xdr:twoCellAnchor>
    <xdr:from>
      <xdr:col>0</xdr:col>
      <xdr:colOff>0</xdr:colOff>
      <xdr:row>154</xdr:row>
      <xdr:rowOff>57150</xdr:rowOff>
    </xdr:from>
    <xdr:to>
      <xdr:col>1</xdr:col>
      <xdr:colOff>0</xdr:colOff>
      <xdr:row>155</xdr:row>
      <xdr:rowOff>133350</xdr:rowOff>
    </xdr:to>
    <xdr:pic>
      <xdr:nvPicPr>
        <xdr:cNvPr id="3" name="Picture 3"/>
        <xdr:cNvPicPr preferRelativeResize="1">
          <a:picLocks noChangeAspect="1"/>
        </xdr:cNvPicPr>
      </xdr:nvPicPr>
      <xdr:blipFill>
        <a:blip r:link="rId1"/>
        <a:stretch>
          <a:fillRect/>
        </a:stretch>
      </xdr:blipFill>
      <xdr:spPr>
        <a:xfrm>
          <a:off x="0" y="30584775"/>
          <a:ext cx="314325" cy="238125"/>
        </a:xfrm>
        <a:prstGeom prst="rect">
          <a:avLst/>
        </a:prstGeom>
        <a:noFill/>
        <a:ln w="9525" cmpd="sng">
          <a:noFill/>
        </a:ln>
      </xdr:spPr>
    </xdr:pic>
    <xdr:clientData/>
  </xdr:twoCellAnchor>
  <xdr:twoCellAnchor>
    <xdr:from>
      <xdr:col>0</xdr:col>
      <xdr:colOff>38100</xdr:colOff>
      <xdr:row>202</xdr:row>
      <xdr:rowOff>104775</xdr:rowOff>
    </xdr:from>
    <xdr:to>
      <xdr:col>1</xdr:col>
      <xdr:colOff>38100</xdr:colOff>
      <xdr:row>203</xdr:row>
      <xdr:rowOff>142875</xdr:rowOff>
    </xdr:to>
    <xdr:pic>
      <xdr:nvPicPr>
        <xdr:cNvPr id="4" name="Picture 4"/>
        <xdr:cNvPicPr preferRelativeResize="1">
          <a:picLocks noChangeAspect="1"/>
        </xdr:cNvPicPr>
      </xdr:nvPicPr>
      <xdr:blipFill>
        <a:blip r:link="rId1"/>
        <a:stretch>
          <a:fillRect/>
        </a:stretch>
      </xdr:blipFill>
      <xdr:spPr>
        <a:xfrm>
          <a:off x="38100" y="40185975"/>
          <a:ext cx="314325" cy="238125"/>
        </a:xfrm>
        <a:prstGeom prst="rect">
          <a:avLst/>
        </a:prstGeom>
        <a:noFill/>
        <a:ln w="9525" cmpd="sng">
          <a:noFill/>
        </a:ln>
      </xdr:spPr>
    </xdr:pic>
    <xdr:clientData/>
  </xdr:twoCellAnchor>
  <xdr:twoCellAnchor>
    <xdr:from>
      <xdr:col>12</xdr:col>
      <xdr:colOff>1676400</xdr:colOff>
      <xdr:row>202</xdr:row>
      <xdr:rowOff>57150</xdr:rowOff>
    </xdr:from>
    <xdr:to>
      <xdr:col>12</xdr:col>
      <xdr:colOff>2476500</xdr:colOff>
      <xdr:row>203</xdr:row>
      <xdr:rowOff>85725</xdr:rowOff>
    </xdr:to>
    <xdr:pic>
      <xdr:nvPicPr>
        <xdr:cNvPr id="5" name="Picture 5"/>
        <xdr:cNvPicPr preferRelativeResize="1">
          <a:picLocks noChangeAspect="1"/>
        </xdr:cNvPicPr>
      </xdr:nvPicPr>
      <xdr:blipFill>
        <a:blip r:link="rId2"/>
        <a:stretch>
          <a:fillRect/>
        </a:stretch>
      </xdr:blipFill>
      <xdr:spPr>
        <a:xfrm>
          <a:off x="15735300" y="40138350"/>
          <a:ext cx="800100" cy="228600"/>
        </a:xfrm>
        <a:prstGeom prst="rect">
          <a:avLst/>
        </a:prstGeom>
        <a:noFill/>
        <a:ln w="9525" cmpd="sng">
          <a:noFill/>
        </a:ln>
      </xdr:spPr>
    </xdr:pic>
    <xdr:clientData/>
  </xdr:twoCellAnchor>
  <xdr:twoCellAnchor>
    <xdr:from>
      <xdr:col>12</xdr:col>
      <xdr:colOff>1647825</xdr:colOff>
      <xdr:row>153</xdr:row>
      <xdr:rowOff>152400</xdr:rowOff>
    </xdr:from>
    <xdr:to>
      <xdr:col>12</xdr:col>
      <xdr:colOff>2447925</xdr:colOff>
      <xdr:row>155</xdr:row>
      <xdr:rowOff>57150</xdr:rowOff>
    </xdr:to>
    <xdr:pic>
      <xdr:nvPicPr>
        <xdr:cNvPr id="6" name="Picture 6"/>
        <xdr:cNvPicPr preferRelativeResize="1">
          <a:picLocks noChangeAspect="1"/>
        </xdr:cNvPicPr>
      </xdr:nvPicPr>
      <xdr:blipFill>
        <a:blip r:link="rId2"/>
        <a:stretch>
          <a:fillRect/>
        </a:stretch>
      </xdr:blipFill>
      <xdr:spPr>
        <a:xfrm>
          <a:off x="15706725" y="30518100"/>
          <a:ext cx="800100" cy="228600"/>
        </a:xfrm>
        <a:prstGeom prst="rect">
          <a:avLst/>
        </a:prstGeom>
        <a:noFill/>
        <a:ln w="9525" cmpd="sng">
          <a:noFill/>
        </a:ln>
      </xdr:spPr>
    </xdr:pic>
    <xdr:clientData/>
  </xdr:twoCellAnchor>
  <xdr:twoCellAnchor>
    <xdr:from>
      <xdr:col>12</xdr:col>
      <xdr:colOff>1714500</xdr:colOff>
      <xdr:row>104</xdr:row>
      <xdr:rowOff>0</xdr:rowOff>
    </xdr:from>
    <xdr:to>
      <xdr:col>12</xdr:col>
      <xdr:colOff>2514600</xdr:colOff>
      <xdr:row>105</xdr:row>
      <xdr:rowOff>76200</xdr:rowOff>
    </xdr:to>
    <xdr:pic>
      <xdr:nvPicPr>
        <xdr:cNvPr id="7" name="Picture 7"/>
        <xdr:cNvPicPr preferRelativeResize="1">
          <a:picLocks noChangeAspect="1"/>
        </xdr:cNvPicPr>
      </xdr:nvPicPr>
      <xdr:blipFill>
        <a:blip r:link="rId2"/>
        <a:stretch>
          <a:fillRect/>
        </a:stretch>
      </xdr:blipFill>
      <xdr:spPr>
        <a:xfrm>
          <a:off x="15773400" y="21183600"/>
          <a:ext cx="800100" cy="228600"/>
        </a:xfrm>
        <a:prstGeom prst="rect">
          <a:avLst/>
        </a:prstGeom>
        <a:noFill/>
        <a:ln w="9525" cmpd="sng">
          <a:noFill/>
        </a:ln>
      </xdr:spPr>
    </xdr:pic>
    <xdr:clientData/>
  </xdr:twoCellAnchor>
  <xdr:twoCellAnchor>
    <xdr:from>
      <xdr:col>12</xdr:col>
      <xdr:colOff>1676400</xdr:colOff>
      <xdr:row>51</xdr:row>
      <xdr:rowOff>133350</xdr:rowOff>
    </xdr:from>
    <xdr:to>
      <xdr:col>12</xdr:col>
      <xdr:colOff>2476500</xdr:colOff>
      <xdr:row>52</xdr:row>
      <xdr:rowOff>161925</xdr:rowOff>
    </xdr:to>
    <xdr:pic>
      <xdr:nvPicPr>
        <xdr:cNvPr id="8" name="Picture 8"/>
        <xdr:cNvPicPr preferRelativeResize="1">
          <a:picLocks noChangeAspect="1"/>
        </xdr:cNvPicPr>
      </xdr:nvPicPr>
      <xdr:blipFill>
        <a:blip r:link="rId2"/>
        <a:stretch>
          <a:fillRect/>
        </a:stretch>
      </xdr:blipFill>
      <xdr:spPr>
        <a:xfrm>
          <a:off x="15735300" y="10115550"/>
          <a:ext cx="800100" cy="228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51</xdr:row>
      <xdr:rowOff>133350</xdr:rowOff>
    </xdr:from>
    <xdr:to>
      <xdr:col>1</xdr:col>
      <xdr:colOff>57150</xdr:colOff>
      <xdr:row>52</xdr:row>
      <xdr:rowOff>171450</xdr:rowOff>
    </xdr:to>
    <xdr:pic>
      <xdr:nvPicPr>
        <xdr:cNvPr id="1" name="Picture 1"/>
        <xdr:cNvPicPr preferRelativeResize="1">
          <a:picLocks noChangeAspect="1"/>
        </xdr:cNvPicPr>
      </xdr:nvPicPr>
      <xdr:blipFill>
        <a:blip r:link="rId1"/>
        <a:stretch>
          <a:fillRect/>
        </a:stretch>
      </xdr:blipFill>
      <xdr:spPr>
        <a:xfrm>
          <a:off x="57150" y="10115550"/>
          <a:ext cx="314325" cy="238125"/>
        </a:xfrm>
        <a:prstGeom prst="rect">
          <a:avLst/>
        </a:prstGeom>
        <a:noFill/>
        <a:ln w="9525" cmpd="sng">
          <a:noFill/>
        </a:ln>
      </xdr:spPr>
    </xdr:pic>
    <xdr:clientData/>
  </xdr:twoCellAnchor>
  <xdr:twoCellAnchor>
    <xdr:from>
      <xdr:col>0</xdr:col>
      <xdr:colOff>0</xdr:colOff>
      <xdr:row>105</xdr:row>
      <xdr:rowOff>38100</xdr:rowOff>
    </xdr:from>
    <xdr:to>
      <xdr:col>1</xdr:col>
      <xdr:colOff>0</xdr:colOff>
      <xdr:row>106</xdr:row>
      <xdr:rowOff>123825</xdr:rowOff>
    </xdr:to>
    <xdr:pic>
      <xdr:nvPicPr>
        <xdr:cNvPr id="2" name="Picture 2"/>
        <xdr:cNvPicPr preferRelativeResize="1">
          <a:picLocks noChangeAspect="1"/>
        </xdr:cNvPicPr>
      </xdr:nvPicPr>
      <xdr:blipFill>
        <a:blip r:link="rId1"/>
        <a:stretch>
          <a:fillRect/>
        </a:stretch>
      </xdr:blipFill>
      <xdr:spPr>
        <a:xfrm>
          <a:off x="0" y="21069300"/>
          <a:ext cx="314325" cy="285750"/>
        </a:xfrm>
        <a:prstGeom prst="rect">
          <a:avLst/>
        </a:prstGeom>
        <a:noFill/>
        <a:ln w="9525" cmpd="sng">
          <a:noFill/>
        </a:ln>
      </xdr:spPr>
    </xdr:pic>
    <xdr:clientData/>
  </xdr:twoCellAnchor>
  <xdr:twoCellAnchor>
    <xdr:from>
      <xdr:col>0</xdr:col>
      <xdr:colOff>0</xdr:colOff>
      <xdr:row>155</xdr:row>
      <xdr:rowOff>57150</xdr:rowOff>
    </xdr:from>
    <xdr:to>
      <xdr:col>1</xdr:col>
      <xdr:colOff>0</xdr:colOff>
      <xdr:row>156</xdr:row>
      <xdr:rowOff>133350</xdr:rowOff>
    </xdr:to>
    <xdr:pic>
      <xdr:nvPicPr>
        <xdr:cNvPr id="3" name="Picture 3"/>
        <xdr:cNvPicPr preferRelativeResize="1">
          <a:picLocks noChangeAspect="1"/>
        </xdr:cNvPicPr>
      </xdr:nvPicPr>
      <xdr:blipFill>
        <a:blip r:link="rId1"/>
        <a:stretch>
          <a:fillRect/>
        </a:stretch>
      </xdr:blipFill>
      <xdr:spPr>
        <a:xfrm>
          <a:off x="0" y="30575250"/>
          <a:ext cx="314325" cy="238125"/>
        </a:xfrm>
        <a:prstGeom prst="rect">
          <a:avLst/>
        </a:prstGeom>
        <a:noFill/>
        <a:ln w="9525" cmpd="sng">
          <a:noFill/>
        </a:ln>
      </xdr:spPr>
    </xdr:pic>
    <xdr:clientData/>
  </xdr:twoCellAnchor>
  <xdr:twoCellAnchor>
    <xdr:from>
      <xdr:col>0</xdr:col>
      <xdr:colOff>38100</xdr:colOff>
      <xdr:row>218</xdr:row>
      <xdr:rowOff>104775</xdr:rowOff>
    </xdr:from>
    <xdr:to>
      <xdr:col>1</xdr:col>
      <xdr:colOff>38100</xdr:colOff>
      <xdr:row>219</xdr:row>
      <xdr:rowOff>142875</xdr:rowOff>
    </xdr:to>
    <xdr:pic>
      <xdr:nvPicPr>
        <xdr:cNvPr id="4" name="Picture 4"/>
        <xdr:cNvPicPr preferRelativeResize="1">
          <a:picLocks noChangeAspect="1"/>
        </xdr:cNvPicPr>
      </xdr:nvPicPr>
      <xdr:blipFill>
        <a:blip r:link="rId1"/>
        <a:stretch>
          <a:fillRect/>
        </a:stretch>
      </xdr:blipFill>
      <xdr:spPr>
        <a:xfrm>
          <a:off x="38100" y="43176825"/>
          <a:ext cx="314325" cy="238125"/>
        </a:xfrm>
        <a:prstGeom prst="rect">
          <a:avLst/>
        </a:prstGeom>
        <a:noFill/>
        <a:ln w="9525" cmpd="sng">
          <a:noFill/>
        </a:ln>
      </xdr:spPr>
    </xdr:pic>
    <xdr:clientData/>
  </xdr:twoCellAnchor>
  <xdr:twoCellAnchor>
    <xdr:from>
      <xdr:col>12</xdr:col>
      <xdr:colOff>1676400</xdr:colOff>
      <xdr:row>218</xdr:row>
      <xdr:rowOff>57150</xdr:rowOff>
    </xdr:from>
    <xdr:to>
      <xdr:col>12</xdr:col>
      <xdr:colOff>2476500</xdr:colOff>
      <xdr:row>219</xdr:row>
      <xdr:rowOff>85725</xdr:rowOff>
    </xdr:to>
    <xdr:pic>
      <xdr:nvPicPr>
        <xdr:cNvPr id="5" name="Picture 5"/>
        <xdr:cNvPicPr preferRelativeResize="1">
          <a:picLocks noChangeAspect="1"/>
        </xdr:cNvPicPr>
      </xdr:nvPicPr>
      <xdr:blipFill>
        <a:blip r:link="rId2"/>
        <a:stretch>
          <a:fillRect/>
        </a:stretch>
      </xdr:blipFill>
      <xdr:spPr>
        <a:xfrm>
          <a:off x="18373725" y="43129200"/>
          <a:ext cx="800100" cy="228600"/>
        </a:xfrm>
        <a:prstGeom prst="rect">
          <a:avLst/>
        </a:prstGeom>
        <a:noFill/>
        <a:ln w="9525" cmpd="sng">
          <a:noFill/>
        </a:ln>
      </xdr:spPr>
    </xdr:pic>
    <xdr:clientData/>
  </xdr:twoCellAnchor>
  <xdr:twoCellAnchor>
    <xdr:from>
      <xdr:col>12</xdr:col>
      <xdr:colOff>1647825</xdr:colOff>
      <xdr:row>154</xdr:row>
      <xdr:rowOff>152400</xdr:rowOff>
    </xdr:from>
    <xdr:to>
      <xdr:col>12</xdr:col>
      <xdr:colOff>2447925</xdr:colOff>
      <xdr:row>156</xdr:row>
      <xdr:rowOff>57150</xdr:rowOff>
    </xdr:to>
    <xdr:pic>
      <xdr:nvPicPr>
        <xdr:cNvPr id="6" name="Picture 6"/>
        <xdr:cNvPicPr preferRelativeResize="1">
          <a:picLocks noChangeAspect="1"/>
        </xdr:cNvPicPr>
      </xdr:nvPicPr>
      <xdr:blipFill>
        <a:blip r:link="rId2"/>
        <a:stretch>
          <a:fillRect/>
        </a:stretch>
      </xdr:blipFill>
      <xdr:spPr>
        <a:xfrm>
          <a:off x="18345150" y="30508575"/>
          <a:ext cx="800100" cy="228600"/>
        </a:xfrm>
        <a:prstGeom prst="rect">
          <a:avLst/>
        </a:prstGeom>
        <a:noFill/>
        <a:ln w="9525" cmpd="sng">
          <a:noFill/>
        </a:ln>
      </xdr:spPr>
    </xdr:pic>
    <xdr:clientData/>
  </xdr:twoCellAnchor>
  <xdr:twoCellAnchor>
    <xdr:from>
      <xdr:col>12</xdr:col>
      <xdr:colOff>1714500</xdr:colOff>
      <xdr:row>105</xdr:row>
      <xdr:rowOff>0</xdr:rowOff>
    </xdr:from>
    <xdr:to>
      <xdr:col>12</xdr:col>
      <xdr:colOff>2514600</xdr:colOff>
      <xdr:row>106</xdr:row>
      <xdr:rowOff>76200</xdr:rowOff>
    </xdr:to>
    <xdr:pic>
      <xdr:nvPicPr>
        <xdr:cNvPr id="7" name="Picture 7"/>
        <xdr:cNvPicPr preferRelativeResize="1">
          <a:picLocks noChangeAspect="1"/>
        </xdr:cNvPicPr>
      </xdr:nvPicPr>
      <xdr:blipFill>
        <a:blip r:link="rId2"/>
        <a:stretch>
          <a:fillRect/>
        </a:stretch>
      </xdr:blipFill>
      <xdr:spPr>
        <a:xfrm>
          <a:off x="18411825" y="21031200"/>
          <a:ext cx="800100" cy="276225"/>
        </a:xfrm>
        <a:prstGeom prst="rect">
          <a:avLst/>
        </a:prstGeom>
        <a:noFill/>
        <a:ln w="9525" cmpd="sng">
          <a:noFill/>
        </a:ln>
      </xdr:spPr>
    </xdr:pic>
    <xdr:clientData/>
  </xdr:twoCellAnchor>
  <xdr:twoCellAnchor>
    <xdr:from>
      <xdr:col>12</xdr:col>
      <xdr:colOff>1676400</xdr:colOff>
      <xdr:row>51</xdr:row>
      <xdr:rowOff>133350</xdr:rowOff>
    </xdr:from>
    <xdr:to>
      <xdr:col>12</xdr:col>
      <xdr:colOff>2476500</xdr:colOff>
      <xdr:row>52</xdr:row>
      <xdr:rowOff>161925</xdr:rowOff>
    </xdr:to>
    <xdr:pic>
      <xdr:nvPicPr>
        <xdr:cNvPr id="8" name="Picture 8"/>
        <xdr:cNvPicPr preferRelativeResize="1">
          <a:picLocks noChangeAspect="1"/>
        </xdr:cNvPicPr>
      </xdr:nvPicPr>
      <xdr:blipFill>
        <a:blip r:link="rId2"/>
        <a:stretch>
          <a:fillRect/>
        </a:stretch>
      </xdr:blipFill>
      <xdr:spPr>
        <a:xfrm>
          <a:off x="18373725" y="10115550"/>
          <a:ext cx="800100" cy="228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51</xdr:row>
      <xdr:rowOff>133350</xdr:rowOff>
    </xdr:from>
    <xdr:to>
      <xdr:col>1</xdr:col>
      <xdr:colOff>57150</xdr:colOff>
      <xdr:row>52</xdr:row>
      <xdr:rowOff>171450</xdr:rowOff>
    </xdr:to>
    <xdr:pic>
      <xdr:nvPicPr>
        <xdr:cNvPr id="1" name="Picture 1"/>
        <xdr:cNvPicPr preferRelativeResize="1">
          <a:picLocks noChangeAspect="1"/>
        </xdr:cNvPicPr>
      </xdr:nvPicPr>
      <xdr:blipFill>
        <a:blip r:link="rId1"/>
        <a:stretch>
          <a:fillRect/>
        </a:stretch>
      </xdr:blipFill>
      <xdr:spPr>
        <a:xfrm>
          <a:off x="57150" y="10115550"/>
          <a:ext cx="314325" cy="238125"/>
        </a:xfrm>
        <a:prstGeom prst="rect">
          <a:avLst/>
        </a:prstGeom>
        <a:noFill/>
        <a:ln w="9525" cmpd="sng">
          <a:noFill/>
        </a:ln>
      </xdr:spPr>
    </xdr:pic>
    <xdr:clientData/>
  </xdr:twoCellAnchor>
  <xdr:twoCellAnchor>
    <xdr:from>
      <xdr:col>0</xdr:col>
      <xdr:colOff>0</xdr:colOff>
      <xdr:row>106</xdr:row>
      <xdr:rowOff>38100</xdr:rowOff>
    </xdr:from>
    <xdr:to>
      <xdr:col>1</xdr:col>
      <xdr:colOff>0</xdr:colOff>
      <xdr:row>107</xdr:row>
      <xdr:rowOff>123825</xdr:rowOff>
    </xdr:to>
    <xdr:pic>
      <xdr:nvPicPr>
        <xdr:cNvPr id="2" name="Picture 2"/>
        <xdr:cNvPicPr preferRelativeResize="1">
          <a:picLocks noChangeAspect="1"/>
        </xdr:cNvPicPr>
      </xdr:nvPicPr>
      <xdr:blipFill>
        <a:blip r:link="rId1"/>
        <a:stretch>
          <a:fillRect/>
        </a:stretch>
      </xdr:blipFill>
      <xdr:spPr>
        <a:xfrm>
          <a:off x="0" y="21269325"/>
          <a:ext cx="314325" cy="285750"/>
        </a:xfrm>
        <a:prstGeom prst="rect">
          <a:avLst/>
        </a:prstGeom>
        <a:noFill/>
        <a:ln w="9525" cmpd="sng">
          <a:noFill/>
        </a:ln>
      </xdr:spPr>
    </xdr:pic>
    <xdr:clientData/>
  </xdr:twoCellAnchor>
  <xdr:twoCellAnchor>
    <xdr:from>
      <xdr:col>0</xdr:col>
      <xdr:colOff>0</xdr:colOff>
      <xdr:row>157</xdr:row>
      <xdr:rowOff>57150</xdr:rowOff>
    </xdr:from>
    <xdr:to>
      <xdr:col>1</xdr:col>
      <xdr:colOff>0</xdr:colOff>
      <xdr:row>158</xdr:row>
      <xdr:rowOff>133350</xdr:rowOff>
    </xdr:to>
    <xdr:pic>
      <xdr:nvPicPr>
        <xdr:cNvPr id="3" name="Picture 3"/>
        <xdr:cNvPicPr preferRelativeResize="1">
          <a:picLocks noChangeAspect="1"/>
        </xdr:cNvPicPr>
      </xdr:nvPicPr>
      <xdr:blipFill>
        <a:blip r:link="rId1"/>
        <a:stretch>
          <a:fillRect/>
        </a:stretch>
      </xdr:blipFill>
      <xdr:spPr>
        <a:xfrm>
          <a:off x="0" y="30975300"/>
          <a:ext cx="314325" cy="238125"/>
        </a:xfrm>
        <a:prstGeom prst="rect">
          <a:avLst/>
        </a:prstGeom>
        <a:noFill/>
        <a:ln w="9525" cmpd="sng">
          <a:noFill/>
        </a:ln>
      </xdr:spPr>
    </xdr:pic>
    <xdr:clientData/>
  </xdr:twoCellAnchor>
  <xdr:twoCellAnchor>
    <xdr:from>
      <xdr:col>0</xdr:col>
      <xdr:colOff>38100</xdr:colOff>
      <xdr:row>220</xdr:row>
      <xdr:rowOff>104775</xdr:rowOff>
    </xdr:from>
    <xdr:to>
      <xdr:col>1</xdr:col>
      <xdr:colOff>38100</xdr:colOff>
      <xdr:row>221</xdr:row>
      <xdr:rowOff>142875</xdr:rowOff>
    </xdr:to>
    <xdr:pic>
      <xdr:nvPicPr>
        <xdr:cNvPr id="4" name="Picture 4"/>
        <xdr:cNvPicPr preferRelativeResize="1">
          <a:picLocks noChangeAspect="1"/>
        </xdr:cNvPicPr>
      </xdr:nvPicPr>
      <xdr:blipFill>
        <a:blip r:link="rId1"/>
        <a:stretch>
          <a:fillRect/>
        </a:stretch>
      </xdr:blipFill>
      <xdr:spPr>
        <a:xfrm>
          <a:off x="38100" y="43576875"/>
          <a:ext cx="314325" cy="238125"/>
        </a:xfrm>
        <a:prstGeom prst="rect">
          <a:avLst/>
        </a:prstGeom>
        <a:noFill/>
        <a:ln w="9525" cmpd="sng">
          <a:noFill/>
        </a:ln>
      </xdr:spPr>
    </xdr:pic>
    <xdr:clientData/>
  </xdr:twoCellAnchor>
  <xdr:twoCellAnchor>
    <xdr:from>
      <xdr:col>12</xdr:col>
      <xdr:colOff>1676400</xdr:colOff>
      <xdr:row>220</xdr:row>
      <xdr:rowOff>57150</xdr:rowOff>
    </xdr:from>
    <xdr:to>
      <xdr:col>12</xdr:col>
      <xdr:colOff>2476500</xdr:colOff>
      <xdr:row>221</xdr:row>
      <xdr:rowOff>85725</xdr:rowOff>
    </xdr:to>
    <xdr:pic>
      <xdr:nvPicPr>
        <xdr:cNvPr id="5" name="Picture 5"/>
        <xdr:cNvPicPr preferRelativeResize="1">
          <a:picLocks noChangeAspect="1"/>
        </xdr:cNvPicPr>
      </xdr:nvPicPr>
      <xdr:blipFill>
        <a:blip r:link="rId2"/>
        <a:stretch>
          <a:fillRect/>
        </a:stretch>
      </xdr:blipFill>
      <xdr:spPr>
        <a:xfrm>
          <a:off x="18373725" y="43529250"/>
          <a:ext cx="800100" cy="228600"/>
        </a:xfrm>
        <a:prstGeom prst="rect">
          <a:avLst/>
        </a:prstGeom>
        <a:noFill/>
        <a:ln w="9525" cmpd="sng">
          <a:noFill/>
        </a:ln>
      </xdr:spPr>
    </xdr:pic>
    <xdr:clientData/>
  </xdr:twoCellAnchor>
  <xdr:twoCellAnchor>
    <xdr:from>
      <xdr:col>12</xdr:col>
      <xdr:colOff>1647825</xdr:colOff>
      <xdr:row>156</xdr:row>
      <xdr:rowOff>152400</xdr:rowOff>
    </xdr:from>
    <xdr:to>
      <xdr:col>12</xdr:col>
      <xdr:colOff>2447925</xdr:colOff>
      <xdr:row>158</xdr:row>
      <xdr:rowOff>57150</xdr:rowOff>
    </xdr:to>
    <xdr:pic>
      <xdr:nvPicPr>
        <xdr:cNvPr id="6" name="Picture 6"/>
        <xdr:cNvPicPr preferRelativeResize="1">
          <a:picLocks noChangeAspect="1"/>
        </xdr:cNvPicPr>
      </xdr:nvPicPr>
      <xdr:blipFill>
        <a:blip r:link="rId2"/>
        <a:stretch>
          <a:fillRect/>
        </a:stretch>
      </xdr:blipFill>
      <xdr:spPr>
        <a:xfrm>
          <a:off x="18345150" y="30908625"/>
          <a:ext cx="800100" cy="228600"/>
        </a:xfrm>
        <a:prstGeom prst="rect">
          <a:avLst/>
        </a:prstGeom>
        <a:noFill/>
        <a:ln w="9525" cmpd="sng">
          <a:noFill/>
        </a:ln>
      </xdr:spPr>
    </xdr:pic>
    <xdr:clientData/>
  </xdr:twoCellAnchor>
  <xdr:twoCellAnchor>
    <xdr:from>
      <xdr:col>12</xdr:col>
      <xdr:colOff>1714500</xdr:colOff>
      <xdr:row>106</xdr:row>
      <xdr:rowOff>0</xdr:rowOff>
    </xdr:from>
    <xdr:to>
      <xdr:col>12</xdr:col>
      <xdr:colOff>2514600</xdr:colOff>
      <xdr:row>107</xdr:row>
      <xdr:rowOff>76200</xdr:rowOff>
    </xdr:to>
    <xdr:pic>
      <xdr:nvPicPr>
        <xdr:cNvPr id="7" name="Picture 7"/>
        <xdr:cNvPicPr preferRelativeResize="1">
          <a:picLocks noChangeAspect="1"/>
        </xdr:cNvPicPr>
      </xdr:nvPicPr>
      <xdr:blipFill>
        <a:blip r:link="rId2"/>
        <a:stretch>
          <a:fillRect/>
        </a:stretch>
      </xdr:blipFill>
      <xdr:spPr>
        <a:xfrm>
          <a:off x="18411825" y="21231225"/>
          <a:ext cx="800100" cy="276225"/>
        </a:xfrm>
        <a:prstGeom prst="rect">
          <a:avLst/>
        </a:prstGeom>
        <a:noFill/>
        <a:ln w="9525" cmpd="sng">
          <a:noFill/>
        </a:ln>
      </xdr:spPr>
    </xdr:pic>
    <xdr:clientData/>
  </xdr:twoCellAnchor>
  <xdr:twoCellAnchor>
    <xdr:from>
      <xdr:col>12</xdr:col>
      <xdr:colOff>1676400</xdr:colOff>
      <xdr:row>51</xdr:row>
      <xdr:rowOff>133350</xdr:rowOff>
    </xdr:from>
    <xdr:to>
      <xdr:col>12</xdr:col>
      <xdr:colOff>2476500</xdr:colOff>
      <xdr:row>52</xdr:row>
      <xdr:rowOff>161925</xdr:rowOff>
    </xdr:to>
    <xdr:pic>
      <xdr:nvPicPr>
        <xdr:cNvPr id="8" name="Picture 8"/>
        <xdr:cNvPicPr preferRelativeResize="1">
          <a:picLocks noChangeAspect="1"/>
        </xdr:cNvPicPr>
      </xdr:nvPicPr>
      <xdr:blipFill>
        <a:blip r:link="rId2"/>
        <a:stretch>
          <a:fillRect/>
        </a:stretch>
      </xdr:blipFill>
      <xdr:spPr>
        <a:xfrm>
          <a:off x="18373725" y="10115550"/>
          <a:ext cx="8001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104775</xdr:rowOff>
    </xdr:from>
    <xdr:to>
      <xdr:col>1</xdr:col>
      <xdr:colOff>28575</xdr:colOff>
      <xdr:row>52</xdr:row>
      <xdr:rowOff>142875</xdr:rowOff>
    </xdr:to>
    <xdr:pic>
      <xdr:nvPicPr>
        <xdr:cNvPr id="1" name="Picture 1"/>
        <xdr:cNvPicPr preferRelativeResize="1">
          <a:picLocks noChangeAspect="1"/>
        </xdr:cNvPicPr>
      </xdr:nvPicPr>
      <xdr:blipFill>
        <a:blip r:link="rId1"/>
        <a:stretch>
          <a:fillRect/>
        </a:stretch>
      </xdr:blipFill>
      <xdr:spPr>
        <a:xfrm>
          <a:off x="28575" y="10086975"/>
          <a:ext cx="314325" cy="238125"/>
        </a:xfrm>
        <a:prstGeom prst="rect">
          <a:avLst/>
        </a:prstGeom>
        <a:noFill/>
        <a:ln w="9525" cmpd="sng">
          <a:noFill/>
        </a:ln>
      </xdr:spPr>
    </xdr:pic>
    <xdr:clientData/>
  </xdr:twoCellAnchor>
  <xdr:twoCellAnchor>
    <xdr:from>
      <xdr:col>0</xdr:col>
      <xdr:colOff>85725</xdr:colOff>
      <xdr:row>104</xdr:row>
      <xdr:rowOff>0</xdr:rowOff>
    </xdr:from>
    <xdr:to>
      <xdr:col>1</xdr:col>
      <xdr:colOff>85725</xdr:colOff>
      <xdr:row>105</xdr:row>
      <xdr:rowOff>85725</xdr:rowOff>
    </xdr:to>
    <xdr:pic>
      <xdr:nvPicPr>
        <xdr:cNvPr id="2" name="Picture 2"/>
        <xdr:cNvPicPr preferRelativeResize="1">
          <a:picLocks noChangeAspect="1"/>
        </xdr:cNvPicPr>
      </xdr:nvPicPr>
      <xdr:blipFill>
        <a:blip r:link="rId1"/>
        <a:stretch>
          <a:fillRect/>
        </a:stretch>
      </xdr:blipFill>
      <xdr:spPr>
        <a:xfrm>
          <a:off x="85725" y="21183600"/>
          <a:ext cx="314325" cy="238125"/>
        </a:xfrm>
        <a:prstGeom prst="rect">
          <a:avLst/>
        </a:prstGeom>
        <a:noFill/>
        <a:ln w="9525" cmpd="sng">
          <a:noFill/>
        </a:ln>
      </xdr:spPr>
    </xdr:pic>
    <xdr:clientData/>
  </xdr:twoCellAnchor>
  <xdr:twoCellAnchor>
    <xdr:from>
      <xdr:col>0</xdr:col>
      <xdr:colOff>57150</xdr:colOff>
      <xdr:row>154</xdr:row>
      <xdr:rowOff>85725</xdr:rowOff>
    </xdr:from>
    <xdr:to>
      <xdr:col>1</xdr:col>
      <xdr:colOff>57150</xdr:colOff>
      <xdr:row>155</xdr:row>
      <xdr:rowOff>161925</xdr:rowOff>
    </xdr:to>
    <xdr:pic>
      <xdr:nvPicPr>
        <xdr:cNvPr id="3" name="Picture 3"/>
        <xdr:cNvPicPr preferRelativeResize="1">
          <a:picLocks noChangeAspect="1"/>
        </xdr:cNvPicPr>
      </xdr:nvPicPr>
      <xdr:blipFill>
        <a:blip r:link="rId1"/>
        <a:stretch>
          <a:fillRect/>
        </a:stretch>
      </xdr:blipFill>
      <xdr:spPr>
        <a:xfrm>
          <a:off x="57150" y="30613350"/>
          <a:ext cx="314325" cy="238125"/>
        </a:xfrm>
        <a:prstGeom prst="rect">
          <a:avLst/>
        </a:prstGeom>
        <a:noFill/>
        <a:ln w="9525" cmpd="sng">
          <a:noFill/>
        </a:ln>
      </xdr:spPr>
    </xdr:pic>
    <xdr:clientData/>
  </xdr:twoCellAnchor>
  <xdr:twoCellAnchor>
    <xdr:from>
      <xdr:col>0</xdr:col>
      <xdr:colOff>66675</xdr:colOff>
      <xdr:row>201</xdr:row>
      <xdr:rowOff>123825</xdr:rowOff>
    </xdr:from>
    <xdr:to>
      <xdr:col>1</xdr:col>
      <xdr:colOff>66675</xdr:colOff>
      <xdr:row>202</xdr:row>
      <xdr:rowOff>161925</xdr:rowOff>
    </xdr:to>
    <xdr:pic>
      <xdr:nvPicPr>
        <xdr:cNvPr id="4" name="Picture 4"/>
        <xdr:cNvPicPr preferRelativeResize="1">
          <a:picLocks noChangeAspect="1"/>
        </xdr:cNvPicPr>
      </xdr:nvPicPr>
      <xdr:blipFill>
        <a:blip r:link="rId1"/>
        <a:stretch>
          <a:fillRect/>
        </a:stretch>
      </xdr:blipFill>
      <xdr:spPr>
        <a:xfrm>
          <a:off x="66675" y="40005000"/>
          <a:ext cx="314325" cy="238125"/>
        </a:xfrm>
        <a:prstGeom prst="rect">
          <a:avLst/>
        </a:prstGeom>
        <a:noFill/>
        <a:ln w="9525" cmpd="sng">
          <a:noFill/>
        </a:ln>
      </xdr:spPr>
    </xdr:pic>
    <xdr:clientData/>
  </xdr:twoCellAnchor>
  <xdr:twoCellAnchor>
    <xdr:from>
      <xdr:col>12</xdr:col>
      <xdr:colOff>1609725</xdr:colOff>
      <xdr:row>201</xdr:row>
      <xdr:rowOff>104775</xdr:rowOff>
    </xdr:from>
    <xdr:to>
      <xdr:col>12</xdr:col>
      <xdr:colOff>2409825</xdr:colOff>
      <xdr:row>202</xdr:row>
      <xdr:rowOff>133350</xdr:rowOff>
    </xdr:to>
    <xdr:pic>
      <xdr:nvPicPr>
        <xdr:cNvPr id="5" name="Picture 5"/>
        <xdr:cNvPicPr preferRelativeResize="1">
          <a:picLocks noChangeAspect="1"/>
        </xdr:cNvPicPr>
      </xdr:nvPicPr>
      <xdr:blipFill>
        <a:blip r:link="rId2"/>
        <a:stretch>
          <a:fillRect/>
        </a:stretch>
      </xdr:blipFill>
      <xdr:spPr>
        <a:xfrm>
          <a:off x="15668625" y="39985950"/>
          <a:ext cx="800100" cy="228600"/>
        </a:xfrm>
        <a:prstGeom prst="rect">
          <a:avLst/>
        </a:prstGeom>
        <a:noFill/>
        <a:ln w="9525" cmpd="sng">
          <a:noFill/>
        </a:ln>
      </xdr:spPr>
    </xdr:pic>
    <xdr:clientData/>
  </xdr:twoCellAnchor>
  <xdr:twoCellAnchor>
    <xdr:from>
      <xdr:col>12</xdr:col>
      <xdr:colOff>1590675</xdr:colOff>
      <xdr:row>154</xdr:row>
      <xdr:rowOff>9525</xdr:rowOff>
    </xdr:from>
    <xdr:to>
      <xdr:col>12</xdr:col>
      <xdr:colOff>2390775</xdr:colOff>
      <xdr:row>155</xdr:row>
      <xdr:rowOff>76200</xdr:rowOff>
    </xdr:to>
    <xdr:pic>
      <xdr:nvPicPr>
        <xdr:cNvPr id="6" name="Picture 6"/>
        <xdr:cNvPicPr preferRelativeResize="1">
          <a:picLocks noChangeAspect="1"/>
        </xdr:cNvPicPr>
      </xdr:nvPicPr>
      <xdr:blipFill>
        <a:blip r:link="rId2"/>
        <a:stretch>
          <a:fillRect/>
        </a:stretch>
      </xdr:blipFill>
      <xdr:spPr>
        <a:xfrm>
          <a:off x="15649575" y="30537150"/>
          <a:ext cx="800100" cy="228600"/>
        </a:xfrm>
        <a:prstGeom prst="rect">
          <a:avLst/>
        </a:prstGeom>
        <a:noFill/>
        <a:ln w="9525" cmpd="sng">
          <a:noFill/>
        </a:ln>
      </xdr:spPr>
    </xdr:pic>
    <xdr:clientData/>
  </xdr:twoCellAnchor>
  <xdr:twoCellAnchor>
    <xdr:from>
      <xdr:col>12</xdr:col>
      <xdr:colOff>1562100</xdr:colOff>
      <xdr:row>104</xdr:row>
      <xdr:rowOff>0</xdr:rowOff>
    </xdr:from>
    <xdr:to>
      <xdr:col>12</xdr:col>
      <xdr:colOff>2362200</xdr:colOff>
      <xdr:row>105</xdr:row>
      <xdr:rowOff>76200</xdr:rowOff>
    </xdr:to>
    <xdr:pic>
      <xdr:nvPicPr>
        <xdr:cNvPr id="7" name="Picture 7"/>
        <xdr:cNvPicPr preferRelativeResize="1">
          <a:picLocks noChangeAspect="1"/>
        </xdr:cNvPicPr>
      </xdr:nvPicPr>
      <xdr:blipFill>
        <a:blip r:link="rId2"/>
        <a:stretch>
          <a:fillRect/>
        </a:stretch>
      </xdr:blipFill>
      <xdr:spPr>
        <a:xfrm>
          <a:off x="15621000" y="21183600"/>
          <a:ext cx="800100" cy="228600"/>
        </a:xfrm>
        <a:prstGeom prst="rect">
          <a:avLst/>
        </a:prstGeom>
        <a:noFill/>
        <a:ln w="9525" cmpd="sng">
          <a:noFill/>
        </a:ln>
      </xdr:spPr>
    </xdr:pic>
    <xdr:clientData/>
  </xdr:twoCellAnchor>
  <xdr:twoCellAnchor>
    <xdr:from>
      <xdr:col>12</xdr:col>
      <xdr:colOff>1628775</xdr:colOff>
      <xdr:row>51</xdr:row>
      <xdr:rowOff>133350</xdr:rowOff>
    </xdr:from>
    <xdr:to>
      <xdr:col>12</xdr:col>
      <xdr:colOff>2428875</xdr:colOff>
      <xdr:row>52</xdr:row>
      <xdr:rowOff>161925</xdr:rowOff>
    </xdr:to>
    <xdr:pic>
      <xdr:nvPicPr>
        <xdr:cNvPr id="8" name="Picture 8"/>
        <xdr:cNvPicPr preferRelativeResize="1">
          <a:picLocks noChangeAspect="1"/>
        </xdr:cNvPicPr>
      </xdr:nvPicPr>
      <xdr:blipFill>
        <a:blip r:link="rId2"/>
        <a:stretch>
          <a:fillRect/>
        </a:stretch>
      </xdr:blipFill>
      <xdr:spPr>
        <a:xfrm>
          <a:off x="15687675" y="10115550"/>
          <a:ext cx="8001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51</xdr:row>
      <xdr:rowOff>152400</xdr:rowOff>
    </xdr:from>
    <xdr:to>
      <xdr:col>1</xdr:col>
      <xdr:colOff>57150</xdr:colOff>
      <xdr:row>52</xdr:row>
      <xdr:rowOff>190500</xdr:rowOff>
    </xdr:to>
    <xdr:pic>
      <xdr:nvPicPr>
        <xdr:cNvPr id="1" name="Picture 1"/>
        <xdr:cNvPicPr preferRelativeResize="1">
          <a:picLocks noChangeAspect="1"/>
        </xdr:cNvPicPr>
      </xdr:nvPicPr>
      <xdr:blipFill>
        <a:blip r:link="rId1"/>
        <a:stretch>
          <a:fillRect/>
        </a:stretch>
      </xdr:blipFill>
      <xdr:spPr>
        <a:xfrm>
          <a:off x="57150" y="10134600"/>
          <a:ext cx="314325" cy="238125"/>
        </a:xfrm>
        <a:prstGeom prst="rect">
          <a:avLst/>
        </a:prstGeom>
        <a:noFill/>
        <a:ln w="9525" cmpd="sng">
          <a:noFill/>
        </a:ln>
      </xdr:spPr>
    </xdr:pic>
    <xdr:clientData/>
  </xdr:twoCellAnchor>
  <xdr:twoCellAnchor>
    <xdr:from>
      <xdr:col>0</xdr:col>
      <xdr:colOff>28575</xdr:colOff>
      <xdr:row>104</xdr:row>
      <xdr:rowOff>28575</xdr:rowOff>
    </xdr:from>
    <xdr:to>
      <xdr:col>1</xdr:col>
      <xdr:colOff>28575</xdr:colOff>
      <xdr:row>105</xdr:row>
      <xdr:rowOff>114300</xdr:rowOff>
    </xdr:to>
    <xdr:pic>
      <xdr:nvPicPr>
        <xdr:cNvPr id="2" name="Picture 2"/>
        <xdr:cNvPicPr preferRelativeResize="1">
          <a:picLocks noChangeAspect="1"/>
        </xdr:cNvPicPr>
      </xdr:nvPicPr>
      <xdr:blipFill>
        <a:blip r:link="rId1"/>
        <a:stretch>
          <a:fillRect/>
        </a:stretch>
      </xdr:blipFill>
      <xdr:spPr>
        <a:xfrm>
          <a:off x="28575" y="21212175"/>
          <a:ext cx="314325" cy="238125"/>
        </a:xfrm>
        <a:prstGeom prst="rect">
          <a:avLst/>
        </a:prstGeom>
        <a:noFill/>
        <a:ln w="9525" cmpd="sng">
          <a:noFill/>
        </a:ln>
      </xdr:spPr>
    </xdr:pic>
    <xdr:clientData/>
  </xdr:twoCellAnchor>
  <xdr:twoCellAnchor>
    <xdr:from>
      <xdr:col>0</xdr:col>
      <xdr:colOff>9525</xdr:colOff>
      <xdr:row>154</xdr:row>
      <xdr:rowOff>9525</xdr:rowOff>
    </xdr:from>
    <xdr:to>
      <xdr:col>1</xdr:col>
      <xdr:colOff>9525</xdr:colOff>
      <xdr:row>155</xdr:row>
      <xdr:rowOff>85725</xdr:rowOff>
    </xdr:to>
    <xdr:pic>
      <xdr:nvPicPr>
        <xdr:cNvPr id="3" name="Picture 3"/>
        <xdr:cNvPicPr preferRelativeResize="1">
          <a:picLocks noChangeAspect="1"/>
        </xdr:cNvPicPr>
      </xdr:nvPicPr>
      <xdr:blipFill>
        <a:blip r:link="rId1"/>
        <a:stretch>
          <a:fillRect/>
        </a:stretch>
      </xdr:blipFill>
      <xdr:spPr>
        <a:xfrm>
          <a:off x="9525" y="30537150"/>
          <a:ext cx="314325" cy="238125"/>
        </a:xfrm>
        <a:prstGeom prst="rect">
          <a:avLst/>
        </a:prstGeom>
        <a:noFill/>
        <a:ln w="9525" cmpd="sng">
          <a:noFill/>
        </a:ln>
      </xdr:spPr>
    </xdr:pic>
    <xdr:clientData/>
  </xdr:twoCellAnchor>
  <xdr:twoCellAnchor>
    <xdr:from>
      <xdr:col>0</xdr:col>
      <xdr:colOff>57150</xdr:colOff>
      <xdr:row>201</xdr:row>
      <xdr:rowOff>123825</xdr:rowOff>
    </xdr:from>
    <xdr:to>
      <xdr:col>1</xdr:col>
      <xdr:colOff>57150</xdr:colOff>
      <xdr:row>202</xdr:row>
      <xdr:rowOff>161925</xdr:rowOff>
    </xdr:to>
    <xdr:pic>
      <xdr:nvPicPr>
        <xdr:cNvPr id="4" name="Picture 4"/>
        <xdr:cNvPicPr preferRelativeResize="1">
          <a:picLocks noChangeAspect="1"/>
        </xdr:cNvPicPr>
      </xdr:nvPicPr>
      <xdr:blipFill>
        <a:blip r:link="rId1"/>
        <a:stretch>
          <a:fillRect/>
        </a:stretch>
      </xdr:blipFill>
      <xdr:spPr>
        <a:xfrm>
          <a:off x="57150" y="40005000"/>
          <a:ext cx="314325" cy="238125"/>
        </a:xfrm>
        <a:prstGeom prst="rect">
          <a:avLst/>
        </a:prstGeom>
        <a:noFill/>
        <a:ln w="9525" cmpd="sng">
          <a:noFill/>
        </a:ln>
      </xdr:spPr>
    </xdr:pic>
    <xdr:clientData/>
  </xdr:twoCellAnchor>
  <xdr:twoCellAnchor>
    <xdr:from>
      <xdr:col>12</xdr:col>
      <xdr:colOff>1800225</xdr:colOff>
      <xdr:row>201</xdr:row>
      <xdr:rowOff>85725</xdr:rowOff>
    </xdr:from>
    <xdr:to>
      <xdr:col>12</xdr:col>
      <xdr:colOff>2600325</xdr:colOff>
      <xdr:row>202</xdr:row>
      <xdr:rowOff>114300</xdr:rowOff>
    </xdr:to>
    <xdr:pic>
      <xdr:nvPicPr>
        <xdr:cNvPr id="5" name="Picture 5"/>
        <xdr:cNvPicPr preferRelativeResize="1">
          <a:picLocks noChangeAspect="1"/>
        </xdr:cNvPicPr>
      </xdr:nvPicPr>
      <xdr:blipFill>
        <a:blip r:link="rId2"/>
        <a:stretch>
          <a:fillRect/>
        </a:stretch>
      </xdr:blipFill>
      <xdr:spPr>
        <a:xfrm>
          <a:off x="15859125" y="39966900"/>
          <a:ext cx="800100" cy="228600"/>
        </a:xfrm>
        <a:prstGeom prst="rect">
          <a:avLst/>
        </a:prstGeom>
        <a:noFill/>
        <a:ln w="9525" cmpd="sng">
          <a:noFill/>
        </a:ln>
      </xdr:spPr>
    </xdr:pic>
    <xdr:clientData/>
  </xdr:twoCellAnchor>
  <xdr:twoCellAnchor>
    <xdr:from>
      <xdr:col>12</xdr:col>
      <xdr:colOff>1838325</xdr:colOff>
      <xdr:row>154</xdr:row>
      <xdr:rowOff>57150</xdr:rowOff>
    </xdr:from>
    <xdr:to>
      <xdr:col>12</xdr:col>
      <xdr:colOff>2638425</xdr:colOff>
      <xdr:row>155</xdr:row>
      <xdr:rowOff>123825</xdr:rowOff>
    </xdr:to>
    <xdr:pic>
      <xdr:nvPicPr>
        <xdr:cNvPr id="6" name="Picture 6"/>
        <xdr:cNvPicPr preferRelativeResize="1">
          <a:picLocks noChangeAspect="1"/>
        </xdr:cNvPicPr>
      </xdr:nvPicPr>
      <xdr:blipFill>
        <a:blip r:link="rId2"/>
        <a:stretch>
          <a:fillRect/>
        </a:stretch>
      </xdr:blipFill>
      <xdr:spPr>
        <a:xfrm>
          <a:off x="15897225" y="30584775"/>
          <a:ext cx="800100" cy="228600"/>
        </a:xfrm>
        <a:prstGeom prst="rect">
          <a:avLst/>
        </a:prstGeom>
        <a:noFill/>
        <a:ln w="9525" cmpd="sng">
          <a:noFill/>
        </a:ln>
      </xdr:spPr>
    </xdr:pic>
    <xdr:clientData/>
  </xdr:twoCellAnchor>
  <xdr:twoCellAnchor>
    <xdr:from>
      <xdr:col>12</xdr:col>
      <xdr:colOff>1819275</xdr:colOff>
      <xdr:row>103</xdr:row>
      <xdr:rowOff>133350</xdr:rowOff>
    </xdr:from>
    <xdr:to>
      <xdr:col>12</xdr:col>
      <xdr:colOff>2619375</xdr:colOff>
      <xdr:row>105</xdr:row>
      <xdr:rowOff>57150</xdr:rowOff>
    </xdr:to>
    <xdr:pic>
      <xdr:nvPicPr>
        <xdr:cNvPr id="7" name="Picture 7"/>
        <xdr:cNvPicPr preferRelativeResize="1">
          <a:picLocks noChangeAspect="1"/>
        </xdr:cNvPicPr>
      </xdr:nvPicPr>
      <xdr:blipFill>
        <a:blip r:link="rId2"/>
        <a:stretch>
          <a:fillRect/>
        </a:stretch>
      </xdr:blipFill>
      <xdr:spPr>
        <a:xfrm>
          <a:off x="15878175" y="21164550"/>
          <a:ext cx="800100" cy="228600"/>
        </a:xfrm>
        <a:prstGeom prst="rect">
          <a:avLst/>
        </a:prstGeom>
        <a:noFill/>
        <a:ln w="9525" cmpd="sng">
          <a:noFill/>
        </a:ln>
      </xdr:spPr>
    </xdr:pic>
    <xdr:clientData/>
  </xdr:twoCellAnchor>
  <xdr:twoCellAnchor>
    <xdr:from>
      <xdr:col>12</xdr:col>
      <xdr:colOff>1819275</xdr:colOff>
      <xdr:row>51</xdr:row>
      <xdr:rowOff>104775</xdr:rowOff>
    </xdr:from>
    <xdr:to>
      <xdr:col>12</xdr:col>
      <xdr:colOff>2619375</xdr:colOff>
      <xdr:row>52</xdr:row>
      <xdr:rowOff>133350</xdr:rowOff>
    </xdr:to>
    <xdr:pic>
      <xdr:nvPicPr>
        <xdr:cNvPr id="8" name="Picture 8"/>
        <xdr:cNvPicPr preferRelativeResize="1">
          <a:picLocks noChangeAspect="1"/>
        </xdr:cNvPicPr>
      </xdr:nvPicPr>
      <xdr:blipFill>
        <a:blip r:link="rId2"/>
        <a:stretch>
          <a:fillRect/>
        </a:stretch>
      </xdr:blipFill>
      <xdr:spPr>
        <a:xfrm>
          <a:off x="15878175" y="10086975"/>
          <a:ext cx="800100"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51</xdr:row>
      <xdr:rowOff>123825</xdr:rowOff>
    </xdr:from>
    <xdr:to>
      <xdr:col>1</xdr:col>
      <xdr:colOff>57150</xdr:colOff>
      <xdr:row>52</xdr:row>
      <xdr:rowOff>161925</xdr:rowOff>
    </xdr:to>
    <xdr:pic>
      <xdr:nvPicPr>
        <xdr:cNvPr id="1" name="Picture 1"/>
        <xdr:cNvPicPr preferRelativeResize="1">
          <a:picLocks noChangeAspect="1"/>
        </xdr:cNvPicPr>
      </xdr:nvPicPr>
      <xdr:blipFill>
        <a:blip r:link="rId1"/>
        <a:stretch>
          <a:fillRect/>
        </a:stretch>
      </xdr:blipFill>
      <xdr:spPr>
        <a:xfrm>
          <a:off x="57150" y="10106025"/>
          <a:ext cx="314325" cy="238125"/>
        </a:xfrm>
        <a:prstGeom prst="rect">
          <a:avLst/>
        </a:prstGeom>
        <a:noFill/>
        <a:ln w="9525" cmpd="sng">
          <a:noFill/>
        </a:ln>
      </xdr:spPr>
    </xdr:pic>
    <xdr:clientData/>
  </xdr:twoCellAnchor>
  <xdr:twoCellAnchor>
    <xdr:from>
      <xdr:col>0</xdr:col>
      <xdr:colOff>28575</xdr:colOff>
      <xdr:row>104</xdr:row>
      <xdr:rowOff>38100</xdr:rowOff>
    </xdr:from>
    <xdr:to>
      <xdr:col>1</xdr:col>
      <xdr:colOff>28575</xdr:colOff>
      <xdr:row>105</xdr:row>
      <xdr:rowOff>123825</xdr:rowOff>
    </xdr:to>
    <xdr:pic>
      <xdr:nvPicPr>
        <xdr:cNvPr id="2" name="Picture 2"/>
        <xdr:cNvPicPr preferRelativeResize="1">
          <a:picLocks noChangeAspect="1"/>
        </xdr:cNvPicPr>
      </xdr:nvPicPr>
      <xdr:blipFill>
        <a:blip r:link="rId1"/>
        <a:stretch>
          <a:fillRect/>
        </a:stretch>
      </xdr:blipFill>
      <xdr:spPr>
        <a:xfrm>
          <a:off x="28575" y="21221700"/>
          <a:ext cx="314325" cy="238125"/>
        </a:xfrm>
        <a:prstGeom prst="rect">
          <a:avLst/>
        </a:prstGeom>
        <a:noFill/>
        <a:ln w="9525" cmpd="sng">
          <a:noFill/>
        </a:ln>
      </xdr:spPr>
    </xdr:pic>
    <xdr:clientData/>
  </xdr:twoCellAnchor>
  <xdr:twoCellAnchor>
    <xdr:from>
      <xdr:col>0</xdr:col>
      <xdr:colOff>0</xdr:colOff>
      <xdr:row>154</xdr:row>
      <xdr:rowOff>9525</xdr:rowOff>
    </xdr:from>
    <xdr:to>
      <xdr:col>1</xdr:col>
      <xdr:colOff>0</xdr:colOff>
      <xdr:row>155</xdr:row>
      <xdr:rowOff>85725</xdr:rowOff>
    </xdr:to>
    <xdr:pic>
      <xdr:nvPicPr>
        <xdr:cNvPr id="3" name="Picture 3"/>
        <xdr:cNvPicPr preferRelativeResize="1">
          <a:picLocks noChangeAspect="1"/>
        </xdr:cNvPicPr>
      </xdr:nvPicPr>
      <xdr:blipFill>
        <a:blip r:link="rId1"/>
        <a:stretch>
          <a:fillRect/>
        </a:stretch>
      </xdr:blipFill>
      <xdr:spPr>
        <a:xfrm>
          <a:off x="0" y="30537150"/>
          <a:ext cx="314325" cy="238125"/>
        </a:xfrm>
        <a:prstGeom prst="rect">
          <a:avLst/>
        </a:prstGeom>
        <a:noFill/>
        <a:ln w="9525" cmpd="sng">
          <a:noFill/>
        </a:ln>
      </xdr:spPr>
    </xdr:pic>
    <xdr:clientData/>
  </xdr:twoCellAnchor>
  <xdr:twoCellAnchor>
    <xdr:from>
      <xdr:col>0</xdr:col>
      <xdr:colOff>28575</xdr:colOff>
      <xdr:row>201</xdr:row>
      <xdr:rowOff>95250</xdr:rowOff>
    </xdr:from>
    <xdr:to>
      <xdr:col>1</xdr:col>
      <xdr:colOff>28575</xdr:colOff>
      <xdr:row>202</xdr:row>
      <xdr:rowOff>133350</xdr:rowOff>
    </xdr:to>
    <xdr:pic>
      <xdr:nvPicPr>
        <xdr:cNvPr id="4" name="Picture 4"/>
        <xdr:cNvPicPr preferRelativeResize="1">
          <a:picLocks noChangeAspect="1"/>
        </xdr:cNvPicPr>
      </xdr:nvPicPr>
      <xdr:blipFill>
        <a:blip r:link="rId1"/>
        <a:stretch>
          <a:fillRect/>
        </a:stretch>
      </xdr:blipFill>
      <xdr:spPr>
        <a:xfrm>
          <a:off x="28575" y="39976425"/>
          <a:ext cx="314325" cy="238125"/>
        </a:xfrm>
        <a:prstGeom prst="rect">
          <a:avLst/>
        </a:prstGeom>
        <a:noFill/>
        <a:ln w="9525" cmpd="sng">
          <a:noFill/>
        </a:ln>
      </xdr:spPr>
    </xdr:pic>
    <xdr:clientData/>
  </xdr:twoCellAnchor>
  <xdr:twoCellAnchor>
    <xdr:from>
      <xdr:col>12</xdr:col>
      <xdr:colOff>1962150</xdr:colOff>
      <xdr:row>201</xdr:row>
      <xdr:rowOff>95250</xdr:rowOff>
    </xdr:from>
    <xdr:to>
      <xdr:col>12</xdr:col>
      <xdr:colOff>2762250</xdr:colOff>
      <xdr:row>202</xdr:row>
      <xdr:rowOff>123825</xdr:rowOff>
    </xdr:to>
    <xdr:pic>
      <xdr:nvPicPr>
        <xdr:cNvPr id="5" name="Picture 5"/>
        <xdr:cNvPicPr preferRelativeResize="1">
          <a:picLocks noChangeAspect="1"/>
        </xdr:cNvPicPr>
      </xdr:nvPicPr>
      <xdr:blipFill>
        <a:blip r:link="rId2"/>
        <a:stretch>
          <a:fillRect/>
        </a:stretch>
      </xdr:blipFill>
      <xdr:spPr>
        <a:xfrm>
          <a:off x="16021050" y="39976425"/>
          <a:ext cx="800100" cy="228600"/>
        </a:xfrm>
        <a:prstGeom prst="rect">
          <a:avLst/>
        </a:prstGeom>
        <a:noFill/>
        <a:ln w="9525" cmpd="sng">
          <a:noFill/>
        </a:ln>
      </xdr:spPr>
    </xdr:pic>
    <xdr:clientData/>
  </xdr:twoCellAnchor>
  <xdr:twoCellAnchor>
    <xdr:from>
      <xdr:col>12</xdr:col>
      <xdr:colOff>1914525</xdr:colOff>
      <xdr:row>154</xdr:row>
      <xdr:rowOff>9525</xdr:rowOff>
    </xdr:from>
    <xdr:to>
      <xdr:col>12</xdr:col>
      <xdr:colOff>2714625</xdr:colOff>
      <xdr:row>155</xdr:row>
      <xdr:rowOff>76200</xdr:rowOff>
    </xdr:to>
    <xdr:pic>
      <xdr:nvPicPr>
        <xdr:cNvPr id="6" name="Picture 6"/>
        <xdr:cNvPicPr preferRelativeResize="1">
          <a:picLocks noChangeAspect="1"/>
        </xdr:cNvPicPr>
      </xdr:nvPicPr>
      <xdr:blipFill>
        <a:blip r:link="rId2"/>
        <a:stretch>
          <a:fillRect/>
        </a:stretch>
      </xdr:blipFill>
      <xdr:spPr>
        <a:xfrm>
          <a:off x="15973425" y="30537150"/>
          <a:ext cx="800100" cy="228600"/>
        </a:xfrm>
        <a:prstGeom prst="rect">
          <a:avLst/>
        </a:prstGeom>
        <a:noFill/>
        <a:ln w="9525" cmpd="sng">
          <a:noFill/>
        </a:ln>
      </xdr:spPr>
    </xdr:pic>
    <xdr:clientData/>
  </xdr:twoCellAnchor>
  <xdr:twoCellAnchor>
    <xdr:from>
      <xdr:col>12</xdr:col>
      <xdr:colOff>1914525</xdr:colOff>
      <xdr:row>104</xdr:row>
      <xdr:rowOff>0</xdr:rowOff>
    </xdr:from>
    <xdr:to>
      <xdr:col>12</xdr:col>
      <xdr:colOff>2714625</xdr:colOff>
      <xdr:row>105</xdr:row>
      <xdr:rowOff>76200</xdr:rowOff>
    </xdr:to>
    <xdr:pic>
      <xdr:nvPicPr>
        <xdr:cNvPr id="7" name="Picture 7"/>
        <xdr:cNvPicPr preferRelativeResize="1">
          <a:picLocks noChangeAspect="1"/>
        </xdr:cNvPicPr>
      </xdr:nvPicPr>
      <xdr:blipFill>
        <a:blip r:link="rId2"/>
        <a:stretch>
          <a:fillRect/>
        </a:stretch>
      </xdr:blipFill>
      <xdr:spPr>
        <a:xfrm>
          <a:off x="15973425" y="21183600"/>
          <a:ext cx="800100" cy="228600"/>
        </a:xfrm>
        <a:prstGeom prst="rect">
          <a:avLst/>
        </a:prstGeom>
        <a:noFill/>
        <a:ln w="9525" cmpd="sng">
          <a:noFill/>
        </a:ln>
      </xdr:spPr>
    </xdr:pic>
    <xdr:clientData/>
  </xdr:twoCellAnchor>
  <xdr:twoCellAnchor>
    <xdr:from>
      <xdr:col>12</xdr:col>
      <xdr:colOff>1933575</xdr:colOff>
      <xdr:row>51</xdr:row>
      <xdr:rowOff>95250</xdr:rowOff>
    </xdr:from>
    <xdr:to>
      <xdr:col>12</xdr:col>
      <xdr:colOff>2733675</xdr:colOff>
      <xdr:row>52</xdr:row>
      <xdr:rowOff>123825</xdr:rowOff>
    </xdr:to>
    <xdr:pic>
      <xdr:nvPicPr>
        <xdr:cNvPr id="8" name="Picture 8"/>
        <xdr:cNvPicPr preferRelativeResize="1">
          <a:picLocks noChangeAspect="1"/>
        </xdr:cNvPicPr>
      </xdr:nvPicPr>
      <xdr:blipFill>
        <a:blip r:link="rId2"/>
        <a:stretch>
          <a:fillRect/>
        </a:stretch>
      </xdr:blipFill>
      <xdr:spPr>
        <a:xfrm>
          <a:off x="15992475" y="10077450"/>
          <a:ext cx="800100" cy="228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51</xdr:row>
      <xdr:rowOff>133350</xdr:rowOff>
    </xdr:from>
    <xdr:to>
      <xdr:col>1</xdr:col>
      <xdr:colOff>57150</xdr:colOff>
      <xdr:row>52</xdr:row>
      <xdr:rowOff>171450</xdr:rowOff>
    </xdr:to>
    <xdr:pic>
      <xdr:nvPicPr>
        <xdr:cNvPr id="1" name="Picture 1"/>
        <xdr:cNvPicPr preferRelativeResize="1">
          <a:picLocks noChangeAspect="1"/>
        </xdr:cNvPicPr>
      </xdr:nvPicPr>
      <xdr:blipFill>
        <a:blip r:link="rId1"/>
        <a:stretch>
          <a:fillRect/>
        </a:stretch>
      </xdr:blipFill>
      <xdr:spPr>
        <a:xfrm>
          <a:off x="57150" y="10115550"/>
          <a:ext cx="314325" cy="238125"/>
        </a:xfrm>
        <a:prstGeom prst="rect">
          <a:avLst/>
        </a:prstGeom>
        <a:noFill/>
        <a:ln w="9525" cmpd="sng">
          <a:noFill/>
        </a:ln>
      </xdr:spPr>
    </xdr:pic>
    <xdr:clientData/>
  </xdr:twoCellAnchor>
  <xdr:twoCellAnchor>
    <xdr:from>
      <xdr:col>0</xdr:col>
      <xdr:colOff>0</xdr:colOff>
      <xdr:row>104</xdr:row>
      <xdr:rowOff>38100</xdr:rowOff>
    </xdr:from>
    <xdr:to>
      <xdr:col>1</xdr:col>
      <xdr:colOff>0</xdr:colOff>
      <xdr:row>105</xdr:row>
      <xdr:rowOff>123825</xdr:rowOff>
    </xdr:to>
    <xdr:pic>
      <xdr:nvPicPr>
        <xdr:cNvPr id="2" name="Picture 2"/>
        <xdr:cNvPicPr preferRelativeResize="1">
          <a:picLocks noChangeAspect="1"/>
        </xdr:cNvPicPr>
      </xdr:nvPicPr>
      <xdr:blipFill>
        <a:blip r:link="rId1"/>
        <a:stretch>
          <a:fillRect/>
        </a:stretch>
      </xdr:blipFill>
      <xdr:spPr>
        <a:xfrm>
          <a:off x="0" y="21221700"/>
          <a:ext cx="314325" cy="238125"/>
        </a:xfrm>
        <a:prstGeom prst="rect">
          <a:avLst/>
        </a:prstGeom>
        <a:noFill/>
        <a:ln w="9525" cmpd="sng">
          <a:noFill/>
        </a:ln>
      </xdr:spPr>
    </xdr:pic>
    <xdr:clientData/>
  </xdr:twoCellAnchor>
  <xdr:twoCellAnchor>
    <xdr:from>
      <xdr:col>0</xdr:col>
      <xdr:colOff>0</xdr:colOff>
      <xdr:row>154</xdr:row>
      <xdr:rowOff>57150</xdr:rowOff>
    </xdr:from>
    <xdr:to>
      <xdr:col>1</xdr:col>
      <xdr:colOff>0</xdr:colOff>
      <xdr:row>155</xdr:row>
      <xdr:rowOff>133350</xdr:rowOff>
    </xdr:to>
    <xdr:pic>
      <xdr:nvPicPr>
        <xdr:cNvPr id="3" name="Picture 3"/>
        <xdr:cNvPicPr preferRelativeResize="1">
          <a:picLocks noChangeAspect="1"/>
        </xdr:cNvPicPr>
      </xdr:nvPicPr>
      <xdr:blipFill>
        <a:blip r:link="rId1"/>
        <a:stretch>
          <a:fillRect/>
        </a:stretch>
      </xdr:blipFill>
      <xdr:spPr>
        <a:xfrm>
          <a:off x="0" y="30584775"/>
          <a:ext cx="314325" cy="238125"/>
        </a:xfrm>
        <a:prstGeom prst="rect">
          <a:avLst/>
        </a:prstGeom>
        <a:noFill/>
        <a:ln w="9525" cmpd="sng">
          <a:noFill/>
        </a:ln>
      </xdr:spPr>
    </xdr:pic>
    <xdr:clientData/>
  </xdr:twoCellAnchor>
  <xdr:twoCellAnchor>
    <xdr:from>
      <xdr:col>0</xdr:col>
      <xdr:colOff>38100</xdr:colOff>
      <xdr:row>201</xdr:row>
      <xdr:rowOff>104775</xdr:rowOff>
    </xdr:from>
    <xdr:to>
      <xdr:col>1</xdr:col>
      <xdr:colOff>38100</xdr:colOff>
      <xdr:row>202</xdr:row>
      <xdr:rowOff>142875</xdr:rowOff>
    </xdr:to>
    <xdr:pic>
      <xdr:nvPicPr>
        <xdr:cNvPr id="4" name="Picture 4"/>
        <xdr:cNvPicPr preferRelativeResize="1">
          <a:picLocks noChangeAspect="1"/>
        </xdr:cNvPicPr>
      </xdr:nvPicPr>
      <xdr:blipFill>
        <a:blip r:link="rId1"/>
        <a:stretch>
          <a:fillRect/>
        </a:stretch>
      </xdr:blipFill>
      <xdr:spPr>
        <a:xfrm>
          <a:off x="38100" y="39985950"/>
          <a:ext cx="314325" cy="238125"/>
        </a:xfrm>
        <a:prstGeom prst="rect">
          <a:avLst/>
        </a:prstGeom>
        <a:noFill/>
        <a:ln w="9525" cmpd="sng">
          <a:noFill/>
        </a:ln>
      </xdr:spPr>
    </xdr:pic>
    <xdr:clientData/>
  </xdr:twoCellAnchor>
  <xdr:twoCellAnchor>
    <xdr:from>
      <xdr:col>12</xdr:col>
      <xdr:colOff>1676400</xdr:colOff>
      <xdr:row>201</xdr:row>
      <xdr:rowOff>57150</xdr:rowOff>
    </xdr:from>
    <xdr:to>
      <xdr:col>12</xdr:col>
      <xdr:colOff>2476500</xdr:colOff>
      <xdr:row>202</xdr:row>
      <xdr:rowOff>85725</xdr:rowOff>
    </xdr:to>
    <xdr:pic>
      <xdr:nvPicPr>
        <xdr:cNvPr id="5" name="Picture 5"/>
        <xdr:cNvPicPr preferRelativeResize="1">
          <a:picLocks noChangeAspect="1"/>
        </xdr:cNvPicPr>
      </xdr:nvPicPr>
      <xdr:blipFill>
        <a:blip r:link="rId2"/>
        <a:stretch>
          <a:fillRect/>
        </a:stretch>
      </xdr:blipFill>
      <xdr:spPr>
        <a:xfrm>
          <a:off x="15735300" y="39938325"/>
          <a:ext cx="800100" cy="228600"/>
        </a:xfrm>
        <a:prstGeom prst="rect">
          <a:avLst/>
        </a:prstGeom>
        <a:noFill/>
        <a:ln w="9525" cmpd="sng">
          <a:noFill/>
        </a:ln>
      </xdr:spPr>
    </xdr:pic>
    <xdr:clientData/>
  </xdr:twoCellAnchor>
  <xdr:twoCellAnchor>
    <xdr:from>
      <xdr:col>12</xdr:col>
      <xdr:colOff>1647825</xdr:colOff>
      <xdr:row>153</xdr:row>
      <xdr:rowOff>152400</xdr:rowOff>
    </xdr:from>
    <xdr:to>
      <xdr:col>12</xdr:col>
      <xdr:colOff>2447925</xdr:colOff>
      <xdr:row>155</xdr:row>
      <xdr:rowOff>57150</xdr:rowOff>
    </xdr:to>
    <xdr:pic>
      <xdr:nvPicPr>
        <xdr:cNvPr id="6" name="Picture 6"/>
        <xdr:cNvPicPr preferRelativeResize="1">
          <a:picLocks noChangeAspect="1"/>
        </xdr:cNvPicPr>
      </xdr:nvPicPr>
      <xdr:blipFill>
        <a:blip r:link="rId2"/>
        <a:stretch>
          <a:fillRect/>
        </a:stretch>
      </xdr:blipFill>
      <xdr:spPr>
        <a:xfrm>
          <a:off x="15706725" y="30518100"/>
          <a:ext cx="800100" cy="228600"/>
        </a:xfrm>
        <a:prstGeom prst="rect">
          <a:avLst/>
        </a:prstGeom>
        <a:noFill/>
        <a:ln w="9525" cmpd="sng">
          <a:noFill/>
        </a:ln>
      </xdr:spPr>
    </xdr:pic>
    <xdr:clientData/>
  </xdr:twoCellAnchor>
  <xdr:twoCellAnchor>
    <xdr:from>
      <xdr:col>12</xdr:col>
      <xdr:colOff>1714500</xdr:colOff>
      <xdr:row>104</xdr:row>
      <xdr:rowOff>0</xdr:rowOff>
    </xdr:from>
    <xdr:to>
      <xdr:col>12</xdr:col>
      <xdr:colOff>2514600</xdr:colOff>
      <xdr:row>105</xdr:row>
      <xdr:rowOff>76200</xdr:rowOff>
    </xdr:to>
    <xdr:pic>
      <xdr:nvPicPr>
        <xdr:cNvPr id="7" name="Picture 7"/>
        <xdr:cNvPicPr preferRelativeResize="1">
          <a:picLocks noChangeAspect="1"/>
        </xdr:cNvPicPr>
      </xdr:nvPicPr>
      <xdr:blipFill>
        <a:blip r:link="rId2"/>
        <a:stretch>
          <a:fillRect/>
        </a:stretch>
      </xdr:blipFill>
      <xdr:spPr>
        <a:xfrm>
          <a:off x="15773400" y="21183600"/>
          <a:ext cx="800100" cy="228600"/>
        </a:xfrm>
        <a:prstGeom prst="rect">
          <a:avLst/>
        </a:prstGeom>
        <a:noFill/>
        <a:ln w="9525" cmpd="sng">
          <a:noFill/>
        </a:ln>
      </xdr:spPr>
    </xdr:pic>
    <xdr:clientData/>
  </xdr:twoCellAnchor>
  <xdr:twoCellAnchor>
    <xdr:from>
      <xdr:col>12</xdr:col>
      <xdr:colOff>1676400</xdr:colOff>
      <xdr:row>51</xdr:row>
      <xdr:rowOff>133350</xdr:rowOff>
    </xdr:from>
    <xdr:to>
      <xdr:col>12</xdr:col>
      <xdr:colOff>2476500</xdr:colOff>
      <xdr:row>52</xdr:row>
      <xdr:rowOff>161925</xdr:rowOff>
    </xdr:to>
    <xdr:pic>
      <xdr:nvPicPr>
        <xdr:cNvPr id="8" name="Picture 8"/>
        <xdr:cNvPicPr preferRelativeResize="1">
          <a:picLocks noChangeAspect="1"/>
        </xdr:cNvPicPr>
      </xdr:nvPicPr>
      <xdr:blipFill>
        <a:blip r:link="rId2"/>
        <a:stretch>
          <a:fillRect/>
        </a:stretch>
      </xdr:blipFill>
      <xdr:spPr>
        <a:xfrm>
          <a:off x="15735300" y="10115550"/>
          <a:ext cx="800100"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51</xdr:row>
      <xdr:rowOff>133350</xdr:rowOff>
    </xdr:from>
    <xdr:to>
      <xdr:col>1</xdr:col>
      <xdr:colOff>57150</xdr:colOff>
      <xdr:row>52</xdr:row>
      <xdr:rowOff>171450</xdr:rowOff>
    </xdr:to>
    <xdr:pic>
      <xdr:nvPicPr>
        <xdr:cNvPr id="1" name="Picture 1"/>
        <xdr:cNvPicPr preferRelativeResize="1">
          <a:picLocks noChangeAspect="1"/>
        </xdr:cNvPicPr>
      </xdr:nvPicPr>
      <xdr:blipFill>
        <a:blip r:link="rId1"/>
        <a:stretch>
          <a:fillRect/>
        </a:stretch>
      </xdr:blipFill>
      <xdr:spPr>
        <a:xfrm>
          <a:off x="57150" y="10115550"/>
          <a:ext cx="314325" cy="238125"/>
        </a:xfrm>
        <a:prstGeom prst="rect">
          <a:avLst/>
        </a:prstGeom>
        <a:noFill/>
        <a:ln w="9525" cmpd="sng">
          <a:noFill/>
        </a:ln>
      </xdr:spPr>
    </xdr:pic>
    <xdr:clientData/>
  </xdr:twoCellAnchor>
  <xdr:twoCellAnchor>
    <xdr:from>
      <xdr:col>0</xdr:col>
      <xdr:colOff>0</xdr:colOff>
      <xdr:row>104</xdr:row>
      <xdr:rowOff>38100</xdr:rowOff>
    </xdr:from>
    <xdr:to>
      <xdr:col>1</xdr:col>
      <xdr:colOff>0</xdr:colOff>
      <xdr:row>105</xdr:row>
      <xdr:rowOff>123825</xdr:rowOff>
    </xdr:to>
    <xdr:pic>
      <xdr:nvPicPr>
        <xdr:cNvPr id="2" name="Picture 2"/>
        <xdr:cNvPicPr preferRelativeResize="1">
          <a:picLocks noChangeAspect="1"/>
        </xdr:cNvPicPr>
      </xdr:nvPicPr>
      <xdr:blipFill>
        <a:blip r:link="rId1"/>
        <a:stretch>
          <a:fillRect/>
        </a:stretch>
      </xdr:blipFill>
      <xdr:spPr>
        <a:xfrm>
          <a:off x="0" y="21221700"/>
          <a:ext cx="314325" cy="238125"/>
        </a:xfrm>
        <a:prstGeom prst="rect">
          <a:avLst/>
        </a:prstGeom>
        <a:noFill/>
        <a:ln w="9525" cmpd="sng">
          <a:noFill/>
        </a:ln>
      </xdr:spPr>
    </xdr:pic>
    <xdr:clientData/>
  </xdr:twoCellAnchor>
  <xdr:twoCellAnchor>
    <xdr:from>
      <xdr:col>0</xdr:col>
      <xdr:colOff>0</xdr:colOff>
      <xdr:row>154</xdr:row>
      <xdr:rowOff>57150</xdr:rowOff>
    </xdr:from>
    <xdr:to>
      <xdr:col>1</xdr:col>
      <xdr:colOff>0</xdr:colOff>
      <xdr:row>155</xdr:row>
      <xdr:rowOff>133350</xdr:rowOff>
    </xdr:to>
    <xdr:pic>
      <xdr:nvPicPr>
        <xdr:cNvPr id="3" name="Picture 3"/>
        <xdr:cNvPicPr preferRelativeResize="1">
          <a:picLocks noChangeAspect="1"/>
        </xdr:cNvPicPr>
      </xdr:nvPicPr>
      <xdr:blipFill>
        <a:blip r:link="rId1"/>
        <a:stretch>
          <a:fillRect/>
        </a:stretch>
      </xdr:blipFill>
      <xdr:spPr>
        <a:xfrm>
          <a:off x="0" y="30584775"/>
          <a:ext cx="314325" cy="238125"/>
        </a:xfrm>
        <a:prstGeom prst="rect">
          <a:avLst/>
        </a:prstGeom>
        <a:noFill/>
        <a:ln w="9525" cmpd="sng">
          <a:noFill/>
        </a:ln>
      </xdr:spPr>
    </xdr:pic>
    <xdr:clientData/>
  </xdr:twoCellAnchor>
  <xdr:twoCellAnchor>
    <xdr:from>
      <xdr:col>0</xdr:col>
      <xdr:colOff>38100</xdr:colOff>
      <xdr:row>201</xdr:row>
      <xdr:rowOff>104775</xdr:rowOff>
    </xdr:from>
    <xdr:to>
      <xdr:col>1</xdr:col>
      <xdr:colOff>38100</xdr:colOff>
      <xdr:row>202</xdr:row>
      <xdr:rowOff>142875</xdr:rowOff>
    </xdr:to>
    <xdr:pic>
      <xdr:nvPicPr>
        <xdr:cNvPr id="4" name="Picture 4"/>
        <xdr:cNvPicPr preferRelativeResize="1">
          <a:picLocks noChangeAspect="1"/>
        </xdr:cNvPicPr>
      </xdr:nvPicPr>
      <xdr:blipFill>
        <a:blip r:link="rId1"/>
        <a:stretch>
          <a:fillRect/>
        </a:stretch>
      </xdr:blipFill>
      <xdr:spPr>
        <a:xfrm>
          <a:off x="38100" y="39985950"/>
          <a:ext cx="314325" cy="238125"/>
        </a:xfrm>
        <a:prstGeom prst="rect">
          <a:avLst/>
        </a:prstGeom>
        <a:noFill/>
        <a:ln w="9525" cmpd="sng">
          <a:noFill/>
        </a:ln>
      </xdr:spPr>
    </xdr:pic>
    <xdr:clientData/>
  </xdr:twoCellAnchor>
  <xdr:twoCellAnchor>
    <xdr:from>
      <xdr:col>12</xdr:col>
      <xdr:colOff>1676400</xdr:colOff>
      <xdr:row>201</xdr:row>
      <xdr:rowOff>57150</xdr:rowOff>
    </xdr:from>
    <xdr:to>
      <xdr:col>12</xdr:col>
      <xdr:colOff>2476500</xdr:colOff>
      <xdr:row>202</xdr:row>
      <xdr:rowOff>85725</xdr:rowOff>
    </xdr:to>
    <xdr:pic>
      <xdr:nvPicPr>
        <xdr:cNvPr id="5" name="Picture 5"/>
        <xdr:cNvPicPr preferRelativeResize="1">
          <a:picLocks noChangeAspect="1"/>
        </xdr:cNvPicPr>
      </xdr:nvPicPr>
      <xdr:blipFill>
        <a:blip r:link="rId2"/>
        <a:stretch>
          <a:fillRect/>
        </a:stretch>
      </xdr:blipFill>
      <xdr:spPr>
        <a:xfrm>
          <a:off x="15735300" y="39938325"/>
          <a:ext cx="800100" cy="228600"/>
        </a:xfrm>
        <a:prstGeom prst="rect">
          <a:avLst/>
        </a:prstGeom>
        <a:noFill/>
        <a:ln w="9525" cmpd="sng">
          <a:noFill/>
        </a:ln>
      </xdr:spPr>
    </xdr:pic>
    <xdr:clientData/>
  </xdr:twoCellAnchor>
  <xdr:twoCellAnchor>
    <xdr:from>
      <xdr:col>12</xdr:col>
      <xdr:colOff>1647825</xdr:colOff>
      <xdr:row>153</xdr:row>
      <xdr:rowOff>152400</xdr:rowOff>
    </xdr:from>
    <xdr:to>
      <xdr:col>12</xdr:col>
      <xdr:colOff>2447925</xdr:colOff>
      <xdr:row>155</xdr:row>
      <xdr:rowOff>57150</xdr:rowOff>
    </xdr:to>
    <xdr:pic>
      <xdr:nvPicPr>
        <xdr:cNvPr id="6" name="Picture 6"/>
        <xdr:cNvPicPr preferRelativeResize="1">
          <a:picLocks noChangeAspect="1"/>
        </xdr:cNvPicPr>
      </xdr:nvPicPr>
      <xdr:blipFill>
        <a:blip r:link="rId2"/>
        <a:stretch>
          <a:fillRect/>
        </a:stretch>
      </xdr:blipFill>
      <xdr:spPr>
        <a:xfrm>
          <a:off x="15706725" y="30518100"/>
          <a:ext cx="800100" cy="228600"/>
        </a:xfrm>
        <a:prstGeom prst="rect">
          <a:avLst/>
        </a:prstGeom>
        <a:noFill/>
        <a:ln w="9525" cmpd="sng">
          <a:noFill/>
        </a:ln>
      </xdr:spPr>
    </xdr:pic>
    <xdr:clientData/>
  </xdr:twoCellAnchor>
  <xdr:twoCellAnchor>
    <xdr:from>
      <xdr:col>12</xdr:col>
      <xdr:colOff>1714500</xdr:colOff>
      <xdr:row>104</xdr:row>
      <xdr:rowOff>0</xdr:rowOff>
    </xdr:from>
    <xdr:to>
      <xdr:col>12</xdr:col>
      <xdr:colOff>2514600</xdr:colOff>
      <xdr:row>105</xdr:row>
      <xdr:rowOff>76200</xdr:rowOff>
    </xdr:to>
    <xdr:pic>
      <xdr:nvPicPr>
        <xdr:cNvPr id="7" name="Picture 7"/>
        <xdr:cNvPicPr preferRelativeResize="1">
          <a:picLocks noChangeAspect="1"/>
        </xdr:cNvPicPr>
      </xdr:nvPicPr>
      <xdr:blipFill>
        <a:blip r:link="rId2"/>
        <a:stretch>
          <a:fillRect/>
        </a:stretch>
      </xdr:blipFill>
      <xdr:spPr>
        <a:xfrm>
          <a:off x="15773400" y="21183600"/>
          <a:ext cx="800100" cy="228600"/>
        </a:xfrm>
        <a:prstGeom prst="rect">
          <a:avLst/>
        </a:prstGeom>
        <a:noFill/>
        <a:ln w="9525" cmpd="sng">
          <a:noFill/>
        </a:ln>
      </xdr:spPr>
    </xdr:pic>
    <xdr:clientData/>
  </xdr:twoCellAnchor>
  <xdr:twoCellAnchor>
    <xdr:from>
      <xdr:col>12</xdr:col>
      <xdr:colOff>1676400</xdr:colOff>
      <xdr:row>51</xdr:row>
      <xdr:rowOff>133350</xdr:rowOff>
    </xdr:from>
    <xdr:to>
      <xdr:col>12</xdr:col>
      <xdr:colOff>2476500</xdr:colOff>
      <xdr:row>52</xdr:row>
      <xdr:rowOff>161925</xdr:rowOff>
    </xdr:to>
    <xdr:pic>
      <xdr:nvPicPr>
        <xdr:cNvPr id="8" name="Picture 8"/>
        <xdr:cNvPicPr preferRelativeResize="1">
          <a:picLocks noChangeAspect="1"/>
        </xdr:cNvPicPr>
      </xdr:nvPicPr>
      <xdr:blipFill>
        <a:blip r:link="rId2"/>
        <a:stretch>
          <a:fillRect/>
        </a:stretch>
      </xdr:blipFill>
      <xdr:spPr>
        <a:xfrm>
          <a:off x="15735300" y="10115550"/>
          <a:ext cx="800100"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51</xdr:row>
      <xdr:rowOff>133350</xdr:rowOff>
    </xdr:from>
    <xdr:to>
      <xdr:col>1</xdr:col>
      <xdr:colOff>57150</xdr:colOff>
      <xdr:row>52</xdr:row>
      <xdr:rowOff>171450</xdr:rowOff>
    </xdr:to>
    <xdr:pic>
      <xdr:nvPicPr>
        <xdr:cNvPr id="1" name="Picture 1"/>
        <xdr:cNvPicPr preferRelativeResize="1">
          <a:picLocks noChangeAspect="1"/>
        </xdr:cNvPicPr>
      </xdr:nvPicPr>
      <xdr:blipFill>
        <a:blip r:link="rId1"/>
        <a:stretch>
          <a:fillRect/>
        </a:stretch>
      </xdr:blipFill>
      <xdr:spPr>
        <a:xfrm>
          <a:off x="57150" y="10115550"/>
          <a:ext cx="314325" cy="238125"/>
        </a:xfrm>
        <a:prstGeom prst="rect">
          <a:avLst/>
        </a:prstGeom>
        <a:noFill/>
        <a:ln w="9525" cmpd="sng">
          <a:noFill/>
        </a:ln>
      </xdr:spPr>
    </xdr:pic>
    <xdr:clientData/>
  </xdr:twoCellAnchor>
  <xdr:twoCellAnchor>
    <xdr:from>
      <xdr:col>0</xdr:col>
      <xdr:colOff>0</xdr:colOff>
      <xdr:row>104</xdr:row>
      <xdr:rowOff>38100</xdr:rowOff>
    </xdr:from>
    <xdr:to>
      <xdr:col>1</xdr:col>
      <xdr:colOff>0</xdr:colOff>
      <xdr:row>105</xdr:row>
      <xdr:rowOff>123825</xdr:rowOff>
    </xdr:to>
    <xdr:pic>
      <xdr:nvPicPr>
        <xdr:cNvPr id="2" name="Picture 2"/>
        <xdr:cNvPicPr preferRelativeResize="1">
          <a:picLocks noChangeAspect="1"/>
        </xdr:cNvPicPr>
      </xdr:nvPicPr>
      <xdr:blipFill>
        <a:blip r:link="rId1"/>
        <a:stretch>
          <a:fillRect/>
        </a:stretch>
      </xdr:blipFill>
      <xdr:spPr>
        <a:xfrm>
          <a:off x="0" y="21221700"/>
          <a:ext cx="314325" cy="238125"/>
        </a:xfrm>
        <a:prstGeom prst="rect">
          <a:avLst/>
        </a:prstGeom>
        <a:noFill/>
        <a:ln w="9525" cmpd="sng">
          <a:noFill/>
        </a:ln>
      </xdr:spPr>
    </xdr:pic>
    <xdr:clientData/>
  </xdr:twoCellAnchor>
  <xdr:twoCellAnchor>
    <xdr:from>
      <xdr:col>0</xdr:col>
      <xdr:colOff>0</xdr:colOff>
      <xdr:row>154</xdr:row>
      <xdr:rowOff>57150</xdr:rowOff>
    </xdr:from>
    <xdr:to>
      <xdr:col>1</xdr:col>
      <xdr:colOff>0</xdr:colOff>
      <xdr:row>155</xdr:row>
      <xdr:rowOff>133350</xdr:rowOff>
    </xdr:to>
    <xdr:pic>
      <xdr:nvPicPr>
        <xdr:cNvPr id="3" name="Picture 3"/>
        <xdr:cNvPicPr preferRelativeResize="1">
          <a:picLocks noChangeAspect="1"/>
        </xdr:cNvPicPr>
      </xdr:nvPicPr>
      <xdr:blipFill>
        <a:blip r:link="rId1"/>
        <a:stretch>
          <a:fillRect/>
        </a:stretch>
      </xdr:blipFill>
      <xdr:spPr>
        <a:xfrm>
          <a:off x="0" y="30584775"/>
          <a:ext cx="314325" cy="238125"/>
        </a:xfrm>
        <a:prstGeom prst="rect">
          <a:avLst/>
        </a:prstGeom>
        <a:noFill/>
        <a:ln w="9525" cmpd="sng">
          <a:noFill/>
        </a:ln>
      </xdr:spPr>
    </xdr:pic>
    <xdr:clientData/>
  </xdr:twoCellAnchor>
  <xdr:twoCellAnchor>
    <xdr:from>
      <xdr:col>0</xdr:col>
      <xdr:colOff>38100</xdr:colOff>
      <xdr:row>201</xdr:row>
      <xdr:rowOff>104775</xdr:rowOff>
    </xdr:from>
    <xdr:to>
      <xdr:col>1</xdr:col>
      <xdr:colOff>38100</xdr:colOff>
      <xdr:row>202</xdr:row>
      <xdr:rowOff>142875</xdr:rowOff>
    </xdr:to>
    <xdr:pic>
      <xdr:nvPicPr>
        <xdr:cNvPr id="4" name="Picture 4"/>
        <xdr:cNvPicPr preferRelativeResize="1">
          <a:picLocks noChangeAspect="1"/>
        </xdr:cNvPicPr>
      </xdr:nvPicPr>
      <xdr:blipFill>
        <a:blip r:link="rId1"/>
        <a:stretch>
          <a:fillRect/>
        </a:stretch>
      </xdr:blipFill>
      <xdr:spPr>
        <a:xfrm>
          <a:off x="38100" y="39985950"/>
          <a:ext cx="314325" cy="238125"/>
        </a:xfrm>
        <a:prstGeom prst="rect">
          <a:avLst/>
        </a:prstGeom>
        <a:noFill/>
        <a:ln w="9525" cmpd="sng">
          <a:noFill/>
        </a:ln>
      </xdr:spPr>
    </xdr:pic>
    <xdr:clientData/>
  </xdr:twoCellAnchor>
  <xdr:twoCellAnchor>
    <xdr:from>
      <xdr:col>12</xdr:col>
      <xdr:colOff>1676400</xdr:colOff>
      <xdr:row>201</xdr:row>
      <xdr:rowOff>57150</xdr:rowOff>
    </xdr:from>
    <xdr:to>
      <xdr:col>12</xdr:col>
      <xdr:colOff>2476500</xdr:colOff>
      <xdr:row>202</xdr:row>
      <xdr:rowOff>85725</xdr:rowOff>
    </xdr:to>
    <xdr:pic>
      <xdr:nvPicPr>
        <xdr:cNvPr id="5" name="Picture 5"/>
        <xdr:cNvPicPr preferRelativeResize="1">
          <a:picLocks noChangeAspect="1"/>
        </xdr:cNvPicPr>
      </xdr:nvPicPr>
      <xdr:blipFill>
        <a:blip r:link="rId2"/>
        <a:stretch>
          <a:fillRect/>
        </a:stretch>
      </xdr:blipFill>
      <xdr:spPr>
        <a:xfrm>
          <a:off x="15735300" y="39938325"/>
          <a:ext cx="800100" cy="228600"/>
        </a:xfrm>
        <a:prstGeom prst="rect">
          <a:avLst/>
        </a:prstGeom>
        <a:noFill/>
        <a:ln w="9525" cmpd="sng">
          <a:noFill/>
        </a:ln>
      </xdr:spPr>
    </xdr:pic>
    <xdr:clientData/>
  </xdr:twoCellAnchor>
  <xdr:twoCellAnchor>
    <xdr:from>
      <xdr:col>12</xdr:col>
      <xdr:colOff>1647825</xdr:colOff>
      <xdr:row>153</xdr:row>
      <xdr:rowOff>152400</xdr:rowOff>
    </xdr:from>
    <xdr:to>
      <xdr:col>12</xdr:col>
      <xdr:colOff>2447925</xdr:colOff>
      <xdr:row>155</xdr:row>
      <xdr:rowOff>57150</xdr:rowOff>
    </xdr:to>
    <xdr:pic>
      <xdr:nvPicPr>
        <xdr:cNvPr id="6" name="Picture 6"/>
        <xdr:cNvPicPr preferRelativeResize="1">
          <a:picLocks noChangeAspect="1"/>
        </xdr:cNvPicPr>
      </xdr:nvPicPr>
      <xdr:blipFill>
        <a:blip r:link="rId2"/>
        <a:stretch>
          <a:fillRect/>
        </a:stretch>
      </xdr:blipFill>
      <xdr:spPr>
        <a:xfrm>
          <a:off x="15706725" y="30518100"/>
          <a:ext cx="800100" cy="228600"/>
        </a:xfrm>
        <a:prstGeom prst="rect">
          <a:avLst/>
        </a:prstGeom>
        <a:noFill/>
        <a:ln w="9525" cmpd="sng">
          <a:noFill/>
        </a:ln>
      </xdr:spPr>
    </xdr:pic>
    <xdr:clientData/>
  </xdr:twoCellAnchor>
  <xdr:twoCellAnchor>
    <xdr:from>
      <xdr:col>12</xdr:col>
      <xdr:colOff>1714500</xdr:colOff>
      <xdr:row>104</xdr:row>
      <xdr:rowOff>0</xdr:rowOff>
    </xdr:from>
    <xdr:to>
      <xdr:col>12</xdr:col>
      <xdr:colOff>2514600</xdr:colOff>
      <xdr:row>105</xdr:row>
      <xdr:rowOff>76200</xdr:rowOff>
    </xdr:to>
    <xdr:pic>
      <xdr:nvPicPr>
        <xdr:cNvPr id="7" name="Picture 7"/>
        <xdr:cNvPicPr preferRelativeResize="1">
          <a:picLocks noChangeAspect="1"/>
        </xdr:cNvPicPr>
      </xdr:nvPicPr>
      <xdr:blipFill>
        <a:blip r:link="rId2"/>
        <a:stretch>
          <a:fillRect/>
        </a:stretch>
      </xdr:blipFill>
      <xdr:spPr>
        <a:xfrm>
          <a:off x="15773400" y="21183600"/>
          <a:ext cx="800100" cy="228600"/>
        </a:xfrm>
        <a:prstGeom prst="rect">
          <a:avLst/>
        </a:prstGeom>
        <a:noFill/>
        <a:ln w="9525" cmpd="sng">
          <a:noFill/>
        </a:ln>
      </xdr:spPr>
    </xdr:pic>
    <xdr:clientData/>
  </xdr:twoCellAnchor>
  <xdr:twoCellAnchor>
    <xdr:from>
      <xdr:col>12</xdr:col>
      <xdr:colOff>1676400</xdr:colOff>
      <xdr:row>51</xdr:row>
      <xdr:rowOff>133350</xdr:rowOff>
    </xdr:from>
    <xdr:to>
      <xdr:col>12</xdr:col>
      <xdr:colOff>2476500</xdr:colOff>
      <xdr:row>52</xdr:row>
      <xdr:rowOff>161925</xdr:rowOff>
    </xdr:to>
    <xdr:pic>
      <xdr:nvPicPr>
        <xdr:cNvPr id="8" name="Picture 8"/>
        <xdr:cNvPicPr preferRelativeResize="1">
          <a:picLocks noChangeAspect="1"/>
        </xdr:cNvPicPr>
      </xdr:nvPicPr>
      <xdr:blipFill>
        <a:blip r:link="rId2"/>
        <a:stretch>
          <a:fillRect/>
        </a:stretch>
      </xdr:blipFill>
      <xdr:spPr>
        <a:xfrm>
          <a:off x="15735300" y="10115550"/>
          <a:ext cx="800100"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51</xdr:row>
      <xdr:rowOff>133350</xdr:rowOff>
    </xdr:from>
    <xdr:to>
      <xdr:col>1</xdr:col>
      <xdr:colOff>57150</xdr:colOff>
      <xdr:row>52</xdr:row>
      <xdr:rowOff>171450</xdr:rowOff>
    </xdr:to>
    <xdr:pic>
      <xdr:nvPicPr>
        <xdr:cNvPr id="1" name="Picture 1"/>
        <xdr:cNvPicPr preferRelativeResize="1">
          <a:picLocks noChangeAspect="1"/>
        </xdr:cNvPicPr>
      </xdr:nvPicPr>
      <xdr:blipFill>
        <a:blip r:link="rId1"/>
        <a:stretch>
          <a:fillRect/>
        </a:stretch>
      </xdr:blipFill>
      <xdr:spPr>
        <a:xfrm>
          <a:off x="57150" y="10115550"/>
          <a:ext cx="314325" cy="238125"/>
        </a:xfrm>
        <a:prstGeom prst="rect">
          <a:avLst/>
        </a:prstGeom>
        <a:noFill/>
        <a:ln w="9525" cmpd="sng">
          <a:noFill/>
        </a:ln>
      </xdr:spPr>
    </xdr:pic>
    <xdr:clientData/>
  </xdr:twoCellAnchor>
  <xdr:twoCellAnchor>
    <xdr:from>
      <xdr:col>0</xdr:col>
      <xdr:colOff>0</xdr:colOff>
      <xdr:row>104</xdr:row>
      <xdr:rowOff>38100</xdr:rowOff>
    </xdr:from>
    <xdr:to>
      <xdr:col>1</xdr:col>
      <xdr:colOff>0</xdr:colOff>
      <xdr:row>105</xdr:row>
      <xdr:rowOff>123825</xdr:rowOff>
    </xdr:to>
    <xdr:pic>
      <xdr:nvPicPr>
        <xdr:cNvPr id="2" name="Picture 2"/>
        <xdr:cNvPicPr preferRelativeResize="1">
          <a:picLocks noChangeAspect="1"/>
        </xdr:cNvPicPr>
      </xdr:nvPicPr>
      <xdr:blipFill>
        <a:blip r:link="rId1"/>
        <a:stretch>
          <a:fillRect/>
        </a:stretch>
      </xdr:blipFill>
      <xdr:spPr>
        <a:xfrm>
          <a:off x="0" y="21221700"/>
          <a:ext cx="314325" cy="238125"/>
        </a:xfrm>
        <a:prstGeom prst="rect">
          <a:avLst/>
        </a:prstGeom>
        <a:noFill/>
        <a:ln w="9525" cmpd="sng">
          <a:noFill/>
        </a:ln>
      </xdr:spPr>
    </xdr:pic>
    <xdr:clientData/>
  </xdr:twoCellAnchor>
  <xdr:twoCellAnchor>
    <xdr:from>
      <xdr:col>0</xdr:col>
      <xdr:colOff>0</xdr:colOff>
      <xdr:row>154</xdr:row>
      <xdr:rowOff>57150</xdr:rowOff>
    </xdr:from>
    <xdr:to>
      <xdr:col>1</xdr:col>
      <xdr:colOff>0</xdr:colOff>
      <xdr:row>155</xdr:row>
      <xdr:rowOff>133350</xdr:rowOff>
    </xdr:to>
    <xdr:pic>
      <xdr:nvPicPr>
        <xdr:cNvPr id="3" name="Picture 3"/>
        <xdr:cNvPicPr preferRelativeResize="1">
          <a:picLocks noChangeAspect="1"/>
        </xdr:cNvPicPr>
      </xdr:nvPicPr>
      <xdr:blipFill>
        <a:blip r:link="rId1"/>
        <a:stretch>
          <a:fillRect/>
        </a:stretch>
      </xdr:blipFill>
      <xdr:spPr>
        <a:xfrm>
          <a:off x="0" y="30584775"/>
          <a:ext cx="314325" cy="238125"/>
        </a:xfrm>
        <a:prstGeom prst="rect">
          <a:avLst/>
        </a:prstGeom>
        <a:noFill/>
        <a:ln w="9525" cmpd="sng">
          <a:noFill/>
        </a:ln>
      </xdr:spPr>
    </xdr:pic>
    <xdr:clientData/>
  </xdr:twoCellAnchor>
  <xdr:twoCellAnchor>
    <xdr:from>
      <xdr:col>0</xdr:col>
      <xdr:colOff>38100</xdr:colOff>
      <xdr:row>202</xdr:row>
      <xdr:rowOff>104775</xdr:rowOff>
    </xdr:from>
    <xdr:to>
      <xdr:col>1</xdr:col>
      <xdr:colOff>38100</xdr:colOff>
      <xdr:row>203</xdr:row>
      <xdr:rowOff>142875</xdr:rowOff>
    </xdr:to>
    <xdr:pic>
      <xdr:nvPicPr>
        <xdr:cNvPr id="4" name="Picture 4"/>
        <xdr:cNvPicPr preferRelativeResize="1">
          <a:picLocks noChangeAspect="1"/>
        </xdr:cNvPicPr>
      </xdr:nvPicPr>
      <xdr:blipFill>
        <a:blip r:link="rId1"/>
        <a:stretch>
          <a:fillRect/>
        </a:stretch>
      </xdr:blipFill>
      <xdr:spPr>
        <a:xfrm>
          <a:off x="38100" y="40185975"/>
          <a:ext cx="314325" cy="238125"/>
        </a:xfrm>
        <a:prstGeom prst="rect">
          <a:avLst/>
        </a:prstGeom>
        <a:noFill/>
        <a:ln w="9525" cmpd="sng">
          <a:noFill/>
        </a:ln>
      </xdr:spPr>
    </xdr:pic>
    <xdr:clientData/>
  </xdr:twoCellAnchor>
  <xdr:twoCellAnchor>
    <xdr:from>
      <xdr:col>12</xdr:col>
      <xdr:colOff>1676400</xdr:colOff>
      <xdr:row>202</xdr:row>
      <xdr:rowOff>57150</xdr:rowOff>
    </xdr:from>
    <xdr:to>
      <xdr:col>12</xdr:col>
      <xdr:colOff>2476500</xdr:colOff>
      <xdr:row>203</xdr:row>
      <xdr:rowOff>85725</xdr:rowOff>
    </xdr:to>
    <xdr:pic>
      <xdr:nvPicPr>
        <xdr:cNvPr id="5" name="Picture 5"/>
        <xdr:cNvPicPr preferRelativeResize="1">
          <a:picLocks noChangeAspect="1"/>
        </xdr:cNvPicPr>
      </xdr:nvPicPr>
      <xdr:blipFill>
        <a:blip r:link="rId2"/>
        <a:stretch>
          <a:fillRect/>
        </a:stretch>
      </xdr:blipFill>
      <xdr:spPr>
        <a:xfrm>
          <a:off x="15735300" y="40138350"/>
          <a:ext cx="800100" cy="228600"/>
        </a:xfrm>
        <a:prstGeom prst="rect">
          <a:avLst/>
        </a:prstGeom>
        <a:noFill/>
        <a:ln w="9525" cmpd="sng">
          <a:noFill/>
        </a:ln>
      </xdr:spPr>
    </xdr:pic>
    <xdr:clientData/>
  </xdr:twoCellAnchor>
  <xdr:twoCellAnchor>
    <xdr:from>
      <xdr:col>12</xdr:col>
      <xdr:colOff>1647825</xdr:colOff>
      <xdr:row>153</xdr:row>
      <xdr:rowOff>152400</xdr:rowOff>
    </xdr:from>
    <xdr:to>
      <xdr:col>12</xdr:col>
      <xdr:colOff>2447925</xdr:colOff>
      <xdr:row>155</xdr:row>
      <xdr:rowOff>57150</xdr:rowOff>
    </xdr:to>
    <xdr:pic>
      <xdr:nvPicPr>
        <xdr:cNvPr id="6" name="Picture 6"/>
        <xdr:cNvPicPr preferRelativeResize="1">
          <a:picLocks noChangeAspect="1"/>
        </xdr:cNvPicPr>
      </xdr:nvPicPr>
      <xdr:blipFill>
        <a:blip r:link="rId2"/>
        <a:stretch>
          <a:fillRect/>
        </a:stretch>
      </xdr:blipFill>
      <xdr:spPr>
        <a:xfrm>
          <a:off x="15706725" y="30518100"/>
          <a:ext cx="800100" cy="228600"/>
        </a:xfrm>
        <a:prstGeom prst="rect">
          <a:avLst/>
        </a:prstGeom>
        <a:noFill/>
        <a:ln w="9525" cmpd="sng">
          <a:noFill/>
        </a:ln>
      </xdr:spPr>
    </xdr:pic>
    <xdr:clientData/>
  </xdr:twoCellAnchor>
  <xdr:twoCellAnchor>
    <xdr:from>
      <xdr:col>12</xdr:col>
      <xdr:colOff>1714500</xdr:colOff>
      <xdr:row>104</xdr:row>
      <xdr:rowOff>0</xdr:rowOff>
    </xdr:from>
    <xdr:to>
      <xdr:col>12</xdr:col>
      <xdr:colOff>2514600</xdr:colOff>
      <xdr:row>105</xdr:row>
      <xdr:rowOff>76200</xdr:rowOff>
    </xdr:to>
    <xdr:pic>
      <xdr:nvPicPr>
        <xdr:cNvPr id="7" name="Picture 7"/>
        <xdr:cNvPicPr preferRelativeResize="1">
          <a:picLocks noChangeAspect="1"/>
        </xdr:cNvPicPr>
      </xdr:nvPicPr>
      <xdr:blipFill>
        <a:blip r:link="rId2"/>
        <a:stretch>
          <a:fillRect/>
        </a:stretch>
      </xdr:blipFill>
      <xdr:spPr>
        <a:xfrm>
          <a:off x="15773400" y="21183600"/>
          <a:ext cx="800100" cy="228600"/>
        </a:xfrm>
        <a:prstGeom prst="rect">
          <a:avLst/>
        </a:prstGeom>
        <a:noFill/>
        <a:ln w="9525" cmpd="sng">
          <a:noFill/>
        </a:ln>
      </xdr:spPr>
    </xdr:pic>
    <xdr:clientData/>
  </xdr:twoCellAnchor>
  <xdr:twoCellAnchor>
    <xdr:from>
      <xdr:col>12</xdr:col>
      <xdr:colOff>1676400</xdr:colOff>
      <xdr:row>51</xdr:row>
      <xdr:rowOff>133350</xdr:rowOff>
    </xdr:from>
    <xdr:to>
      <xdr:col>12</xdr:col>
      <xdr:colOff>2476500</xdr:colOff>
      <xdr:row>52</xdr:row>
      <xdr:rowOff>161925</xdr:rowOff>
    </xdr:to>
    <xdr:pic>
      <xdr:nvPicPr>
        <xdr:cNvPr id="8" name="Picture 8"/>
        <xdr:cNvPicPr preferRelativeResize="1">
          <a:picLocks noChangeAspect="1"/>
        </xdr:cNvPicPr>
      </xdr:nvPicPr>
      <xdr:blipFill>
        <a:blip r:link="rId2"/>
        <a:stretch>
          <a:fillRect/>
        </a:stretch>
      </xdr:blipFill>
      <xdr:spPr>
        <a:xfrm>
          <a:off x="15735300" y="10115550"/>
          <a:ext cx="800100" cy="228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51</xdr:row>
      <xdr:rowOff>133350</xdr:rowOff>
    </xdr:from>
    <xdr:to>
      <xdr:col>1</xdr:col>
      <xdr:colOff>57150</xdr:colOff>
      <xdr:row>52</xdr:row>
      <xdr:rowOff>171450</xdr:rowOff>
    </xdr:to>
    <xdr:pic>
      <xdr:nvPicPr>
        <xdr:cNvPr id="1" name="Picture 1"/>
        <xdr:cNvPicPr preferRelativeResize="1">
          <a:picLocks noChangeAspect="1"/>
        </xdr:cNvPicPr>
      </xdr:nvPicPr>
      <xdr:blipFill>
        <a:blip r:link="rId1"/>
        <a:stretch>
          <a:fillRect/>
        </a:stretch>
      </xdr:blipFill>
      <xdr:spPr>
        <a:xfrm>
          <a:off x="57150" y="10115550"/>
          <a:ext cx="314325" cy="238125"/>
        </a:xfrm>
        <a:prstGeom prst="rect">
          <a:avLst/>
        </a:prstGeom>
        <a:noFill/>
        <a:ln w="9525" cmpd="sng">
          <a:noFill/>
        </a:ln>
      </xdr:spPr>
    </xdr:pic>
    <xdr:clientData/>
  </xdr:twoCellAnchor>
  <xdr:twoCellAnchor>
    <xdr:from>
      <xdr:col>0</xdr:col>
      <xdr:colOff>0</xdr:colOff>
      <xdr:row>104</xdr:row>
      <xdr:rowOff>38100</xdr:rowOff>
    </xdr:from>
    <xdr:to>
      <xdr:col>1</xdr:col>
      <xdr:colOff>0</xdr:colOff>
      <xdr:row>105</xdr:row>
      <xdr:rowOff>123825</xdr:rowOff>
    </xdr:to>
    <xdr:pic>
      <xdr:nvPicPr>
        <xdr:cNvPr id="2" name="Picture 2"/>
        <xdr:cNvPicPr preferRelativeResize="1">
          <a:picLocks noChangeAspect="1"/>
        </xdr:cNvPicPr>
      </xdr:nvPicPr>
      <xdr:blipFill>
        <a:blip r:link="rId1"/>
        <a:stretch>
          <a:fillRect/>
        </a:stretch>
      </xdr:blipFill>
      <xdr:spPr>
        <a:xfrm>
          <a:off x="0" y="21221700"/>
          <a:ext cx="314325" cy="238125"/>
        </a:xfrm>
        <a:prstGeom prst="rect">
          <a:avLst/>
        </a:prstGeom>
        <a:noFill/>
        <a:ln w="9525" cmpd="sng">
          <a:noFill/>
        </a:ln>
      </xdr:spPr>
    </xdr:pic>
    <xdr:clientData/>
  </xdr:twoCellAnchor>
  <xdr:twoCellAnchor>
    <xdr:from>
      <xdr:col>0</xdr:col>
      <xdr:colOff>0</xdr:colOff>
      <xdr:row>154</xdr:row>
      <xdr:rowOff>57150</xdr:rowOff>
    </xdr:from>
    <xdr:to>
      <xdr:col>1</xdr:col>
      <xdr:colOff>0</xdr:colOff>
      <xdr:row>155</xdr:row>
      <xdr:rowOff>133350</xdr:rowOff>
    </xdr:to>
    <xdr:pic>
      <xdr:nvPicPr>
        <xdr:cNvPr id="3" name="Picture 3"/>
        <xdr:cNvPicPr preferRelativeResize="1">
          <a:picLocks noChangeAspect="1"/>
        </xdr:cNvPicPr>
      </xdr:nvPicPr>
      <xdr:blipFill>
        <a:blip r:link="rId1"/>
        <a:stretch>
          <a:fillRect/>
        </a:stretch>
      </xdr:blipFill>
      <xdr:spPr>
        <a:xfrm>
          <a:off x="0" y="30584775"/>
          <a:ext cx="314325" cy="238125"/>
        </a:xfrm>
        <a:prstGeom prst="rect">
          <a:avLst/>
        </a:prstGeom>
        <a:noFill/>
        <a:ln w="9525" cmpd="sng">
          <a:noFill/>
        </a:ln>
      </xdr:spPr>
    </xdr:pic>
    <xdr:clientData/>
  </xdr:twoCellAnchor>
  <xdr:twoCellAnchor>
    <xdr:from>
      <xdr:col>0</xdr:col>
      <xdr:colOff>38100</xdr:colOff>
      <xdr:row>202</xdr:row>
      <xdr:rowOff>104775</xdr:rowOff>
    </xdr:from>
    <xdr:to>
      <xdr:col>1</xdr:col>
      <xdr:colOff>38100</xdr:colOff>
      <xdr:row>203</xdr:row>
      <xdr:rowOff>142875</xdr:rowOff>
    </xdr:to>
    <xdr:pic>
      <xdr:nvPicPr>
        <xdr:cNvPr id="4" name="Picture 4"/>
        <xdr:cNvPicPr preferRelativeResize="1">
          <a:picLocks noChangeAspect="1"/>
        </xdr:cNvPicPr>
      </xdr:nvPicPr>
      <xdr:blipFill>
        <a:blip r:link="rId1"/>
        <a:stretch>
          <a:fillRect/>
        </a:stretch>
      </xdr:blipFill>
      <xdr:spPr>
        <a:xfrm>
          <a:off x="38100" y="40185975"/>
          <a:ext cx="314325" cy="238125"/>
        </a:xfrm>
        <a:prstGeom prst="rect">
          <a:avLst/>
        </a:prstGeom>
        <a:noFill/>
        <a:ln w="9525" cmpd="sng">
          <a:noFill/>
        </a:ln>
      </xdr:spPr>
    </xdr:pic>
    <xdr:clientData/>
  </xdr:twoCellAnchor>
  <xdr:twoCellAnchor>
    <xdr:from>
      <xdr:col>12</xdr:col>
      <xdr:colOff>1676400</xdr:colOff>
      <xdr:row>202</xdr:row>
      <xdr:rowOff>57150</xdr:rowOff>
    </xdr:from>
    <xdr:to>
      <xdr:col>12</xdr:col>
      <xdr:colOff>2476500</xdr:colOff>
      <xdr:row>203</xdr:row>
      <xdr:rowOff>85725</xdr:rowOff>
    </xdr:to>
    <xdr:pic>
      <xdr:nvPicPr>
        <xdr:cNvPr id="5" name="Picture 5"/>
        <xdr:cNvPicPr preferRelativeResize="1">
          <a:picLocks noChangeAspect="1"/>
        </xdr:cNvPicPr>
      </xdr:nvPicPr>
      <xdr:blipFill>
        <a:blip r:link="rId2"/>
        <a:stretch>
          <a:fillRect/>
        </a:stretch>
      </xdr:blipFill>
      <xdr:spPr>
        <a:xfrm>
          <a:off x="15735300" y="40138350"/>
          <a:ext cx="800100" cy="228600"/>
        </a:xfrm>
        <a:prstGeom prst="rect">
          <a:avLst/>
        </a:prstGeom>
        <a:noFill/>
        <a:ln w="9525" cmpd="sng">
          <a:noFill/>
        </a:ln>
      </xdr:spPr>
    </xdr:pic>
    <xdr:clientData/>
  </xdr:twoCellAnchor>
  <xdr:twoCellAnchor>
    <xdr:from>
      <xdr:col>12</xdr:col>
      <xdr:colOff>1647825</xdr:colOff>
      <xdr:row>153</xdr:row>
      <xdr:rowOff>152400</xdr:rowOff>
    </xdr:from>
    <xdr:to>
      <xdr:col>12</xdr:col>
      <xdr:colOff>2447925</xdr:colOff>
      <xdr:row>155</xdr:row>
      <xdr:rowOff>57150</xdr:rowOff>
    </xdr:to>
    <xdr:pic>
      <xdr:nvPicPr>
        <xdr:cNvPr id="6" name="Picture 6"/>
        <xdr:cNvPicPr preferRelativeResize="1">
          <a:picLocks noChangeAspect="1"/>
        </xdr:cNvPicPr>
      </xdr:nvPicPr>
      <xdr:blipFill>
        <a:blip r:link="rId2"/>
        <a:stretch>
          <a:fillRect/>
        </a:stretch>
      </xdr:blipFill>
      <xdr:spPr>
        <a:xfrm>
          <a:off x="15706725" y="30518100"/>
          <a:ext cx="800100" cy="228600"/>
        </a:xfrm>
        <a:prstGeom prst="rect">
          <a:avLst/>
        </a:prstGeom>
        <a:noFill/>
        <a:ln w="9525" cmpd="sng">
          <a:noFill/>
        </a:ln>
      </xdr:spPr>
    </xdr:pic>
    <xdr:clientData/>
  </xdr:twoCellAnchor>
  <xdr:twoCellAnchor>
    <xdr:from>
      <xdr:col>12</xdr:col>
      <xdr:colOff>1714500</xdr:colOff>
      <xdr:row>104</xdr:row>
      <xdr:rowOff>0</xdr:rowOff>
    </xdr:from>
    <xdr:to>
      <xdr:col>12</xdr:col>
      <xdr:colOff>2514600</xdr:colOff>
      <xdr:row>105</xdr:row>
      <xdr:rowOff>76200</xdr:rowOff>
    </xdr:to>
    <xdr:pic>
      <xdr:nvPicPr>
        <xdr:cNvPr id="7" name="Picture 7"/>
        <xdr:cNvPicPr preferRelativeResize="1">
          <a:picLocks noChangeAspect="1"/>
        </xdr:cNvPicPr>
      </xdr:nvPicPr>
      <xdr:blipFill>
        <a:blip r:link="rId2"/>
        <a:stretch>
          <a:fillRect/>
        </a:stretch>
      </xdr:blipFill>
      <xdr:spPr>
        <a:xfrm>
          <a:off x="15773400" y="21183600"/>
          <a:ext cx="800100" cy="228600"/>
        </a:xfrm>
        <a:prstGeom prst="rect">
          <a:avLst/>
        </a:prstGeom>
        <a:noFill/>
        <a:ln w="9525" cmpd="sng">
          <a:noFill/>
        </a:ln>
      </xdr:spPr>
    </xdr:pic>
    <xdr:clientData/>
  </xdr:twoCellAnchor>
  <xdr:twoCellAnchor>
    <xdr:from>
      <xdr:col>12</xdr:col>
      <xdr:colOff>1676400</xdr:colOff>
      <xdr:row>51</xdr:row>
      <xdr:rowOff>133350</xdr:rowOff>
    </xdr:from>
    <xdr:to>
      <xdr:col>12</xdr:col>
      <xdr:colOff>2476500</xdr:colOff>
      <xdr:row>52</xdr:row>
      <xdr:rowOff>161925</xdr:rowOff>
    </xdr:to>
    <xdr:pic>
      <xdr:nvPicPr>
        <xdr:cNvPr id="8" name="Picture 8"/>
        <xdr:cNvPicPr preferRelativeResize="1">
          <a:picLocks noChangeAspect="1"/>
        </xdr:cNvPicPr>
      </xdr:nvPicPr>
      <xdr:blipFill>
        <a:blip r:link="rId2"/>
        <a:stretch>
          <a:fillRect/>
        </a:stretch>
      </xdr:blipFill>
      <xdr:spPr>
        <a:xfrm>
          <a:off x="15735300" y="10115550"/>
          <a:ext cx="8001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0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1.105468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4"/>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189</v>
      </c>
      <c r="M14" s="17"/>
      <c r="N14" s="6"/>
    </row>
    <row r="15" spans="1:14" ht="15.75">
      <c r="A15" s="7"/>
      <c r="B15" s="16" t="s">
        <v>8</v>
      </c>
      <c r="C15" s="16"/>
      <c r="D15" s="17"/>
      <c r="E15" s="17"/>
      <c r="F15" s="17"/>
      <c r="G15" s="17"/>
      <c r="H15" s="19"/>
      <c r="I15" s="20"/>
      <c r="J15" s="19" t="s">
        <v>177</v>
      </c>
      <c r="K15" s="20">
        <v>1</v>
      </c>
      <c r="L15" s="18"/>
      <c r="M15" s="17"/>
      <c r="N15" s="6"/>
    </row>
    <row r="16" spans="1:14" ht="15.75">
      <c r="A16" s="7"/>
      <c r="B16" s="16" t="s">
        <v>9</v>
      </c>
      <c r="C16" s="16"/>
      <c r="D16" s="17"/>
      <c r="E16" s="17"/>
      <c r="F16" s="17"/>
      <c r="G16" s="17"/>
      <c r="H16" s="19"/>
      <c r="I16" s="20"/>
      <c r="J16" s="19" t="s">
        <v>177</v>
      </c>
      <c r="K16" s="20">
        <v>1</v>
      </c>
      <c r="L16" s="18"/>
      <c r="M16" s="17"/>
      <c r="N16" s="6"/>
    </row>
    <row r="17" spans="1:14" ht="15.75">
      <c r="A17" s="7"/>
      <c r="B17" s="16" t="s">
        <v>10</v>
      </c>
      <c r="C17" s="16"/>
      <c r="D17" s="17"/>
      <c r="E17" s="17"/>
      <c r="F17" s="17"/>
      <c r="G17" s="17"/>
      <c r="H17" s="17"/>
      <c r="I17" s="17"/>
      <c r="J17" s="17"/>
      <c r="K17" s="17"/>
      <c r="L17" s="21">
        <v>37342</v>
      </c>
      <c r="M17" s="17"/>
      <c r="N17" s="6"/>
    </row>
    <row r="18" spans="1:14" ht="15.75">
      <c r="A18" s="7"/>
      <c r="B18" s="16" t="s">
        <v>11</v>
      </c>
      <c r="C18" s="16"/>
      <c r="D18" s="17"/>
      <c r="E18" s="17"/>
      <c r="F18" s="17"/>
      <c r="G18" s="17"/>
      <c r="H18" s="17"/>
      <c r="I18" s="17"/>
      <c r="J18" s="17"/>
      <c r="K18" s="17"/>
      <c r="L18" s="21">
        <v>37454</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178</v>
      </c>
      <c r="K20" s="9"/>
      <c r="L20" s="14"/>
      <c r="M20" s="9"/>
      <c r="N20" s="6"/>
    </row>
    <row r="21" spans="1:14" ht="15.75">
      <c r="A21" s="7"/>
      <c r="B21" s="9"/>
      <c r="C21" s="9"/>
      <c r="D21" s="9"/>
      <c r="E21" s="9"/>
      <c r="F21" s="9"/>
      <c r="G21" s="9"/>
      <c r="H21" s="9"/>
      <c r="I21" s="9"/>
      <c r="J21" s="9"/>
      <c r="K21" s="9"/>
      <c r="L21" s="24"/>
      <c r="M21" s="9"/>
      <c r="N21" s="6"/>
    </row>
    <row r="22" spans="1:14" ht="15.75">
      <c r="A22" s="7"/>
      <c r="B22" s="9"/>
      <c r="C22" s="132" t="s">
        <v>147</v>
      </c>
      <c r="D22" s="25"/>
      <c r="E22" s="25"/>
      <c r="F22" s="133" t="s">
        <v>155</v>
      </c>
      <c r="G22" s="133"/>
      <c r="H22" s="133" t="s">
        <v>167</v>
      </c>
      <c r="I22" s="133"/>
      <c r="J22" s="25"/>
      <c r="K22" s="14"/>
      <c r="L22" s="14"/>
      <c r="M22" s="9"/>
      <c r="N22" s="6"/>
    </row>
    <row r="23" spans="1:14" ht="15.75">
      <c r="A23" s="7"/>
      <c r="B23" s="9" t="s">
        <v>13</v>
      </c>
      <c r="C23" s="132" t="s">
        <v>148</v>
      </c>
      <c r="D23" s="25"/>
      <c r="E23" s="25"/>
      <c r="F23" s="25" t="s">
        <v>156</v>
      </c>
      <c r="G23" s="25"/>
      <c r="H23" s="25" t="s">
        <v>168</v>
      </c>
      <c r="I23" s="25"/>
      <c r="J23" s="25"/>
      <c r="K23" s="14"/>
      <c r="L23" s="14"/>
      <c r="M23" s="9"/>
      <c r="N23" s="6"/>
    </row>
    <row r="24" spans="1:14" ht="15.75">
      <c r="A24" s="27"/>
      <c r="B24" s="28" t="s">
        <v>14</v>
      </c>
      <c r="C24" s="29"/>
      <c r="D24" s="30"/>
      <c r="E24" s="30"/>
      <c r="F24" s="30" t="s">
        <v>157</v>
      </c>
      <c r="G24" s="30"/>
      <c r="H24" s="30" t="s">
        <v>169</v>
      </c>
      <c r="I24" s="30"/>
      <c r="J24" s="30"/>
      <c r="K24" s="31"/>
      <c r="L24" s="31"/>
      <c r="M24" s="28"/>
      <c r="N24" s="6"/>
    </row>
    <row r="25" spans="1:14" ht="15.75">
      <c r="A25" s="27"/>
      <c r="B25" s="28" t="s">
        <v>15</v>
      </c>
      <c r="C25" s="29"/>
      <c r="D25" s="30"/>
      <c r="E25" s="30"/>
      <c r="F25" s="30" t="s">
        <v>157</v>
      </c>
      <c r="G25" s="30"/>
      <c r="H25" s="30" t="s">
        <v>169</v>
      </c>
      <c r="I25" s="30"/>
      <c r="J25" s="30"/>
      <c r="K25" s="31"/>
      <c r="L25" s="31"/>
      <c r="M25" s="28"/>
      <c r="N25" s="6"/>
    </row>
    <row r="26" spans="1:14" ht="15.75">
      <c r="A26" s="32"/>
      <c r="B26" s="33" t="s">
        <v>16</v>
      </c>
      <c r="C26" s="33"/>
      <c r="D26" s="34"/>
      <c r="E26" s="34"/>
      <c r="F26" s="34" t="s">
        <v>156</v>
      </c>
      <c r="G26" s="34"/>
      <c r="H26" s="34" t="s">
        <v>168</v>
      </c>
      <c r="I26" s="34"/>
      <c r="J26" s="30"/>
      <c r="K26" s="31"/>
      <c r="L26" s="31"/>
      <c r="M26" s="28"/>
      <c r="N26" s="6"/>
    </row>
    <row r="27" spans="1:14" ht="15.75">
      <c r="A27" s="32"/>
      <c r="B27" s="33" t="s">
        <v>17</v>
      </c>
      <c r="C27" s="33"/>
      <c r="D27" s="34"/>
      <c r="E27" s="34"/>
      <c r="F27" s="34" t="s">
        <v>157</v>
      </c>
      <c r="G27" s="34"/>
      <c r="H27" s="34" t="s">
        <v>169</v>
      </c>
      <c r="I27" s="34"/>
      <c r="J27" s="30"/>
      <c r="K27" s="31"/>
      <c r="L27" s="31"/>
      <c r="M27" s="28"/>
      <c r="N27" s="6"/>
    </row>
    <row r="28" spans="1:14" ht="15.75">
      <c r="A28" s="32"/>
      <c r="B28" s="33" t="s">
        <v>18</v>
      </c>
      <c r="C28" s="33"/>
      <c r="D28" s="34"/>
      <c r="E28" s="34"/>
      <c r="F28" s="34" t="s">
        <v>157</v>
      </c>
      <c r="G28" s="34"/>
      <c r="H28" s="34" t="s">
        <v>169</v>
      </c>
      <c r="I28" s="34"/>
      <c r="J28" s="30"/>
      <c r="K28" s="31"/>
      <c r="L28" s="31"/>
      <c r="M28" s="28"/>
      <c r="N28" s="6"/>
    </row>
    <row r="29" spans="1:14" ht="15.75">
      <c r="A29" s="27"/>
      <c r="B29" s="28" t="s">
        <v>19</v>
      </c>
      <c r="C29" s="28"/>
      <c r="D29" s="29"/>
      <c r="E29" s="30"/>
      <c r="F29" s="29" t="s">
        <v>158</v>
      </c>
      <c r="G29" s="30"/>
      <c r="H29" s="29" t="s">
        <v>170</v>
      </c>
      <c r="I29" s="30"/>
      <c r="J29" s="29"/>
      <c r="K29" s="31"/>
      <c r="L29" s="31"/>
      <c r="M29" s="28"/>
      <c r="N29" s="6"/>
    </row>
    <row r="30" spans="1:14" ht="15.75">
      <c r="A30" s="27"/>
      <c r="B30" s="28"/>
      <c r="C30" s="28"/>
      <c r="D30" s="28"/>
      <c r="E30" s="30"/>
      <c r="F30" s="30"/>
      <c r="G30" s="30"/>
      <c r="H30" s="30"/>
      <c r="I30" s="30"/>
      <c r="J30" s="30"/>
      <c r="K30" s="31"/>
      <c r="L30" s="31"/>
      <c r="M30" s="28"/>
      <c r="N30" s="6"/>
    </row>
    <row r="31" spans="1:14" ht="15.75">
      <c r="A31" s="27"/>
      <c r="B31" s="28" t="s">
        <v>20</v>
      </c>
      <c r="C31" s="28"/>
      <c r="D31" s="35"/>
      <c r="E31" s="36"/>
      <c r="F31" s="35">
        <v>457500</v>
      </c>
      <c r="G31" s="35"/>
      <c r="H31" s="35">
        <v>42500</v>
      </c>
      <c r="I31" s="35"/>
      <c r="J31" s="35"/>
      <c r="K31" s="37"/>
      <c r="L31" s="35">
        <f>H31+F31</f>
        <v>500000</v>
      </c>
      <c r="M31" s="38"/>
      <c r="N31" s="6"/>
    </row>
    <row r="32" spans="1:14" ht="15.75">
      <c r="A32" s="27"/>
      <c r="B32" s="28" t="s">
        <v>21</v>
      </c>
      <c r="C32" s="39">
        <v>1</v>
      </c>
      <c r="D32" s="35"/>
      <c r="E32" s="36"/>
      <c r="F32" s="35">
        <v>457500</v>
      </c>
      <c r="G32" s="35"/>
      <c r="H32" s="35">
        <v>42500</v>
      </c>
      <c r="I32" s="35"/>
      <c r="J32" s="35"/>
      <c r="K32" s="37"/>
      <c r="L32" s="35">
        <f>H32+F32</f>
        <v>500000</v>
      </c>
      <c r="M32" s="38"/>
      <c r="N32" s="6"/>
    </row>
    <row r="33" spans="1:14" ht="12.75" customHeight="1">
      <c r="A33" s="32"/>
      <c r="B33" s="33" t="s">
        <v>22</v>
      </c>
      <c r="C33" s="40">
        <v>0.971003</v>
      </c>
      <c r="D33" s="41"/>
      <c r="E33" s="42"/>
      <c r="F33" s="41">
        <f>F31*C33</f>
        <v>444233.8725</v>
      </c>
      <c r="G33" s="41"/>
      <c r="H33" s="41">
        <f>H31</f>
        <v>42500</v>
      </c>
      <c r="I33" s="41"/>
      <c r="J33" s="41"/>
      <c r="K33" s="43"/>
      <c r="L33" s="41">
        <f>H33+F33+D33</f>
        <v>486733.8725</v>
      </c>
      <c r="M33" s="38"/>
      <c r="N33" s="6"/>
    </row>
    <row r="34" spans="1:14" ht="15.75">
      <c r="A34" s="27"/>
      <c r="B34" s="28" t="s">
        <v>23</v>
      </c>
      <c r="C34" s="44"/>
      <c r="D34" s="29"/>
      <c r="E34" s="28"/>
      <c r="F34" s="29" t="s">
        <v>159</v>
      </c>
      <c r="G34" s="29"/>
      <c r="H34" s="29" t="s">
        <v>171</v>
      </c>
      <c r="I34" s="29"/>
      <c r="J34" s="29"/>
      <c r="K34" s="31"/>
      <c r="L34" s="31"/>
      <c r="M34" s="28"/>
      <c r="N34" s="6"/>
    </row>
    <row r="35" spans="1:14" ht="15.75">
      <c r="A35" s="27"/>
      <c r="B35" s="28" t="s">
        <v>24</v>
      </c>
      <c r="C35" s="28"/>
      <c r="D35" s="45"/>
      <c r="E35" s="28"/>
      <c r="F35" s="45">
        <v>0.0447155</v>
      </c>
      <c r="G35" s="46"/>
      <c r="H35" s="45">
        <v>0.0506155</v>
      </c>
      <c r="I35" s="46"/>
      <c r="J35" s="45"/>
      <c r="K35" s="31"/>
      <c r="L35" s="46">
        <f>SUMPRODUCT(F35:H35,F31:H31)/L31</f>
        <v>0.04521699999999999</v>
      </c>
      <c r="M35" s="28"/>
      <c r="N35" s="6"/>
    </row>
    <row r="36" spans="1:14" ht="15.75">
      <c r="A36" s="27"/>
      <c r="B36" s="28" t="s">
        <v>25</v>
      </c>
      <c r="C36" s="28"/>
      <c r="D36" s="45"/>
      <c r="E36" s="28"/>
      <c r="F36" s="45">
        <v>0</v>
      </c>
      <c r="G36" s="46"/>
      <c r="H36" s="45">
        <v>0</v>
      </c>
      <c r="I36" s="46"/>
      <c r="J36" s="45"/>
      <c r="K36" s="31"/>
      <c r="L36" s="31"/>
      <c r="M36" s="28"/>
      <c r="N36" s="6"/>
    </row>
    <row r="37" spans="1:14" ht="15.75">
      <c r="A37" s="27"/>
      <c r="B37" s="28" t="s">
        <v>26</v>
      </c>
      <c r="C37" s="28"/>
      <c r="D37" s="29"/>
      <c r="E37" s="28"/>
      <c r="F37" s="29" t="s">
        <v>160</v>
      </c>
      <c r="G37" s="29"/>
      <c r="H37" s="29" t="s">
        <v>160</v>
      </c>
      <c r="I37" s="29"/>
      <c r="J37" s="29"/>
      <c r="K37" s="31"/>
      <c r="L37" s="31"/>
      <c r="M37" s="28"/>
      <c r="N37" s="6"/>
    </row>
    <row r="38" spans="1:14" ht="15.75">
      <c r="A38" s="27"/>
      <c r="B38" s="28" t="s">
        <v>27</v>
      </c>
      <c r="C38" s="28"/>
      <c r="D38" s="29"/>
      <c r="E38" s="28"/>
      <c r="F38" s="29" t="s">
        <v>161</v>
      </c>
      <c r="G38" s="29"/>
      <c r="H38" s="29" t="s">
        <v>161</v>
      </c>
      <c r="I38" s="29"/>
      <c r="J38" s="29"/>
      <c r="K38" s="31"/>
      <c r="L38" s="31"/>
      <c r="M38" s="28"/>
      <c r="N38" s="6"/>
    </row>
    <row r="39" spans="1:14" ht="15.75">
      <c r="A39" s="27"/>
      <c r="B39" s="28" t="s">
        <v>28</v>
      </c>
      <c r="C39" s="28"/>
      <c r="D39" s="29"/>
      <c r="E39" s="28"/>
      <c r="F39" s="29" t="s">
        <v>162</v>
      </c>
      <c r="G39" s="29"/>
      <c r="H39" s="29" t="s">
        <v>172</v>
      </c>
      <c r="I39" s="29"/>
      <c r="J39" s="29"/>
      <c r="K39" s="31"/>
      <c r="L39" s="31"/>
      <c r="M39" s="28"/>
      <c r="N39" s="6"/>
    </row>
    <row r="40" spans="1:14" ht="15.75">
      <c r="A40" s="27"/>
      <c r="B40" s="28"/>
      <c r="C40" s="28"/>
      <c r="D40" s="47"/>
      <c r="E40" s="47"/>
      <c r="F40" s="28"/>
      <c r="G40" s="47"/>
      <c r="H40" s="47"/>
      <c r="I40" s="47"/>
      <c r="J40" s="47"/>
      <c r="K40" s="47"/>
      <c r="L40" s="47"/>
      <c r="M40" s="28"/>
      <c r="N40" s="6"/>
    </row>
    <row r="41" spans="1:14" ht="15.75">
      <c r="A41" s="27"/>
      <c r="B41" s="28" t="s">
        <v>29</v>
      </c>
      <c r="C41" s="28"/>
      <c r="D41" s="28"/>
      <c r="E41" s="28"/>
      <c r="F41" s="28"/>
      <c r="G41" s="28"/>
      <c r="H41" s="28"/>
      <c r="I41" s="28"/>
      <c r="J41" s="28"/>
      <c r="K41" s="28"/>
      <c r="L41" s="46">
        <f>H31/F31</f>
        <v>0.09289617486338798</v>
      </c>
      <c r="M41" s="28"/>
      <c r="N41" s="6"/>
    </row>
    <row r="42" spans="1:14" ht="15.75">
      <c r="A42" s="27"/>
      <c r="B42" s="28" t="s">
        <v>30</v>
      </c>
      <c r="C42" s="28"/>
      <c r="D42" s="28"/>
      <c r="E42" s="28"/>
      <c r="F42" s="28"/>
      <c r="G42" s="28"/>
      <c r="H42" s="28"/>
      <c r="I42" s="28"/>
      <c r="J42" s="28"/>
      <c r="K42" s="28"/>
      <c r="L42" s="46">
        <f>H33/F33</f>
        <v>0.09567032734542322</v>
      </c>
      <c r="M42" s="28"/>
      <c r="N42" s="6"/>
    </row>
    <row r="43" spans="1:14" ht="15.75">
      <c r="A43" s="27"/>
      <c r="B43" s="28" t="s">
        <v>31</v>
      </c>
      <c r="C43" s="28"/>
      <c r="D43" s="28"/>
      <c r="E43" s="28"/>
      <c r="F43" s="28"/>
      <c r="G43" s="28"/>
      <c r="H43" s="28"/>
      <c r="I43" s="28"/>
      <c r="J43" s="29" t="s">
        <v>155</v>
      </c>
      <c r="K43" s="29" t="s">
        <v>187</v>
      </c>
      <c r="L43" s="35">
        <v>207500</v>
      </c>
      <c r="M43" s="28"/>
      <c r="N43" s="6"/>
    </row>
    <row r="44" spans="1:14" ht="15.75">
      <c r="A44" s="27"/>
      <c r="B44" s="28"/>
      <c r="C44" s="28"/>
      <c r="D44" s="28"/>
      <c r="E44" s="28"/>
      <c r="F44" s="28"/>
      <c r="G44" s="28"/>
      <c r="H44" s="28"/>
      <c r="I44" s="28"/>
      <c r="J44" s="28" t="s">
        <v>179</v>
      </c>
      <c r="K44" s="28"/>
      <c r="L44" s="48"/>
      <c r="M44" s="28"/>
      <c r="N44" s="6"/>
    </row>
    <row r="45" spans="1:14" ht="15.75">
      <c r="A45" s="27"/>
      <c r="B45" s="28" t="s">
        <v>32</v>
      </c>
      <c r="C45" s="28"/>
      <c r="D45" s="28"/>
      <c r="E45" s="28"/>
      <c r="F45" s="28"/>
      <c r="G45" s="28"/>
      <c r="H45" s="28"/>
      <c r="I45" s="28"/>
      <c r="J45" s="29"/>
      <c r="K45" s="29"/>
      <c r="L45" s="29" t="s">
        <v>190</v>
      </c>
      <c r="M45" s="28"/>
      <c r="N45" s="6"/>
    </row>
    <row r="46" spans="1:14" ht="15.75">
      <c r="A46" s="32"/>
      <c r="B46" s="33" t="s">
        <v>33</v>
      </c>
      <c r="C46" s="33"/>
      <c r="D46" s="33"/>
      <c r="E46" s="33"/>
      <c r="F46" s="33"/>
      <c r="G46" s="33"/>
      <c r="H46" s="33"/>
      <c r="I46" s="33"/>
      <c r="J46" s="49"/>
      <c r="K46" s="49"/>
      <c r="L46" s="50">
        <v>37445</v>
      </c>
      <c r="M46" s="28"/>
      <c r="N46" s="6"/>
    </row>
    <row r="47" spans="1:14" ht="15.75">
      <c r="A47" s="27"/>
      <c r="B47" s="28" t="s">
        <v>34</v>
      </c>
      <c r="C47" s="28"/>
      <c r="D47" s="28"/>
      <c r="E47" s="28"/>
      <c r="F47" s="28"/>
      <c r="G47" s="28"/>
      <c r="H47" s="28"/>
      <c r="I47" s="28"/>
      <c r="J47" s="51"/>
      <c r="K47" s="52"/>
      <c r="L47" s="51"/>
      <c r="M47" s="28"/>
      <c r="N47" s="6"/>
    </row>
    <row r="48" spans="1:14" ht="15.75">
      <c r="A48" s="27"/>
      <c r="B48" s="28" t="s">
        <v>35</v>
      </c>
      <c r="C48" s="28"/>
      <c r="D48" s="28"/>
      <c r="E48" s="28"/>
      <c r="F48" s="28"/>
      <c r="G48" s="28"/>
      <c r="H48" s="28"/>
      <c r="I48" s="28">
        <f>L48-J48+1</f>
        <v>103</v>
      </c>
      <c r="J48" s="51">
        <v>37342</v>
      </c>
      <c r="K48" s="52"/>
      <c r="L48" s="51">
        <v>37444</v>
      </c>
      <c r="M48" s="28"/>
      <c r="N48" s="6"/>
    </row>
    <row r="49" spans="1:14" ht="15.75">
      <c r="A49" s="27"/>
      <c r="B49" s="28" t="s">
        <v>36</v>
      </c>
      <c r="C49" s="28"/>
      <c r="D49" s="28"/>
      <c r="E49" s="28"/>
      <c r="F49" s="28"/>
      <c r="G49" s="28"/>
      <c r="H49" s="28"/>
      <c r="I49" s="28"/>
      <c r="J49" s="51"/>
      <c r="K49" s="52"/>
      <c r="L49" s="51" t="s">
        <v>191</v>
      </c>
      <c r="M49" s="28"/>
      <c r="N49" s="6"/>
    </row>
    <row r="50" spans="1:14" ht="15.75">
      <c r="A50" s="27"/>
      <c r="B50" s="28" t="s">
        <v>37</v>
      </c>
      <c r="C50" s="28"/>
      <c r="D50" s="28"/>
      <c r="E50" s="28"/>
      <c r="F50" s="28"/>
      <c r="G50" s="28"/>
      <c r="H50" s="28"/>
      <c r="I50" s="28"/>
      <c r="J50" s="51"/>
      <c r="K50" s="52"/>
      <c r="L50" s="51">
        <v>37441</v>
      </c>
      <c r="M50" s="28"/>
      <c r="N50" s="6"/>
    </row>
    <row r="51" spans="1:14" ht="15.75">
      <c r="A51" s="27"/>
      <c r="B51" s="28"/>
      <c r="C51" s="28"/>
      <c r="D51" s="28"/>
      <c r="E51" s="28"/>
      <c r="F51" s="28"/>
      <c r="G51" s="28"/>
      <c r="H51" s="28"/>
      <c r="I51" s="28"/>
      <c r="J51" s="51"/>
      <c r="K51" s="52"/>
      <c r="L51" s="51"/>
      <c r="M51" s="28"/>
      <c r="N51" s="6"/>
    </row>
    <row r="52" spans="1:14" ht="15.75">
      <c r="A52" s="7"/>
      <c r="B52" s="9"/>
      <c r="C52" s="9"/>
      <c r="D52" s="9"/>
      <c r="E52" s="9"/>
      <c r="F52" s="9"/>
      <c r="G52" s="9"/>
      <c r="H52" s="9"/>
      <c r="I52" s="9"/>
      <c r="J52" s="53"/>
      <c r="K52" s="54"/>
      <c r="L52" s="53"/>
      <c r="M52" s="9"/>
      <c r="N52" s="6"/>
    </row>
    <row r="53" spans="1:14" ht="19.5" thickBot="1">
      <c r="A53" s="118"/>
      <c r="B53" s="119" t="s">
        <v>38</v>
      </c>
      <c r="C53" s="120"/>
      <c r="D53" s="120"/>
      <c r="E53" s="120"/>
      <c r="F53" s="120"/>
      <c r="G53" s="120"/>
      <c r="H53" s="120"/>
      <c r="I53" s="120"/>
      <c r="J53" s="121"/>
      <c r="K53" s="122"/>
      <c r="L53" s="121"/>
      <c r="M53" s="123"/>
      <c r="N53" s="6"/>
    </row>
    <row r="54" spans="1:14" ht="15.75">
      <c r="A54" s="2"/>
      <c r="B54" s="5"/>
      <c r="C54" s="5"/>
      <c r="D54" s="5"/>
      <c r="E54" s="5"/>
      <c r="F54" s="5"/>
      <c r="G54" s="5"/>
      <c r="H54" s="5"/>
      <c r="I54" s="5"/>
      <c r="J54" s="5"/>
      <c r="K54" s="5"/>
      <c r="L54" s="56"/>
      <c r="M54" s="5"/>
      <c r="N54" s="6"/>
    </row>
    <row r="55" spans="1:14" ht="15.75">
      <c r="A55" s="7"/>
      <c r="B55" s="57" t="s">
        <v>39</v>
      </c>
      <c r="C55" s="15"/>
      <c r="D55" s="9"/>
      <c r="E55" s="9"/>
      <c r="F55" s="9"/>
      <c r="G55" s="9"/>
      <c r="H55" s="9"/>
      <c r="I55" s="9"/>
      <c r="J55" s="9"/>
      <c r="K55" s="9"/>
      <c r="L55" s="58"/>
      <c r="M55" s="9"/>
      <c r="N55" s="6"/>
    </row>
    <row r="56" spans="1:14" ht="15.75">
      <c r="A56" s="7"/>
      <c r="B56" s="15"/>
      <c r="C56" s="15"/>
      <c r="D56" s="9"/>
      <c r="E56" s="9"/>
      <c r="F56" s="9"/>
      <c r="G56" s="9"/>
      <c r="H56" s="9"/>
      <c r="I56" s="9"/>
      <c r="J56" s="9"/>
      <c r="K56" s="9"/>
      <c r="L56" s="58"/>
      <c r="M56" s="9"/>
      <c r="N56" s="6"/>
    </row>
    <row r="57" spans="1:14" ht="63">
      <c r="A57" s="7"/>
      <c r="B57" s="134" t="s">
        <v>40</v>
      </c>
      <c r="C57" s="135" t="s">
        <v>149</v>
      </c>
      <c r="D57" s="135" t="s">
        <v>151</v>
      </c>
      <c r="E57" s="135"/>
      <c r="F57" s="135" t="s">
        <v>163</v>
      </c>
      <c r="G57" s="135"/>
      <c r="H57" s="135" t="s">
        <v>173</v>
      </c>
      <c r="I57" s="135"/>
      <c r="J57" s="135" t="s">
        <v>180</v>
      </c>
      <c r="K57" s="135"/>
      <c r="L57" s="136" t="s">
        <v>192</v>
      </c>
      <c r="M57" s="9"/>
      <c r="N57" s="6"/>
    </row>
    <row r="58" spans="1:14" ht="15.75">
      <c r="A58" s="27"/>
      <c r="B58" s="28" t="s">
        <v>41</v>
      </c>
      <c r="C58" s="38">
        <v>421950</v>
      </c>
      <c r="D58" s="38">
        <v>421950</v>
      </c>
      <c r="E58" s="38"/>
      <c r="F58" s="38">
        <f>13266+860-28+4115-54</f>
        <v>18159</v>
      </c>
      <c r="G58" s="38"/>
      <c r="H58" s="38">
        <f>4115+860-28+77991+5</f>
        <v>82943</v>
      </c>
      <c r="I58" s="38"/>
      <c r="J58" s="38">
        <v>0</v>
      </c>
      <c r="K58" s="38"/>
      <c r="L58" s="59">
        <f>D58-F58+H58-J58</f>
        <v>486734</v>
      </c>
      <c r="M58" s="28"/>
      <c r="N58" s="6"/>
    </row>
    <row r="59" spans="1:14" ht="15.75">
      <c r="A59" s="27"/>
      <c r="B59" s="28" t="s">
        <v>42</v>
      </c>
      <c r="C59" s="38">
        <v>54</v>
      </c>
      <c r="D59" s="38">
        <v>54</v>
      </c>
      <c r="E59" s="38"/>
      <c r="F59" s="38">
        <v>54</v>
      </c>
      <c r="G59" s="38"/>
      <c r="H59" s="38">
        <v>0</v>
      </c>
      <c r="I59" s="38"/>
      <c r="J59" s="38">
        <v>0</v>
      </c>
      <c r="K59" s="38"/>
      <c r="L59" s="59">
        <f>D59-F59+H59-J59</f>
        <v>0</v>
      </c>
      <c r="M59" s="28"/>
      <c r="N59" s="6"/>
    </row>
    <row r="60" spans="1:14" ht="15.75">
      <c r="A60" s="27"/>
      <c r="B60" s="28"/>
      <c r="C60" s="38"/>
      <c r="D60" s="38"/>
      <c r="E60" s="38"/>
      <c r="F60" s="38"/>
      <c r="G60" s="38"/>
      <c r="H60" s="38"/>
      <c r="I60" s="38"/>
      <c r="J60" s="38"/>
      <c r="K60" s="38"/>
      <c r="L60" s="59"/>
      <c r="M60" s="28"/>
      <c r="N60" s="6"/>
    </row>
    <row r="61" spans="1:14" ht="15.75">
      <c r="A61" s="27"/>
      <c r="B61" s="28" t="s">
        <v>43</v>
      </c>
      <c r="C61" s="38">
        <f>SUM(C58:C60)</f>
        <v>422004</v>
      </c>
      <c r="D61" s="38">
        <f>SUM(D58:D60)</f>
        <v>422004</v>
      </c>
      <c r="E61" s="38"/>
      <c r="F61" s="38">
        <f>SUM(F58:F60)</f>
        <v>18213</v>
      </c>
      <c r="G61" s="38"/>
      <c r="H61" s="38">
        <f>SUM(H58:H60)</f>
        <v>82943</v>
      </c>
      <c r="I61" s="38"/>
      <c r="J61" s="38">
        <f>SUM(J58:J60)</f>
        <v>0</v>
      </c>
      <c r="K61" s="38"/>
      <c r="L61" s="60">
        <f>SUM(L58:L60)</f>
        <v>486734</v>
      </c>
      <c r="M61" s="28"/>
      <c r="N61" s="6"/>
    </row>
    <row r="62" spans="1:14" ht="15.75">
      <c r="A62" s="27"/>
      <c r="B62" s="28"/>
      <c r="C62" s="38"/>
      <c r="D62" s="38"/>
      <c r="E62" s="38"/>
      <c r="F62" s="38"/>
      <c r="G62" s="38"/>
      <c r="H62" s="38"/>
      <c r="I62" s="38"/>
      <c r="J62" s="38"/>
      <c r="K62" s="38"/>
      <c r="L62" s="60"/>
      <c r="M62" s="28"/>
      <c r="N62" s="6"/>
    </row>
    <row r="63" spans="1:14" ht="15.75">
      <c r="A63" s="7"/>
      <c r="B63" s="131" t="s">
        <v>44</v>
      </c>
      <c r="C63" s="61"/>
      <c r="D63" s="61"/>
      <c r="E63" s="61"/>
      <c r="F63" s="61"/>
      <c r="G63" s="61"/>
      <c r="H63" s="61"/>
      <c r="I63" s="61"/>
      <c r="J63" s="61"/>
      <c r="K63" s="61"/>
      <c r="L63" s="62"/>
      <c r="M63" s="9"/>
      <c r="N63" s="6"/>
    </row>
    <row r="64" spans="1:14" ht="15.75">
      <c r="A64" s="7"/>
      <c r="B64" s="9"/>
      <c r="C64" s="61"/>
      <c r="D64" s="61"/>
      <c r="E64" s="61"/>
      <c r="F64" s="61"/>
      <c r="G64" s="61"/>
      <c r="H64" s="61"/>
      <c r="I64" s="61"/>
      <c r="J64" s="61"/>
      <c r="K64" s="61"/>
      <c r="L64" s="62"/>
      <c r="M64" s="9"/>
      <c r="N64" s="6"/>
    </row>
    <row r="65" spans="1:14" ht="15.75">
      <c r="A65" s="27"/>
      <c r="B65" s="28" t="s">
        <v>41</v>
      </c>
      <c r="C65" s="38"/>
      <c r="D65" s="38"/>
      <c r="E65" s="38"/>
      <c r="F65" s="38"/>
      <c r="G65" s="38"/>
      <c r="H65" s="38"/>
      <c r="I65" s="38"/>
      <c r="J65" s="38"/>
      <c r="K65" s="38"/>
      <c r="L65" s="60"/>
      <c r="M65" s="28"/>
      <c r="N65" s="6"/>
    </row>
    <row r="66" spans="1:14" ht="15.75">
      <c r="A66" s="27"/>
      <c r="B66" s="28" t="s">
        <v>42</v>
      </c>
      <c r="C66" s="38"/>
      <c r="D66" s="38"/>
      <c r="E66" s="38"/>
      <c r="F66" s="38"/>
      <c r="G66" s="38"/>
      <c r="H66" s="38"/>
      <c r="I66" s="38"/>
      <c r="J66" s="38"/>
      <c r="K66" s="38"/>
      <c r="L66" s="60"/>
      <c r="M66" s="28"/>
      <c r="N66" s="6"/>
    </row>
    <row r="67" spans="1:14" ht="15.75">
      <c r="A67" s="27"/>
      <c r="B67" s="28"/>
      <c r="C67" s="38"/>
      <c r="D67" s="38"/>
      <c r="E67" s="38"/>
      <c r="F67" s="38"/>
      <c r="G67" s="38"/>
      <c r="H67" s="38"/>
      <c r="I67" s="38"/>
      <c r="J67" s="38"/>
      <c r="K67" s="38"/>
      <c r="L67" s="60"/>
      <c r="M67" s="28"/>
      <c r="N67" s="6"/>
    </row>
    <row r="68" spans="1:14" ht="15.75">
      <c r="A68" s="27"/>
      <c r="B68" s="28" t="s">
        <v>43</v>
      </c>
      <c r="C68" s="38"/>
      <c r="D68" s="38"/>
      <c r="E68" s="38"/>
      <c r="F68" s="38"/>
      <c r="G68" s="38"/>
      <c r="H68" s="38"/>
      <c r="I68" s="38"/>
      <c r="J68" s="38"/>
      <c r="K68" s="38"/>
      <c r="L68" s="38"/>
      <c r="M68" s="28"/>
      <c r="N68" s="6"/>
    </row>
    <row r="69" spans="1:14" ht="15.75">
      <c r="A69" s="27"/>
      <c r="B69" s="28"/>
      <c r="C69" s="38"/>
      <c r="D69" s="38"/>
      <c r="E69" s="38"/>
      <c r="F69" s="38"/>
      <c r="G69" s="38"/>
      <c r="H69" s="38"/>
      <c r="I69" s="38"/>
      <c r="J69" s="38"/>
      <c r="K69" s="38"/>
      <c r="L69" s="38"/>
      <c r="M69" s="28"/>
      <c r="N69" s="6"/>
    </row>
    <row r="70" spans="1:14" ht="15.75">
      <c r="A70" s="27"/>
      <c r="B70" s="28" t="s">
        <v>45</v>
      </c>
      <c r="C70" s="38">
        <v>0</v>
      </c>
      <c r="D70" s="38">
        <v>0</v>
      </c>
      <c r="E70" s="38"/>
      <c r="F70" s="38"/>
      <c r="G70" s="38"/>
      <c r="H70" s="38"/>
      <c r="I70" s="38"/>
      <c r="J70" s="38"/>
      <c r="K70" s="38"/>
      <c r="L70" s="59">
        <f>D70-F70+H70-J70</f>
        <v>0</v>
      </c>
      <c r="M70" s="28"/>
      <c r="N70" s="6"/>
    </row>
    <row r="71" spans="1:14" ht="15.75">
      <c r="A71" s="27"/>
      <c r="B71" s="28" t="s">
        <v>46</v>
      </c>
      <c r="C71" s="38">
        <v>77996</v>
      </c>
      <c r="D71" s="38">
        <v>77996</v>
      </c>
      <c r="E71" s="38"/>
      <c r="F71" s="38"/>
      <c r="G71" s="38"/>
      <c r="H71" s="38">
        <v>-77996</v>
      </c>
      <c r="I71" s="38"/>
      <c r="J71" s="38"/>
      <c r="K71" s="38"/>
      <c r="L71" s="60">
        <v>0</v>
      </c>
      <c r="M71" s="28"/>
      <c r="N71" s="6"/>
    </row>
    <row r="72" spans="1:14" ht="15.75">
      <c r="A72" s="27"/>
      <c r="B72" s="28" t="s">
        <v>47</v>
      </c>
      <c r="C72" s="38">
        <v>0</v>
      </c>
      <c r="D72" s="38">
        <f>L128</f>
        <v>0</v>
      </c>
      <c r="E72" s="38"/>
      <c r="F72" s="38"/>
      <c r="G72" s="38"/>
      <c r="H72" s="38"/>
      <c r="I72" s="38"/>
      <c r="J72" s="38"/>
      <c r="K72" s="38"/>
      <c r="L72" s="60">
        <f>SUM(C72:K72)</f>
        <v>0</v>
      </c>
      <c r="M72" s="28"/>
      <c r="N72" s="6"/>
    </row>
    <row r="73" spans="1:14" ht="15.75">
      <c r="A73" s="27"/>
      <c r="B73" s="28" t="s">
        <v>48</v>
      </c>
      <c r="C73" s="60">
        <f>SUM(C61:C72)</f>
        <v>500000</v>
      </c>
      <c r="D73" s="60">
        <f>SUM(D61:D72)</f>
        <v>500000</v>
      </c>
      <c r="E73" s="38"/>
      <c r="F73" s="60"/>
      <c r="G73" s="38"/>
      <c r="H73" s="60"/>
      <c r="I73" s="38"/>
      <c r="J73" s="60"/>
      <c r="K73" s="38"/>
      <c r="L73" s="60">
        <f>SUM(L61:L72)</f>
        <v>486734</v>
      </c>
      <c r="M73" s="28"/>
      <c r="N73" s="6"/>
    </row>
    <row r="74" spans="1:14" ht="15.75">
      <c r="A74" s="7"/>
      <c r="B74" s="9"/>
      <c r="C74" s="9"/>
      <c r="D74" s="9"/>
      <c r="E74" s="9"/>
      <c r="F74" s="9"/>
      <c r="G74" s="9"/>
      <c r="H74" s="9"/>
      <c r="I74" s="9"/>
      <c r="J74" s="9"/>
      <c r="K74" s="9"/>
      <c r="L74" s="9"/>
      <c r="M74" s="9"/>
      <c r="N74" s="6"/>
    </row>
    <row r="75" spans="1:14" ht="15.75">
      <c r="A75" s="7"/>
      <c r="B75" s="57" t="s">
        <v>49</v>
      </c>
      <c r="C75" s="16"/>
      <c r="D75" s="16"/>
      <c r="E75" s="16"/>
      <c r="F75" s="16"/>
      <c r="G75" s="16"/>
      <c r="H75" s="16"/>
      <c r="I75" s="19"/>
      <c r="J75" s="19" t="s">
        <v>181</v>
      </c>
      <c r="K75" s="19"/>
      <c r="L75" s="19" t="s">
        <v>193</v>
      </c>
      <c r="M75" s="9"/>
      <c r="N75" s="6"/>
    </row>
    <row r="76" spans="1:14" ht="15.75">
      <c r="A76" s="27"/>
      <c r="B76" s="28" t="s">
        <v>50</v>
      </c>
      <c r="C76" s="28"/>
      <c r="D76" s="28"/>
      <c r="E76" s="28"/>
      <c r="F76" s="28"/>
      <c r="G76" s="28"/>
      <c r="H76" s="28"/>
      <c r="I76" s="28"/>
      <c r="J76" s="38">
        <v>0</v>
      </c>
      <c r="K76" s="28"/>
      <c r="L76" s="59">
        <v>0</v>
      </c>
      <c r="M76" s="28"/>
      <c r="N76" s="6"/>
    </row>
    <row r="77" spans="1:14" ht="15.75">
      <c r="A77" s="27"/>
      <c r="B77" s="28" t="s">
        <v>51</v>
      </c>
      <c r="C77" s="47" t="s">
        <v>150</v>
      </c>
      <c r="D77" s="63">
        <f>J158</f>
        <v>37437</v>
      </c>
      <c r="E77" s="28"/>
      <c r="F77" s="28"/>
      <c r="G77" s="28"/>
      <c r="H77" s="28"/>
      <c r="I77" s="28"/>
      <c r="J77" s="38">
        <v>18159</v>
      </c>
      <c r="K77" s="28"/>
      <c r="L77" s="59"/>
      <c r="M77" s="28"/>
      <c r="N77" s="6"/>
    </row>
    <row r="78" spans="1:14" ht="15.75">
      <c r="A78" s="27"/>
      <c r="B78" s="28" t="s">
        <v>52</v>
      </c>
      <c r="C78" s="28"/>
      <c r="D78" s="28"/>
      <c r="E78" s="28"/>
      <c r="F78" s="28"/>
      <c r="G78" s="28"/>
      <c r="H78" s="28"/>
      <c r="I78" s="28"/>
      <c r="J78" s="38"/>
      <c r="K78" s="28"/>
      <c r="L78" s="59">
        <f>9778-8</f>
        <v>9770</v>
      </c>
      <c r="M78" s="28"/>
      <c r="N78" s="6"/>
    </row>
    <row r="79" spans="1:14" ht="15.75">
      <c r="A79" s="27"/>
      <c r="B79" s="28" t="s">
        <v>53</v>
      </c>
      <c r="C79" s="28"/>
      <c r="D79" s="28"/>
      <c r="E79" s="28"/>
      <c r="F79" s="28"/>
      <c r="G79" s="28"/>
      <c r="H79" s="28"/>
      <c r="I79" s="28"/>
      <c r="J79" s="38"/>
      <c r="K79" s="28"/>
      <c r="L79" s="59">
        <v>0</v>
      </c>
      <c r="M79" s="28"/>
      <c r="N79" s="6"/>
    </row>
    <row r="80" spans="1:14" ht="15.75">
      <c r="A80" s="27"/>
      <c r="B80" s="28" t="s">
        <v>54</v>
      </c>
      <c r="C80" s="28"/>
      <c r="D80" s="28"/>
      <c r="E80" s="28"/>
      <c r="F80" s="28"/>
      <c r="G80" s="28"/>
      <c r="H80" s="28"/>
      <c r="I80" s="28"/>
      <c r="J80" s="38">
        <f>SUM(J76:J79)</f>
        <v>18159</v>
      </c>
      <c r="K80" s="28"/>
      <c r="L80" s="60">
        <f>SUM(L76:L79)</f>
        <v>9770</v>
      </c>
      <c r="M80" s="28"/>
      <c r="N80" s="6"/>
    </row>
    <row r="81" spans="1:14" ht="15.75">
      <c r="A81" s="27"/>
      <c r="B81" s="28" t="s">
        <v>55</v>
      </c>
      <c r="C81" s="28"/>
      <c r="D81" s="28"/>
      <c r="E81" s="28"/>
      <c r="F81" s="28"/>
      <c r="G81" s="28"/>
      <c r="H81" s="28"/>
      <c r="I81" s="28"/>
      <c r="J81" s="38">
        <v>54</v>
      </c>
      <c r="K81" s="28"/>
      <c r="L81" s="59">
        <v>-54</v>
      </c>
      <c r="M81" s="28"/>
      <c r="N81" s="6"/>
    </row>
    <row r="82" spans="1:14" ht="15.75">
      <c r="A82" s="27"/>
      <c r="B82" s="28" t="s">
        <v>56</v>
      </c>
      <c r="C82" s="28"/>
      <c r="D82" s="28"/>
      <c r="E82" s="28"/>
      <c r="F82" s="28"/>
      <c r="G82" s="28"/>
      <c r="H82" s="28"/>
      <c r="I82" s="28"/>
      <c r="J82" s="38">
        <f>J80+J81</f>
        <v>18213</v>
      </c>
      <c r="K82" s="28"/>
      <c r="L82" s="60">
        <f>L80+L81</f>
        <v>9716</v>
      </c>
      <c r="M82" s="28"/>
      <c r="N82" s="6"/>
    </row>
    <row r="83" spans="1:14" ht="15.75">
      <c r="A83" s="27"/>
      <c r="B83" s="137" t="s">
        <v>57</v>
      </c>
      <c r="C83" s="64"/>
      <c r="D83" s="28"/>
      <c r="E83" s="28"/>
      <c r="F83" s="28"/>
      <c r="G83" s="28"/>
      <c r="H83" s="28"/>
      <c r="I83" s="28"/>
      <c r="J83" s="38"/>
      <c r="K83" s="28"/>
      <c r="L83" s="59"/>
      <c r="M83" s="28"/>
      <c r="N83" s="6"/>
    </row>
    <row r="84" spans="1:14" ht="15.75">
      <c r="A84" s="27">
        <v>1</v>
      </c>
      <c r="B84" s="28" t="s">
        <v>58</v>
      </c>
      <c r="C84" s="28"/>
      <c r="D84" s="28"/>
      <c r="E84" s="28"/>
      <c r="F84" s="28"/>
      <c r="G84" s="28"/>
      <c r="H84" s="28"/>
      <c r="I84" s="28"/>
      <c r="J84" s="28"/>
      <c r="K84" s="28"/>
      <c r="L84" s="59">
        <f>-1708-286</f>
        <v>-1994</v>
      </c>
      <c r="M84" s="28"/>
      <c r="N84" s="6"/>
    </row>
    <row r="85" spans="1:14" ht="15.75">
      <c r="A85" s="27">
        <v>2</v>
      </c>
      <c r="B85" s="28" t="s">
        <v>59</v>
      </c>
      <c r="C85" s="28"/>
      <c r="D85" s="28"/>
      <c r="E85" s="28"/>
      <c r="F85" s="28"/>
      <c r="G85" s="28"/>
      <c r="H85" s="28"/>
      <c r="I85" s="28"/>
      <c r="J85" s="28"/>
      <c r="K85" s="28"/>
      <c r="L85" s="59">
        <v>-5</v>
      </c>
      <c r="M85" s="28"/>
      <c r="N85" s="6"/>
    </row>
    <row r="86" spans="1:14" ht="15.75">
      <c r="A86" s="27">
        <v>3</v>
      </c>
      <c r="B86" s="28" t="s">
        <v>60</v>
      </c>
      <c r="C86" s="28"/>
      <c r="D86" s="28"/>
      <c r="E86" s="28"/>
      <c r="F86" s="28"/>
      <c r="G86" s="28"/>
      <c r="H86" s="28"/>
      <c r="I86" s="28"/>
      <c r="J86" s="28"/>
      <c r="K86" s="28"/>
      <c r="L86" s="59">
        <f>-333-6</f>
        <v>-339</v>
      </c>
      <c r="M86" s="28"/>
      <c r="N86" s="6"/>
    </row>
    <row r="87" spans="1:14" ht="15.75">
      <c r="A87" s="27">
        <v>4</v>
      </c>
      <c r="B87" s="28" t="s">
        <v>61</v>
      </c>
      <c r="C87" s="28"/>
      <c r="D87" s="28"/>
      <c r="E87" s="28"/>
      <c r="F87" s="28"/>
      <c r="G87" s="28"/>
      <c r="H87" s="28"/>
      <c r="I87" s="28"/>
      <c r="J87" s="28"/>
      <c r="K87" s="28"/>
      <c r="L87" s="59">
        <v>-434</v>
      </c>
      <c r="M87" s="28"/>
      <c r="N87" s="6"/>
    </row>
    <row r="88" spans="1:14" ht="15.75">
      <c r="A88" s="27">
        <v>5</v>
      </c>
      <c r="B88" s="28" t="s">
        <v>62</v>
      </c>
      <c r="C88" s="28"/>
      <c r="D88" s="28"/>
      <c r="E88" s="28"/>
      <c r="F88" s="28"/>
      <c r="G88" s="28"/>
      <c r="H88" s="28"/>
      <c r="I88" s="28"/>
      <c r="J88" s="28"/>
      <c r="K88" s="28"/>
      <c r="L88" s="59">
        <v>-5773</v>
      </c>
      <c r="M88" s="28"/>
      <c r="N88" s="6"/>
    </row>
    <row r="89" spans="1:14" ht="15.75">
      <c r="A89" s="27">
        <v>6</v>
      </c>
      <c r="B89" s="28" t="s">
        <v>63</v>
      </c>
      <c r="C89" s="28"/>
      <c r="D89" s="28"/>
      <c r="E89" s="28"/>
      <c r="F89" s="28"/>
      <c r="G89" s="28"/>
      <c r="H89" s="28"/>
      <c r="I89" s="28"/>
      <c r="J89" s="28"/>
      <c r="K89" s="28"/>
      <c r="L89" s="59">
        <v>-607</v>
      </c>
      <c r="M89" s="28"/>
      <c r="N89" s="6"/>
    </row>
    <row r="90" spans="1:14" ht="15.75">
      <c r="A90" s="27">
        <v>7</v>
      </c>
      <c r="B90" s="28" t="s">
        <v>64</v>
      </c>
      <c r="C90" s="28"/>
      <c r="D90" s="28"/>
      <c r="E90" s="28"/>
      <c r="F90" s="28"/>
      <c r="G90" s="28"/>
      <c r="H90" s="28"/>
      <c r="I90" s="28"/>
      <c r="J90" s="28"/>
      <c r="K90" s="28"/>
      <c r="L90" s="59">
        <v>-5</v>
      </c>
      <c r="M90" s="28"/>
      <c r="N90" s="6"/>
    </row>
    <row r="91" spans="1:14" ht="15.75">
      <c r="A91" s="27">
        <v>8</v>
      </c>
      <c r="B91" s="28" t="s">
        <v>65</v>
      </c>
      <c r="C91" s="28"/>
      <c r="D91" s="28"/>
      <c r="E91" s="28"/>
      <c r="F91" s="28"/>
      <c r="G91" s="28"/>
      <c r="H91" s="28"/>
      <c r="I91" s="28"/>
      <c r="J91" s="28"/>
      <c r="K91" s="28"/>
      <c r="L91" s="59">
        <v>0</v>
      </c>
      <c r="M91" s="28"/>
      <c r="N91" s="6"/>
    </row>
    <row r="92" spans="1:14" ht="15.75">
      <c r="A92" s="27">
        <v>9</v>
      </c>
      <c r="B92" s="28" t="s">
        <v>66</v>
      </c>
      <c r="C92" s="28"/>
      <c r="D92" s="28"/>
      <c r="E92" s="28"/>
      <c r="F92" s="28"/>
      <c r="G92" s="28"/>
      <c r="H92" s="28"/>
      <c r="I92" s="28"/>
      <c r="J92" s="28"/>
      <c r="K92" s="28"/>
      <c r="L92" s="59">
        <v>0</v>
      </c>
      <c r="M92" s="28"/>
      <c r="N92" s="6"/>
    </row>
    <row r="93" spans="1:14" ht="15.75">
      <c r="A93" s="27">
        <v>10</v>
      </c>
      <c r="B93" s="28" t="s">
        <v>67</v>
      </c>
      <c r="C93" s="28"/>
      <c r="D93" s="28"/>
      <c r="E93" s="28"/>
      <c r="F93" s="28"/>
      <c r="G93" s="28"/>
      <c r="H93" s="28"/>
      <c r="I93" s="28"/>
      <c r="J93" s="28"/>
      <c r="K93" s="28"/>
      <c r="L93" s="59">
        <v>0</v>
      </c>
      <c r="M93" s="28"/>
      <c r="N93" s="6"/>
    </row>
    <row r="94" spans="1:14" ht="15.75">
      <c r="A94" s="27">
        <v>11</v>
      </c>
      <c r="B94" s="28" t="s">
        <v>68</v>
      </c>
      <c r="C94" s="28"/>
      <c r="D94" s="28"/>
      <c r="E94" s="28"/>
      <c r="F94" s="28"/>
      <c r="G94" s="28"/>
      <c r="H94" s="28"/>
      <c r="I94" s="28"/>
      <c r="J94" s="28"/>
      <c r="K94" s="28"/>
      <c r="L94" s="59">
        <v>0</v>
      </c>
      <c r="M94" s="28"/>
      <c r="N94" s="6"/>
    </row>
    <row r="95" spans="1:14" ht="15.75">
      <c r="A95" s="27">
        <v>12</v>
      </c>
      <c r="B95" s="28" t="s">
        <v>69</v>
      </c>
      <c r="C95" s="28"/>
      <c r="D95" s="28"/>
      <c r="E95" s="28"/>
      <c r="F95" s="28"/>
      <c r="G95" s="28"/>
      <c r="H95" s="28"/>
      <c r="I95" s="28"/>
      <c r="J95" s="28"/>
      <c r="K95" s="28"/>
      <c r="L95" s="59">
        <f>-93-250</f>
        <v>-343</v>
      </c>
      <c r="M95" s="28"/>
      <c r="N95" s="6"/>
    </row>
    <row r="96" spans="1:14" ht="15.75">
      <c r="A96" s="27">
        <v>13</v>
      </c>
      <c r="B96" s="28" t="s">
        <v>70</v>
      </c>
      <c r="C96" s="28"/>
      <c r="D96" s="28"/>
      <c r="E96" s="28"/>
      <c r="F96" s="28"/>
      <c r="G96" s="28"/>
      <c r="H96" s="28"/>
      <c r="I96" s="28"/>
      <c r="J96" s="28"/>
      <c r="K96" s="28"/>
      <c r="L96" s="59">
        <f>-SUM(L82:L95)</f>
        <v>-216</v>
      </c>
      <c r="M96" s="28"/>
      <c r="N96" s="6"/>
    </row>
    <row r="97" spans="1:14" ht="15.75">
      <c r="A97" s="27"/>
      <c r="B97" s="137" t="s">
        <v>71</v>
      </c>
      <c r="C97" s="64"/>
      <c r="D97" s="28"/>
      <c r="E97" s="28"/>
      <c r="F97" s="28"/>
      <c r="G97" s="28"/>
      <c r="H97" s="28"/>
      <c r="I97" s="28"/>
      <c r="J97" s="28"/>
      <c r="K97" s="28"/>
      <c r="L97" s="65"/>
      <c r="M97" s="28"/>
      <c r="N97" s="6"/>
    </row>
    <row r="98" spans="1:14" ht="15.75">
      <c r="A98" s="27"/>
      <c r="B98" s="28" t="s">
        <v>72</v>
      </c>
      <c r="C98" s="64"/>
      <c r="D98" s="28"/>
      <c r="E98" s="28"/>
      <c r="F98" s="28"/>
      <c r="G98" s="28"/>
      <c r="H98" s="28"/>
      <c r="I98" s="28"/>
      <c r="J98" s="38">
        <f>-J144</f>
        <v>-832</v>
      </c>
      <c r="K98" s="38"/>
      <c r="L98" s="59"/>
      <c r="M98" s="28"/>
      <c r="N98" s="6"/>
    </row>
    <row r="99" spans="1:14" ht="15.75">
      <c r="A99" s="27"/>
      <c r="B99" s="28" t="s">
        <v>73</v>
      </c>
      <c r="C99" s="28"/>
      <c r="D99" s="28"/>
      <c r="E99" s="28"/>
      <c r="F99" s="28"/>
      <c r="G99" s="28"/>
      <c r="H99" s="28"/>
      <c r="I99" s="28"/>
      <c r="J99" s="38">
        <f>-H144</f>
        <v>-4115</v>
      </c>
      <c r="K99" s="38"/>
      <c r="L99" s="59"/>
      <c r="M99" s="28"/>
      <c r="N99" s="6"/>
    </row>
    <row r="100" spans="1:14" ht="15.75">
      <c r="A100" s="27"/>
      <c r="B100" s="28" t="s">
        <v>74</v>
      </c>
      <c r="C100" s="28"/>
      <c r="D100" s="28"/>
      <c r="E100" s="28"/>
      <c r="F100" s="28"/>
      <c r="G100" s="28"/>
      <c r="H100" s="28"/>
      <c r="I100" s="28"/>
      <c r="J100" s="38">
        <v>-13266</v>
      </c>
      <c r="K100" s="38"/>
      <c r="L100" s="59"/>
      <c r="M100" s="28"/>
      <c r="N100" s="6"/>
    </row>
    <row r="101" spans="1:14" ht="15.75">
      <c r="A101" s="27"/>
      <c r="B101" s="28" t="s">
        <v>75</v>
      </c>
      <c r="C101" s="28"/>
      <c r="D101" s="28"/>
      <c r="E101" s="28"/>
      <c r="F101" s="28"/>
      <c r="G101" s="28"/>
      <c r="H101" s="28"/>
      <c r="I101" s="28"/>
      <c r="J101" s="38">
        <v>0</v>
      </c>
      <c r="K101" s="38"/>
      <c r="L101" s="59"/>
      <c r="M101" s="28"/>
      <c r="N101" s="6"/>
    </row>
    <row r="102" spans="1:14" ht="15.75">
      <c r="A102" s="27"/>
      <c r="B102" s="28" t="s">
        <v>76</v>
      </c>
      <c r="C102" s="28"/>
      <c r="D102" s="28"/>
      <c r="E102" s="28"/>
      <c r="F102" s="28"/>
      <c r="G102" s="28"/>
      <c r="H102" s="28"/>
      <c r="I102" s="28"/>
      <c r="J102" s="38">
        <f>SUM(J83:J101)</f>
        <v>-18213</v>
      </c>
      <c r="K102" s="38"/>
      <c r="L102" s="38">
        <f>SUM(L83:L101)</f>
        <v>-9716</v>
      </c>
      <c r="M102" s="28"/>
      <c r="N102" s="6"/>
    </row>
    <row r="103" spans="1:14" ht="15.75">
      <c r="A103" s="27"/>
      <c r="B103" s="28" t="s">
        <v>77</v>
      </c>
      <c r="C103" s="28"/>
      <c r="D103" s="28"/>
      <c r="E103" s="28"/>
      <c r="F103" s="28"/>
      <c r="G103" s="28"/>
      <c r="H103" s="28"/>
      <c r="I103" s="28"/>
      <c r="J103" s="38">
        <f>J82+J102</f>
        <v>0</v>
      </c>
      <c r="K103" s="38"/>
      <c r="L103" s="38">
        <f>L82+L102</f>
        <v>0</v>
      </c>
      <c r="M103" s="28"/>
      <c r="N103" s="6"/>
    </row>
    <row r="104" spans="1:14" ht="12" customHeight="1">
      <c r="A104" s="7"/>
      <c r="B104" s="9"/>
      <c r="C104" s="9"/>
      <c r="D104" s="9"/>
      <c r="E104" s="9"/>
      <c r="F104" s="9"/>
      <c r="G104" s="9"/>
      <c r="H104" s="9"/>
      <c r="I104" s="9"/>
      <c r="J104" s="9"/>
      <c r="K104" s="9"/>
      <c r="L104" s="58"/>
      <c r="M104" s="9"/>
      <c r="N104" s="6"/>
    </row>
    <row r="105" spans="1:14" ht="12" customHeight="1">
      <c r="A105" s="7"/>
      <c r="B105" s="9"/>
      <c r="C105" s="9"/>
      <c r="D105" s="9"/>
      <c r="E105" s="9"/>
      <c r="F105" s="9"/>
      <c r="G105" s="9"/>
      <c r="H105" s="9"/>
      <c r="I105" s="9"/>
      <c r="J105" s="9"/>
      <c r="K105" s="9"/>
      <c r="L105" s="58"/>
      <c r="M105" s="9"/>
      <c r="N105" s="6"/>
    </row>
    <row r="106" spans="1:14" ht="15.75" customHeight="1" thickBot="1">
      <c r="A106" s="118"/>
      <c r="B106" s="119" t="str">
        <f>B53</f>
        <v>PM4 INVESTOR REPORT QUARTER ENDING JUNE 2002</v>
      </c>
      <c r="C106" s="120"/>
      <c r="D106" s="120"/>
      <c r="E106" s="120"/>
      <c r="F106" s="120"/>
      <c r="G106" s="120"/>
      <c r="H106" s="120"/>
      <c r="I106" s="120"/>
      <c r="J106" s="120"/>
      <c r="K106" s="120"/>
      <c r="L106" s="124"/>
      <c r="M106" s="123"/>
      <c r="N106" s="6"/>
    </row>
    <row r="107" spans="1:14" ht="12" customHeight="1">
      <c r="A107" s="2"/>
      <c r="B107" s="5"/>
      <c r="C107" s="5"/>
      <c r="D107" s="5"/>
      <c r="E107" s="5"/>
      <c r="F107" s="5"/>
      <c r="G107" s="5"/>
      <c r="H107" s="5"/>
      <c r="I107" s="5"/>
      <c r="J107" s="5"/>
      <c r="K107" s="5"/>
      <c r="L107" s="66"/>
      <c r="M107" s="5"/>
      <c r="N107" s="6"/>
    </row>
    <row r="108" spans="1:14" ht="15.75">
      <c r="A108" s="7"/>
      <c r="B108" s="57" t="s">
        <v>78</v>
      </c>
      <c r="C108" s="15"/>
      <c r="D108" s="9"/>
      <c r="E108" s="9"/>
      <c r="F108" s="9"/>
      <c r="G108" s="9"/>
      <c r="H108" s="9"/>
      <c r="I108" s="9"/>
      <c r="J108" s="9"/>
      <c r="K108" s="9"/>
      <c r="L108" s="58"/>
      <c r="M108" s="9"/>
      <c r="N108" s="6"/>
    </row>
    <row r="109" spans="1:14" ht="15.75">
      <c r="A109" s="7"/>
      <c r="B109" s="23"/>
      <c r="C109" s="15"/>
      <c r="D109" s="9"/>
      <c r="E109" s="9"/>
      <c r="F109" s="9"/>
      <c r="G109" s="9"/>
      <c r="H109" s="9"/>
      <c r="I109" s="9"/>
      <c r="J109" s="9"/>
      <c r="K109" s="9"/>
      <c r="L109" s="58"/>
      <c r="M109" s="9"/>
      <c r="N109" s="6"/>
    </row>
    <row r="110" spans="1:14" ht="15.75">
      <c r="A110" s="7"/>
      <c r="B110" s="138" t="s">
        <v>79</v>
      </c>
      <c r="C110" s="15"/>
      <c r="D110" s="9"/>
      <c r="E110" s="9"/>
      <c r="F110" s="9"/>
      <c r="G110" s="9"/>
      <c r="H110" s="9"/>
      <c r="I110" s="9"/>
      <c r="J110" s="9"/>
      <c r="K110" s="9"/>
      <c r="L110" s="58"/>
      <c r="M110" s="9"/>
      <c r="N110" s="6"/>
    </row>
    <row r="111" spans="1:14" ht="15.75">
      <c r="A111" s="27"/>
      <c r="B111" s="28" t="s">
        <v>80</v>
      </c>
      <c r="C111" s="28"/>
      <c r="D111" s="28"/>
      <c r="E111" s="28"/>
      <c r="F111" s="28"/>
      <c r="G111" s="28"/>
      <c r="H111" s="28"/>
      <c r="I111" s="28"/>
      <c r="J111" s="28"/>
      <c r="K111" s="28"/>
      <c r="L111" s="59">
        <v>8750</v>
      </c>
      <c r="M111" s="28"/>
      <c r="N111" s="6"/>
    </row>
    <row r="112" spans="1:14" ht="15.75">
      <c r="A112" s="27"/>
      <c r="B112" s="28" t="s">
        <v>81</v>
      </c>
      <c r="C112" s="28"/>
      <c r="D112" s="28"/>
      <c r="E112" s="28"/>
      <c r="F112" s="28"/>
      <c r="G112" s="28"/>
      <c r="H112" s="28"/>
      <c r="I112" s="28"/>
      <c r="J112" s="28"/>
      <c r="K112" s="28"/>
      <c r="L112" s="59">
        <f>L111</f>
        <v>8750</v>
      </c>
      <c r="M112" s="28"/>
      <c r="N112" s="6"/>
    </row>
    <row r="113" spans="1:14" ht="15.75">
      <c r="A113" s="27"/>
      <c r="B113" s="28" t="s">
        <v>82</v>
      </c>
      <c r="C113" s="28"/>
      <c r="D113" s="28"/>
      <c r="E113" s="28"/>
      <c r="F113" s="28"/>
      <c r="G113" s="28"/>
      <c r="H113" s="28"/>
      <c r="I113" s="28"/>
      <c r="J113" s="28"/>
      <c r="K113" s="28"/>
      <c r="L113" s="59">
        <v>0</v>
      </c>
      <c r="M113" s="28"/>
      <c r="N113" s="6"/>
    </row>
    <row r="114" spans="1:14" ht="15.75">
      <c r="A114" s="27"/>
      <c r="B114" s="28" t="s">
        <v>83</v>
      </c>
      <c r="C114" s="28"/>
      <c r="D114" s="28"/>
      <c r="E114" s="28"/>
      <c r="F114" s="28"/>
      <c r="G114" s="28"/>
      <c r="H114" s="28"/>
      <c r="I114" s="28"/>
      <c r="J114" s="28"/>
      <c r="K114" s="28"/>
      <c r="L114" s="59">
        <v>0</v>
      </c>
      <c r="M114" s="28"/>
      <c r="N114" s="6"/>
    </row>
    <row r="115" spans="1:14" ht="15.75">
      <c r="A115" s="27"/>
      <c r="B115" s="28" t="s">
        <v>84</v>
      </c>
      <c r="C115" s="28"/>
      <c r="D115" s="28"/>
      <c r="E115" s="28"/>
      <c r="F115" s="28"/>
      <c r="G115" s="28"/>
      <c r="H115" s="28"/>
      <c r="I115" s="28"/>
      <c r="J115" s="28"/>
      <c r="K115" s="28"/>
      <c r="L115" s="59">
        <v>0</v>
      </c>
      <c r="M115" s="28"/>
      <c r="N115" s="6"/>
    </row>
    <row r="116" spans="1:14" ht="15.75">
      <c r="A116" s="27"/>
      <c r="B116" s="28" t="s">
        <v>62</v>
      </c>
      <c r="C116" s="28"/>
      <c r="D116" s="28"/>
      <c r="E116" s="28"/>
      <c r="F116" s="28"/>
      <c r="G116" s="28"/>
      <c r="H116" s="28"/>
      <c r="I116" s="28"/>
      <c r="J116" s="28"/>
      <c r="K116" s="28"/>
      <c r="L116" s="59">
        <v>0</v>
      </c>
      <c r="M116" s="28"/>
      <c r="N116" s="6"/>
    </row>
    <row r="117" spans="1:14" ht="15.75">
      <c r="A117" s="27"/>
      <c r="B117" s="28" t="s">
        <v>63</v>
      </c>
      <c r="C117" s="28"/>
      <c r="D117" s="28"/>
      <c r="E117" s="28"/>
      <c r="F117" s="28"/>
      <c r="G117" s="28"/>
      <c r="H117" s="28"/>
      <c r="I117" s="28"/>
      <c r="J117" s="28"/>
      <c r="K117" s="28"/>
      <c r="L117" s="59">
        <v>0</v>
      </c>
      <c r="M117" s="28"/>
      <c r="N117" s="6"/>
    </row>
    <row r="118" spans="1:14" ht="15.75">
      <c r="A118" s="27"/>
      <c r="B118" s="28" t="s">
        <v>85</v>
      </c>
      <c r="C118" s="28"/>
      <c r="D118" s="28"/>
      <c r="E118" s="28"/>
      <c r="F118" s="28"/>
      <c r="G118" s="28"/>
      <c r="H118" s="28"/>
      <c r="I118" s="28"/>
      <c r="J118" s="28"/>
      <c r="K118" s="28"/>
      <c r="L118" s="59">
        <v>0</v>
      </c>
      <c r="M118" s="28"/>
      <c r="N118" s="6"/>
    </row>
    <row r="119" spans="1:14" ht="15.75">
      <c r="A119" s="27"/>
      <c r="B119" s="28" t="s">
        <v>86</v>
      </c>
      <c r="C119" s="28"/>
      <c r="D119" s="28"/>
      <c r="E119" s="28"/>
      <c r="F119" s="28"/>
      <c r="G119" s="28"/>
      <c r="H119" s="28"/>
      <c r="I119" s="28"/>
      <c r="J119" s="28"/>
      <c r="K119" s="28"/>
      <c r="L119" s="59">
        <f>SUM(L112:L118)</f>
        <v>8750</v>
      </c>
      <c r="M119" s="28"/>
      <c r="N119" s="6"/>
    </row>
    <row r="120" spans="1:14" ht="15.75">
      <c r="A120" s="27"/>
      <c r="B120" s="28"/>
      <c r="C120" s="28"/>
      <c r="D120" s="28"/>
      <c r="E120" s="28"/>
      <c r="F120" s="28"/>
      <c r="G120" s="28"/>
      <c r="H120" s="28"/>
      <c r="I120" s="28"/>
      <c r="J120" s="28"/>
      <c r="K120" s="28"/>
      <c r="L120" s="67"/>
      <c r="M120" s="28"/>
      <c r="N120" s="6"/>
    </row>
    <row r="121" spans="1:14" ht="15.75">
      <c r="A121" s="7"/>
      <c r="B121" s="138" t="s">
        <v>87</v>
      </c>
      <c r="C121" s="9"/>
      <c r="D121" s="9"/>
      <c r="E121" s="9"/>
      <c r="F121" s="9"/>
      <c r="G121" s="9"/>
      <c r="H121" s="9"/>
      <c r="I121" s="9"/>
      <c r="J121" s="9"/>
      <c r="K121" s="9"/>
      <c r="L121" s="58"/>
      <c r="M121" s="9"/>
      <c r="N121" s="6"/>
    </row>
    <row r="122" spans="1:14" ht="15.75">
      <c r="A122" s="27"/>
      <c r="B122" s="28" t="s">
        <v>88</v>
      </c>
      <c r="C122" s="28"/>
      <c r="D122" s="68"/>
      <c r="E122" s="28"/>
      <c r="F122" s="28"/>
      <c r="G122" s="28"/>
      <c r="H122" s="28"/>
      <c r="I122" s="28"/>
      <c r="J122" s="28"/>
      <c r="K122" s="28"/>
      <c r="L122" s="69" t="s">
        <v>194</v>
      </c>
      <c r="M122" s="28"/>
      <c r="N122" s="6"/>
    </row>
    <row r="123" spans="1:14" ht="15.75">
      <c r="A123" s="27"/>
      <c r="B123" s="28" t="s">
        <v>89</v>
      </c>
      <c r="C123" s="31"/>
      <c r="D123" s="31"/>
      <c r="E123" s="31"/>
      <c r="F123" s="31"/>
      <c r="G123" s="31"/>
      <c r="H123" s="31"/>
      <c r="I123" s="31"/>
      <c r="J123" s="31"/>
      <c r="K123" s="31"/>
      <c r="L123" s="69" t="s">
        <v>194</v>
      </c>
      <c r="M123" s="28"/>
      <c r="N123" s="6"/>
    </row>
    <row r="124" spans="1:14" ht="15.75">
      <c r="A124" s="27"/>
      <c r="B124" s="28" t="s">
        <v>90</v>
      </c>
      <c r="C124" s="28"/>
      <c r="D124" s="28"/>
      <c r="E124" s="28"/>
      <c r="F124" s="28"/>
      <c r="G124" s="28"/>
      <c r="H124" s="28"/>
      <c r="I124" s="28"/>
      <c r="J124" s="28"/>
      <c r="K124" s="28"/>
      <c r="L124" s="69" t="s">
        <v>194</v>
      </c>
      <c r="M124" s="28"/>
      <c r="N124" s="6"/>
    </row>
    <row r="125" spans="1:14" ht="15.75">
      <c r="A125" s="27"/>
      <c r="B125" s="28" t="s">
        <v>91</v>
      </c>
      <c r="C125" s="28"/>
      <c r="D125" s="28"/>
      <c r="E125" s="28"/>
      <c r="F125" s="28"/>
      <c r="G125" s="28"/>
      <c r="H125" s="28"/>
      <c r="I125" s="28"/>
      <c r="J125" s="28"/>
      <c r="K125" s="28"/>
      <c r="L125" s="69" t="s">
        <v>194</v>
      </c>
      <c r="M125" s="28"/>
      <c r="N125" s="6"/>
    </row>
    <row r="126" spans="1:14" ht="15.75">
      <c r="A126" s="27"/>
      <c r="B126" s="28"/>
      <c r="C126" s="28"/>
      <c r="D126" s="28"/>
      <c r="E126" s="28"/>
      <c r="F126" s="28"/>
      <c r="G126" s="28"/>
      <c r="H126" s="28"/>
      <c r="I126" s="28"/>
      <c r="J126" s="28"/>
      <c r="K126" s="28"/>
      <c r="L126" s="67"/>
      <c r="M126" s="28"/>
      <c r="N126" s="6"/>
    </row>
    <row r="127" spans="1:14" ht="15.75">
      <c r="A127" s="7"/>
      <c r="B127" s="138" t="s">
        <v>92</v>
      </c>
      <c r="C127" s="15"/>
      <c r="D127" s="9"/>
      <c r="E127" s="9"/>
      <c r="F127" s="9"/>
      <c r="G127" s="9"/>
      <c r="H127" s="9"/>
      <c r="I127" s="9"/>
      <c r="J127" s="9"/>
      <c r="K127" s="9"/>
      <c r="L127" s="70"/>
      <c r="M127" s="9"/>
      <c r="N127" s="6"/>
    </row>
    <row r="128" spans="1:14" ht="15.75">
      <c r="A128" s="27"/>
      <c r="B128" s="28" t="s">
        <v>93</v>
      </c>
      <c r="C128" s="28"/>
      <c r="D128" s="28"/>
      <c r="E128" s="28"/>
      <c r="F128" s="28"/>
      <c r="G128" s="28"/>
      <c r="H128" s="28"/>
      <c r="I128" s="28"/>
      <c r="J128" s="28"/>
      <c r="K128" s="28"/>
      <c r="L128" s="59">
        <v>0</v>
      </c>
      <c r="M128" s="28"/>
      <c r="N128" s="6"/>
    </row>
    <row r="129" spans="1:14" ht="15.75">
      <c r="A129" s="27"/>
      <c r="B129" s="28" t="s">
        <v>94</v>
      </c>
      <c r="C129" s="28"/>
      <c r="D129" s="28"/>
      <c r="E129" s="28"/>
      <c r="F129" s="28"/>
      <c r="G129" s="28"/>
      <c r="H129" s="28"/>
      <c r="I129" s="28"/>
      <c r="J129" s="28"/>
      <c r="K129" s="28"/>
      <c r="L129" s="59">
        <v>0</v>
      </c>
      <c r="M129" s="28"/>
      <c r="N129" s="6"/>
    </row>
    <row r="130" spans="1:14" ht="15.75">
      <c r="A130" s="27"/>
      <c r="B130" s="28" t="s">
        <v>95</v>
      </c>
      <c r="C130" s="28"/>
      <c r="D130" s="28"/>
      <c r="E130" s="28"/>
      <c r="F130" s="28"/>
      <c r="G130" s="28"/>
      <c r="H130" s="28"/>
      <c r="I130" s="28"/>
      <c r="J130" s="28"/>
      <c r="K130" s="28"/>
      <c r="L130" s="59">
        <f>L129+L128</f>
        <v>0</v>
      </c>
      <c r="M130" s="28"/>
      <c r="N130" s="6"/>
    </row>
    <row r="131" spans="1:14" ht="15.75">
      <c r="A131" s="27"/>
      <c r="B131" s="28" t="s">
        <v>96</v>
      </c>
      <c r="C131" s="28"/>
      <c r="D131" s="28"/>
      <c r="E131" s="28"/>
      <c r="F131" s="28"/>
      <c r="G131" s="28"/>
      <c r="H131" s="71"/>
      <c r="I131" s="28"/>
      <c r="J131" s="28"/>
      <c r="K131" s="28"/>
      <c r="L131" s="59">
        <v>0</v>
      </c>
      <c r="M131" s="28"/>
      <c r="N131" s="6"/>
    </row>
    <row r="132" spans="1:14" ht="15.75">
      <c r="A132" s="27"/>
      <c r="B132" s="28" t="s">
        <v>97</v>
      </c>
      <c r="C132" s="28"/>
      <c r="D132" s="28"/>
      <c r="E132" s="28"/>
      <c r="F132" s="28"/>
      <c r="G132" s="28"/>
      <c r="H132" s="28"/>
      <c r="I132" s="28"/>
      <c r="J132" s="28"/>
      <c r="K132" s="28"/>
      <c r="L132" s="59">
        <f>L130+L131</f>
        <v>0</v>
      </c>
      <c r="M132" s="28"/>
      <c r="N132" s="6"/>
    </row>
    <row r="133" spans="1:14" ht="7.5" customHeight="1">
      <c r="A133" s="27"/>
      <c r="B133" s="28"/>
      <c r="C133" s="28"/>
      <c r="D133" s="28"/>
      <c r="E133" s="28"/>
      <c r="F133" s="28"/>
      <c r="G133" s="28"/>
      <c r="H133" s="28"/>
      <c r="I133" s="28"/>
      <c r="J133" s="28"/>
      <c r="K133" s="28"/>
      <c r="L133" s="67"/>
      <c r="M133" s="28"/>
      <c r="N133" s="6"/>
    </row>
    <row r="134" spans="1:14" ht="6" customHeight="1">
      <c r="A134" s="2"/>
      <c r="B134" s="5"/>
      <c r="C134" s="5"/>
      <c r="D134" s="5"/>
      <c r="E134" s="5"/>
      <c r="F134" s="5"/>
      <c r="G134" s="5"/>
      <c r="H134" s="5"/>
      <c r="I134" s="5"/>
      <c r="J134" s="5"/>
      <c r="K134" s="5"/>
      <c r="L134" s="66"/>
      <c r="M134" s="5"/>
      <c r="N134" s="6"/>
    </row>
    <row r="135" spans="1:14" ht="15.75">
      <c r="A135" s="7"/>
      <c r="B135" s="138" t="s">
        <v>98</v>
      </c>
      <c r="C135" s="15"/>
      <c r="D135" s="9"/>
      <c r="E135" s="9"/>
      <c r="F135" s="9"/>
      <c r="G135" s="9"/>
      <c r="H135" s="9"/>
      <c r="I135" s="9"/>
      <c r="J135" s="9"/>
      <c r="K135" s="9"/>
      <c r="L135" s="58"/>
      <c r="M135" s="9"/>
      <c r="N135" s="6"/>
    </row>
    <row r="136" spans="1:14" ht="15.75">
      <c r="A136" s="7"/>
      <c r="B136" s="23"/>
      <c r="C136" s="15"/>
      <c r="D136" s="9"/>
      <c r="E136" s="9"/>
      <c r="F136" s="9"/>
      <c r="G136" s="9"/>
      <c r="H136" s="9"/>
      <c r="I136" s="9"/>
      <c r="J136" s="9"/>
      <c r="K136" s="9"/>
      <c r="L136" s="58"/>
      <c r="M136" s="9"/>
      <c r="N136" s="6"/>
    </row>
    <row r="137" spans="1:14" ht="15.75">
      <c r="A137" s="27"/>
      <c r="B137" s="28" t="s">
        <v>99</v>
      </c>
      <c r="C137" s="72"/>
      <c r="D137" s="28"/>
      <c r="E137" s="28"/>
      <c r="F137" s="28"/>
      <c r="G137" s="28"/>
      <c r="H137" s="28"/>
      <c r="I137" s="28"/>
      <c r="J137" s="28"/>
      <c r="K137" s="28"/>
      <c r="L137" s="59">
        <f>L61</f>
        <v>486734</v>
      </c>
      <c r="M137" s="28"/>
      <c r="N137" s="6"/>
    </row>
    <row r="138" spans="1:14" ht="15.75">
      <c r="A138" s="27"/>
      <c r="B138" s="28" t="s">
        <v>100</v>
      </c>
      <c r="C138" s="72"/>
      <c r="D138" s="28"/>
      <c r="E138" s="28"/>
      <c r="F138" s="28"/>
      <c r="G138" s="28"/>
      <c r="H138" s="28"/>
      <c r="I138" s="28"/>
      <c r="J138" s="28"/>
      <c r="K138" s="28"/>
      <c r="L138" s="59">
        <f>L33</f>
        <v>486733.8725</v>
      </c>
      <c r="M138" s="28"/>
      <c r="N138" s="6"/>
    </row>
    <row r="139" spans="1:14" ht="7.5" customHeight="1">
      <c r="A139" s="27"/>
      <c r="B139" s="28"/>
      <c r="C139" s="28"/>
      <c r="D139" s="28"/>
      <c r="E139" s="28"/>
      <c r="F139" s="28"/>
      <c r="G139" s="28"/>
      <c r="H139" s="28"/>
      <c r="I139" s="28"/>
      <c r="J139" s="28"/>
      <c r="K139" s="28"/>
      <c r="L139" s="67"/>
      <c r="M139" s="28"/>
      <c r="N139" s="6"/>
    </row>
    <row r="140" spans="1:14" ht="15.75">
      <c r="A140" s="2"/>
      <c r="B140" s="5"/>
      <c r="C140" s="5"/>
      <c r="D140" s="5"/>
      <c r="E140" s="5"/>
      <c r="F140" s="5"/>
      <c r="G140" s="5"/>
      <c r="H140" s="5"/>
      <c r="I140" s="5"/>
      <c r="J140" s="5"/>
      <c r="K140" s="5"/>
      <c r="L140" s="66"/>
      <c r="M140" s="5"/>
      <c r="N140" s="6"/>
    </row>
    <row r="141" spans="1:14" ht="15.75">
      <c r="A141" s="7"/>
      <c r="B141" s="138" t="s">
        <v>101</v>
      </c>
      <c r="C141" s="131"/>
      <c r="D141" s="131"/>
      <c r="E141" s="131"/>
      <c r="F141" s="131"/>
      <c r="G141" s="131"/>
      <c r="H141" s="139" t="s">
        <v>174</v>
      </c>
      <c r="I141" s="139"/>
      <c r="J141" s="139" t="s">
        <v>182</v>
      </c>
      <c r="K141" s="131"/>
      <c r="L141" s="140" t="s">
        <v>195</v>
      </c>
      <c r="M141" s="11"/>
      <c r="N141" s="6"/>
    </row>
    <row r="142" spans="1:14" ht="15.75">
      <c r="A142" s="27"/>
      <c r="B142" s="28" t="s">
        <v>102</v>
      </c>
      <c r="C142" s="28"/>
      <c r="D142" s="28"/>
      <c r="E142" s="28"/>
      <c r="F142" s="28"/>
      <c r="G142" s="28"/>
      <c r="H142" s="59">
        <v>70000</v>
      </c>
      <c r="I142" s="28"/>
      <c r="J142" s="47"/>
      <c r="K142" s="28"/>
      <c r="L142" s="59"/>
      <c r="M142" s="28"/>
      <c r="N142" s="6"/>
    </row>
    <row r="143" spans="1:14" ht="15.75">
      <c r="A143" s="27"/>
      <c r="B143" s="28" t="s">
        <v>103</v>
      </c>
      <c r="C143" s="28"/>
      <c r="D143" s="28"/>
      <c r="E143" s="28"/>
      <c r="F143" s="28"/>
      <c r="G143" s="28"/>
      <c r="H143" s="59">
        <v>0</v>
      </c>
      <c r="I143" s="28"/>
      <c r="J143" s="59">
        <v>0</v>
      </c>
      <c r="K143" s="28"/>
      <c r="L143" s="59">
        <f>J143+H143</f>
        <v>0</v>
      </c>
      <c r="M143" s="28"/>
      <c r="N143" s="6"/>
    </row>
    <row r="144" spans="1:14" ht="15.75">
      <c r="A144" s="27"/>
      <c r="B144" s="28" t="s">
        <v>104</v>
      </c>
      <c r="C144" s="28"/>
      <c r="D144" s="28"/>
      <c r="E144" s="28"/>
      <c r="F144" s="28"/>
      <c r="G144" s="28"/>
      <c r="H144" s="59">
        <v>4115</v>
      </c>
      <c r="I144" s="28"/>
      <c r="J144" s="59">
        <f>860-28</f>
        <v>832</v>
      </c>
      <c r="K144" s="28"/>
      <c r="L144" s="59">
        <f>J144+H144</f>
        <v>4947</v>
      </c>
      <c r="M144" s="28"/>
      <c r="N144" s="6"/>
    </row>
    <row r="145" spans="1:14" ht="15.75">
      <c r="A145" s="27"/>
      <c r="B145" s="28" t="s">
        <v>105</v>
      </c>
      <c r="C145" s="28"/>
      <c r="D145" s="28"/>
      <c r="E145" s="28"/>
      <c r="F145" s="28"/>
      <c r="G145" s="28"/>
      <c r="H145" s="59">
        <f>H144+H143</f>
        <v>4115</v>
      </c>
      <c r="I145" s="28"/>
      <c r="J145" s="59">
        <f>J144+J143</f>
        <v>832</v>
      </c>
      <c r="K145" s="28"/>
      <c r="L145" s="59">
        <f>J145+H145</f>
        <v>4947</v>
      </c>
      <c r="M145" s="28"/>
      <c r="N145" s="6"/>
    </row>
    <row r="146" spans="1:14" ht="15.75">
      <c r="A146" s="27"/>
      <c r="B146" s="28" t="s">
        <v>106</v>
      </c>
      <c r="C146" s="28"/>
      <c r="D146" s="28"/>
      <c r="E146" s="28"/>
      <c r="F146" s="28"/>
      <c r="G146" s="28"/>
      <c r="H146" s="59">
        <f>H142-H145-J145</f>
        <v>65053</v>
      </c>
      <c r="I146" s="28"/>
      <c r="J146" s="47"/>
      <c r="K146" s="28"/>
      <c r="L146" s="59"/>
      <c r="M146" s="28"/>
      <c r="N146" s="6"/>
    </row>
    <row r="147" spans="1:14" ht="7.5" customHeight="1">
      <c r="A147" s="27"/>
      <c r="B147" s="28"/>
      <c r="C147" s="28"/>
      <c r="D147" s="28"/>
      <c r="E147" s="28"/>
      <c r="F147" s="28"/>
      <c r="G147" s="28"/>
      <c r="H147" s="28"/>
      <c r="I147" s="28"/>
      <c r="J147" s="28"/>
      <c r="K147" s="28"/>
      <c r="L147" s="67"/>
      <c r="M147" s="28"/>
      <c r="N147" s="6"/>
    </row>
    <row r="148" spans="1:14" ht="9" customHeight="1">
      <c r="A148" s="2"/>
      <c r="B148" s="5"/>
      <c r="C148" s="5"/>
      <c r="D148" s="5"/>
      <c r="E148" s="5"/>
      <c r="F148" s="5"/>
      <c r="G148" s="5"/>
      <c r="H148" s="5"/>
      <c r="I148" s="5"/>
      <c r="J148" s="5"/>
      <c r="K148" s="5"/>
      <c r="L148" s="66"/>
      <c r="M148" s="5"/>
      <c r="N148" s="6"/>
    </row>
    <row r="149" spans="1:14" ht="15.75">
      <c r="A149" s="7"/>
      <c r="B149" s="138" t="s">
        <v>107</v>
      </c>
      <c r="C149" s="15"/>
      <c r="D149" s="9"/>
      <c r="E149" s="9"/>
      <c r="F149" s="9"/>
      <c r="G149" s="9"/>
      <c r="H149" s="9"/>
      <c r="I149" s="9"/>
      <c r="J149" s="9"/>
      <c r="K149" s="9"/>
      <c r="L149" s="73"/>
      <c r="M149" s="9"/>
      <c r="N149" s="6"/>
    </row>
    <row r="150" spans="1:14" ht="15.75">
      <c r="A150" s="27"/>
      <c r="B150" s="28" t="s">
        <v>108</v>
      </c>
      <c r="C150" s="28"/>
      <c r="D150" s="28"/>
      <c r="E150" s="28"/>
      <c r="F150" s="28"/>
      <c r="G150" s="28"/>
      <c r="H150" s="28"/>
      <c r="I150" s="28"/>
      <c r="J150" s="28"/>
      <c r="K150" s="28"/>
      <c r="L150" s="65">
        <f>(L82+L84+L85+L86+L87)/-L88</f>
        <v>1.202840810670362</v>
      </c>
      <c r="M150" s="28" t="s">
        <v>196</v>
      </c>
      <c r="N150" s="6"/>
    </row>
    <row r="151" spans="1:14" ht="15.75">
      <c r="A151" s="27"/>
      <c r="B151" s="28" t="s">
        <v>109</v>
      </c>
      <c r="C151" s="28"/>
      <c r="D151" s="28"/>
      <c r="E151" s="28"/>
      <c r="F151" s="28"/>
      <c r="G151" s="28"/>
      <c r="H151" s="28"/>
      <c r="I151" s="28"/>
      <c r="J151" s="28"/>
      <c r="K151" s="28"/>
      <c r="L151" s="65">
        <f>L150</f>
        <v>1.202840810670362</v>
      </c>
      <c r="M151" s="28" t="s">
        <v>196</v>
      </c>
      <c r="N151" s="6"/>
    </row>
    <row r="152" spans="1:14" ht="15.75">
      <c r="A152" s="27"/>
      <c r="B152" s="28" t="s">
        <v>110</v>
      </c>
      <c r="C152" s="28"/>
      <c r="D152" s="28"/>
      <c r="E152" s="28"/>
      <c r="F152" s="28"/>
      <c r="G152" s="28"/>
      <c r="H152" s="28"/>
      <c r="I152" s="28"/>
      <c r="J152" s="28"/>
      <c r="K152" s="28"/>
      <c r="L152" s="65">
        <f>(L82+SUM(L84:L88))/-L89</f>
        <v>1.9291598023064251</v>
      </c>
      <c r="M152" s="28" t="s">
        <v>196</v>
      </c>
      <c r="N152" s="6"/>
    </row>
    <row r="153" spans="1:14" ht="15.75">
      <c r="A153" s="27"/>
      <c r="B153" s="28" t="s">
        <v>111</v>
      </c>
      <c r="C153" s="28"/>
      <c r="D153" s="28"/>
      <c r="E153" s="28"/>
      <c r="F153" s="28"/>
      <c r="G153" s="28"/>
      <c r="H153" s="28"/>
      <c r="I153" s="28"/>
      <c r="J153" s="28"/>
      <c r="K153" s="28"/>
      <c r="L153" s="74">
        <f>L152</f>
        <v>1.9291598023064251</v>
      </c>
      <c r="M153" s="28" t="s">
        <v>196</v>
      </c>
      <c r="N153" s="6"/>
    </row>
    <row r="154" spans="1:14" ht="12.75" customHeight="1">
      <c r="A154" s="27"/>
      <c r="B154" s="28"/>
      <c r="C154" s="28"/>
      <c r="D154" s="28"/>
      <c r="E154" s="28"/>
      <c r="F154" s="28"/>
      <c r="G154" s="28"/>
      <c r="H154" s="28"/>
      <c r="I154" s="28"/>
      <c r="J154" s="28"/>
      <c r="K154" s="28"/>
      <c r="L154" s="28"/>
      <c r="M154" s="28"/>
      <c r="N154" s="6"/>
    </row>
    <row r="155" spans="1:14" ht="12.75" customHeight="1">
      <c r="A155" s="7"/>
      <c r="B155" s="9"/>
      <c r="C155" s="9"/>
      <c r="D155" s="9"/>
      <c r="E155" s="9"/>
      <c r="F155" s="9"/>
      <c r="G155" s="9"/>
      <c r="H155" s="9"/>
      <c r="I155" s="9"/>
      <c r="J155" s="9"/>
      <c r="K155" s="9"/>
      <c r="L155" s="9"/>
      <c r="M155" s="9"/>
      <c r="N155" s="6"/>
    </row>
    <row r="156" spans="1:14" ht="15" customHeight="1" thickBot="1">
      <c r="A156" s="118"/>
      <c r="B156" s="119" t="str">
        <f>B106</f>
        <v>PM4 INVESTOR REPORT QUARTER ENDING JUNE 2002</v>
      </c>
      <c r="C156" s="120"/>
      <c r="D156" s="120"/>
      <c r="E156" s="120"/>
      <c r="F156" s="120"/>
      <c r="G156" s="120"/>
      <c r="H156" s="120"/>
      <c r="I156" s="120"/>
      <c r="J156" s="120"/>
      <c r="K156" s="120"/>
      <c r="L156" s="120"/>
      <c r="M156" s="123"/>
      <c r="N156" s="6"/>
    </row>
    <row r="157" spans="1:14" ht="15.75">
      <c r="A157" s="2"/>
      <c r="B157" s="75"/>
      <c r="C157" s="75"/>
      <c r="D157" s="75"/>
      <c r="E157" s="75"/>
      <c r="F157" s="75"/>
      <c r="G157" s="75"/>
      <c r="H157" s="75"/>
      <c r="I157" s="75"/>
      <c r="J157" s="75"/>
      <c r="K157" s="75"/>
      <c r="L157" s="75"/>
      <c r="M157" s="75"/>
      <c r="N157" s="6"/>
    </row>
    <row r="158" spans="1:14" ht="15.75">
      <c r="A158" s="76"/>
      <c r="B158" s="57" t="s">
        <v>112</v>
      </c>
      <c r="C158" s="77"/>
      <c r="D158" s="77"/>
      <c r="E158" s="77"/>
      <c r="F158" s="77"/>
      <c r="G158" s="21"/>
      <c r="H158" s="21"/>
      <c r="I158" s="21"/>
      <c r="J158" s="21">
        <v>37437</v>
      </c>
      <c r="K158" s="17"/>
      <c r="L158" s="17"/>
      <c r="M158" s="9"/>
      <c r="N158" s="6"/>
    </row>
    <row r="159" spans="1:14" ht="15.75">
      <c r="A159" s="78"/>
      <c r="B159" s="79"/>
      <c r="C159" s="80"/>
      <c r="D159" s="80"/>
      <c r="E159" s="80"/>
      <c r="F159" s="80"/>
      <c r="G159" s="81"/>
      <c r="H159" s="81"/>
      <c r="I159" s="81"/>
      <c r="J159" s="81"/>
      <c r="K159" s="9"/>
      <c r="L159" s="9"/>
      <c r="M159" s="9"/>
      <c r="N159" s="6"/>
    </row>
    <row r="160" spans="1:14" ht="15.75">
      <c r="A160" s="82"/>
      <c r="B160" s="83" t="s">
        <v>113</v>
      </c>
      <c r="C160" s="84"/>
      <c r="D160" s="84"/>
      <c r="E160" s="84"/>
      <c r="F160" s="84"/>
      <c r="G160" s="71"/>
      <c r="H160" s="71"/>
      <c r="I160" s="71"/>
      <c r="J160" s="85">
        <v>0.06</v>
      </c>
      <c r="K160" s="28"/>
      <c r="L160" s="28"/>
      <c r="M160" s="28"/>
      <c r="N160" s="6"/>
    </row>
    <row r="161" spans="1:14" ht="15.75">
      <c r="A161" s="82"/>
      <c r="B161" s="83" t="s">
        <v>114</v>
      </c>
      <c r="C161" s="84"/>
      <c r="D161" s="84"/>
      <c r="E161" s="84"/>
      <c r="F161" s="84"/>
      <c r="G161" s="71"/>
      <c r="H161" s="71"/>
      <c r="I161" s="71"/>
      <c r="J161" s="85">
        <f>L35</f>
        <v>0.04521699999999999</v>
      </c>
      <c r="K161" s="28"/>
      <c r="L161" s="28"/>
      <c r="M161" s="28"/>
      <c r="N161" s="6"/>
    </row>
    <row r="162" spans="1:14" ht="15.75">
      <c r="A162" s="82"/>
      <c r="B162" s="83" t="s">
        <v>115</v>
      </c>
      <c r="C162" s="84"/>
      <c r="D162" s="84"/>
      <c r="E162" s="84"/>
      <c r="F162" s="84"/>
      <c r="G162" s="71"/>
      <c r="H162" s="71"/>
      <c r="I162" s="71"/>
      <c r="J162" s="85">
        <f>J160-J161</f>
        <v>0.014783000000000004</v>
      </c>
      <c r="K162" s="28"/>
      <c r="L162" s="28"/>
      <c r="M162" s="28"/>
      <c r="N162" s="6"/>
    </row>
    <row r="163" spans="1:14" ht="15.75">
      <c r="A163" s="82"/>
      <c r="B163" s="83" t="s">
        <v>116</v>
      </c>
      <c r="C163" s="84"/>
      <c r="D163" s="84"/>
      <c r="E163" s="84"/>
      <c r="F163" s="84"/>
      <c r="G163" s="71"/>
      <c r="H163" s="71"/>
      <c r="I163" s="71"/>
      <c r="J163" s="85">
        <v>0.06</v>
      </c>
      <c r="K163" s="28"/>
      <c r="L163" s="28"/>
      <c r="M163" s="28"/>
      <c r="N163" s="6"/>
    </row>
    <row r="164" spans="1:14" ht="15.75">
      <c r="A164" s="82"/>
      <c r="B164" s="83" t="s">
        <v>117</v>
      </c>
      <c r="C164" s="84"/>
      <c r="D164" s="84"/>
      <c r="E164" s="84"/>
      <c r="F164" s="84"/>
      <c r="G164" s="71"/>
      <c r="H164" s="71"/>
      <c r="I164" s="71"/>
      <c r="J164" s="85">
        <f>L35</f>
        <v>0.04521699999999999</v>
      </c>
      <c r="K164" s="28"/>
      <c r="L164" s="28"/>
      <c r="M164" s="28"/>
      <c r="N164" s="6"/>
    </row>
    <row r="165" spans="1:14" ht="15.75">
      <c r="A165" s="82"/>
      <c r="B165" s="83" t="s">
        <v>118</v>
      </c>
      <c r="C165" s="84"/>
      <c r="D165" s="84"/>
      <c r="E165" s="84"/>
      <c r="F165" s="84"/>
      <c r="G165" s="71"/>
      <c r="H165" s="71"/>
      <c r="I165" s="71"/>
      <c r="J165" s="85">
        <f>J163-J164</f>
        <v>0.014783000000000004</v>
      </c>
      <c r="K165" s="28"/>
      <c r="L165" s="28"/>
      <c r="M165" s="28"/>
      <c r="N165" s="6"/>
    </row>
    <row r="166" spans="1:14" ht="15.75">
      <c r="A166" s="82"/>
      <c r="B166" s="83" t="s">
        <v>119</v>
      </c>
      <c r="C166" s="84"/>
      <c r="D166" s="84"/>
      <c r="E166" s="84"/>
      <c r="F166" s="84"/>
      <c r="G166" s="71"/>
      <c r="H166" s="71"/>
      <c r="I166" s="71"/>
      <c r="J166" s="86" t="s">
        <v>183</v>
      </c>
      <c r="K166" s="28"/>
      <c r="L166" s="28"/>
      <c r="M166" s="28"/>
      <c r="N166" s="6"/>
    </row>
    <row r="167" spans="1:14" ht="15.75">
      <c r="A167" s="82"/>
      <c r="B167" s="83" t="s">
        <v>120</v>
      </c>
      <c r="C167" s="84"/>
      <c r="D167" s="84"/>
      <c r="E167" s="84"/>
      <c r="F167" s="84"/>
      <c r="G167" s="71"/>
      <c r="H167" s="71"/>
      <c r="I167" s="71"/>
      <c r="J167" s="86" t="s">
        <v>184</v>
      </c>
      <c r="K167" s="28"/>
      <c r="L167" s="28"/>
      <c r="M167" s="28"/>
      <c r="N167" s="6"/>
    </row>
    <row r="168" spans="1:14" ht="15.75">
      <c r="A168" s="82"/>
      <c r="B168" s="83" t="s">
        <v>121</v>
      </c>
      <c r="C168" s="84"/>
      <c r="D168" s="84"/>
      <c r="E168" s="84"/>
      <c r="F168" s="84"/>
      <c r="G168" s="71"/>
      <c r="H168" s="71"/>
      <c r="I168" s="71"/>
      <c r="J168" s="87">
        <v>20.2</v>
      </c>
      <c r="K168" s="28" t="s">
        <v>188</v>
      </c>
      <c r="L168" s="28"/>
      <c r="M168" s="28"/>
      <c r="N168" s="6"/>
    </row>
    <row r="169" spans="1:14" ht="15.75">
      <c r="A169" s="82"/>
      <c r="B169" s="83" t="s">
        <v>122</v>
      </c>
      <c r="C169" s="84"/>
      <c r="D169" s="84"/>
      <c r="E169" s="84"/>
      <c r="F169" s="84"/>
      <c r="G169" s="71"/>
      <c r="H169" s="71"/>
      <c r="I169" s="71"/>
      <c r="J169" s="87">
        <v>20.04</v>
      </c>
      <c r="K169" s="28" t="s">
        <v>188</v>
      </c>
      <c r="L169" s="28"/>
      <c r="M169" s="28"/>
      <c r="N169" s="6"/>
    </row>
    <row r="170" spans="1:14" ht="15.75">
      <c r="A170" s="82"/>
      <c r="B170" s="83" t="s">
        <v>123</v>
      </c>
      <c r="C170" s="84"/>
      <c r="D170" s="84"/>
      <c r="E170" s="84"/>
      <c r="F170" s="84"/>
      <c r="G170" s="71"/>
      <c r="H170" s="71"/>
      <c r="I170" s="71"/>
      <c r="J170" s="85">
        <f>F61/C73</f>
        <v>0.036426</v>
      </c>
      <c r="K170" s="28"/>
      <c r="L170" s="28"/>
      <c r="M170" s="28"/>
      <c r="N170" s="6"/>
    </row>
    <row r="171" spans="1:14" ht="15.75">
      <c r="A171" s="82"/>
      <c r="B171" s="83" t="s">
        <v>124</v>
      </c>
      <c r="C171" s="84"/>
      <c r="D171" s="84"/>
      <c r="E171" s="84"/>
      <c r="F171" s="84"/>
      <c r="G171" s="71"/>
      <c r="H171" s="71"/>
      <c r="I171" s="71"/>
      <c r="J171" s="85">
        <v>0.1378</v>
      </c>
      <c r="K171" s="28"/>
      <c r="L171" s="28"/>
      <c r="M171" s="28"/>
      <c r="N171" s="6"/>
    </row>
    <row r="172" spans="1:14" ht="15.75">
      <c r="A172" s="82"/>
      <c r="B172" s="83"/>
      <c r="C172" s="83"/>
      <c r="D172" s="83"/>
      <c r="E172" s="83"/>
      <c r="F172" s="83"/>
      <c r="G172" s="28"/>
      <c r="H172" s="28"/>
      <c r="I172" s="28"/>
      <c r="J172" s="67"/>
      <c r="K172" s="28"/>
      <c r="L172" s="88"/>
      <c r="M172" s="28"/>
      <c r="N172" s="6"/>
    </row>
    <row r="173" spans="1:14" ht="15.75">
      <c r="A173" s="89"/>
      <c r="B173" s="16" t="s">
        <v>125</v>
      </c>
      <c r="C173" s="90"/>
      <c r="D173" s="91"/>
      <c r="E173" s="90"/>
      <c r="F173" s="91"/>
      <c r="G173" s="90"/>
      <c r="H173" s="91"/>
      <c r="I173" s="19" t="s">
        <v>175</v>
      </c>
      <c r="J173" s="92" t="s">
        <v>185</v>
      </c>
      <c r="K173" s="17"/>
      <c r="L173" s="9"/>
      <c r="M173" s="9"/>
      <c r="N173" s="6"/>
    </row>
    <row r="174" spans="1:14" ht="15.75">
      <c r="A174" s="93"/>
      <c r="B174" s="83" t="s">
        <v>126</v>
      </c>
      <c r="C174" s="60"/>
      <c r="D174" s="60"/>
      <c r="E174" s="60"/>
      <c r="F174" s="28"/>
      <c r="G174" s="28"/>
      <c r="H174" s="28"/>
      <c r="I174" s="29">
        <v>19</v>
      </c>
      <c r="J174" s="94">
        <v>658</v>
      </c>
      <c r="K174" s="28"/>
      <c r="L174" s="88"/>
      <c r="M174" s="95"/>
      <c r="N174" s="6"/>
    </row>
    <row r="175" spans="1:14" ht="15.75">
      <c r="A175" s="93"/>
      <c r="B175" s="83" t="s">
        <v>127</v>
      </c>
      <c r="C175" s="60"/>
      <c r="D175" s="60"/>
      <c r="E175" s="60"/>
      <c r="F175" s="28"/>
      <c r="G175" s="28"/>
      <c r="H175" s="28"/>
      <c r="I175" s="29">
        <v>1</v>
      </c>
      <c r="J175" s="94">
        <v>37</v>
      </c>
      <c r="K175" s="28"/>
      <c r="L175" s="88"/>
      <c r="M175" s="95"/>
      <c r="N175" s="6"/>
    </row>
    <row r="176" spans="1:14" ht="15.75">
      <c r="A176" s="93"/>
      <c r="B176" s="141" t="s">
        <v>128</v>
      </c>
      <c r="C176" s="60"/>
      <c r="D176" s="60"/>
      <c r="E176" s="60"/>
      <c r="F176" s="28"/>
      <c r="G176" s="28"/>
      <c r="H176" s="28"/>
      <c r="I176" s="28"/>
      <c r="J176" s="94">
        <v>0</v>
      </c>
      <c r="K176" s="28"/>
      <c r="L176" s="88"/>
      <c r="M176" s="95"/>
      <c r="N176" s="6"/>
    </row>
    <row r="177" spans="1:14" ht="15.75">
      <c r="A177" s="93"/>
      <c r="B177" s="141" t="s">
        <v>129</v>
      </c>
      <c r="C177" s="60"/>
      <c r="D177" s="60"/>
      <c r="E177" s="60"/>
      <c r="F177" s="28"/>
      <c r="G177" s="28"/>
      <c r="H177" s="28"/>
      <c r="I177" s="28"/>
      <c r="J177" s="94">
        <v>77991</v>
      </c>
      <c r="K177" s="28"/>
      <c r="L177" s="88"/>
      <c r="M177" s="95"/>
      <c r="N177" s="6"/>
    </row>
    <row r="178" spans="1:14" ht="15.75">
      <c r="A178" s="96"/>
      <c r="B178" s="141" t="s">
        <v>130</v>
      </c>
      <c r="C178" s="60"/>
      <c r="D178" s="83"/>
      <c r="E178" s="83"/>
      <c r="F178" s="83"/>
      <c r="G178" s="28"/>
      <c r="H178" s="28"/>
      <c r="I178" s="28"/>
      <c r="J178" s="94">
        <v>0</v>
      </c>
      <c r="K178" s="28"/>
      <c r="L178" s="88"/>
      <c r="M178" s="97"/>
      <c r="N178" s="6"/>
    </row>
    <row r="179" spans="1:14" ht="15.75">
      <c r="A179" s="93"/>
      <c r="B179" s="83" t="s">
        <v>131</v>
      </c>
      <c r="C179" s="60"/>
      <c r="D179" s="60"/>
      <c r="E179" s="60"/>
      <c r="F179" s="60"/>
      <c r="G179" s="28"/>
      <c r="H179" s="28"/>
      <c r="I179" s="28"/>
      <c r="J179" s="94">
        <v>0</v>
      </c>
      <c r="K179" s="28"/>
      <c r="L179" s="88"/>
      <c r="M179" s="97"/>
      <c r="N179" s="6"/>
    </row>
    <row r="180" spans="1:14" ht="15.75">
      <c r="A180" s="93"/>
      <c r="B180" s="83" t="s">
        <v>132</v>
      </c>
      <c r="C180" s="60"/>
      <c r="D180" s="60"/>
      <c r="E180" s="60"/>
      <c r="F180" s="60"/>
      <c r="G180" s="28"/>
      <c r="H180" s="28"/>
      <c r="I180" s="28"/>
      <c r="J180" s="94">
        <v>0</v>
      </c>
      <c r="K180" s="28"/>
      <c r="L180" s="88"/>
      <c r="M180" s="97"/>
      <c r="N180" s="6"/>
    </row>
    <row r="181" spans="1:14" ht="15.75">
      <c r="A181" s="93"/>
      <c r="B181" s="83" t="s">
        <v>133</v>
      </c>
      <c r="C181" s="60"/>
      <c r="D181" s="60"/>
      <c r="E181" s="60"/>
      <c r="F181" s="60"/>
      <c r="G181" s="28"/>
      <c r="H181" s="28"/>
      <c r="I181" s="28"/>
      <c r="J181" s="94">
        <v>0</v>
      </c>
      <c r="K181" s="28"/>
      <c r="L181" s="88"/>
      <c r="M181" s="97"/>
      <c r="N181" s="6"/>
    </row>
    <row r="182" spans="1:14" ht="15.75">
      <c r="A182" s="96"/>
      <c r="B182" s="141" t="s">
        <v>134</v>
      </c>
      <c r="C182" s="60"/>
      <c r="D182" s="83"/>
      <c r="E182" s="83"/>
      <c r="F182" s="83"/>
      <c r="G182" s="28"/>
      <c r="H182" s="28"/>
      <c r="I182" s="28"/>
      <c r="J182" s="94"/>
      <c r="K182" s="28"/>
      <c r="L182" s="88"/>
      <c r="M182" s="97"/>
      <c r="N182" s="6"/>
    </row>
    <row r="183" spans="1:14" ht="15.75">
      <c r="A183" s="96"/>
      <c r="B183" s="83" t="s">
        <v>135</v>
      </c>
      <c r="C183" s="60"/>
      <c r="D183" s="83"/>
      <c r="E183" s="83"/>
      <c r="F183" s="83"/>
      <c r="G183" s="28"/>
      <c r="H183" s="28"/>
      <c r="I183" s="28"/>
      <c r="J183" s="94">
        <v>0</v>
      </c>
      <c r="K183" s="28"/>
      <c r="L183" s="88"/>
      <c r="M183" s="97"/>
      <c r="N183" s="6"/>
    </row>
    <row r="184" spans="1:14" ht="15.75">
      <c r="A184" s="93"/>
      <c r="B184" s="83" t="s">
        <v>136</v>
      </c>
      <c r="C184" s="60"/>
      <c r="D184" s="98"/>
      <c r="E184" s="98"/>
      <c r="F184" s="99"/>
      <c r="G184" s="28"/>
      <c r="H184" s="28"/>
      <c r="I184" s="28"/>
      <c r="J184" s="94">
        <v>0</v>
      </c>
      <c r="K184" s="28"/>
      <c r="L184" s="88"/>
      <c r="M184" s="97"/>
      <c r="N184" s="6"/>
    </row>
    <row r="185" spans="1:14" ht="15.75">
      <c r="A185" s="93"/>
      <c r="B185" s="83" t="s">
        <v>137</v>
      </c>
      <c r="C185" s="60"/>
      <c r="D185" s="98"/>
      <c r="E185" s="98"/>
      <c r="F185" s="99"/>
      <c r="G185" s="28"/>
      <c r="H185" s="28"/>
      <c r="I185" s="28"/>
      <c r="J185" s="94">
        <v>0</v>
      </c>
      <c r="K185" s="28"/>
      <c r="L185" s="88"/>
      <c r="M185" s="97"/>
      <c r="N185" s="6"/>
    </row>
    <row r="186" spans="1:14" ht="15.75">
      <c r="A186" s="93"/>
      <c r="B186" s="83" t="s">
        <v>138</v>
      </c>
      <c r="C186" s="60"/>
      <c r="D186" s="100"/>
      <c r="E186" s="98"/>
      <c r="F186" s="99"/>
      <c r="G186" s="28"/>
      <c r="H186" s="28"/>
      <c r="I186" s="28"/>
      <c r="J186" s="101">
        <v>0</v>
      </c>
      <c r="K186" s="28"/>
      <c r="L186" s="88"/>
      <c r="M186" s="97"/>
      <c r="N186" s="6"/>
    </row>
    <row r="187" spans="1:14" ht="15.75">
      <c r="A187" s="93"/>
      <c r="B187" s="83"/>
      <c r="C187" s="60"/>
      <c r="D187" s="100"/>
      <c r="E187" s="98"/>
      <c r="F187" s="99"/>
      <c r="G187" s="28"/>
      <c r="H187" s="28"/>
      <c r="I187" s="28"/>
      <c r="J187" s="101"/>
      <c r="K187" s="28"/>
      <c r="L187" s="88"/>
      <c r="M187" s="97"/>
      <c r="N187" s="6"/>
    </row>
    <row r="188" spans="1:14" ht="15.75">
      <c r="A188" s="7"/>
      <c r="B188" s="16" t="s">
        <v>139</v>
      </c>
      <c r="C188" s="19"/>
      <c r="D188" s="92"/>
      <c r="E188" s="19"/>
      <c r="F188" s="92"/>
      <c r="G188" s="19"/>
      <c r="H188" s="92" t="s">
        <v>175</v>
      </c>
      <c r="I188" s="19" t="s">
        <v>176</v>
      </c>
      <c r="J188" s="92" t="s">
        <v>186</v>
      </c>
      <c r="K188" s="19" t="s">
        <v>176</v>
      </c>
      <c r="L188" s="17"/>
      <c r="M188" s="102"/>
      <c r="N188" s="6"/>
    </row>
    <row r="189" spans="1:14" ht="15.75">
      <c r="A189" s="27"/>
      <c r="B189" s="60" t="s">
        <v>140</v>
      </c>
      <c r="C189" s="103"/>
      <c r="D189" s="60"/>
      <c r="E189" s="103"/>
      <c r="F189" s="28"/>
      <c r="G189" s="103"/>
      <c r="H189" s="60">
        <v>7372</v>
      </c>
      <c r="I189" s="105">
        <f>H189/H194</f>
        <v>0.991793353962061</v>
      </c>
      <c r="J189" s="59">
        <v>484464</v>
      </c>
      <c r="K189" s="143">
        <f>J189/J194</f>
        <v>0.9953362616952997</v>
      </c>
      <c r="L189" s="88"/>
      <c r="M189" s="97"/>
      <c r="N189" s="6"/>
    </row>
    <row r="190" spans="1:14" ht="15.75">
      <c r="A190" s="27"/>
      <c r="B190" s="60" t="s">
        <v>141</v>
      </c>
      <c r="C190" s="103"/>
      <c r="D190" s="60"/>
      <c r="E190" s="103"/>
      <c r="F190" s="28"/>
      <c r="G190" s="105"/>
      <c r="H190" s="60">
        <v>25</v>
      </c>
      <c r="I190" s="105">
        <f>H190/H194</f>
        <v>0.0033633795237454594</v>
      </c>
      <c r="J190" s="59">
        <v>1081</v>
      </c>
      <c r="K190" s="143">
        <f>J190/J194</f>
        <v>0.002220925597965213</v>
      </c>
      <c r="L190" s="88"/>
      <c r="M190" s="97"/>
      <c r="N190" s="6"/>
    </row>
    <row r="191" spans="1:14" ht="15.75">
      <c r="A191" s="27"/>
      <c r="B191" s="60" t="s">
        <v>142</v>
      </c>
      <c r="C191" s="103"/>
      <c r="D191" s="60"/>
      <c r="E191" s="103"/>
      <c r="F191" s="28"/>
      <c r="G191" s="105"/>
      <c r="H191" s="60">
        <v>9</v>
      </c>
      <c r="I191" s="105">
        <f>H191/H194</f>
        <v>0.0012108166285483655</v>
      </c>
      <c r="J191" s="59">
        <v>339</v>
      </c>
      <c r="K191" s="143">
        <f>J191/J194</f>
        <v>0.0006964789803054646</v>
      </c>
      <c r="L191" s="88"/>
      <c r="M191" s="97"/>
      <c r="N191" s="6"/>
    </row>
    <row r="192" spans="1:14" ht="15.75">
      <c r="A192" s="27"/>
      <c r="B192" s="60" t="s">
        <v>143</v>
      </c>
      <c r="C192" s="103"/>
      <c r="D192" s="60"/>
      <c r="E192" s="103"/>
      <c r="F192" s="28"/>
      <c r="G192" s="105"/>
      <c r="H192" s="60">
        <f>11+6+4+6</f>
        <v>27</v>
      </c>
      <c r="I192" s="105">
        <f>H192/H194</f>
        <v>0.003632449885645096</v>
      </c>
      <c r="J192" s="59">
        <f>391+149+128+182</f>
        <v>850</v>
      </c>
      <c r="K192" s="143">
        <f>J192/$J194</f>
        <v>0.001746333726429631</v>
      </c>
      <c r="L192" s="88"/>
      <c r="M192" s="97"/>
      <c r="N192" s="6"/>
    </row>
    <row r="193" spans="1:14" ht="15.75">
      <c r="A193" s="27"/>
      <c r="B193" s="60"/>
      <c r="C193" s="106"/>
      <c r="D193" s="95"/>
      <c r="E193" s="106"/>
      <c r="F193" s="28"/>
      <c r="G193" s="106"/>
      <c r="H193" s="95"/>
      <c r="I193" s="106"/>
      <c r="J193" s="59"/>
      <c r="K193" s="104"/>
      <c r="L193" s="88"/>
      <c r="M193" s="97"/>
      <c r="N193" s="6"/>
    </row>
    <row r="194" spans="1:14" ht="15.75">
      <c r="A194" s="27"/>
      <c r="B194" s="28"/>
      <c r="C194" s="28"/>
      <c r="D194" s="28"/>
      <c r="E194" s="28"/>
      <c r="F194" s="28"/>
      <c r="G194" s="28"/>
      <c r="H194" s="38">
        <f>SUM(H189:H192)</f>
        <v>7433</v>
      </c>
      <c r="I194" s="107">
        <f>SUM(I189:I193)</f>
        <v>1</v>
      </c>
      <c r="J194" s="59">
        <f>SUM(J189:J193)</f>
        <v>486734</v>
      </c>
      <c r="K194" s="107">
        <f>SUM(K189:K193)</f>
        <v>0.9999999999999999</v>
      </c>
      <c r="L194" s="28"/>
      <c r="M194" s="28"/>
      <c r="N194" s="6"/>
    </row>
    <row r="195" spans="1:14" ht="15.75">
      <c r="A195" s="27"/>
      <c r="B195" s="28"/>
      <c r="C195" s="28"/>
      <c r="D195" s="28"/>
      <c r="E195" s="28"/>
      <c r="F195" s="28"/>
      <c r="G195" s="28"/>
      <c r="H195" s="38"/>
      <c r="I195" s="107"/>
      <c r="J195" s="59"/>
      <c r="K195" s="107"/>
      <c r="L195" s="28"/>
      <c r="M195" s="28"/>
      <c r="N195" s="6"/>
    </row>
    <row r="196" spans="1:14" ht="15.75">
      <c r="A196" s="7"/>
      <c r="B196" s="9"/>
      <c r="C196" s="9"/>
      <c r="D196" s="9"/>
      <c r="E196" s="9"/>
      <c r="F196" s="9"/>
      <c r="G196" s="9"/>
      <c r="H196" s="61"/>
      <c r="I196" s="108"/>
      <c r="J196" s="109"/>
      <c r="K196" s="108"/>
      <c r="L196" s="9"/>
      <c r="M196" s="9"/>
      <c r="N196" s="6"/>
    </row>
    <row r="197" spans="1:14" ht="15.75">
      <c r="A197" s="110"/>
      <c r="B197" s="16" t="s">
        <v>144</v>
      </c>
      <c r="C197" s="111"/>
      <c r="D197" s="19" t="s">
        <v>152</v>
      </c>
      <c r="E197" s="17"/>
      <c r="F197" s="16" t="s">
        <v>164</v>
      </c>
      <c r="G197" s="112"/>
      <c r="H197" s="112"/>
      <c r="I197" s="112"/>
      <c r="J197" s="14"/>
      <c r="K197" s="14"/>
      <c r="L197" s="14"/>
      <c r="M197" s="14"/>
      <c r="N197" s="6"/>
    </row>
    <row r="198" spans="1:14" ht="15.75">
      <c r="A198" s="113"/>
      <c r="B198" s="14"/>
      <c r="C198" s="14"/>
      <c r="D198" s="9"/>
      <c r="E198" s="9"/>
      <c r="F198" s="9"/>
      <c r="G198" s="14"/>
      <c r="H198" s="14"/>
      <c r="I198" s="14"/>
      <c r="J198" s="14"/>
      <c r="K198" s="14"/>
      <c r="L198" s="14"/>
      <c r="M198" s="14"/>
      <c r="N198" s="6"/>
    </row>
    <row r="199" spans="1:14" ht="15.75">
      <c r="A199" s="113"/>
      <c r="B199" s="15" t="s">
        <v>145</v>
      </c>
      <c r="C199" s="114"/>
      <c r="D199" s="115" t="s">
        <v>153</v>
      </c>
      <c r="E199" s="15"/>
      <c r="F199" s="15" t="s">
        <v>165</v>
      </c>
      <c r="G199" s="114"/>
      <c r="H199" s="114"/>
      <c r="I199" s="14"/>
      <c r="J199" s="14"/>
      <c r="K199" s="14"/>
      <c r="L199" s="14"/>
      <c r="M199" s="14"/>
      <c r="N199" s="6"/>
    </row>
    <row r="200" spans="1:14" ht="15.75">
      <c r="A200" s="113"/>
      <c r="B200" s="15" t="s">
        <v>146</v>
      </c>
      <c r="C200" s="114"/>
      <c r="D200" s="115" t="s">
        <v>154</v>
      </c>
      <c r="E200" s="15"/>
      <c r="F200" s="15" t="s">
        <v>166</v>
      </c>
      <c r="G200" s="114"/>
      <c r="H200" s="114"/>
      <c r="I200" s="14"/>
      <c r="J200" s="14"/>
      <c r="K200" s="14"/>
      <c r="L200" s="14"/>
      <c r="M200" s="14"/>
      <c r="N200" s="6"/>
    </row>
    <row r="201" spans="1:14" ht="15.75">
      <c r="A201" s="113"/>
      <c r="B201" s="15"/>
      <c r="C201" s="114"/>
      <c r="D201" s="115"/>
      <c r="E201" s="15"/>
      <c r="F201" s="15"/>
      <c r="G201" s="114"/>
      <c r="H201" s="114"/>
      <c r="I201" s="14"/>
      <c r="J201" s="14"/>
      <c r="K201" s="14"/>
      <c r="L201" s="14"/>
      <c r="M201" s="14"/>
      <c r="N201" s="6"/>
    </row>
    <row r="202" spans="1:14" ht="15.75">
      <c r="A202" s="113"/>
      <c r="B202" s="15"/>
      <c r="C202" s="114"/>
      <c r="D202" s="115"/>
      <c r="E202" s="15"/>
      <c r="F202" s="15"/>
      <c r="G202" s="114"/>
      <c r="H202" s="114"/>
      <c r="I202" s="14"/>
      <c r="J202" s="14"/>
      <c r="K202" s="14"/>
      <c r="L202" s="14"/>
      <c r="M202" s="14"/>
      <c r="N202" s="6"/>
    </row>
    <row r="203" spans="1:14" ht="18.75">
      <c r="A203" s="113"/>
      <c r="B203" s="55" t="str">
        <f>B156</f>
        <v>PM4 INVESTOR REPORT QUARTER ENDING JUNE 2002</v>
      </c>
      <c r="C203" s="114"/>
      <c r="D203" s="115"/>
      <c r="E203" s="15"/>
      <c r="F203" s="15"/>
      <c r="G203" s="114"/>
      <c r="H203" s="114"/>
      <c r="I203" s="14"/>
      <c r="J203" s="14"/>
      <c r="K203" s="14"/>
      <c r="L203" s="14"/>
      <c r="M203" s="14"/>
      <c r="N203" s="6"/>
    </row>
    <row r="204" spans="1:13" ht="15">
      <c r="A204" s="116"/>
      <c r="B204" s="116"/>
      <c r="C204" s="116"/>
      <c r="D204" s="116"/>
      <c r="E204" s="116"/>
      <c r="F204" s="116"/>
      <c r="G204" s="116"/>
      <c r="H204" s="116"/>
      <c r="I204" s="116"/>
      <c r="J204" s="116"/>
      <c r="K204" s="116"/>
      <c r="L204" s="116"/>
      <c r="M204" s="116"/>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3" max="255" man="1"/>
    <brk id="106" max="255" man="1"/>
    <brk id="156" max="255" man="1"/>
  </rowBreaks>
  <drawing r:id="rId1"/>
</worksheet>
</file>

<file path=xl/worksheets/sheet10.xml><?xml version="1.0" encoding="utf-8"?>
<worksheet xmlns="http://schemas.openxmlformats.org/spreadsheetml/2006/main" xmlns:r="http://schemas.openxmlformats.org/officeDocument/2006/relationships">
  <dimension ref="A1:N205"/>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0.7773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25"/>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189</v>
      </c>
      <c r="M14" s="17"/>
      <c r="N14" s="6"/>
    </row>
    <row r="15" spans="1:14" ht="15.75">
      <c r="A15" s="7"/>
      <c r="B15" s="16" t="s">
        <v>8</v>
      </c>
      <c r="C15" s="16"/>
      <c r="D15" s="17"/>
      <c r="E15" s="17"/>
      <c r="F15" s="17"/>
      <c r="G15" s="17"/>
      <c r="H15" s="19"/>
      <c r="I15" s="20"/>
      <c r="J15" s="19" t="s">
        <v>177</v>
      </c>
      <c r="K15" s="20">
        <v>1</v>
      </c>
      <c r="L15" s="18"/>
      <c r="M15" s="17"/>
      <c r="N15" s="6"/>
    </row>
    <row r="16" spans="1:14" ht="15.75">
      <c r="A16" s="7"/>
      <c r="B16" s="16" t="s">
        <v>9</v>
      </c>
      <c r="C16" s="16"/>
      <c r="D16" s="17"/>
      <c r="E16" s="17"/>
      <c r="F16" s="17"/>
      <c r="G16" s="17"/>
      <c r="H16" s="19"/>
      <c r="I16" s="20"/>
      <c r="J16" s="19" t="s">
        <v>177</v>
      </c>
      <c r="K16" s="20">
        <v>1</v>
      </c>
      <c r="L16" s="18"/>
      <c r="M16" s="17"/>
      <c r="N16" s="6"/>
    </row>
    <row r="17" spans="1:14" ht="15.75">
      <c r="A17" s="7"/>
      <c r="B17" s="16" t="s">
        <v>10</v>
      </c>
      <c r="C17" s="16"/>
      <c r="D17" s="17"/>
      <c r="E17" s="17"/>
      <c r="F17" s="17"/>
      <c r="G17" s="17"/>
      <c r="H17" s="17"/>
      <c r="I17" s="17"/>
      <c r="J17" s="17"/>
      <c r="K17" s="17"/>
      <c r="L17" s="21">
        <v>37342</v>
      </c>
      <c r="M17" s="17"/>
      <c r="N17" s="6"/>
    </row>
    <row r="18" spans="1:14" ht="15.75">
      <c r="A18" s="7"/>
      <c r="B18" s="16" t="s">
        <v>11</v>
      </c>
      <c r="C18" s="16"/>
      <c r="D18" s="17"/>
      <c r="E18" s="17"/>
      <c r="F18" s="17"/>
      <c r="G18" s="17"/>
      <c r="H18" s="17"/>
      <c r="I18" s="17"/>
      <c r="J18" s="17"/>
      <c r="K18" s="17"/>
      <c r="L18" s="21">
        <v>38278</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178</v>
      </c>
      <c r="K20" s="9"/>
      <c r="L20" s="125"/>
      <c r="M20" s="9"/>
      <c r="N20" s="6"/>
    </row>
    <row r="21" spans="1:14" ht="15.75">
      <c r="A21" s="7"/>
      <c r="B21" s="9"/>
      <c r="C21" s="9"/>
      <c r="D21" s="9"/>
      <c r="E21" s="9"/>
      <c r="F21" s="9"/>
      <c r="G21" s="9"/>
      <c r="H21" s="9"/>
      <c r="I21" s="9"/>
      <c r="J21" s="9"/>
      <c r="K21" s="9"/>
      <c r="L21" s="24"/>
      <c r="M21" s="9"/>
      <c r="N21" s="6"/>
    </row>
    <row r="22" spans="1:14" ht="15.75">
      <c r="A22" s="7"/>
      <c r="B22" s="9"/>
      <c r="C22" s="132" t="s">
        <v>147</v>
      </c>
      <c r="D22" s="25"/>
      <c r="E22" s="25"/>
      <c r="F22" s="133" t="s">
        <v>155</v>
      </c>
      <c r="G22" s="133"/>
      <c r="H22" s="133" t="s">
        <v>167</v>
      </c>
      <c r="I22" s="26"/>
      <c r="J22" s="25"/>
      <c r="K22" s="125"/>
      <c r="L22" s="125"/>
      <c r="M22" s="9"/>
      <c r="N22" s="6"/>
    </row>
    <row r="23" spans="1:14" ht="15.75">
      <c r="A23" s="7"/>
      <c r="B23" s="9" t="s">
        <v>13</v>
      </c>
      <c r="C23" s="132" t="s">
        <v>148</v>
      </c>
      <c r="D23" s="25"/>
      <c r="E23" s="25"/>
      <c r="F23" s="25" t="s">
        <v>156</v>
      </c>
      <c r="G23" s="25"/>
      <c r="H23" s="25" t="s">
        <v>168</v>
      </c>
      <c r="I23" s="25"/>
      <c r="J23" s="25"/>
      <c r="K23" s="125"/>
      <c r="L23" s="125"/>
      <c r="M23" s="9"/>
      <c r="N23" s="6"/>
    </row>
    <row r="24" spans="1:14" ht="15.75">
      <c r="A24" s="27"/>
      <c r="B24" s="28" t="s">
        <v>14</v>
      </c>
      <c r="C24" s="29"/>
      <c r="D24" s="30"/>
      <c r="E24" s="30"/>
      <c r="F24" s="30" t="s">
        <v>157</v>
      </c>
      <c r="G24" s="30"/>
      <c r="H24" s="30" t="s">
        <v>169</v>
      </c>
      <c r="I24" s="30"/>
      <c r="J24" s="30"/>
      <c r="K24" s="126"/>
      <c r="L24" s="126"/>
      <c r="M24" s="28"/>
      <c r="N24" s="6"/>
    </row>
    <row r="25" spans="1:14" ht="15.75">
      <c r="A25" s="27"/>
      <c r="B25" s="28" t="s">
        <v>15</v>
      </c>
      <c r="C25" s="29"/>
      <c r="D25" s="30"/>
      <c r="E25" s="30"/>
      <c r="F25" s="30" t="s">
        <v>157</v>
      </c>
      <c r="G25" s="30"/>
      <c r="H25" s="30" t="s">
        <v>169</v>
      </c>
      <c r="I25" s="30"/>
      <c r="J25" s="30"/>
      <c r="K25" s="126"/>
      <c r="L25" s="126"/>
      <c r="M25" s="28"/>
      <c r="N25" s="6"/>
    </row>
    <row r="26" spans="1:14" ht="15.75">
      <c r="A26" s="32"/>
      <c r="B26" s="33" t="s">
        <v>16</v>
      </c>
      <c r="C26" s="33"/>
      <c r="D26" s="34"/>
      <c r="E26" s="34"/>
      <c r="F26" s="34" t="s">
        <v>156</v>
      </c>
      <c r="G26" s="34"/>
      <c r="H26" s="34" t="s">
        <v>168</v>
      </c>
      <c r="I26" s="34"/>
      <c r="J26" s="30"/>
      <c r="K26" s="126"/>
      <c r="L26" s="126"/>
      <c r="M26" s="28"/>
      <c r="N26" s="6"/>
    </row>
    <row r="27" spans="1:14" ht="15.75">
      <c r="A27" s="32"/>
      <c r="B27" s="33" t="s">
        <v>17</v>
      </c>
      <c r="C27" s="33"/>
      <c r="D27" s="34"/>
      <c r="E27" s="34"/>
      <c r="F27" s="34" t="s">
        <v>157</v>
      </c>
      <c r="G27" s="34"/>
      <c r="H27" s="34" t="s">
        <v>207</v>
      </c>
      <c r="I27" s="34"/>
      <c r="J27" s="30"/>
      <c r="K27" s="126"/>
      <c r="L27" s="126"/>
      <c r="M27" s="28"/>
      <c r="N27" s="6"/>
    </row>
    <row r="28" spans="1:14" ht="15.75">
      <c r="A28" s="32"/>
      <c r="B28" s="33" t="s">
        <v>18</v>
      </c>
      <c r="C28" s="33"/>
      <c r="D28" s="34"/>
      <c r="E28" s="34"/>
      <c r="F28" s="34" t="s">
        <v>157</v>
      </c>
      <c r="G28" s="34"/>
      <c r="H28" s="34" t="s">
        <v>169</v>
      </c>
      <c r="I28" s="34"/>
      <c r="J28" s="30"/>
      <c r="K28" s="126"/>
      <c r="L28" s="126"/>
      <c r="M28" s="28"/>
      <c r="N28" s="6"/>
    </row>
    <row r="29" spans="1:14" ht="15.75">
      <c r="A29" s="27"/>
      <c r="B29" s="28" t="s">
        <v>19</v>
      </c>
      <c r="C29" s="28"/>
      <c r="D29" s="29"/>
      <c r="E29" s="30"/>
      <c r="F29" s="29" t="s">
        <v>158</v>
      </c>
      <c r="G29" s="30"/>
      <c r="H29" s="29" t="s">
        <v>170</v>
      </c>
      <c r="I29" s="30"/>
      <c r="J29" s="29"/>
      <c r="K29" s="126"/>
      <c r="L29" s="126"/>
      <c r="M29" s="28"/>
      <c r="N29" s="6"/>
    </row>
    <row r="30" spans="1:14" ht="15.75">
      <c r="A30" s="27"/>
      <c r="B30" s="28"/>
      <c r="C30" s="28"/>
      <c r="D30" s="28"/>
      <c r="E30" s="30"/>
      <c r="F30" s="30"/>
      <c r="G30" s="30"/>
      <c r="H30" s="30"/>
      <c r="I30" s="30"/>
      <c r="J30" s="30"/>
      <c r="K30" s="126"/>
      <c r="L30" s="126"/>
      <c r="M30" s="28"/>
      <c r="N30" s="6"/>
    </row>
    <row r="31" spans="1:14" ht="15.75">
      <c r="A31" s="27"/>
      <c r="B31" s="28" t="s">
        <v>20</v>
      </c>
      <c r="C31" s="28"/>
      <c r="D31" s="35"/>
      <c r="E31" s="36"/>
      <c r="F31" s="35">
        <v>457500</v>
      </c>
      <c r="G31" s="35"/>
      <c r="H31" s="35">
        <v>42500</v>
      </c>
      <c r="I31" s="35"/>
      <c r="J31" s="35"/>
      <c r="K31" s="127"/>
      <c r="L31" s="35">
        <f>H31+F31</f>
        <v>500000</v>
      </c>
      <c r="M31" s="38"/>
      <c r="N31" s="6"/>
    </row>
    <row r="32" spans="1:14" ht="15.75">
      <c r="A32" s="27"/>
      <c r="B32" s="28" t="s">
        <v>21</v>
      </c>
      <c r="C32" s="39">
        <v>0.750274</v>
      </c>
      <c r="D32" s="35"/>
      <c r="E32" s="36"/>
      <c r="F32" s="35">
        <f>F31*C32</f>
        <v>343250.355</v>
      </c>
      <c r="G32" s="35"/>
      <c r="H32" s="35">
        <v>42500</v>
      </c>
      <c r="I32" s="35"/>
      <c r="J32" s="35"/>
      <c r="K32" s="127"/>
      <c r="L32" s="35">
        <f>H32+F32</f>
        <v>385750.355</v>
      </c>
      <c r="M32" s="38"/>
      <c r="N32" s="6"/>
    </row>
    <row r="33" spans="1:14" ht="12.75" customHeight="1">
      <c r="A33" s="32"/>
      <c r="B33" s="33" t="s">
        <v>22</v>
      </c>
      <c r="C33" s="40">
        <v>0.717234</v>
      </c>
      <c r="D33" s="41"/>
      <c r="E33" s="42"/>
      <c r="F33" s="41">
        <f>F31*C33</f>
        <v>328134.555</v>
      </c>
      <c r="G33" s="41"/>
      <c r="H33" s="41">
        <f>H31</f>
        <v>42500</v>
      </c>
      <c r="I33" s="41"/>
      <c r="J33" s="41"/>
      <c r="K33" s="43"/>
      <c r="L33" s="41">
        <f>H33+F33+D33</f>
        <v>370634.555</v>
      </c>
      <c r="M33" s="38"/>
      <c r="N33" s="6"/>
    </row>
    <row r="34" spans="1:14" ht="15.75">
      <c r="A34" s="27"/>
      <c r="B34" s="28" t="s">
        <v>23</v>
      </c>
      <c r="C34" s="44"/>
      <c r="D34" s="29"/>
      <c r="E34" s="28"/>
      <c r="F34" s="29" t="s">
        <v>159</v>
      </c>
      <c r="G34" s="29"/>
      <c r="H34" s="29" t="s">
        <v>171</v>
      </c>
      <c r="I34" s="29"/>
      <c r="J34" s="29"/>
      <c r="K34" s="126"/>
      <c r="L34" s="126"/>
      <c r="M34" s="28"/>
      <c r="N34" s="6"/>
    </row>
    <row r="35" spans="1:14" ht="15.75">
      <c r="A35" s="27"/>
      <c r="B35" s="28" t="s">
        <v>24</v>
      </c>
      <c r="C35" s="28"/>
      <c r="D35" s="45"/>
      <c r="E35" s="28"/>
      <c r="F35" s="45">
        <v>0.0509</v>
      </c>
      <c r="G35" s="46"/>
      <c r="H35" s="45">
        <v>0.0568</v>
      </c>
      <c r="I35" s="46"/>
      <c r="J35" s="45"/>
      <c r="K35" s="126"/>
      <c r="L35" s="46">
        <f>SUMPRODUCT(F35:H35,F32:H32)/L32</f>
        <v>0.05155003180619238</v>
      </c>
      <c r="M35" s="28"/>
      <c r="N35" s="6"/>
    </row>
    <row r="36" spans="1:14" ht="15.75">
      <c r="A36" s="27"/>
      <c r="B36" s="28" t="s">
        <v>25</v>
      </c>
      <c r="C36" s="28"/>
      <c r="D36" s="45"/>
      <c r="E36" s="28"/>
      <c r="F36" s="45">
        <v>0.0466125</v>
      </c>
      <c r="G36" s="46"/>
      <c r="H36" s="45">
        <v>0.0525125</v>
      </c>
      <c r="I36" s="46"/>
      <c r="J36" s="45"/>
      <c r="K36" s="126"/>
      <c r="L36" s="126"/>
      <c r="M36" s="28"/>
      <c r="N36" s="6"/>
    </row>
    <row r="37" spans="1:14" ht="15.75">
      <c r="A37" s="27"/>
      <c r="B37" s="28" t="s">
        <v>26</v>
      </c>
      <c r="C37" s="28"/>
      <c r="D37" s="29"/>
      <c r="E37" s="28"/>
      <c r="F37" s="29" t="s">
        <v>160</v>
      </c>
      <c r="G37" s="29"/>
      <c r="H37" s="29" t="s">
        <v>160</v>
      </c>
      <c r="I37" s="29"/>
      <c r="J37" s="29"/>
      <c r="K37" s="126"/>
      <c r="L37" s="126"/>
      <c r="M37" s="28"/>
      <c r="N37" s="6"/>
    </row>
    <row r="38" spans="1:14" ht="15.75">
      <c r="A38" s="27"/>
      <c r="B38" s="28" t="s">
        <v>27</v>
      </c>
      <c r="C38" s="28"/>
      <c r="D38" s="29"/>
      <c r="E38" s="28"/>
      <c r="F38" s="29" t="s">
        <v>161</v>
      </c>
      <c r="G38" s="29"/>
      <c r="H38" s="29" t="s">
        <v>161</v>
      </c>
      <c r="I38" s="29"/>
      <c r="J38" s="29"/>
      <c r="K38" s="126"/>
      <c r="L38" s="126"/>
      <c r="M38" s="28"/>
      <c r="N38" s="6"/>
    </row>
    <row r="39" spans="1:14" ht="15.75">
      <c r="A39" s="27"/>
      <c r="B39" s="28" t="s">
        <v>28</v>
      </c>
      <c r="C39" s="28"/>
      <c r="D39" s="29"/>
      <c r="E39" s="28"/>
      <c r="F39" s="29" t="s">
        <v>162</v>
      </c>
      <c r="G39" s="29"/>
      <c r="H39" s="29" t="s">
        <v>172</v>
      </c>
      <c r="I39" s="29"/>
      <c r="J39" s="29"/>
      <c r="K39" s="126"/>
      <c r="L39" s="126"/>
      <c r="M39" s="28"/>
      <c r="N39" s="6"/>
    </row>
    <row r="40" spans="1:14" ht="15.75">
      <c r="A40" s="27"/>
      <c r="B40" s="28"/>
      <c r="C40" s="28"/>
      <c r="D40" s="47"/>
      <c r="E40" s="47"/>
      <c r="F40" s="28"/>
      <c r="G40" s="47"/>
      <c r="H40" s="130"/>
      <c r="I40" s="47"/>
      <c r="J40" s="47"/>
      <c r="K40" s="47"/>
      <c r="L40" s="47"/>
      <c r="M40" s="28"/>
      <c r="N40" s="6"/>
    </row>
    <row r="41" spans="1:14" ht="15.75">
      <c r="A41" s="27"/>
      <c r="B41" s="28" t="s">
        <v>29</v>
      </c>
      <c r="C41" s="28"/>
      <c r="D41" s="28"/>
      <c r="E41" s="28"/>
      <c r="F41" s="28"/>
      <c r="G41" s="28"/>
      <c r="H41" s="117"/>
      <c r="I41" s="28"/>
      <c r="J41" s="28"/>
      <c r="K41" s="28"/>
      <c r="L41" s="46">
        <f>H31/F31</f>
        <v>0.09289617486338798</v>
      </c>
      <c r="M41" s="28"/>
      <c r="N41" s="6"/>
    </row>
    <row r="42" spans="1:14" ht="15.75">
      <c r="A42" s="27"/>
      <c r="B42" s="28" t="s">
        <v>30</v>
      </c>
      <c r="C42" s="28"/>
      <c r="D42" s="28"/>
      <c r="E42" s="28"/>
      <c r="F42" s="28"/>
      <c r="G42" s="28"/>
      <c r="H42" s="117"/>
      <c r="I42" s="28"/>
      <c r="J42" s="28"/>
      <c r="K42" s="28"/>
      <c r="L42" s="46">
        <f>H33/F33</f>
        <v>0.12952003790030586</v>
      </c>
      <c r="M42" s="28"/>
      <c r="N42" s="6"/>
    </row>
    <row r="43" spans="1:14" ht="15.75">
      <c r="A43" s="27"/>
      <c r="B43" s="28" t="s">
        <v>31</v>
      </c>
      <c r="C43" s="28"/>
      <c r="D43" s="28"/>
      <c r="E43" s="28"/>
      <c r="F43" s="117"/>
      <c r="G43" s="28"/>
      <c r="H43" s="117"/>
      <c r="I43" s="28"/>
      <c r="J43" s="29" t="s">
        <v>155</v>
      </c>
      <c r="K43" s="29" t="s">
        <v>187</v>
      </c>
      <c r="L43" s="35">
        <v>207500</v>
      </c>
      <c r="M43" s="28"/>
      <c r="N43" s="6"/>
    </row>
    <row r="44" spans="1:14" ht="15.75">
      <c r="A44" s="27"/>
      <c r="B44" s="28"/>
      <c r="C44" s="28"/>
      <c r="D44" s="28"/>
      <c r="E44" s="28"/>
      <c r="F44" s="28"/>
      <c r="G44" s="28"/>
      <c r="H44" s="28"/>
      <c r="I44" s="28"/>
      <c r="J44" s="28" t="s">
        <v>179</v>
      </c>
      <c r="K44" s="28"/>
      <c r="L44" s="48"/>
      <c r="M44" s="28"/>
      <c r="N44" s="6"/>
    </row>
    <row r="45" spans="1:14" ht="15.75">
      <c r="A45" s="27"/>
      <c r="B45" s="28" t="s">
        <v>32</v>
      </c>
      <c r="C45" s="28"/>
      <c r="D45" s="28"/>
      <c r="E45" s="28"/>
      <c r="F45" s="28"/>
      <c r="G45" s="28"/>
      <c r="H45" s="28"/>
      <c r="I45" s="28"/>
      <c r="J45" s="29"/>
      <c r="K45" s="29"/>
      <c r="L45" s="29" t="s">
        <v>190</v>
      </c>
      <c r="M45" s="28"/>
      <c r="N45" s="6"/>
    </row>
    <row r="46" spans="1:14" ht="15.75">
      <c r="A46" s="32"/>
      <c r="B46" s="33" t="s">
        <v>33</v>
      </c>
      <c r="C46" s="33"/>
      <c r="D46" s="33"/>
      <c r="E46" s="33"/>
      <c r="F46" s="33"/>
      <c r="G46" s="33"/>
      <c r="H46" s="33"/>
      <c r="I46" s="33"/>
      <c r="J46" s="49"/>
      <c r="K46" s="49"/>
      <c r="L46" s="50">
        <v>38267</v>
      </c>
      <c r="M46" s="28"/>
      <c r="N46" s="6"/>
    </row>
    <row r="47" spans="1:14" ht="15.75">
      <c r="A47" s="27"/>
      <c r="B47" s="28" t="s">
        <v>34</v>
      </c>
      <c r="C47" s="28"/>
      <c r="D47" s="28"/>
      <c r="E47" s="28"/>
      <c r="F47" s="28"/>
      <c r="G47" s="28"/>
      <c r="H47" s="28"/>
      <c r="I47" s="28">
        <f>L47-J47+1</f>
        <v>91</v>
      </c>
      <c r="J47" s="51">
        <v>38084</v>
      </c>
      <c r="K47" s="52"/>
      <c r="L47" s="51">
        <v>38174</v>
      </c>
      <c r="M47" s="28"/>
      <c r="N47" s="6"/>
    </row>
    <row r="48" spans="1:14" ht="15.75">
      <c r="A48" s="27"/>
      <c r="B48" s="28" t="s">
        <v>35</v>
      </c>
      <c r="C48" s="28"/>
      <c r="D48" s="28"/>
      <c r="E48" s="28"/>
      <c r="F48" s="28"/>
      <c r="G48" s="28"/>
      <c r="H48" s="28"/>
      <c r="I48" s="28">
        <f>L48-J48+1</f>
        <v>92</v>
      </c>
      <c r="J48" s="51">
        <v>38175</v>
      </c>
      <c r="K48" s="52"/>
      <c r="L48" s="51">
        <v>38266</v>
      </c>
      <c r="M48" s="28"/>
      <c r="N48" s="6"/>
    </row>
    <row r="49" spans="1:14" ht="15.75">
      <c r="A49" s="27"/>
      <c r="B49" s="28" t="s">
        <v>36</v>
      </c>
      <c r="C49" s="28"/>
      <c r="D49" s="28"/>
      <c r="E49" s="28"/>
      <c r="F49" s="28"/>
      <c r="G49" s="28"/>
      <c r="H49" s="28"/>
      <c r="I49" s="28"/>
      <c r="J49" s="51"/>
      <c r="K49" s="52"/>
      <c r="L49" s="51" t="s">
        <v>203</v>
      </c>
      <c r="M49" s="28"/>
      <c r="N49" s="6"/>
    </row>
    <row r="50" spans="1:14" ht="15.75">
      <c r="A50" s="27"/>
      <c r="B50" s="28" t="s">
        <v>37</v>
      </c>
      <c r="C50" s="28"/>
      <c r="D50" s="28"/>
      <c r="E50" s="28"/>
      <c r="F50" s="28"/>
      <c r="G50" s="28"/>
      <c r="H50" s="28"/>
      <c r="I50" s="28"/>
      <c r="J50" s="51"/>
      <c r="K50" s="52"/>
      <c r="L50" s="51">
        <v>38264</v>
      </c>
      <c r="M50" s="28"/>
      <c r="N50" s="6"/>
    </row>
    <row r="51" spans="1:14" ht="15.75">
      <c r="A51" s="27"/>
      <c r="B51" s="28"/>
      <c r="C51" s="28"/>
      <c r="D51" s="28"/>
      <c r="E51" s="28"/>
      <c r="F51" s="28"/>
      <c r="G51" s="28"/>
      <c r="H51" s="28"/>
      <c r="I51" s="28"/>
      <c r="J51" s="51"/>
      <c r="K51" s="52"/>
      <c r="L51" s="51"/>
      <c r="M51" s="28"/>
      <c r="N51" s="6"/>
    </row>
    <row r="52" spans="1:14" ht="15.75">
      <c r="A52" s="7"/>
      <c r="B52" s="9"/>
      <c r="C52" s="9"/>
      <c r="D52" s="9"/>
      <c r="E52" s="9"/>
      <c r="F52" s="9"/>
      <c r="G52" s="9"/>
      <c r="H52" s="9"/>
      <c r="I52" s="9"/>
      <c r="J52" s="53"/>
      <c r="K52" s="54"/>
      <c r="L52" s="53"/>
      <c r="M52" s="9"/>
      <c r="N52" s="6"/>
    </row>
    <row r="53" spans="1:14" ht="19.5" thickBot="1">
      <c r="A53" s="118"/>
      <c r="B53" s="119" t="s">
        <v>208</v>
      </c>
      <c r="C53" s="120"/>
      <c r="D53" s="120"/>
      <c r="E53" s="120"/>
      <c r="F53" s="120"/>
      <c r="G53" s="120"/>
      <c r="H53" s="120"/>
      <c r="I53" s="120"/>
      <c r="J53" s="121"/>
      <c r="K53" s="122"/>
      <c r="L53" s="121"/>
      <c r="M53" s="123"/>
      <c r="N53" s="6"/>
    </row>
    <row r="54" spans="1:14" ht="15.75">
      <c r="A54" s="2"/>
      <c r="B54" s="5"/>
      <c r="C54" s="5"/>
      <c r="D54" s="5"/>
      <c r="E54" s="5"/>
      <c r="F54" s="5"/>
      <c r="G54" s="5"/>
      <c r="H54" s="5"/>
      <c r="I54" s="5"/>
      <c r="J54" s="5"/>
      <c r="K54" s="5"/>
      <c r="L54" s="56"/>
      <c r="M54" s="5"/>
      <c r="N54" s="6"/>
    </row>
    <row r="55" spans="1:14" ht="15.75">
      <c r="A55" s="7"/>
      <c r="B55" s="57" t="s">
        <v>39</v>
      </c>
      <c r="C55" s="15"/>
      <c r="D55" s="9"/>
      <c r="E55" s="9"/>
      <c r="F55" s="9"/>
      <c r="G55" s="9"/>
      <c r="H55" s="9"/>
      <c r="I55" s="9"/>
      <c r="J55" s="9"/>
      <c r="K55" s="9"/>
      <c r="L55" s="58"/>
      <c r="M55" s="9"/>
      <c r="N55" s="6"/>
    </row>
    <row r="56" spans="1:14" ht="15.75">
      <c r="A56" s="7"/>
      <c r="B56" s="15"/>
      <c r="C56" s="15"/>
      <c r="D56" s="9"/>
      <c r="E56" s="9"/>
      <c r="F56" s="9"/>
      <c r="G56" s="9"/>
      <c r="H56" s="9"/>
      <c r="I56" s="9"/>
      <c r="J56" s="9"/>
      <c r="K56" s="9"/>
      <c r="L56" s="58"/>
      <c r="M56" s="9"/>
      <c r="N56" s="6"/>
    </row>
    <row r="57" spans="1:14" ht="63">
      <c r="A57" s="7"/>
      <c r="B57" s="134" t="s">
        <v>40</v>
      </c>
      <c r="C57" s="135" t="s">
        <v>149</v>
      </c>
      <c r="D57" s="135" t="s">
        <v>151</v>
      </c>
      <c r="E57" s="135"/>
      <c r="F57" s="135" t="s">
        <v>163</v>
      </c>
      <c r="G57" s="135"/>
      <c r="H57" s="135" t="s">
        <v>173</v>
      </c>
      <c r="I57" s="135"/>
      <c r="J57" s="135" t="s">
        <v>180</v>
      </c>
      <c r="K57" s="135"/>
      <c r="L57" s="136" t="s">
        <v>192</v>
      </c>
      <c r="M57" s="9"/>
      <c r="N57" s="6"/>
    </row>
    <row r="58" spans="1:14" ht="15.75">
      <c r="A58" s="27"/>
      <c r="B58" s="28" t="s">
        <v>41</v>
      </c>
      <c r="C58" s="38">
        <v>421950</v>
      </c>
      <c r="D58" s="38">
        <v>385750</v>
      </c>
      <c r="E58" s="38"/>
      <c r="F58" s="38">
        <f>15115+14+6+6062</f>
        <v>21197</v>
      </c>
      <c r="G58" s="38"/>
      <c r="H58" s="38">
        <f>14+6+6062</f>
        <v>6082</v>
      </c>
      <c r="I58" s="38"/>
      <c r="J58" s="38">
        <v>0</v>
      </c>
      <c r="K58" s="38"/>
      <c r="L58" s="59">
        <f>D58-F58+H58-J58</f>
        <v>370635</v>
      </c>
      <c r="M58" s="28"/>
      <c r="N58" s="6"/>
    </row>
    <row r="59" spans="1:14" ht="15.75">
      <c r="A59" s="27"/>
      <c r="B59" s="28" t="s">
        <v>42</v>
      </c>
      <c r="C59" s="38">
        <v>54</v>
      </c>
      <c r="D59" s="38">
        <v>0</v>
      </c>
      <c r="E59" s="38"/>
      <c r="F59" s="38">
        <v>0</v>
      </c>
      <c r="G59" s="38"/>
      <c r="H59" s="38">
        <v>0</v>
      </c>
      <c r="I59" s="38"/>
      <c r="J59" s="38">
        <v>0</v>
      </c>
      <c r="K59" s="38"/>
      <c r="L59" s="59">
        <f>D59-F59+H59-J59</f>
        <v>0</v>
      </c>
      <c r="M59" s="28"/>
      <c r="N59" s="6"/>
    </row>
    <row r="60" spans="1:14" ht="15.75">
      <c r="A60" s="27"/>
      <c r="B60" s="28"/>
      <c r="C60" s="38"/>
      <c r="D60" s="38"/>
      <c r="E60" s="38"/>
      <c r="F60" s="38"/>
      <c r="G60" s="38"/>
      <c r="H60" s="38"/>
      <c r="I60" s="38"/>
      <c r="J60" s="38"/>
      <c r="K60" s="38"/>
      <c r="L60" s="59"/>
      <c r="M60" s="28"/>
      <c r="N60" s="6"/>
    </row>
    <row r="61" spans="1:14" ht="15.75">
      <c r="A61" s="27"/>
      <c r="B61" s="28" t="s">
        <v>43</v>
      </c>
      <c r="C61" s="38">
        <f>SUM(C58:C60)</f>
        <v>422004</v>
      </c>
      <c r="D61" s="38">
        <f>SUM(D58:D60)</f>
        <v>385750</v>
      </c>
      <c r="E61" s="38"/>
      <c r="F61" s="38">
        <f>SUM(F58:F60)</f>
        <v>21197</v>
      </c>
      <c r="G61" s="38"/>
      <c r="H61" s="38">
        <f>SUM(H58:H60)</f>
        <v>6082</v>
      </c>
      <c r="I61" s="38"/>
      <c r="J61" s="38">
        <f>SUM(J58:J60)</f>
        <v>0</v>
      </c>
      <c r="K61" s="38"/>
      <c r="L61" s="60">
        <f>SUM(L58:L60)</f>
        <v>370635</v>
      </c>
      <c r="M61" s="28"/>
      <c r="N61" s="6"/>
    </row>
    <row r="62" spans="1:14" ht="15.75">
      <c r="A62" s="27"/>
      <c r="B62" s="28"/>
      <c r="C62" s="38"/>
      <c r="D62" s="38"/>
      <c r="E62" s="38"/>
      <c r="F62" s="38"/>
      <c r="G62" s="38"/>
      <c r="H62" s="38"/>
      <c r="I62" s="38"/>
      <c r="J62" s="38"/>
      <c r="K62" s="38"/>
      <c r="L62" s="60"/>
      <c r="M62" s="28"/>
      <c r="N62" s="6"/>
    </row>
    <row r="63" spans="1:14" ht="15.75">
      <c r="A63" s="7"/>
      <c r="B63" s="131" t="s">
        <v>44</v>
      </c>
      <c r="C63" s="61"/>
      <c r="D63" s="61"/>
      <c r="E63" s="61"/>
      <c r="F63" s="61"/>
      <c r="G63" s="61"/>
      <c r="H63" s="61"/>
      <c r="I63" s="61"/>
      <c r="J63" s="61"/>
      <c r="K63" s="61"/>
      <c r="L63" s="62"/>
      <c r="M63" s="9"/>
      <c r="N63" s="6"/>
    </row>
    <row r="64" spans="1:14" ht="15.75">
      <c r="A64" s="7"/>
      <c r="B64" s="9"/>
      <c r="C64" s="61"/>
      <c r="D64" s="61"/>
      <c r="E64" s="61"/>
      <c r="F64" s="61"/>
      <c r="G64" s="61"/>
      <c r="H64" s="61"/>
      <c r="I64" s="61"/>
      <c r="J64" s="61"/>
      <c r="K64" s="61"/>
      <c r="L64" s="62"/>
      <c r="M64" s="9"/>
      <c r="N64" s="6"/>
    </row>
    <row r="65" spans="1:14" ht="15.75">
      <c r="A65" s="27"/>
      <c r="B65" s="28" t="s">
        <v>41</v>
      </c>
      <c r="C65" s="38"/>
      <c r="D65" s="38"/>
      <c r="E65" s="38"/>
      <c r="F65" s="38"/>
      <c r="G65" s="38"/>
      <c r="H65" s="38"/>
      <c r="I65" s="38"/>
      <c r="J65" s="38"/>
      <c r="K65" s="38"/>
      <c r="L65" s="60"/>
      <c r="M65" s="28"/>
      <c r="N65" s="6"/>
    </row>
    <row r="66" spans="1:14" ht="15.75">
      <c r="A66" s="27"/>
      <c r="B66" s="28" t="s">
        <v>42</v>
      </c>
      <c r="C66" s="38"/>
      <c r="D66" s="38"/>
      <c r="E66" s="38"/>
      <c r="F66" s="38"/>
      <c r="G66" s="38"/>
      <c r="H66" s="38"/>
      <c r="I66" s="38"/>
      <c r="J66" s="38"/>
      <c r="K66" s="38"/>
      <c r="L66" s="60"/>
      <c r="M66" s="28"/>
      <c r="N66" s="6"/>
    </row>
    <row r="67" spans="1:14" ht="15.75">
      <c r="A67" s="27"/>
      <c r="B67" s="28"/>
      <c r="C67" s="38"/>
      <c r="D67" s="38"/>
      <c r="E67" s="38"/>
      <c r="F67" s="38"/>
      <c r="G67" s="38"/>
      <c r="H67" s="38"/>
      <c r="I67" s="38"/>
      <c r="J67" s="38"/>
      <c r="K67" s="38"/>
      <c r="L67" s="60"/>
      <c r="M67" s="28"/>
      <c r="N67" s="6"/>
    </row>
    <row r="68" spans="1:14" ht="15.75">
      <c r="A68" s="27"/>
      <c r="B68" s="28" t="s">
        <v>43</v>
      </c>
      <c r="C68" s="38"/>
      <c r="D68" s="38"/>
      <c r="E68" s="38"/>
      <c r="F68" s="38"/>
      <c r="G68" s="38"/>
      <c r="H68" s="38"/>
      <c r="I68" s="38"/>
      <c r="J68" s="38"/>
      <c r="K68" s="38"/>
      <c r="L68" s="38"/>
      <c r="M68" s="28"/>
      <c r="N68" s="6"/>
    </row>
    <row r="69" spans="1:14" ht="15.75">
      <c r="A69" s="27"/>
      <c r="B69" s="28"/>
      <c r="C69" s="38"/>
      <c r="D69" s="38"/>
      <c r="E69" s="38"/>
      <c r="F69" s="38"/>
      <c r="G69" s="38"/>
      <c r="H69" s="38"/>
      <c r="I69" s="38"/>
      <c r="J69" s="38"/>
      <c r="K69" s="38"/>
      <c r="L69" s="38"/>
      <c r="M69" s="28"/>
      <c r="N69" s="6"/>
    </row>
    <row r="70" spans="1:14" ht="15.75">
      <c r="A70" s="27"/>
      <c r="B70" s="28" t="s">
        <v>45</v>
      </c>
      <c r="C70" s="38">
        <v>0</v>
      </c>
      <c r="D70" s="38">
        <v>0</v>
      </c>
      <c r="E70" s="38"/>
      <c r="F70" s="38"/>
      <c r="G70" s="38"/>
      <c r="H70" s="38"/>
      <c r="I70" s="38"/>
      <c r="J70" s="38"/>
      <c r="K70" s="38"/>
      <c r="L70" s="59">
        <f>D70-F70+H70-J70</f>
        <v>0</v>
      </c>
      <c r="M70" s="28"/>
      <c r="N70" s="6"/>
    </row>
    <row r="71" spans="1:14" ht="15.75">
      <c r="A71" s="27"/>
      <c r="B71" s="28" t="s">
        <v>46</v>
      </c>
      <c r="C71" s="38">
        <v>77996</v>
      </c>
      <c r="D71" s="38">
        <v>0</v>
      </c>
      <c r="E71" s="38"/>
      <c r="F71" s="38"/>
      <c r="G71" s="38"/>
      <c r="H71" s="38"/>
      <c r="I71" s="38"/>
      <c r="J71" s="38"/>
      <c r="K71" s="38"/>
      <c r="L71" s="60">
        <v>0</v>
      </c>
      <c r="M71" s="28"/>
      <c r="N71" s="6"/>
    </row>
    <row r="72" spans="1:14" ht="15.75">
      <c r="A72" s="27"/>
      <c r="B72" s="28" t="s">
        <v>47</v>
      </c>
      <c r="C72" s="38">
        <v>0</v>
      </c>
      <c r="D72" s="38">
        <v>0</v>
      </c>
      <c r="E72" s="38"/>
      <c r="F72" s="38"/>
      <c r="G72" s="38"/>
      <c r="H72" s="38"/>
      <c r="I72" s="38"/>
      <c r="J72" s="38"/>
      <c r="K72" s="38"/>
      <c r="L72" s="60">
        <v>0</v>
      </c>
      <c r="M72" s="28"/>
      <c r="N72" s="6"/>
    </row>
    <row r="73" spans="1:14" ht="15.75">
      <c r="A73" s="27"/>
      <c r="B73" s="28" t="s">
        <v>48</v>
      </c>
      <c r="C73" s="60">
        <f>SUM(C61:C72)</f>
        <v>500000</v>
      </c>
      <c r="D73" s="60">
        <f>SUM(D61:D72)</f>
        <v>385750</v>
      </c>
      <c r="E73" s="38"/>
      <c r="F73" s="60"/>
      <c r="G73" s="38"/>
      <c r="H73" s="60"/>
      <c r="I73" s="38"/>
      <c r="J73" s="60"/>
      <c r="K73" s="38"/>
      <c r="L73" s="60">
        <f>SUM(L61:L72)</f>
        <v>370635</v>
      </c>
      <c r="M73" s="28"/>
      <c r="N73" s="6"/>
    </row>
    <row r="74" spans="1:14" ht="15.75">
      <c r="A74" s="7"/>
      <c r="B74" s="9"/>
      <c r="C74" s="9"/>
      <c r="D74" s="9"/>
      <c r="E74" s="9"/>
      <c r="F74" s="9"/>
      <c r="G74" s="9"/>
      <c r="H74" s="9"/>
      <c r="I74" s="9"/>
      <c r="J74" s="9"/>
      <c r="K74" s="9"/>
      <c r="L74" s="9"/>
      <c r="M74" s="9"/>
      <c r="N74" s="6"/>
    </row>
    <row r="75" spans="1:14" ht="15.75">
      <c r="A75" s="7"/>
      <c r="B75" s="57" t="s">
        <v>49</v>
      </c>
      <c r="C75" s="16"/>
      <c r="D75" s="16"/>
      <c r="E75" s="16"/>
      <c r="F75" s="16"/>
      <c r="G75" s="16"/>
      <c r="H75" s="16"/>
      <c r="I75" s="19"/>
      <c r="J75" s="19" t="s">
        <v>181</v>
      </c>
      <c r="K75" s="19"/>
      <c r="L75" s="19" t="s">
        <v>193</v>
      </c>
      <c r="M75" s="9"/>
      <c r="N75" s="6"/>
    </row>
    <row r="76" spans="1:14" ht="15.75">
      <c r="A76" s="27"/>
      <c r="B76" s="28" t="s">
        <v>50</v>
      </c>
      <c r="C76" s="28"/>
      <c r="D76" s="28"/>
      <c r="E76" s="28"/>
      <c r="F76" s="28"/>
      <c r="G76" s="28"/>
      <c r="H76" s="28"/>
      <c r="I76" s="28"/>
      <c r="J76" s="38">
        <v>0</v>
      </c>
      <c r="K76" s="28"/>
      <c r="L76" s="59">
        <v>0</v>
      </c>
      <c r="M76" s="28"/>
      <c r="N76" s="6"/>
    </row>
    <row r="77" spans="1:14" ht="15.75">
      <c r="A77" s="27"/>
      <c r="B77" s="28" t="s">
        <v>51</v>
      </c>
      <c r="C77" s="47" t="s">
        <v>150</v>
      </c>
      <c r="D77" s="63">
        <f>J158</f>
        <v>38260</v>
      </c>
      <c r="E77" s="28"/>
      <c r="F77" s="28"/>
      <c r="G77" s="28"/>
      <c r="H77" s="28"/>
      <c r="I77" s="28"/>
      <c r="J77" s="38">
        <v>21197</v>
      </c>
      <c r="K77" s="28"/>
      <c r="L77" s="59"/>
      <c r="M77" s="28"/>
      <c r="N77" s="6"/>
    </row>
    <row r="78" spans="1:14" ht="15.75">
      <c r="A78" s="27"/>
      <c r="B78" s="28" t="s">
        <v>52</v>
      </c>
      <c r="C78" s="28"/>
      <c r="D78" s="28"/>
      <c r="E78" s="28"/>
      <c r="F78" s="28"/>
      <c r="G78" s="28"/>
      <c r="H78" s="28"/>
      <c r="I78" s="28"/>
      <c r="J78" s="38"/>
      <c r="K78" s="28"/>
      <c r="L78" s="59">
        <f>6432-19</f>
        <v>6413</v>
      </c>
      <c r="M78" s="28"/>
      <c r="N78" s="6"/>
    </row>
    <row r="79" spans="1:14" ht="15.75">
      <c r="A79" s="27"/>
      <c r="B79" s="28" t="s">
        <v>53</v>
      </c>
      <c r="C79" s="28"/>
      <c r="D79" s="28"/>
      <c r="E79" s="28"/>
      <c r="F79" s="28"/>
      <c r="G79" s="28"/>
      <c r="H79" s="28"/>
      <c r="I79" s="28"/>
      <c r="J79" s="38"/>
      <c r="K79" s="28"/>
      <c r="L79" s="59">
        <v>0</v>
      </c>
      <c r="M79" s="28"/>
      <c r="N79" s="6"/>
    </row>
    <row r="80" spans="1:14" ht="15.75">
      <c r="A80" s="27"/>
      <c r="B80" s="28" t="s">
        <v>54</v>
      </c>
      <c r="C80" s="28"/>
      <c r="D80" s="28"/>
      <c r="E80" s="28"/>
      <c r="F80" s="28"/>
      <c r="G80" s="28"/>
      <c r="H80" s="28"/>
      <c r="I80" s="28"/>
      <c r="J80" s="38">
        <f>SUM(J76:J79)</f>
        <v>21197</v>
      </c>
      <c r="K80" s="28"/>
      <c r="L80" s="60">
        <f>SUM(L76:L79)</f>
        <v>6413</v>
      </c>
      <c r="M80" s="28"/>
      <c r="N80" s="6"/>
    </row>
    <row r="81" spans="1:14" ht="15.75">
      <c r="A81" s="27"/>
      <c r="B81" s="28" t="s">
        <v>55</v>
      </c>
      <c r="C81" s="28"/>
      <c r="D81" s="28"/>
      <c r="E81" s="28"/>
      <c r="F81" s="28"/>
      <c r="G81" s="28"/>
      <c r="H81" s="28"/>
      <c r="I81" s="28"/>
      <c r="J81" s="38">
        <v>0</v>
      </c>
      <c r="K81" s="28"/>
      <c r="L81" s="59">
        <v>0</v>
      </c>
      <c r="M81" s="28"/>
      <c r="N81" s="6"/>
    </row>
    <row r="82" spans="1:14" ht="15.75">
      <c r="A82" s="27"/>
      <c r="B82" s="28" t="s">
        <v>56</v>
      </c>
      <c r="C82" s="28"/>
      <c r="D82" s="28"/>
      <c r="E82" s="28"/>
      <c r="F82" s="28"/>
      <c r="G82" s="28"/>
      <c r="H82" s="28"/>
      <c r="I82" s="28"/>
      <c r="J82" s="38">
        <f>J80+J81</f>
        <v>21197</v>
      </c>
      <c r="K82" s="28"/>
      <c r="L82" s="60">
        <f>L80+L81</f>
        <v>6413</v>
      </c>
      <c r="M82" s="28"/>
      <c r="N82" s="6"/>
    </row>
    <row r="83" spans="1:14" ht="15.75">
      <c r="A83" s="27"/>
      <c r="B83" s="137" t="s">
        <v>57</v>
      </c>
      <c r="C83" s="64"/>
      <c r="D83" s="28"/>
      <c r="E83" s="28"/>
      <c r="F83" s="28"/>
      <c r="G83" s="28"/>
      <c r="H83" s="28"/>
      <c r="I83" s="28"/>
      <c r="J83" s="38"/>
      <c r="K83" s="28"/>
      <c r="L83" s="59"/>
      <c r="M83" s="28"/>
      <c r="N83" s="6"/>
    </row>
    <row r="84" spans="1:14" ht="15.75">
      <c r="A84" s="27">
        <v>1</v>
      </c>
      <c r="B84" s="28" t="s">
        <v>58</v>
      </c>
      <c r="C84" s="28"/>
      <c r="D84" s="28"/>
      <c r="E84" s="28"/>
      <c r="F84" s="28"/>
      <c r="G84" s="28"/>
      <c r="H84" s="28"/>
      <c r="I84" s="28"/>
      <c r="J84" s="28"/>
      <c r="K84" s="28"/>
      <c r="L84" s="59">
        <v>0</v>
      </c>
      <c r="M84" s="28"/>
      <c r="N84" s="6"/>
    </row>
    <row r="85" spans="1:14" ht="15.75">
      <c r="A85" s="27">
        <v>2</v>
      </c>
      <c r="B85" s="28" t="s">
        <v>59</v>
      </c>
      <c r="C85" s="28"/>
      <c r="D85" s="28"/>
      <c r="E85" s="28"/>
      <c r="F85" s="28"/>
      <c r="G85" s="28"/>
      <c r="H85" s="28"/>
      <c r="I85" s="28"/>
      <c r="J85" s="28"/>
      <c r="K85" s="28"/>
      <c r="L85" s="59">
        <v>-5</v>
      </c>
      <c r="M85" s="28"/>
      <c r="N85" s="6"/>
    </row>
    <row r="86" spans="1:14" ht="15.75">
      <c r="A86" s="27">
        <v>3</v>
      </c>
      <c r="B86" s="28" t="s">
        <v>60</v>
      </c>
      <c r="C86" s="28"/>
      <c r="D86" s="28"/>
      <c r="E86" s="28"/>
      <c r="F86" s="28"/>
      <c r="G86" s="28"/>
      <c r="H86" s="28"/>
      <c r="I86" s="28"/>
      <c r="J86" s="28"/>
      <c r="K86" s="28"/>
      <c r="L86" s="59">
        <f>-293-9</f>
        <v>-302</v>
      </c>
      <c r="M86" s="28"/>
      <c r="N86" s="6"/>
    </row>
    <row r="87" spans="1:14" ht="15.75">
      <c r="A87" s="27">
        <v>4</v>
      </c>
      <c r="B87" s="28" t="s">
        <v>61</v>
      </c>
      <c r="C87" s="28"/>
      <c r="D87" s="28"/>
      <c r="E87" s="28"/>
      <c r="F87" s="28"/>
      <c r="G87" s="28"/>
      <c r="H87" s="28"/>
      <c r="I87" s="28"/>
      <c r="J87" s="28"/>
      <c r="K87" s="28"/>
      <c r="L87" s="59">
        <v>-70</v>
      </c>
      <c r="M87" s="28"/>
      <c r="N87" s="6"/>
    </row>
    <row r="88" spans="1:14" ht="15.75">
      <c r="A88" s="27">
        <v>5</v>
      </c>
      <c r="B88" s="28" t="s">
        <v>62</v>
      </c>
      <c r="C88" s="28"/>
      <c r="D88" s="28"/>
      <c r="E88" s="28"/>
      <c r="F88" s="28"/>
      <c r="G88" s="28"/>
      <c r="H88" s="28"/>
      <c r="I88" s="28"/>
      <c r="J88" s="28"/>
      <c r="K88" s="28"/>
      <c r="L88" s="59">
        <v>-4392</v>
      </c>
      <c r="M88" s="28"/>
      <c r="N88" s="6"/>
    </row>
    <row r="89" spans="1:14" ht="15.75">
      <c r="A89" s="27">
        <v>6</v>
      </c>
      <c r="B89" s="28" t="s">
        <v>63</v>
      </c>
      <c r="C89" s="28"/>
      <c r="D89" s="28"/>
      <c r="E89" s="28"/>
      <c r="F89" s="28"/>
      <c r="G89" s="28"/>
      <c r="H89" s="28"/>
      <c r="I89" s="28"/>
      <c r="J89" s="28"/>
      <c r="K89" s="28"/>
      <c r="L89" s="59">
        <v>-607</v>
      </c>
      <c r="M89" s="28"/>
      <c r="N89" s="6"/>
    </row>
    <row r="90" spans="1:14" ht="15.75">
      <c r="A90" s="27">
        <v>7</v>
      </c>
      <c r="B90" s="28" t="s">
        <v>64</v>
      </c>
      <c r="C90" s="28"/>
      <c r="D90" s="28"/>
      <c r="E90" s="28"/>
      <c r="F90" s="28"/>
      <c r="G90" s="28"/>
      <c r="H90" s="28"/>
      <c r="I90" s="28"/>
      <c r="J90" s="28"/>
      <c r="K90" s="28"/>
      <c r="L90" s="59">
        <v>-5</v>
      </c>
      <c r="M90" s="28"/>
      <c r="N90" s="6"/>
    </row>
    <row r="91" spans="1:14" ht="15.75">
      <c r="A91" s="27">
        <v>8</v>
      </c>
      <c r="B91" s="28" t="s">
        <v>65</v>
      </c>
      <c r="C91" s="28"/>
      <c r="D91" s="28"/>
      <c r="E91" s="28"/>
      <c r="F91" s="28"/>
      <c r="G91" s="28"/>
      <c r="H91" s="28"/>
      <c r="I91" s="28"/>
      <c r="J91" s="28"/>
      <c r="K91" s="28"/>
      <c r="L91" s="59">
        <v>0</v>
      </c>
      <c r="M91" s="28"/>
      <c r="N91" s="6"/>
    </row>
    <row r="92" spans="1:14" ht="15.75">
      <c r="A92" s="27">
        <v>9</v>
      </c>
      <c r="B92" s="28" t="s">
        <v>66</v>
      </c>
      <c r="C92" s="28"/>
      <c r="D92" s="28"/>
      <c r="E92" s="28"/>
      <c r="F92" s="28"/>
      <c r="G92" s="28"/>
      <c r="H92" s="28"/>
      <c r="I92" s="28"/>
      <c r="J92" s="28"/>
      <c r="K92" s="28"/>
      <c r="L92" s="59">
        <v>0</v>
      </c>
      <c r="M92" s="28"/>
      <c r="N92" s="6"/>
    </row>
    <row r="93" spans="1:14" ht="15.75">
      <c r="A93" s="27">
        <v>10</v>
      </c>
      <c r="B93" s="28" t="s">
        <v>67</v>
      </c>
      <c r="C93" s="28"/>
      <c r="D93" s="28"/>
      <c r="E93" s="28"/>
      <c r="F93" s="28"/>
      <c r="G93" s="28"/>
      <c r="H93" s="28"/>
      <c r="I93" s="28"/>
      <c r="J93" s="28"/>
      <c r="K93" s="28"/>
      <c r="L93" s="59">
        <v>0</v>
      </c>
      <c r="M93" s="28"/>
      <c r="N93" s="6"/>
    </row>
    <row r="94" spans="1:14" ht="15.75">
      <c r="A94" s="27">
        <v>11</v>
      </c>
      <c r="B94" s="28" t="s">
        <v>68</v>
      </c>
      <c r="C94" s="28"/>
      <c r="D94" s="28"/>
      <c r="E94" s="28"/>
      <c r="F94" s="28"/>
      <c r="G94" s="28"/>
      <c r="H94" s="28"/>
      <c r="I94" s="28"/>
      <c r="J94" s="28"/>
      <c r="K94" s="28"/>
      <c r="L94" s="59">
        <v>0</v>
      </c>
      <c r="M94" s="28"/>
      <c r="N94" s="6"/>
    </row>
    <row r="95" spans="1:14" ht="15.75">
      <c r="A95" s="27">
        <v>12</v>
      </c>
      <c r="B95" s="28" t="s">
        <v>69</v>
      </c>
      <c r="C95" s="28"/>
      <c r="D95" s="28"/>
      <c r="E95" s="28"/>
      <c r="F95" s="28"/>
      <c r="G95" s="28"/>
      <c r="H95" s="28"/>
      <c r="I95" s="28"/>
      <c r="J95" s="28"/>
      <c r="K95" s="28"/>
      <c r="L95" s="59">
        <f>-35-222</f>
        <v>-257</v>
      </c>
      <c r="M95" s="28"/>
      <c r="N95" s="6"/>
    </row>
    <row r="96" spans="1:14" ht="15.75">
      <c r="A96" s="27">
        <v>13</v>
      </c>
      <c r="B96" s="28" t="s">
        <v>70</v>
      </c>
      <c r="C96" s="28"/>
      <c r="D96" s="28"/>
      <c r="E96" s="28"/>
      <c r="F96" s="28"/>
      <c r="G96" s="28"/>
      <c r="H96" s="28"/>
      <c r="I96" s="28"/>
      <c r="J96" s="28"/>
      <c r="K96" s="28"/>
      <c r="L96" s="59">
        <f>-SUM(L82:L95)</f>
        <v>-775</v>
      </c>
      <c r="M96" s="28"/>
      <c r="N96" s="6"/>
    </row>
    <row r="97" spans="1:14" ht="15.75">
      <c r="A97" s="27"/>
      <c r="B97" s="137" t="s">
        <v>71</v>
      </c>
      <c r="C97" s="64"/>
      <c r="D97" s="28"/>
      <c r="E97" s="28"/>
      <c r="F97" s="28"/>
      <c r="G97" s="28"/>
      <c r="H97" s="28"/>
      <c r="I97" s="28"/>
      <c r="J97" s="28"/>
      <c r="K97" s="28"/>
      <c r="L97" s="65"/>
      <c r="M97" s="28"/>
      <c r="N97" s="6"/>
    </row>
    <row r="98" spans="1:14" ht="15.75">
      <c r="A98" s="27"/>
      <c r="B98" s="28" t="s">
        <v>72</v>
      </c>
      <c r="C98" s="64"/>
      <c r="D98" s="28"/>
      <c r="E98" s="28"/>
      <c r="F98" s="28"/>
      <c r="G98" s="28"/>
      <c r="H98" s="28"/>
      <c r="I98" s="28"/>
      <c r="J98" s="38">
        <f>-J144</f>
        <v>-6</v>
      </c>
      <c r="K98" s="38"/>
      <c r="L98" s="59"/>
      <c r="M98" s="28"/>
      <c r="N98" s="6"/>
    </row>
    <row r="99" spans="1:14" ht="15.75">
      <c r="A99" s="27"/>
      <c r="B99" s="28" t="s">
        <v>73</v>
      </c>
      <c r="C99" s="28"/>
      <c r="D99" s="28"/>
      <c r="E99" s="28"/>
      <c r="F99" s="28"/>
      <c r="G99" s="28"/>
      <c r="H99" s="28"/>
      <c r="I99" s="28"/>
      <c r="J99" s="38">
        <f>-H144</f>
        <v>-6076</v>
      </c>
      <c r="K99" s="38"/>
      <c r="L99" s="59"/>
      <c r="M99" s="28"/>
      <c r="N99" s="6"/>
    </row>
    <row r="100" spans="1:14" ht="15.75">
      <c r="A100" s="27"/>
      <c r="B100" s="28" t="s">
        <v>74</v>
      </c>
      <c r="C100" s="28"/>
      <c r="D100" s="28"/>
      <c r="E100" s="28"/>
      <c r="F100" s="28"/>
      <c r="G100" s="28"/>
      <c r="H100" s="28"/>
      <c r="I100" s="28"/>
      <c r="J100" s="38">
        <v>-15115</v>
      </c>
      <c r="K100" s="38"/>
      <c r="L100" s="59"/>
      <c r="M100" s="28"/>
      <c r="N100" s="6"/>
    </row>
    <row r="101" spans="1:14" ht="15.75">
      <c r="A101" s="27"/>
      <c r="B101" s="28" t="s">
        <v>75</v>
      </c>
      <c r="C101" s="28"/>
      <c r="D101" s="28"/>
      <c r="E101" s="28"/>
      <c r="F101" s="28"/>
      <c r="G101" s="28"/>
      <c r="H101" s="28"/>
      <c r="I101" s="28"/>
      <c r="J101" s="38">
        <v>0</v>
      </c>
      <c r="K101" s="38"/>
      <c r="L101" s="59"/>
      <c r="M101" s="28"/>
      <c r="N101" s="6"/>
    </row>
    <row r="102" spans="1:14" ht="15.75">
      <c r="A102" s="27"/>
      <c r="B102" s="28" t="s">
        <v>76</v>
      </c>
      <c r="C102" s="28"/>
      <c r="D102" s="28"/>
      <c r="E102" s="28"/>
      <c r="F102" s="28"/>
      <c r="G102" s="28"/>
      <c r="H102" s="28"/>
      <c r="I102" s="28"/>
      <c r="J102" s="38">
        <f>SUM(J83:J101)</f>
        <v>-21197</v>
      </c>
      <c r="K102" s="38"/>
      <c r="L102" s="38">
        <f>SUM(L83:L101)</f>
        <v>-6413</v>
      </c>
      <c r="M102" s="28"/>
      <c r="N102" s="6"/>
    </row>
    <row r="103" spans="1:14" ht="15.75">
      <c r="A103" s="27"/>
      <c r="B103" s="28" t="s">
        <v>77</v>
      </c>
      <c r="C103" s="28"/>
      <c r="D103" s="28"/>
      <c r="E103" s="28"/>
      <c r="F103" s="28"/>
      <c r="G103" s="28"/>
      <c r="H103" s="28"/>
      <c r="I103" s="28"/>
      <c r="J103" s="38">
        <f>J82+J102</f>
        <v>0</v>
      </c>
      <c r="K103" s="38"/>
      <c r="L103" s="38">
        <f>L82+L102</f>
        <v>0</v>
      </c>
      <c r="M103" s="28"/>
      <c r="N103" s="6"/>
    </row>
    <row r="104" spans="1:14" ht="12" customHeight="1">
      <c r="A104" s="7"/>
      <c r="B104" s="9"/>
      <c r="C104" s="9"/>
      <c r="D104" s="9"/>
      <c r="E104" s="9"/>
      <c r="F104" s="9"/>
      <c r="G104" s="9"/>
      <c r="H104" s="9"/>
      <c r="I104" s="9"/>
      <c r="J104" s="9"/>
      <c r="K104" s="9"/>
      <c r="L104" s="58"/>
      <c r="M104" s="9"/>
      <c r="N104" s="6"/>
    </row>
    <row r="105" spans="1:14" ht="12" customHeight="1">
      <c r="A105" s="7"/>
      <c r="B105" s="9"/>
      <c r="C105" s="9"/>
      <c r="D105" s="9"/>
      <c r="E105" s="9"/>
      <c r="F105" s="9"/>
      <c r="G105" s="9"/>
      <c r="H105" s="9"/>
      <c r="I105" s="9"/>
      <c r="J105" s="9"/>
      <c r="K105" s="9"/>
      <c r="L105" s="58"/>
      <c r="M105" s="9"/>
      <c r="N105" s="6"/>
    </row>
    <row r="106" spans="1:14" ht="15.75" customHeight="1" thickBot="1">
      <c r="A106" s="118"/>
      <c r="B106" s="119" t="str">
        <f>B53</f>
        <v>PM4 INVESTOR REPORT QUARTER ENDING SEPTEMBER 2004</v>
      </c>
      <c r="C106" s="120"/>
      <c r="D106" s="120"/>
      <c r="E106" s="120"/>
      <c r="F106" s="120"/>
      <c r="G106" s="120"/>
      <c r="H106" s="120"/>
      <c r="I106" s="120"/>
      <c r="J106" s="120"/>
      <c r="K106" s="120"/>
      <c r="L106" s="124"/>
      <c r="M106" s="123"/>
      <c r="N106" s="6"/>
    </row>
    <row r="107" spans="1:14" ht="12" customHeight="1">
      <c r="A107" s="2"/>
      <c r="B107" s="5"/>
      <c r="C107" s="5"/>
      <c r="D107" s="5"/>
      <c r="E107" s="5"/>
      <c r="F107" s="5"/>
      <c r="G107" s="5"/>
      <c r="H107" s="5"/>
      <c r="I107" s="5"/>
      <c r="J107" s="5"/>
      <c r="K107" s="5"/>
      <c r="L107" s="66"/>
      <c r="M107" s="5"/>
      <c r="N107" s="6"/>
    </row>
    <row r="108" spans="1:14" ht="15.75">
      <c r="A108" s="7"/>
      <c r="B108" s="57" t="s">
        <v>78</v>
      </c>
      <c r="C108" s="15"/>
      <c r="D108" s="9"/>
      <c r="E108" s="9"/>
      <c r="F108" s="9"/>
      <c r="G108" s="9"/>
      <c r="H108" s="9"/>
      <c r="I108" s="9"/>
      <c r="J108" s="9"/>
      <c r="K108" s="9"/>
      <c r="L108" s="58"/>
      <c r="M108" s="9"/>
      <c r="N108" s="6"/>
    </row>
    <row r="109" spans="1:14" ht="15.75">
      <c r="A109" s="7"/>
      <c r="B109" s="23"/>
      <c r="C109" s="15"/>
      <c r="D109" s="9"/>
      <c r="E109" s="9"/>
      <c r="F109" s="9"/>
      <c r="G109" s="9"/>
      <c r="H109" s="9"/>
      <c r="I109" s="9"/>
      <c r="J109" s="9"/>
      <c r="K109" s="9"/>
      <c r="L109" s="58"/>
      <c r="M109" s="9"/>
      <c r="N109" s="6"/>
    </row>
    <row r="110" spans="1:14" ht="15.75">
      <c r="A110" s="7"/>
      <c r="B110" s="138" t="s">
        <v>79</v>
      </c>
      <c r="C110" s="15"/>
      <c r="D110" s="9"/>
      <c r="E110" s="9"/>
      <c r="F110" s="9"/>
      <c r="G110" s="9"/>
      <c r="H110" s="9"/>
      <c r="I110" s="9"/>
      <c r="J110" s="9"/>
      <c r="K110" s="9"/>
      <c r="L110" s="58"/>
      <c r="M110" s="9"/>
      <c r="N110" s="6"/>
    </row>
    <row r="111" spans="1:14" ht="15.75">
      <c r="A111" s="27"/>
      <c r="B111" s="28" t="s">
        <v>80</v>
      </c>
      <c r="C111" s="28"/>
      <c r="D111" s="28"/>
      <c r="E111" s="28"/>
      <c r="F111" s="28"/>
      <c r="G111" s="28"/>
      <c r="H111" s="28"/>
      <c r="I111" s="28"/>
      <c r="J111" s="28"/>
      <c r="K111" s="28"/>
      <c r="L111" s="59">
        <v>8750</v>
      </c>
      <c r="M111" s="28"/>
      <c r="N111" s="6"/>
    </row>
    <row r="112" spans="1:14" ht="15.75">
      <c r="A112" s="27"/>
      <c r="B112" s="28" t="s">
        <v>81</v>
      </c>
      <c r="C112" s="28"/>
      <c r="D112" s="28"/>
      <c r="E112" s="28"/>
      <c r="F112" s="28"/>
      <c r="G112" s="28"/>
      <c r="H112" s="28"/>
      <c r="I112" s="28"/>
      <c r="J112" s="28"/>
      <c r="K112" s="28"/>
      <c r="L112" s="59">
        <f>L111</f>
        <v>8750</v>
      </c>
      <c r="M112" s="28"/>
      <c r="N112" s="6"/>
    </row>
    <row r="113" spans="1:14" ht="15.75">
      <c r="A113" s="27"/>
      <c r="B113" s="28" t="s">
        <v>82</v>
      </c>
      <c r="C113" s="28"/>
      <c r="D113" s="28"/>
      <c r="E113" s="28"/>
      <c r="F113" s="28"/>
      <c r="G113" s="28"/>
      <c r="H113" s="28"/>
      <c r="I113" s="28"/>
      <c r="J113" s="28"/>
      <c r="K113" s="28"/>
      <c r="L113" s="59">
        <v>0</v>
      </c>
      <c r="M113" s="28"/>
      <c r="N113" s="6"/>
    </row>
    <row r="114" spans="1:14" ht="15.75">
      <c r="A114" s="27"/>
      <c r="B114" s="28" t="s">
        <v>83</v>
      </c>
      <c r="C114" s="28"/>
      <c r="D114" s="28"/>
      <c r="E114" s="28"/>
      <c r="F114" s="28"/>
      <c r="G114" s="28"/>
      <c r="H114" s="28"/>
      <c r="I114" s="28"/>
      <c r="J114" s="28"/>
      <c r="K114" s="28"/>
      <c r="L114" s="59">
        <v>0</v>
      </c>
      <c r="M114" s="28"/>
      <c r="N114" s="6"/>
    </row>
    <row r="115" spans="1:14" ht="15.75">
      <c r="A115" s="27"/>
      <c r="B115" s="28" t="s">
        <v>84</v>
      </c>
      <c r="C115" s="28"/>
      <c r="D115" s="28"/>
      <c r="E115" s="28"/>
      <c r="F115" s="28"/>
      <c r="G115" s="28"/>
      <c r="H115" s="28"/>
      <c r="I115" s="28"/>
      <c r="J115" s="28"/>
      <c r="K115" s="28"/>
      <c r="L115" s="59">
        <v>0</v>
      </c>
      <c r="M115" s="28"/>
      <c r="N115" s="6"/>
    </row>
    <row r="116" spans="1:14" ht="15.75">
      <c r="A116" s="27"/>
      <c r="B116" s="28" t="s">
        <v>62</v>
      </c>
      <c r="C116" s="28"/>
      <c r="D116" s="28"/>
      <c r="E116" s="28"/>
      <c r="F116" s="28"/>
      <c r="G116" s="28"/>
      <c r="H116" s="28"/>
      <c r="I116" s="28"/>
      <c r="J116" s="28"/>
      <c r="K116" s="28"/>
      <c r="L116" s="59">
        <v>0</v>
      </c>
      <c r="M116" s="28"/>
      <c r="N116" s="6"/>
    </row>
    <row r="117" spans="1:14" ht="15.75">
      <c r="A117" s="27"/>
      <c r="B117" s="28" t="s">
        <v>63</v>
      </c>
      <c r="C117" s="28"/>
      <c r="D117" s="28"/>
      <c r="E117" s="28"/>
      <c r="F117" s="28"/>
      <c r="G117" s="28"/>
      <c r="H117" s="28"/>
      <c r="I117" s="28"/>
      <c r="J117" s="28"/>
      <c r="K117" s="28"/>
      <c r="L117" s="59">
        <v>0</v>
      </c>
      <c r="M117" s="28"/>
      <c r="N117" s="6"/>
    </row>
    <row r="118" spans="1:14" ht="15.75">
      <c r="A118" s="27"/>
      <c r="B118" s="28" t="s">
        <v>85</v>
      </c>
      <c r="C118" s="28"/>
      <c r="D118" s="28"/>
      <c r="E118" s="28"/>
      <c r="F118" s="28"/>
      <c r="G118" s="28"/>
      <c r="H118" s="28"/>
      <c r="I118" s="28"/>
      <c r="J118" s="28"/>
      <c r="K118" s="28"/>
      <c r="L118" s="59">
        <v>0</v>
      </c>
      <c r="M118" s="28"/>
      <c r="N118" s="6"/>
    </row>
    <row r="119" spans="1:14" ht="15.75">
      <c r="A119" s="27"/>
      <c r="B119" s="28" t="s">
        <v>86</v>
      </c>
      <c r="C119" s="28"/>
      <c r="D119" s="28"/>
      <c r="E119" s="28"/>
      <c r="F119" s="28"/>
      <c r="G119" s="28"/>
      <c r="H119" s="28"/>
      <c r="I119" s="28"/>
      <c r="J119" s="28"/>
      <c r="K119" s="28"/>
      <c r="L119" s="59">
        <f>SUM(L112:L118)</f>
        <v>8750</v>
      </c>
      <c r="M119" s="28"/>
      <c r="N119" s="6"/>
    </row>
    <row r="120" spans="1:14" ht="15.75">
      <c r="A120" s="27"/>
      <c r="B120" s="28"/>
      <c r="C120" s="28"/>
      <c r="D120" s="28"/>
      <c r="E120" s="28"/>
      <c r="F120" s="28"/>
      <c r="G120" s="28"/>
      <c r="H120" s="28"/>
      <c r="I120" s="28"/>
      <c r="J120" s="28"/>
      <c r="K120" s="28"/>
      <c r="L120" s="67"/>
      <c r="M120" s="28"/>
      <c r="N120" s="6"/>
    </row>
    <row r="121" spans="1:14" ht="15.75">
      <c r="A121" s="7"/>
      <c r="B121" s="138" t="s">
        <v>87</v>
      </c>
      <c r="C121" s="9"/>
      <c r="D121" s="9"/>
      <c r="E121" s="9"/>
      <c r="F121" s="9"/>
      <c r="G121" s="9"/>
      <c r="H121" s="9"/>
      <c r="I121" s="9"/>
      <c r="J121" s="9"/>
      <c r="K121" s="9"/>
      <c r="L121" s="58"/>
      <c r="M121" s="9"/>
      <c r="N121" s="6"/>
    </row>
    <row r="122" spans="1:14" ht="15.75">
      <c r="A122" s="27"/>
      <c r="B122" s="28" t="s">
        <v>88</v>
      </c>
      <c r="C122" s="28"/>
      <c r="D122" s="68"/>
      <c r="E122" s="28"/>
      <c r="F122" s="28"/>
      <c r="G122" s="28"/>
      <c r="H122" s="28"/>
      <c r="I122" s="28"/>
      <c r="J122" s="28"/>
      <c r="K122" s="28"/>
      <c r="L122" s="69" t="s">
        <v>194</v>
      </c>
      <c r="M122" s="28"/>
      <c r="N122" s="6"/>
    </row>
    <row r="123" spans="1:14" ht="15.75">
      <c r="A123" s="27"/>
      <c r="B123" s="28" t="s">
        <v>89</v>
      </c>
      <c r="C123" s="126"/>
      <c r="D123" s="126"/>
      <c r="E123" s="126"/>
      <c r="F123" s="126"/>
      <c r="G123" s="126"/>
      <c r="H123" s="126"/>
      <c r="I123" s="126"/>
      <c r="J123" s="126"/>
      <c r="K123" s="126"/>
      <c r="L123" s="69" t="s">
        <v>194</v>
      </c>
      <c r="M123" s="28"/>
      <c r="N123" s="6"/>
    </row>
    <row r="124" spans="1:14" ht="15.75">
      <c r="A124" s="27"/>
      <c r="B124" s="28" t="s">
        <v>90</v>
      </c>
      <c r="C124" s="28"/>
      <c r="D124" s="28"/>
      <c r="E124" s="28"/>
      <c r="F124" s="28"/>
      <c r="G124" s="28"/>
      <c r="H124" s="28"/>
      <c r="I124" s="28"/>
      <c r="J124" s="28"/>
      <c r="K124" s="28"/>
      <c r="L124" s="69" t="s">
        <v>194</v>
      </c>
      <c r="M124" s="28"/>
      <c r="N124" s="6"/>
    </row>
    <row r="125" spans="1:14" ht="15.75">
      <c r="A125" s="27"/>
      <c r="B125" s="28" t="s">
        <v>91</v>
      </c>
      <c r="C125" s="28"/>
      <c r="D125" s="28"/>
      <c r="E125" s="28"/>
      <c r="F125" s="28"/>
      <c r="G125" s="28"/>
      <c r="H125" s="28"/>
      <c r="I125" s="28"/>
      <c r="J125" s="28"/>
      <c r="K125" s="28"/>
      <c r="L125" s="69" t="s">
        <v>194</v>
      </c>
      <c r="M125" s="28"/>
      <c r="N125" s="6"/>
    </row>
    <row r="126" spans="1:14" ht="15.75">
      <c r="A126" s="27"/>
      <c r="B126" s="28"/>
      <c r="C126" s="28"/>
      <c r="D126" s="28"/>
      <c r="E126" s="28"/>
      <c r="F126" s="28"/>
      <c r="G126" s="28"/>
      <c r="H126" s="28"/>
      <c r="I126" s="28"/>
      <c r="J126" s="28"/>
      <c r="K126" s="28"/>
      <c r="L126" s="67"/>
      <c r="M126" s="28"/>
      <c r="N126" s="6"/>
    </row>
    <row r="127" spans="1:14" ht="15.75">
      <c r="A127" s="7"/>
      <c r="B127" s="138" t="s">
        <v>92</v>
      </c>
      <c r="C127" s="15"/>
      <c r="D127" s="9"/>
      <c r="E127" s="9"/>
      <c r="F127" s="9"/>
      <c r="G127" s="9"/>
      <c r="H127" s="9"/>
      <c r="I127" s="9"/>
      <c r="J127" s="9"/>
      <c r="K127" s="9"/>
      <c r="L127" s="70"/>
      <c r="M127" s="9"/>
      <c r="N127" s="6"/>
    </row>
    <row r="128" spans="1:14" ht="15.75">
      <c r="A128" s="27"/>
      <c r="B128" s="28" t="s">
        <v>93</v>
      </c>
      <c r="C128" s="28"/>
      <c r="D128" s="28"/>
      <c r="E128" s="28"/>
      <c r="F128" s="28"/>
      <c r="G128" s="28"/>
      <c r="H128" s="28"/>
      <c r="I128" s="28"/>
      <c r="J128" s="28"/>
      <c r="K128" s="28"/>
      <c r="L128" s="59">
        <v>0</v>
      </c>
      <c r="M128" s="28"/>
      <c r="N128" s="6"/>
    </row>
    <row r="129" spans="1:14" ht="15.75">
      <c r="A129" s="27"/>
      <c r="B129" s="28" t="s">
        <v>94</v>
      </c>
      <c r="C129" s="28"/>
      <c r="D129" s="28"/>
      <c r="E129" s="28"/>
      <c r="F129" s="28"/>
      <c r="G129" s="28"/>
      <c r="H129" s="28"/>
      <c r="I129" s="28"/>
      <c r="J129" s="28"/>
      <c r="K129" s="28"/>
      <c r="L129" s="59">
        <v>0</v>
      </c>
      <c r="M129" s="28"/>
      <c r="N129" s="6"/>
    </row>
    <row r="130" spans="1:14" ht="15.75">
      <c r="A130" s="27"/>
      <c r="B130" s="28" t="s">
        <v>95</v>
      </c>
      <c r="C130" s="28"/>
      <c r="D130" s="28"/>
      <c r="E130" s="28"/>
      <c r="F130" s="28"/>
      <c r="G130" s="28"/>
      <c r="H130" s="28"/>
      <c r="I130" s="28"/>
      <c r="J130" s="28"/>
      <c r="K130" s="28"/>
      <c r="L130" s="59">
        <f>L129+L128</f>
        <v>0</v>
      </c>
      <c r="M130" s="28"/>
      <c r="N130" s="6"/>
    </row>
    <row r="131" spans="1:14" ht="15.75">
      <c r="A131" s="27"/>
      <c r="B131" s="28" t="s">
        <v>96</v>
      </c>
      <c r="C131" s="28"/>
      <c r="D131" s="28"/>
      <c r="E131" s="28"/>
      <c r="F131" s="28"/>
      <c r="G131" s="28"/>
      <c r="H131" s="71"/>
      <c r="I131" s="28"/>
      <c r="J131" s="28"/>
      <c r="K131" s="28"/>
      <c r="L131" s="59">
        <v>0</v>
      </c>
      <c r="M131" s="28"/>
      <c r="N131" s="6"/>
    </row>
    <row r="132" spans="1:14" ht="15.75">
      <c r="A132" s="27"/>
      <c r="B132" s="28" t="s">
        <v>97</v>
      </c>
      <c r="C132" s="28"/>
      <c r="D132" s="28"/>
      <c r="E132" s="28"/>
      <c r="F132" s="28"/>
      <c r="G132" s="28"/>
      <c r="H132" s="28"/>
      <c r="I132" s="28"/>
      <c r="J132" s="28"/>
      <c r="K132" s="28"/>
      <c r="L132" s="59">
        <f>L130+L131</f>
        <v>0</v>
      </c>
      <c r="M132" s="28"/>
      <c r="N132" s="6"/>
    </row>
    <row r="133" spans="1:14" ht="7.5" customHeight="1">
      <c r="A133" s="27"/>
      <c r="B133" s="28"/>
      <c r="C133" s="28"/>
      <c r="D133" s="28"/>
      <c r="E133" s="28"/>
      <c r="F133" s="28"/>
      <c r="G133" s="28"/>
      <c r="H133" s="28"/>
      <c r="I133" s="28"/>
      <c r="J133" s="28"/>
      <c r="K133" s="28"/>
      <c r="L133" s="67"/>
      <c r="M133" s="28"/>
      <c r="N133" s="6"/>
    </row>
    <row r="134" spans="1:14" ht="6" customHeight="1">
      <c r="A134" s="2"/>
      <c r="B134" s="5"/>
      <c r="C134" s="5"/>
      <c r="D134" s="5"/>
      <c r="E134" s="5"/>
      <c r="F134" s="5"/>
      <c r="G134" s="5"/>
      <c r="H134" s="5"/>
      <c r="I134" s="5"/>
      <c r="J134" s="5"/>
      <c r="K134" s="5"/>
      <c r="L134" s="66"/>
      <c r="M134" s="5"/>
      <c r="N134" s="6"/>
    </row>
    <row r="135" spans="1:14" ht="15.75">
      <c r="A135" s="7"/>
      <c r="B135" s="138" t="s">
        <v>98</v>
      </c>
      <c r="C135" s="15"/>
      <c r="D135" s="9"/>
      <c r="E135" s="9"/>
      <c r="F135" s="9"/>
      <c r="G135" s="9"/>
      <c r="H135" s="9"/>
      <c r="I135" s="9"/>
      <c r="J135" s="9"/>
      <c r="K135" s="9"/>
      <c r="L135" s="58"/>
      <c r="M135" s="9"/>
      <c r="N135" s="6"/>
    </row>
    <row r="136" spans="1:14" ht="15.75">
      <c r="A136" s="7"/>
      <c r="B136" s="23"/>
      <c r="C136" s="15"/>
      <c r="D136" s="9"/>
      <c r="E136" s="9"/>
      <c r="F136" s="9"/>
      <c r="G136" s="9"/>
      <c r="H136" s="9"/>
      <c r="I136" s="9"/>
      <c r="J136" s="9"/>
      <c r="K136" s="9"/>
      <c r="L136" s="58"/>
      <c r="M136" s="9"/>
      <c r="N136" s="6"/>
    </row>
    <row r="137" spans="1:14" ht="15.75">
      <c r="A137" s="27"/>
      <c r="B137" s="28" t="s">
        <v>99</v>
      </c>
      <c r="C137" s="72"/>
      <c r="D137" s="28"/>
      <c r="E137" s="28"/>
      <c r="F137" s="28"/>
      <c r="G137" s="28"/>
      <c r="H137" s="28"/>
      <c r="I137" s="28"/>
      <c r="J137" s="28"/>
      <c r="K137" s="28"/>
      <c r="L137" s="59">
        <f>L61</f>
        <v>370635</v>
      </c>
      <c r="M137" s="28"/>
      <c r="N137" s="6"/>
    </row>
    <row r="138" spans="1:14" ht="15.75">
      <c r="A138" s="27"/>
      <c r="B138" s="28" t="s">
        <v>100</v>
      </c>
      <c r="C138" s="72"/>
      <c r="D138" s="28"/>
      <c r="E138" s="28"/>
      <c r="F138" s="28"/>
      <c r="G138" s="28"/>
      <c r="H138" s="28"/>
      <c r="I138" s="28"/>
      <c r="J138" s="28"/>
      <c r="K138" s="28"/>
      <c r="L138" s="59">
        <f>L33</f>
        <v>370634.555</v>
      </c>
      <c r="M138" s="28"/>
      <c r="N138" s="6"/>
    </row>
    <row r="139" spans="1:14" ht="7.5" customHeight="1">
      <c r="A139" s="27"/>
      <c r="B139" s="28"/>
      <c r="C139" s="28"/>
      <c r="D139" s="28"/>
      <c r="E139" s="28"/>
      <c r="F139" s="28"/>
      <c r="G139" s="28"/>
      <c r="H139" s="28"/>
      <c r="I139" s="28"/>
      <c r="J139" s="28"/>
      <c r="K139" s="28"/>
      <c r="L139" s="67"/>
      <c r="M139" s="28"/>
      <c r="N139" s="6"/>
    </row>
    <row r="140" spans="1:14" ht="15.75">
      <c r="A140" s="2"/>
      <c r="B140" s="5"/>
      <c r="C140" s="5"/>
      <c r="D140" s="5"/>
      <c r="E140" s="5"/>
      <c r="F140" s="5"/>
      <c r="G140" s="5"/>
      <c r="H140" s="5"/>
      <c r="I140" s="5"/>
      <c r="J140" s="5"/>
      <c r="K140" s="5"/>
      <c r="L140" s="66"/>
      <c r="M140" s="5"/>
      <c r="N140" s="6"/>
    </row>
    <row r="141" spans="1:14" ht="15.75">
      <c r="A141" s="7"/>
      <c r="B141" s="138" t="s">
        <v>101</v>
      </c>
      <c r="C141" s="131"/>
      <c r="D141" s="131"/>
      <c r="E141" s="131"/>
      <c r="F141" s="131"/>
      <c r="G141" s="131"/>
      <c r="H141" s="139" t="s">
        <v>174</v>
      </c>
      <c r="I141" s="139"/>
      <c r="J141" s="139" t="s">
        <v>182</v>
      </c>
      <c r="K141" s="131"/>
      <c r="L141" s="140" t="s">
        <v>195</v>
      </c>
      <c r="M141" s="131"/>
      <c r="N141" s="6"/>
    </row>
    <row r="142" spans="1:14" ht="15.75">
      <c r="A142" s="27"/>
      <c r="B142" s="28" t="s">
        <v>102</v>
      </c>
      <c r="C142" s="28"/>
      <c r="D142" s="28"/>
      <c r="E142" s="28"/>
      <c r="F142" s="28"/>
      <c r="G142" s="28"/>
      <c r="H142" s="59">
        <v>70000</v>
      </c>
      <c r="I142" s="28"/>
      <c r="J142" s="47"/>
      <c r="K142" s="28"/>
      <c r="L142" s="59"/>
      <c r="M142" s="28"/>
      <c r="N142" s="6"/>
    </row>
    <row r="143" spans="1:14" ht="15.75">
      <c r="A143" s="27"/>
      <c r="B143" s="28" t="s">
        <v>103</v>
      </c>
      <c r="C143" s="28"/>
      <c r="D143" s="28"/>
      <c r="E143" s="28"/>
      <c r="F143" s="28"/>
      <c r="G143" s="28"/>
      <c r="H143" s="59">
        <f>'June 04'!H145</f>
        <v>55977</v>
      </c>
      <c r="I143" s="28"/>
      <c r="J143" s="59">
        <f>'June 04'!J145</f>
        <v>2461</v>
      </c>
      <c r="K143" s="28"/>
      <c r="L143" s="59">
        <f>J143+H143</f>
        <v>58438</v>
      </c>
      <c r="M143" s="28"/>
      <c r="N143" s="6"/>
    </row>
    <row r="144" spans="1:14" ht="15.75">
      <c r="A144" s="27"/>
      <c r="B144" s="28" t="s">
        <v>104</v>
      </c>
      <c r="C144" s="28"/>
      <c r="D144" s="28"/>
      <c r="E144" s="28"/>
      <c r="F144" s="28"/>
      <c r="G144" s="28"/>
      <c r="H144" s="59">
        <v>6076</v>
      </c>
      <c r="I144" s="28"/>
      <c r="J144" s="59">
        <v>6</v>
      </c>
      <c r="K144" s="28"/>
      <c r="L144" s="59">
        <f>J144+H144</f>
        <v>6082</v>
      </c>
      <c r="M144" s="28"/>
      <c r="N144" s="6"/>
    </row>
    <row r="145" spans="1:14" ht="15.75">
      <c r="A145" s="27"/>
      <c r="B145" s="28" t="s">
        <v>105</v>
      </c>
      <c r="C145" s="28"/>
      <c r="D145" s="28"/>
      <c r="E145" s="28"/>
      <c r="F145" s="28"/>
      <c r="G145" s="28"/>
      <c r="H145" s="59">
        <f>H144+H143</f>
        <v>62053</v>
      </c>
      <c r="I145" s="28"/>
      <c r="J145" s="59">
        <f>J144+J143</f>
        <v>2467</v>
      </c>
      <c r="K145" s="28"/>
      <c r="L145" s="59">
        <f>J145+H145</f>
        <v>64520</v>
      </c>
      <c r="M145" s="28"/>
      <c r="N145" s="6"/>
    </row>
    <row r="146" spans="1:14" ht="15.75">
      <c r="A146" s="27"/>
      <c r="B146" s="28" t="s">
        <v>106</v>
      </c>
      <c r="C146" s="28"/>
      <c r="D146" s="28"/>
      <c r="E146" s="28"/>
      <c r="F146" s="28"/>
      <c r="G146" s="28"/>
      <c r="H146" s="59">
        <f>H142-H145-J145</f>
        <v>5480</v>
      </c>
      <c r="I146" s="28"/>
      <c r="J146" s="47"/>
      <c r="K146" s="28"/>
      <c r="L146" s="59"/>
      <c r="M146" s="28"/>
      <c r="N146" s="6"/>
    </row>
    <row r="147" spans="1:14" ht="7.5" customHeight="1">
      <c r="A147" s="27"/>
      <c r="B147" s="28"/>
      <c r="C147" s="28"/>
      <c r="D147" s="28"/>
      <c r="E147" s="28"/>
      <c r="F147" s="28"/>
      <c r="G147" s="28"/>
      <c r="H147" s="28"/>
      <c r="I147" s="28"/>
      <c r="J147" s="28"/>
      <c r="K147" s="28"/>
      <c r="L147" s="67"/>
      <c r="M147" s="28"/>
      <c r="N147" s="6"/>
    </row>
    <row r="148" spans="1:14" ht="9" customHeight="1">
      <c r="A148" s="2"/>
      <c r="B148" s="5"/>
      <c r="C148" s="5"/>
      <c r="D148" s="5"/>
      <c r="E148" s="5"/>
      <c r="F148" s="5"/>
      <c r="G148" s="5"/>
      <c r="H148" s="5"/>
      <c r="I148" s="5"/>
      <c r="J148" s="5"/>
      <c r="K148" s="5"/>
      <c r="L148" s="66"/>
      <c r="M148" s="5"/>
      <c r="N148" s="6"/>
    </row>
    <row r="149" spans="1:14" ht="15.75">
      <c r="A149" s="7"/>
      <c r="B149" s="138" t="s">
        <v>107</v>
      </c>
      <c r="C149" s="15"/>
      <c r="D149" s="9"/>
      <c r="E149" s="9"/>
      <c r="F149" s="9"/>
      <c r="G149" s="9"/>
      <c r="H149" s="9"/>
      <c r="I149" s="9"/>
      <c r="J149" s="9"/>
      <c r="K149" s="9"/>
      <c r="L149" s="73"/>
      <c r="M149" s="9"/>
      <c r="N149" s="6"/>
    </row>
    <row r="150" spans="1:14" ht="15.75">
      <c r="A150" s="27"/>
      <c r="B150" s="28" t="s">
        <v>108</v>
      </c>
      <c r="C150" s="28"/>
      <c r="D150" s="28"/>
      <c r="E150" s="28"/>
      <c r="F150" s="28"/>
      <c r="G150" s="28"/>
      <c r="H150" s="28"/>
      <c r="I150" s="28"/>
      <c r="J150" s="28"/>
      <c r="K150" s="28"/>
      <c r="L150" s="65">
        <f>(L82+L84+L85+L86+L87)/-L88</f>
        <v>1.3743169398907105</v>
      </c>
      <c r="M150" s="28" t="s">
        <v>196</v>
      </c>
      <c r="N150" s="6"/>
    </row>
    <row r="151" spans="1:14" ht="15.75">
      <c r="A151" s="27"/>
      <c r="B151" s="28" t="s">
        <v>109</v>
      </c>
      <c r="C151" s="28"/>
      <c r="D151" s="28"/>
      <c r="E151" s="28"/>
      <c r="F151" s="28"/>
      <c r="G151" s="28"/>
      <c r="H151" s="28"/>
      <c r="I151" s="28"/>
      <c r="J151" s="28"/>
      <c r="K151" s="28"/>
      <c r="L151" s="65">
        <v>1.39</v>
      </c>
      <c r="M151" s="28" t="s">
        <v>196</v>
      </c>
      <c r="N151" s="6"/>
    </row>
    <row r="152" spans="1:14" ht="15.75">
      <c r="A152" s="27"/>
      <c r="B152" s="28" t="s">
        <v>110</v>
      </c>
      <c r="C152" s="28"/>
      <c r="D152" s="28"/>
      <c r="E152" s="28"/>
      <c r="F152" s="28"/>
      <c r="G152" s="28"/>
      <c r="H152" s="28"/>
      <c r="I152" s="28"/>
      <c r="J152" s="28"/>
      <c r="K152" s="28"/>
      <c r="L152" s="65">
        <f>(L82+SUM(L84:L88))/-L89</f>
        <v>2.7084019769357495</v>
      </c>
      <c r="M152" s="28" t="s">
        <v>196</v>
      </c>
      <c r="N152" s="6"/>
    </row>
    <row r="153" spans="1:14" ht="15.75">
      <c r="A153" s="27"/>
      <c r="B153" s="28" t="s">
        <v>111</v>
      </c>
      <c r="C153" s="28"/>
      <c r="D153" s="28"/>
      <c r="E153" s="28"/>
      <c r="F153" s="28"/>
      <c r="G153" s="28"/>
      <c r="H153" s="28"/>
      <c r="I153" s="28"/>
      <c r="J153" s="28"/>
      <c r="K153" s="28"/>
      <c r="L153" s="74">
        <v>3.25</v>
      </c>
      <c r="M153" s="28" t="s">
        <v>196</v>
      </c>
      <c r="N153" s="6"/>
    </row>
    <row r="154" spans="1:14" ht="12.75" customHeight="1">
      <c r="A154" s="27"/>
      <c r="B154" s="28"/>
      <c r="C154" s="28"/>
      <c r="D154" s="28"/>
      <c r="E154" s="28"/>
      <c r="F154" s="28"/>
      <c r="G154" s="28"/>
      <c r="H154" s="28"/>
      <c r="I154" s="28"/>
      <c r="J154" s="28"/>
      <c r="K154" s="28"/>
      <c r="L154" s="28"/>
      <c r="M154" s="28"/>
      <c r="N154" s="6"/>
    </row>
    <row r="155" spans="1:14" ht="12.75" customHeight="1">
      <c r="A155" s="7"/>
      <c r="B155" s="9"/>
      <c r="C155" s="9"/>
      <c r="D155" s="9"/>
      <c r="E155" s="9"/>
      <c r="F155" s="9"/>
      <c r="G155" s="9"/>
      <c r="H155" s="9"/>
      <c r="I155" s="9"/>
      <c r="J155" s="9"/>
      <c r="K155" s="9"/>
      <c r="L155" s="9"/>
      <c r="M155" s="9"/>
      <c r="N155" s="6"/>
    </row>
    <row r="156" spans="1:14" ht="15" customHeight="1" thickBot="1">
      <c r="A156" s="118"/>
      <c r="B156" s="119" t="str">
        <f>B106</f>
        <v>PM4 INVESTOR REPORT QUARTER ENDING SEPTEMBER 2004</v>
      </c>
      <c r="C156" s="120"/>
      <c r="D156" s="120"/>
      <c r="E156" s="120"/>
      <c r="F156" s="120"/>
      <c r="G156" s="120"/>
      <c r="H156" s="120"/>
      <c r="I156" s="120"/>
      <c r="J156" s="120"/>
      <c r="K156" s="120"/>
      <c r="L156" s="120"/>
      <c r="M156" s="123"/>
      <c r="N156" s="6"/>
    </row>
    <row r="157" spans="1:14" ht="15.75">
      <c r="A157" s="2"/>
      <c r="B157" s="128"/>
      <c r="C157" s="128"/>
      <c r="D157" s="128"/>
      <c r="E157" s="128"/>
      <c r="F157" s="128"/>
      <c r="G157" s="128"/>
      <c r="H157" s="128"/>
      <c r="I157" s="128"/>
      <c r="J157" s="128"/>
      <c r="K157" s="128"/>
      <c r="L157" s="128"/>
      <c r="M157" s="128"/>
      <c r="N157" s="6"/>
    </row>
    <row r="158" spans="1:14" ht="15.75">
      <c r="A158" s="76"/>
      <c r="B158" s="57" t="s">
        <v>112</v>
      </c>
      <c r="C158" s="77"/>
      <c r="D158" s="77"/>
      <c r="E158" s="77"/>
      <c r="F158" s="77"/>
      <c r="G158" s="21"/>
      <c r="H158" s="21"/>
      <c r="I158" s="21"/>
      <c r="J158" s="21">
        <v>38260</v>
      </c>
      <c r="K158" s="17"/>
      <c r="L158" s="17"/>
      <c r="M158" s="9"/>
      <c r="N158" s="6"/>
    </row>
    <row r="159" spans="1:14" ht="15.75">
      <c r="A159" s="78"/>
      <c r="B159" s="79"/>
      <c r="C159" s="80"/>
      <c r="D159" s="80"/>
      <c r="E159" s="80"/>
      <c r="F159" s="80"/>
      <c r="G159" s="81"/>
      <c r="H159" s="81"/>
      <c r="I159" s="81"/>
      <c r="J159" s="81"/>
      <c r="K159" s="9"/>
      <c r="L159" s="9"/>
      <c r="M159" s="9"/>
      <c r="N159" s="6"/>
    </row>
    <row r="160" spans="1:14" ht="15.75">
      <c r="A160" s="82"/>
      <c r="B160" s="83" t="s">
        <v>113</v>
      </c>
      <c r="C160" s="84"/>
      <c r="D160" s="84"/>
      <c r="E160" s="84"/>
      <c r="F160" s="84"/>
      <c r="G160" s="71"/>
      <c r="H160" s="71"/>
      <c r="I160" s="71"/>
      <c r="J160" s="85">
        <v>0.06</v>
      </c>
      <c r="K160" s="28"/>
      <c r="L160" s="28"/>
      <c r="M160" s="28"/>
      <c r="N160" s="6"/>
    </row>
    <row r="161" spans="1:14" ht="15.75">
      <c r="A161" s="82"/>
      <c r="B161" s="83" t="s">
        <v>114</v>
      </c>
      <c r="C161" s="84"/>
      <c r="D161" s="84"/>
      <c r="E161" s="84"/>
      <c r="F161" s="84"/>
      <c r="G161" s="71"/>
      <c r="H161" s="71"/>
      <c r="I161" s="71"/>
      <c r="J161" s="85">
        <v>0.0452</v>
      </c>
      <c r="K161" s="28"/>
      <c r="L161" s="28"/>
      <c r="M161" s="28"/>
      <c r="N161" s="6"/>
    </row>
    <row r="162" spans="1:14" ht="15.75">
      <c r="A162" s="82"/>
      <c r="B162" s="83" t="s">
        <v>115</v>
      </c>
      <c r="C162" s="84"/>
      <c r="D162" s="84"/>
      <c r="E162" s="84"/>
      <c r="F162" s="84"/>
      <c r="G162" s="71"/>
      <c r="H162" s="71"/>
      <c r="I162" s="71"/>
      <c r="J162" s="85">
        <f>J160-J161</f>
        <v>0.0148</v>
      </c>
      <c r="K162" s="28"/>
      <c r="L162" s="28"/>
      <c r="M162" s="28"/>
      <c r="N162" s="6"/>
    </row>
    <row r="163" spans="1:14" ht="15.75">
      <c r="A163" s="82"/>
      <c r="B163" s="83" t="s">
        <v>116</v>
      </c>
      <c r="C163" s="84"/>
      <c r="D163" s="84"/>
      <c r="E163" s="84"/>
      <c r="F163" s="84"/>
      <c r="G163" s="71"/>
      <c r="H163" s="71"/>
      <c r="I163" s="71"/>
      <c r="J163" s="85">
        <v>0.06474</v>
      </c>
      <c r="K163" s="28"/>
      <c r="L163" s="28"/>
      <c r="M163" s="28"/>
      <c r="N163" s="6"/>
    </row>
    <row r="164" spans="1:14" ht="15.75">
      <c r="A164" s="82"/>
      <c r="B164" s="83" t="s">
        <v>117</v>
      </c>
      <c r="C164" s="84"/>
      <c r="D164" s="84"/>
      <c r="E164" s="84"/>
      <c r="F164" s="84"/>
      <c r="G164" s="71"/>
      <c r="H164" s="71"/>
      <c r="I164" s="71"/>
      <c r="J164" s="85">
        <f>L35</f>
        <v>0.05155003180619238</v>
      </c>
      <c r="K164" s="28"/>
      <c r="L164" s="28"/>
      <c r="M164" s="28"/>
      <c r="N164" s="6"/>
    </row>
    <row r="165" spans="1:14" ht="15.75">
      <c r="A165" s="82"/>
      <c r="B165" s="83" t="s">
        <v>118</v>
      </c>
      <c r="C165" s="84"/>
      <c r="D165" s="84"/>
      <c r="E165" s="84"/>
      <c r="F165" s="84"/>
      <c r="G165" s="71"/>
      <c r="H165" s="71"/>
      <c r="I165" s="71"/>
      <c r="J165" s="85">
        <f>J163-J164</f>
        <v>0.013189968193807626</v>
      </c>
      <c r="K165" s="28"/>
      <c r="L165" s="28"/>
      <c r="M165" s="28"/>
      <c r="N165" s="6"/>
    </row>
    <row r="166" spans="1:14" ht="15.75">
      <c r="A166" s="82"/>
      <c r="B166" s="83" t="s">
        <v>119</v>
      </c>
      <c r="C166" s="84"/>
      <c r="D166" s="84"/>
      <c r="E166" s="84"/>
      <c r="F166" s="84"/>
      <c r="G166" s="71"/>
      <c r="H166" s="71"/>
      <c r="I166" s="71"/>
      <c r="J166" s="86" t="s">
        <v>183</v>
      </c>
      <c r="K166" s="28"/>
      <c r="L166" s="28"/>
      <c r="M166" s="28"/>
      <c r="N166" s="6"/>
    </row>
    <row r="167" spans="1:14" ht="15.75">
      <c r="A167" s="82"/>
      <c r="B167" s="83" t="s">
        <v>120</v>
      </c>
      <c r="C167" s="84"/>
      <c r="D167" s="84"/>
      <c r="E167" s="84"/>
      <c r="F167" s="84"/>
      <c r="G167" s="71"/>
      <c r="H167" s="71"/>
      <c r="I167" s="71"/>
      <c r="J167" s="86" t="s">
        <v>184</v>
      </c>
      <c r="K167" s="28"/>
      <c r="L167" s="28"/>
      <c r="M167" s="28"/>
      <c r="N167" s="6"/>
    </row>
    <row r="168" spans="1:14" ht="15.75">
      <c r="A168" s="82"/>
      <c r="B168" s="83" t="s">
        <v>121</v>
      </c>
      <c r="C168" s="84"/>
      <c r="D168" s="84"/>
      <c r="E168" s="84"/>
      <c r="F168" s="84"/>
      <c r="G168" s="71"/>
      <c r="H168" s="71"/>
      <c r="I168" s="71"/>
      <c r="J168" s="87">
        <v>20.2</v>
      </c>
      <c r="K168" s="28" t="s">
        <v>188</v>
      </c>
      <c r="L168" s="28"/>
      <c r="M168" s="28"/>
      <c r="N168" s="6"/>
    </row>
    <row r="169" spans="1:14" ht="15.75">
      <c r="A169" s="82"/>
      <c r="B169" s="83" t="s">
        <v>122</v>
      </c>
      <c r="C169" s="84"/>
      <c r="D169" s="84"/>
      <c r="E169" s="84"/>
      <c r="F169" s="84"/>
      <c r="G169" s="71"/>
      <c r="H169" s="71"/>
      <c r="I169" s="71"/>
      <c r="J169" s="87">
        <v>18.6</v>
      </c>
      <c r="K169" s="28" t="s">
        <v>188</v>
      </c>
      <c r="L169" s="28"/>
      <c r="M169" s="28"/>
      <c r="N169" s="6"/>
    </row>
    <row r="170" spans="1:14" ht="15.75">
      <c r="A170" s="82"/>
      <c r="B170" s="83" t="s">
        <v>123</v>
      </c>
      <c r="C170" s="84"/>
      <c r="D170" s="84"/>
      <c r="E170" s="84"/>
      <c r="F170" s="84"/>
      <c r="G170" s="71"/>
      <c r="H170" s="71"/>
      <c r="I170" s="71"/>
      <c r="J170" s="85">
        <f>+F58/'June 04'!L58</f>
        <v>0.054950097213221</v>
      </c>
      <c r="K170" s="28"/>
      <c r="L170" s="28"/>
      <c r="M170" s="28"/>
      <c r="N170" s="6"/>
    </row>
    <row r="171" spans="1:14" ht="15.75">
      <c r="A171" s="82"/>
      <c r="B171" s="83" t="s">
        <v>124</v>
      </c>
      <c r="C171" s="84"/>
      <c r="D171" s="84"/>
      <c r="E171" s="84"/>
      <c r="F171" s="84"/>
      <c r="G171" s="71"/>
      <c r="H171" s="71"/>
      <c r="I171" s="71"/>
      <c r="J171" s="85">
        <v>0.1646</v>
      </c>
      <c r="K171" s="28"/>
      <c r="L171" s="28"/>
      <c r="M171" s="28"/>
      <c r="N171" s="6"/>
    </row>
    <row r="172" spans="1:14" ht="15.75">
      <c r="A172" s="82"/>
      <c r="B172" s="83"/>
      <c r="C172" s="83"/>
      <c r="D172" s="83"/>
      <c r="E172" s="83"/>
      <c r="F172" s="83"/>
      <c r="G172" s="28"/>
      <c r="H172" s="28"/>
      <c r="I172" s="28"/>
      <c r="J172" s="67"/>
      <c r="K172" s="28"/>
      <c r="L172" s="88"/>
      <c r="M172" s="28"/>
      <c r="N172" s="6"/>
    </row>
    <row r="173" spans="1:14" ht="15.75">
      <c r="A173" s="89"/>
      <c r="B173" s="16" t="s">
        <v>125</v>
      </c>
      <c r="C173" s="90"/>
      <c r="D173" s="91"/>
      <c r="E173" s="90"/>
      <c r="F173" s="91"/>
      <c r="G173" s="90"/>
      <c r="H173" s="91"/>
      <c r="I173" s="19" t="s">
        <v>175</v>
      </c>
      <c r="J173" s="92" t="s">
        <v>185</v>
      </c>
      <c r="K173" s="17"/>
      <c r="L173" s="9"/>
      <c r="M173" s="9"/>
      <c r="N173" s="6"/>
    </row>
    <row r="174" spans="1:14" ht="15.75">
      <c r="A174" s="93"/>
      <c r="B174" s="83" t="s">
        <v>126</v>
      </c>
      <c r="C174" s="60"/>
      <c r="D174" s="60"/>
      <c r="E174" s="60"/>
      <c r="F174" s="28"/>
      <c r="G174" s="28"/>
      <c r="H174" s="28"/>
      <c r="I174" s="29">
        <v>16</v>
      </c>
      <c r="J174" s="94">
        <v>543</v>
      </c>
      <c r="K174" s="28"/>
      <c r="L174" s="88"/>
      <c r="M174" s="95"/>
      <c r="N174" s="6"/>
    </row>
    <row r="175" spans="1:14" ht="15.75">
      <c r="A175" s="93"/>
      <c r="B175" s="83" t="s">
        <v>205</v>
      </c>
      <c r="C175" s="60"/>
      <c r="D175" s="60"/>
      <c r="E175" s="60"/>
      <c r="F175" s="28"/>
      <c r="G175" s="28"/>
      <c r="H175" s="28"/>
      <c r="I175" s="29">
        <v>4</v>
      </c>
      <c r="J175" s="94">
        <v>548</v>
      </c>
      <c r="K175" s="28"/>
      <c r="L175" s="88"/>
      <c r="M175" s="95"/>
      <c r="N175" s="6"/>
    </row>
    <row r="176" spans="1:14" ht="15.75">
      <c r="A176" s="93"/>
      <c r="B176" s="83" t="s">
        <v>127</v>
      </c>
      <c r="C176" s="60"/>
      <c r="D176" s="60"/>
      <c r="E176" s="60"/>
      <c r="F176" s="28"/>
      <c r="G176" s="28"/>
      <c r="H176" s="28"/>
      <c r="I176" s="29">
        <v>0</v>
      </c>
      <c r="J176" s="94">
        <v>0</v>
      </c>
      <c r="K176" s="28"/>
      <c r="L176" s="88"/>
      <c r="M176" s="95"/>
      <c r="N176" s="6"/>
    </row>
    <row r="177" spans="1:14" ht="15.75">
      <c r="A177" s="93"/>
      <c r="B177" s="141" t="s">
        <v>128</v>
      </c>
      <c r="C177" s="60"/>
      <c r="D177" s="60"/>
      <c r="E177" s="60"/>
      <c r="F177" s="28"/>
      <c r="G177" s="28"/>
      <c r="H177" s="28"/>
      <c r="I177" s="28"/>
      <c r="J177" s="94">
        <v>0</v>
      </c>
      <c r="K177" s="28"/>
      <c r="L177" s="88"/>
      <c r="M177" s="95"/>
      <c r="N177" s="6"/>
    </row>
    <row r="178" spans="1:14" ht="15.75">
      <c r="A178" s="93"/>
      <c r="B178" s="141" t="s">
        <v>129</v>
      </c>
      <c r="C178" s="60"/>
      <c r="D178" s="60"/>
      <c r="E178" s="60"/>
      <c r="F178" s="28"/>
      <c r="G178" s="28"/>
      <c r="H178" s="28"/>
      <c r="I178" s="28"/>
      <c r="J178" s="94">
        <v>77991</v>
      </c>
      <c r="K178" s="28"/>
      <c r="L178" s="88"/>
      <c r="M178" s="95"/>
      <c r="N178" s="6"/>
    </row>
    <row r="179" spans="1:14" ht="15.75">
      <c r="A179" s="96"/>
      <c r="B179" s="141" t="s">
        <v>130</v>
      </c>
      <c r="C179" s="60"/>
      <c r="D179" s="83"/>
      <c r="E179" s="83"/>
      <c r="F179" s="83"/>
      <c r="G179" s="28"/>
      <c r="H179" s="28"/>
      <c r="I179" s="28"/>
      <c r="J179" s="94">
        <v>0</v>
      </c>
      <c r="K179" s="28"/>
      <c r="L179" s="88"/>
      <c r="M179" s="97"/>
      <c r="N179" s="6"/>
    </row>
    <row r="180" spans="1:14" ht="15.75">
      <c r="A180" s="93"/>
      <c r="B180" s="83" t="s">
        <v>131</v>
      </c>
      <c r="C180" s="60"/>
      <c r="D180" s="60"/>
      <c r="E180" s="60"/>
      <c r="F180" s="60"/>
      <c r="G180" s="28"/>
      <c r="H180" s="28"/>
      <c r="I180" s="28">
        <v>0</v>
      </c>
      <c r="J180" s="94">
        <f>+L129</f>
        <v>0</v>
      </c>
      <c r="K180" s="28"/>
      <c r="L180" s="88"/>
      <c r="M180" s="97"/>
      <c r="N180" s="6"/>
    </row>
    <row r="181" spans="1:14" ht="15.75">
      <c r="A181" s="93"/>
      <c r="B181" s="83" t="s">
        <v>132</v>
      </c>
      <c r="C181" s="60"/>
      <c r="D181" s="60"/>
      <c r="E181" s="60"/>
      <c r="F181" s="60"/>
      <c r="G181" s="28"/>
      <c r="H181" s="28"/>
      <c r="I181" s="28">
        <f>'June 04'!I181+'Sept 04'!I180</f>
        <v>1</v>
      </c>
      <c r="J181" s="94">
        <f>'June 04'!J181+J180</f>
        <v>6</v>
      </c>
      <c r="K181" s="28"/>
      <c r="L181" s="88"/>
      <c r="M181" s="97"/>
      <c r="N181" s="6"/>
    </row>
    <row r="182" spans="1:14" ht="15.75">
      <c r="A182" s="93"/>
      <c r="B182" s="83" t="s">
        <v>133</v>
      </c>
      <c r="C182" s="60"/>
      <c r="D182" s="60"/>
      <c r="E182" s="60"/>
      <c r="F182" s="60"/>
      <c r="G182" s="28"/>
      <c r="H182" s="28"/>
      <c r="I182" s="28"/>
      <c r="J182" s="94">
        <v>0</v>
      </c>
      <c r="K182" s="28"/>
      <c r="L182" s="88"/>
      <c r="M182" s="97"/>
      <c r="N182" s="6"/>
    </row>
    <row r="183" spans="1:14" ht="15.75">
      <c r="A183" s="96"/>
      <c r="B183" s="141" t="s">
        <v>134</v>
      </c>
      <c r="C183" s="60"/>
      <c r="D183" s="83"/>
      <c r="E183" s="83"/>
      <c r="F183" s="83"/>
      <c r="G183" s="28"/>
      <c r="H183" s="28"/>
      <c r="I183" s="28"/>
      <c r="J183" s="94"/>
      <c r="K183" s="28"/>
      <c r="L183" s="88"/>
      <c r="M183" s="97"/>
      <c r="N183" s="6"/>
    </row>
    <row r="184" spans="1:14" ht="15.75">
      <c r="A184" s="96"/>
      <c r="B184" s="83" t="s">
        <v>135</v>
      </c>
      <c r="C184" s="60"/>
      <c r="D184" s="83"/>
      <c r="E184" s="83"/>
      <c r="F184" s="83"/>
      <c r="G184" s="28"/>
      <c r="H184" s="28"/>
      <c r="I184" s="28">
        <v>0</v>
      </c>
      <c r="J184" s="94">
        <v>0</v>
      </c>
      <c r="K184" s="28"/>
      <c r="L184" s="88"/>
      <c r="M184" s="97"/>
      <c r="N184" s="6"/>
    </row>
    <row r="185" spans="1:14" ht="15.75">
      <c r="A185" s="93"/>
      <c r="B185" s="83" t="s">
        <v>136</v>
      </c>
      <c r="C185" s="60"/>
      <c r="D185" s="98"/>
      <c r="E185" s="98"/>
      <c r="F185" s="99"/>
      <c r="G185" s="28"/>
      <c r="H185" s="28"/>
      <c r="I185" s="28"/>
      <c r="J185" s="94">
        <v>0</v>
      </c>
      <c r="K185" s="28"/>
      <c r="L185" s="88"/>
      <c r="M185" s="97"/>
      <c r="N185" s="6"/>
    </row>
    <row r="186" spans="1:14" ht="15.75">
      <c r="A186" s="93"/>
      <c r="B186" s="83" t="s">
        <v>137</v>
      </c>
      <c r="C186" s="60"/>
      <c r="D186" s="98"/>
      <c r="E186" s="98"/>
      <c r="F186" s="99"/>
      <c r="G186" s="28"/>
      <c r="H186" s="28"/>
      <c r="I186" s="28"/>
      <c r="J186" s="94">
        <v>0</v>
      </c>
      <c r="K186" s="28"/>
      <c r="L186" s="88"/>
      <c r="M186" s="97"/>
      <c r="N186" s="6"/>
    </row>
    <row r="187" spans="1:14" ht="15.75">
      <c r="A187" s="93"/>
      <c r="B187" s="83" t="s">
        <v>138</v>
      </c>
      <c r="C187" s="60"/>
      <c r="D187" s="100"/>
      <c r="E187" s="98"/>
      <c r="F187" s="99"/>
      <c r="G187" s="28"/>
      <c r="H187" s="28"/>
      <c r="I187" s="28"/>
      <c r="J187" s="101">
        <v>0</v>
      </c>
      <c r="K187" s="28"/>
      <c r="L187" s="88"/>
      <c r="M187" s="97"/>
      <c r="N187" s="6"/>
    </row>
    <row r="188" spans="1:14" ht="15.75">
      <c r="A188" s="93"/>
      <c r="B188" s="83"/>
      <c r="C188" s="60"/>
      <c r="D188" s="100"/>
      <c r="E188" s="98"/>
      <c r="F188" s="99"/>
      <c r="G188" s="28"/>
      <c r="H188" s="28"/>
      <c r="I188" s="28"/>
      <c r="J188" s="101"/>
      <c r="K188" s="28"/>
      <c r="L188" s="88"/>
      <c r="M188" s="97"/>
      <c r="N188" s="6"/>
    </row>
    <row r="189" spans="1:14" ht="15.75">
      <c r="A189" s="7"/>
      <c r="B189" s="16" t="s">
        <v>139</v>
      </c>
      <c r="C189" s="19"/>
      <c r="D189" s="92"/>
      <c r="E189" s="19"/>
      <c r="F189" s="92"/>
      <c r="G189" s="19"/>
      <c r="H189" s="92" t="s">
        <v>175</v>
      </c>
      <c r="I189" s="19" t="s">
        <v>176</v>
      </c>
      <c r="J189" s="92" t="s">
        <v>186</v>
      </c>
      <c r="K189" s="19" t="s">
        <v>176</v>
      </c>
      <c r="L189" s="17"/>
      <c r="M189" s="102"/>
      <c r="N189" s="6"/>
    </row>
    <row r="190" spans="1:14" ht="15.75">
      <c r="A190" s="27"/>
      <c r="B190" s="60" t="s">
        <v>140</v>
      </c>
      <c r="C190" s="103"/>
      <c r="D190" s="60"/>
      <c r="E190" s="103"/>
      <c r="F190" s="28"/>
      <c r="G190" s="103"/>
      <c r="H190" s="60">
        <v>4759</v>
      </c>
      <c r="I190" s="105">
        <f>H190/H195</f>
        <v>0.9910453977509371</v>
      </c>
      <c r="J190" s="59">
        <v>368698</v>
      </c>
      <c r="K190" s="143">
        <f>J190/J195</f>
        <v>0.9947738340955388</v>
      </c>
      <c r="L190" s="88"/>
      <c r="M190" s="97"/>
      <c r="N190" s="6"/>
    </row>
    <row r="191" spans="1:14" ht="15.75">
      <c r="A191" s="27"/>
      <c r="B191" s="60" t="s">
        <v>141</v>
      </c>
      <c r="C191" s="103"/>
      <c r="D191" s="60"/>
      <c r="E191" s="103"/>
      <c r="F191" s="28"/>
      <c r="G191" s="105"/>
      <c r="H191" s="60">
        <v>21</v>
      </c>
      <c r="I191" s="105">
        <f>H191/H195</f>
        <v>0.004373177842565598</v>
      </c>
      <c r="J191" s="59">
        <v>1025</v>
      </c>
      <c r="K191" s="143">
        <f>J191/J195</f>
        <v>0.0027655240330783657</v>
      </c>
      <c r="L191" s="88"/>
      <c r="M191" s="97"/>
      <c r="N191" s="6"/>
    </row>
    <row r="192" spans="1:14" ht="15.75">
      <c r="A192" s="27"/>
      <c r="B192" s="60" t="s">
        <v>142</v>
      </c>
      <c r="C192" s="103"/>
      <c r="D192" s="60"/>
      <c r="E192" s="103"/>
      <c r="F192" s="28"/>
      <c r="G192" s="105"/>
      <c r="H192" s="60">
        <v>6</v>
      </c>
      <c r="I192" s="105">
        <f>H192/H195</f>
        <v>0.0012494793835901709</v>
      </c>
      <c r="J192" s="59">
        <v>201</v>
      </c>
      <c r="K192" s="143">
        <f>J192/J195</f>
        <v>0.000542312517706099</v>
      </c>
      <c r="L192" s="88"/>
      <c r="M192" s="97"/>
      <c r="N192" s="6"/>
    </row>
    <row r="193" spans="1:14" ht="15.75">
      <c r="A193" s="27"/>
      <c r="B193" s="60" t="s">
        <v>143</v>
      </c>
      <c r="C193" s="103"/>
      <c r="D193" s="60"/>
      <c r="E193" s="103"/>
      <c r="F193" s="28"/>
      <c r="G193" s="105"/>
      <c r="H193" s="60">
        <v>16</v>
      </c>
      <c r="I193" s="105">
        <f>H193/H195</f>
        <v>0.003331945022907122</v>
      </c>
      <c r="J193" s="59">
        <v>711</v>
      </c>
      <c r="K193" s="143">
        <f>J193/J195</f>
        <v>0.001918329353676798</v>
      </c>
      <c r="L193" s="88"/>
      <c r="M193" s="97"/>
      <c r="N193" s="6"/>
    </row>
    <row r="194" spans="1:14" ht="15.75">
      <c r="A194" s="27"/>
      <c r="B194" s="60"/>
      <c r="C194" s="106"/>
      <c r="D194" s="95"/>
      <c r="E194" s="106"/>
      <c r="F194" s="28"/>
      <c r="G194" s="106"/>
      <c r="H194" s="95"/>
      <c r="I194" s="106"/>
      <c r="J194" s="59"/>
      <c r="K194" s="104"/>
      <c r="L194" s="88"/>
      <c r="M194" s="97"/>
      <c r="N194" s="6"/>
    </row>
    <row r="195" spans="1:14" ht="15.75">
      <c r="A195" s="27"/>
      <c r="B195" s="28"/>
      <c r="C195" s="28"/>
      <c r="D195" s="28"/>
      <c r="E195" s="28"/>
      <c r="F195" s="28"/>
      <c r="G195" s="28"/>
      <c r="H195" s="38">
        <f>SUM(H190:H193)</f>
        <v>4802</v>
      </c>
      <c r="I195" s="107">
        <f>SUM(I190:I194)</f>
        <v>1</v>
      </c>
      <c r="J195" s="59">
        <f>SUM(J190:J194)</f>
        <v>370635</v>
      </c>
      <c r="K195" s="107">
        <f>SUM(K190:K194)</f>
        <v>1</v>
      </c>
      <c r="L195" s="28"/>
      <c r="M195" s="28"/>
      <c r="N195" s="6"/>
    </row>
    <row r="196" spans="1:14" ht="15.75">
      <c r="A196" s="27"/>
      <c r="B196" s="28"/>
      <c r="C196" s="28"/>
      <c r="D196" s="28"/>
      <c r="E196" s="28"/>
      <c r="F196" s="28"/>
      <c r="G196" s="28"/>
      <c r="H196" s="38"/>
      <c r="I196" s="107"/>
      <c r="J196" s="59"/>
      <c r="K196" s="107"/>
      <c r="L196" s="28"/>
      <c r="M196" s="28"/>
      <c r="N196" s="6"/>
    </row>
    <row r="197" spans="1:14" ht="15.75">
      <c r="A197" s="7"/>
      <c r="B197" s="9"/>
      <c r="C197" s="9"/>
      <c r="D197" s="9"/>
      <c r="E197" s="9"/>
      <c r="F197" s="9"/>
      <c r="G197" s="9"/>
      <c r="H197" s="61"/>
      <c r="I197" s="108"/>
      <c r="J197" s="109"/>
      <c r="K197" s="108"/>
      <c r="L197" s="9"/>
      <c r="M197" s="9"/>
      <c r="N197" s="6"/>
    </row>
    <row r="198" spans="1:14" ht="15.75">
      <c r="A198" s="110"/>
      <c r="B198" s="16" t="s">
        <v>144</v>
      </c>
      <c r="C198" s="111"/>
      <c r="D198" s="19" t="s">
        <v>152</v>
      </c>
      <c r="E198" s="17"/>
      <c r="F198" s="16" t="s">
        <v>164</v>
      </c>
      <c r="G198" s="112"/>
      <c r="H198" s="112"/>
      <c r="I198" s="112"/>
      <c r="J198" s="125"/>
      <c r="K198" s="125"/>
      <c r="L198" s="125"/>
      <c r="M198" s="125"/>
      <c r="N198" s="6"/>
    </row>
    <row r="199" spans="1:14" ht="15.75">
      <c r="A199" s="129"/>
      <c r="B199" s="125"/>
      <c r="C199" s="125"/>
      <c r="D199" s="9"/>
      <c r="E199" s="9"/>
      <c r="F199" s="9"/>
      <c r="G199" s="125"/>
      <c r="H199" s="125"/>
      <c r="I199" s="125"/>
      <c r="J199" s="125"/>
      <c r="K199" s="125"/>
      <c r="L199" s="125"/>
      <c r="M199" s="125"/>
      <c r="N199" s="6"/>
    </row>
    <row r="200" spans="1:14" ht="15.75">
      <c r="A200" s="129"/>
      <c r="B200" s="15" t="s">
        <v>145</v>
      </c>
      <c r="C200" s="114"/>
      <c r="D200" s="115" t="s">
        <v>153</v>
      </c>
      <c r="E200" s="15"/>
      <c r="F200" s="15" t="s">
        <v>165</v>
      </c>
      <c r="G200" s="114"/>
      <c r="H200" s="114"/>
      <c r="I200" s="125"/>
      <c r="J200" s="125"/>
      <c r="K200" s="125"/>
      <c r="L200" s="125"/>
      <c r="M200" s="125"/>
      <c r="N200" s="6"/>
    </row>
    <row r="201" spans="1:14" ht="15.75">
      <c r="A201" s="129"/>
      <c r="B201" s="15" t="s">
        <v>146</v>
      </c>
      <c r="C201" s="114"/>
      <c r="D201" s="115" t="s">
        <v>154</v>
      </c>
      <c r="E201" s="15"/>
      <c r="F201" s="15" t="s">
        <v>166</v>
      </c>
      <c r="G201" s="114"/>
      <c r="H201" s="114"/>
      <c r="I201" s="125"/>
      <c r="J201" s="125"/>
      <c r="K201" s="125"/>
      <c r="L201" s="125"/>
      <c r="M201" s="125"/>
      <c r="N201" s="6"/>
    </row>
    <row r="202" spans="1:14" ht="15.75">
      <c r="A202" s="129"/>
      <c r="B202" s="15"/>
      <c r="C202" s="114"/>
      <c r="D202" s="115"/>
      <c r="E202" s="15"/>
      <c r="F202" s="15"/>
      <c r="G202" s="114"/>
      <c r="H202" s="114"/>
      <c r="I202" s="125"/>
      <c r="J202" s="125"/>
      <c r="K202" s="125"/>
      <c r="L202" s="125"/>
      <c r="M202" s="125"/>
      <c r="N202" s="6"/>
    </row>
    <row r="203" spans="1:14" ht="15.75">
      <c r="A203" s="129"/>
      <c r="B203" s="15"/>
      <c r="C203" s="114"/>
      <c r="D203" s="115"/>
      <c r="E203" s="15"/>
      <c r="F203" s="15"/>
      <c r="G203" s="114"/>
      <c r="H203" s="114"/>
      <c r="I203" s="125"/>
      <c r="J203" s="125"/>
      <c r="K203" s="125"/>
      <c r="L203" s="125"/>
      <c r="M203" s="125"/>
      <c r="N203" s="6"/>
    </row>
    <row r="204" spans="1:14" ht="18.75">
      <c r="A204" s="129"/>
      <c r="B204" s="55" t="str">
        <f>B156</f>
        <v>PM4 INVESTOR REPORT QUARTER ENDING SEPTEMBER 2004</v>
      </c>
      <c r="C204" s="114"/>
      <c r="D204" s="115"/>
      <c r="E204" s="15"/>
      <c r="F204" s="15"/>
      <c r="G204" s="114"/>
      <c r="H204" s="114"/>
      <c r="I204" s="125"/>
      <c r="J204" s="125"/>
      <c r="K204" s="125"/>
      <c r="L204" s="125"/>
      <c r="M204" s="125"/>
      <c r="N204" s="6"/>
    </row>
    <row r="205" spans="1:13" ht="15">
      <c r="A205" s="116"/>
      <c r="B205" s="116"/>
      <c r="C205" s="116"/>
      <c r="D205" s="116"/>
      <c r="E205" s="116"/>
      <c r="F205" s="116"/>
      <c r="G205" s="116"/>
      <c r="H205" s="116"/>
      <c r="I205" s="116"/>
      <c r="J205" s="116"/>
      <c r="K205" s="116"/>
      <c r="L205" s="116"/>
      <c r="M205" s="116"/>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3" max="13" man="1"/>
    <brk id="106" max="13" man="1"/>
    <brk id="156" max="13" man="1"/>
  </rowBreaks>
  <drawing r:id="rId1"/>
</worksheet>
</file>

<file path=xl/worksheets/sheet11.xml><?xml version="1.0" encoding="utf-8"?>
<worksheet xmlns="http://schemas.openxmlformats.org/spreadsheetml/2006/main" xmlns:r="http://schemas.openxmlformats.org/officeDocument/2006/relationships">
  <dimension ref="A1:O208"/>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0.7773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25"/>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189</v>
      </c>
      <c r="M14" s="17"/>
      <c r="N14" s="6"/>
    </row>
    <row r="15" spans="1:14" ht="15.75">
      <c r="A15" s="7"/>
      <c r="B15" s="16" t="s">
        <v>8</v>
      </c>
      <c r="C15" s="16"/>
      <c r="D15" s="17"/>
      <c r="E15" s="17"/>
      <c r="F15" s="17"/>
      <c r="G15" s="17"/>
      <c r="H15" s="19"/>
      <c r="I15" s="20"/>
      <c r="J15" s="19" t="s">
        <v>177</v>
      </c>
      <c r="K15" s="20">
        <v>1</v>
      </c>
      <c r="L15" s="18"/>
      <c r="M15" s="17"/>
      <c r="N15" s="6"/>
    </row>
    <row r="16" spans="1:14" ht="15.75">
      <c r="A16" s="7"/>
      <c r="B16" s="16" t="s">
        <v>9</v>
      </c>
      <c r="C16" s="16"/>
      <c r="D16" s="17"/>
      <c r="E16" s="17"/>
      <c r="F16" s="17"/>
      <c r="G16" s="17"/>
      <c r="H16" s="19"/>
      <c r="I16" s="20"/>
      <c r="J16" s="19" t="s">
        <v>177</v>
      </c>
      <c r="K16" s="20">
        <v>1</v>
      </c>
      <c r="L16" s="18"/>
      <c r="M16" s="17"/>
      <c r="N16" s="6"/>
    </row>
    <row r="17" spans="1:14" ht="15.75">
      <c r="A17" s="7"/>
      <c r="B17" s="16" t="s">
        <v>10</v>
      </c>
      <c r="C17" s="16"/>
      <c r="D17" s="17"/>
      <c r="E17" s="17"/>
      <c r="F17" s="17"/>
      <c r="G17" s="17"/>
      <c r="H17" s="17"/>
      <c r="I17" s="17"/>
      <c r="J17" s="17"/>
      <c r="K17" s="17"/>
      <c r="L17" s="21">
        <v>37342</v>
      </c>
      <c r="M17" s="17"/>
      <c r="N17" s="6"/>
    </row>
    <row r="18" spans="1:14" ht="15.75">
      <c r="A18" s="7"/>
      <c r="B18" s="16" t="s">
        <v>11</v>
      </c>
      <c r="C18" s="16"/>
      <c r="D18" s="17"/>
      <c r="E18" s="17"/>
      <c r="F18" s="17"/>
      <c r="G18" s="17"/>
      <c r="H18" s="17"/>
      <c r="I18" s="17"/>
      <c r="J18" s="17"/>
      <c r="K18" s="17"/>
      <c r="L18" s="21">
        <v>38372</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178</v>
      </c>
      <c r="K20" s="9"/>
      <c r="L20" s="125"/>
      <c r="M20" s="9"/>
      <c r="N20" s="6"/>
    </row>
    <row r="21" spans="1:14" ht="15.75">
      <c r="A21" s="7"/>
      <c r="B21" s="9"/>
      <c r="C21" s="9"/>
      <c r="D21" s="9"/>
      <c r="E21" s="9"/>
      <c r="F21" s="9"/>
      <c r="G21" s="9"/>
      <c r="H21" s="9"/>
      <c r="I21" s="9"/>
      <c r="J21" s="9"/>
      <c r="K21" s="9"/>
      <c r="L21" s="24"/>
      <c r="M21" s="9"/>
      <c r="N21" s="6"/>
    </row>
    <row r="22" spans="1:14" ht="15.75">
      <c r="A22" s="7"/>
      <c r="B22" s="9"/>
      <c r="C22" s="132" t="s">
        <v>147</v>
      </c>
      <c r="D22" s="25"/>
      <c r="E22" s="25"/>
      <c r="F22" s="133" t="s">
        <v>155</v>
      </c>
      <c r="G22" s="133"/>
      <c r="H22" s="133" t="s">
        <v>167</v>
      </c>
      <c r="I22" s="26"/>
      <c r="J22" s="25"/>
      <c r="K22" s="125"/>
      <c r="L22" s="125"/>
      <c r="M22" s="9"/>
      <c r="N22" s="6"/>
    </row>
    <row r="23" spans="1:14" ht="15.75">
      <c r="A23" s="7"/>
      <c r="B23" s="9" t="s">
        <v>13</v>
      </c>
      <c r="C23" s="132" t="s">
        <v>148</v>
      </c>
      <c r="D23" s="25"/>
      <c r="E23" s="25"/>
      <c r="F23" s="25" t="s">
        <v>156</v>
      </c>
      <c r="G23" s="25"/>
      <c r="H23" s="25" t="s">
        <v>168</v>
      </c>
      <c r="I23" s="25"/>
      <c r="J23" s="25"/>
      <c r="K23" s="125"/>
      <c r="L23" s="125"/>
      <c r="M23" s="9"/>
      <c r="N23" s="6"/>
    </row>
    <row r="24" spans="1:14" ht="15.75">
      <c r="A24" s="27"/>
      <c r="B24" s="28" t="s">
        <v>14</v>
      </c>
      <c r="C24" s="29"/>
      <c r="D24" s="30"/>
      <c r="E24" s="30"/>
      <c r="F24" s="30" t="s">
        <v>157</v>
      </c>
      <c r="G24" s="30"/>
      <c r="H24" s="30" t="s">
        <v>169</v>
      </c>
      <c r="I24" s="30"/>
      <c r="J24" s="30"/>
      <c r="K24" s="126"/>
      <c r="L24" s="126"/>
      <c r="M24" s="28"/>
      <c r="N24" s="6"/>
    </row>
    <row r="25" spans="1:14" ht="15.75">
      <c r="A25" s="27"/>
      <c r="B25" s="28" t="s">
        <v>15</v>
      </c>
      <c r="C25" s="29"/>
      <c r="D25" s="30"/>
      <c r="E25" s="30"/>
      <c r="F25" s="30" t="s">
        <v>157</v>
      </c>
      <c r="G25" s="30"/>
      <c r="H25" s="30" t="s">
        <v>169</v>
      </c>
      <c r="I25" s="30"/>
      <c r="J25" s="30"/>
      <c r="K25" s="126"/>
      <c r="L25" s="126"/>
      <c r="M25" s="28"/>
      <c r="N25" s="6"/>
    </row>
    <row r="26" spans="1:14" ht="15.75">
      <c r="A26" s="32"/>
      <c r="B26" s="33" t="s">
        <v>16</v>
      </c>
      <c r="C26" s="33"/>
      <c r="D26" s="34"/>
      <c r="E26" s="34"/>
      <c r="F26" s="34" t="s">
        <v>156</v>
      </c>
      <c r="G26" s="34"/>
      <c r="H26" s="34" t="s">
        <v>168</v>
      </c>
      <c r="I26" s="34"/>
      <c r="J26" s="30"/>
      <c r="K26" s="126"/>
      <c r="L26" s="126"/>
      <c r="M26" s="28"/>
      <c r="N26" s="6"/>
    </row>
    <row r="27" spans="1:14" ht="15.75">
      <c r="A27" s="32"/>
      <c r="B27" s="33" t="s">
        <v>17</v>
      </c>
      <c r="C27" s="33"/>
      <c r="D27" s="34"/>
      <c r="E27" s="34"/>
      <c r="F27" s="34" t="s">
        <v>157</v>
      </c>
      <c r="G27" s="34"/>
      <c r="H27" s="34" t="s">
        <v>207</v>
      </c>
      <c r="I27" s="34"/>
      <c r="J27" s="30"/>
      <c r="K27" s="126"/>
      <c r="L27" s="126"/>
      <c r="M27" s="28"/>
      <c r="N27" s="6"/>
    </row>
    <row r="28" spans="1:14" ht="15.75">
      <c r="A28" s="32"/>
      <c r="B28" s="33" t="s">
        <v>18</v>
      </c>
      <c r="C28" s="33"/>
      <c r="D28" s="34"/>
      <c r="E28" s="34"/>
      <c r="F28" s="34" t="s">
        <v>157</v>
      </c>
      <c r="G28" s="34"/>
      <c r="H28" s="34" t="s">
        <v>169</v>
      </c>
      <c r="I28" s="34"/>
      <c r="J28" s="30"/>
      <c r="K28" s="126"/>
      <c r="L28" s="126"/>
      <c r="M28" s="28"/>
      <c r="N28" s="6"/>
    </row>
    <row r="29" spans="1:14" ht="15.75">
      <c r="A29" s="27"/>
      <c r="B29" s="28" t="s">
        <v>19</v>
      </c>
      <c r="C29" s="28"/>
      <c r="D29" s="29"/>
      <c r="E29" s="30"/>
      <c r="F29" s="29" t="s">
        <v>158</v>
      </c>
      <c r="G29" s="30"/>
      <c r="H29" s="29" t="s">
        <v>170</v>
      </c>
      <c r="I29" s="30"/>
      <c r="J29" s="29"/>
      <c r="K29" s="126"/>
      <c r="L29" s="126"/>
      <c r="M29" s="28"/>
      <c r="N29" s="6"/>
    </row>
    <row r="30" spans="1:14" ht="15.75">
      <c r="A30" s="27"/>
      <c r="B30" s="28"/>
      <c r="C30" s="28"/>
      <c r="D30" s="28"/>
      <c r="E30" s="30"/>
      <c r="F30" s="30"/>
      <c r="G30" s="30"/>
      <c r="H30" s="30"/>
      <c r="I30" s="30"/>
      <c r="J30" s="30"/>
      <c r="K30" s="126"/>
      <c r="L30" s="126"/>
      <c r="M30" s="28"/>
      <c r="N30" s="6"/>
    </row>
    <row r="31" spans="1:14" ht="15.75">
      <c r="A31" s="27"/>
      <c r="B31" s="28" t="s">
        <v>20</v>
      </c>
      <c r="C31" s="28"/>
      <c r="D31" s="35"/>
      <c r="E31" s="36"/>
      <c r="F31" s="35">
        <v>457500</v>
      </c>
      <c r="G31" s="35"/>
      <c r="H31" s="35">
        <v>42500</v>
      </c>
      <c r="I31" s="35"/>
      <c r="J31" s="35"/>
      <c r="K31" s="127"/>
      <c r="L31" s="35">
        <f>H31+F31</f>
        <v>500000</v>
      </c>
      <c r="M31" s="38"/>
      <c r="N31" s="6"/>
    </row>
    <row r="32" spans="1:14" ht="15.75">
      <c r="A32" s="27"/>
      <c r="B32" s="28" t="s">
        <v>21</v>
      </c>
      <c r="C32" s="39">
        <v>0.717234</v>
      </c>
      <c r="D32" s="35"/>
      <c r="E32" s="36"/>
      <c r="F32" s="35">
        <f>F31*C32</f>
        <v>328134.555</v>
      </c>
      <c r="G32" s="35"/>
      <c r="H32" s="35">
        <v>42500</v>
      </c>
      <c r="I32" s="35"/>
      <c r="J32" s="35"/>
      <c r="K32" s="127"/>
      <c r="L32" s="35">
        <f>H32+F32</f>
        <v>370634.555</v>
      </c>
      <c r="M32" s="38"/>
      <c r="N32" s="6"/>
    </row>
    <row r="33" spans="1:14" ht="12.75" customHeight="1">
      <c r="A33" s="32"/>
      <c r="B33" s="33" t="s">
        <v>22</v>
      </c>
      <c r="C33" s="40">
        <v>0.689562</v>
      </c>
      <c r="D33" s="41"/>
      <c r="E33" s="42"/>
      <c r="F33" s="41">
        <f>F31*C33</f>
        <v>315474.615</v>
      </c>
      <c r="G33" s="41"/>
      <c r="H33" s="41">
        <f>H31</f>
        <v>42500</v>
      </c>
      <c r="I33" s="41"/>
      <c r="J33" s="41"/>
      <c r="K33" s="43"/>
      <c r="L33" s="41">
        <f>H33+F33+D33</f>
        <v>357974.615</v>
      </c>
      <c r="M33" s="38"/>
      <c r="N33" s="6"/>
    </row>
    <row r="34" spans="1:14" ht="15.75">
      <c r="A34" s="27"/>
      <c r="B34" s="28" t="s">
        <v>23</v>
      </c>
      <c r="C34" s="44"/>
      <c r="D34" s="29"/>
      <c r="E34" s="28"/>
      <c r="F34" s="29" t="s">
        <v>159</v>
      </c>
      <c r="G34" s="29"/>
      <c r="H34" s="29" t="s">
        <v>171</v>
      </c>
      <c r="I34" s="29"/>
      <c r="J34" s="29"/>
      <c r="K34" s="126"/>
      <c r="L34" s="126"/>
      <c r="M34" s="28"/>
      <c r="N34" s="6"/>
    </row>
    <row r="35" spans="1:14" ht="15.75">
      <c r="A35" s="27"/>
      <c r="B35" s="28" t="s">
        <v>24</v>
      </c>
      <c r="C35" s="28"/>
      <c r="D35" s="45"/>
      <c r="E35" s="28"/>
      <c r="F35" s="45">
        <v>0.0517</v>
      </c>
      <c r="G35" s="46"/>
      <c r="H35" s="45">
        <v>0.0576</v>
      </c>
      <c r="I35" s="46"/>
      <c r="J35" s="45"/>
      <c r="K35" s="126"/>
      <c r="L35" s="46">
        <f>SUMPRODUCT(F35:H35,F32:H32)/L32</f>
        <v>0.05237654242330427</v>
      </c>
      <c r="M35" s="28"/>
      <c r="N35" s="6"/>
    </row>
    <row r="36" spans="1:14" ht="15.75">
      <c r="A36" s="27"/>
      <c r="B36" s="28" t="s">
        <v>25</v>
      </c>
      <c r="C36" s="28"/>
      <c r="D36" s="45"/>
      <c r="E36" s="28"/>
      <c r="F36" s="45">
        <v>0.0509</v>
      </c>
      <c r="G36" s="46"/>
      <c r="H36" s="45">
        <v>0.0568</v>
      </c>
      <c r="I36" s="46"/>
      <c r="J36" s="45"/>
      <c r="K36" s="126"/>
      <c r="L36" s="126"/>
      <c r="M36" s="28"/>
      <c r="N36" s="6"/>
    </row>
    <row r="37" spans="1:14" ht="15.75">
      <c r="A37" s="27"/>
      <c r="B37" s="28" t="s">
        <v>26</v>
      </c>
      <c r="C37" s="28"/>
      <c r="D37" s="29"/>
      <c r="E37" s="28"/>
      <c r="F37" s="29" t="s">
        <v>160</v>
      </c>
      <c r="G37" s="29"/>
      <c r="H37" s="29" t="s">
        <v>160</v>
      </c>
      <c r="I37" s="29"/>
      <c r="J37" s="29"/>
      <c r="K37" s="126"/>
      <c r="L37" s="126"/>
      <c r="M37" s="28"/>
      <c r="N37" s="6"/>
    </row>
    <row r="38" spans="1:14" ht="15.75">
      <c r="A38" s="27"/>
      <c r="B38" s="28" t="s">
        <v>27</v>
      </c>
      <c r="C38" s="28"/>
      <c r="D38" s="29"/>
      <c r="E38" s="28"/>
      <c r="F38" s="29" t="s">
        <v>161</v>
      </c>
      <c r="G38" s="29"/>
      <c r="H38" s="29" t="s">
        <v>161</v>
      </c>
      <c r="I38" s="29"/>
      <c r="J38" s="29"/>
      <c r="K38" s="126"/>
      <c r="L38" s="126"/>
      <c r="M38" s="28"/>
      <c r="N38" s="6"/>
    </row>
    <row r="39" spans="1:14" ht="15.75">
      <c r="A39" s="27"/>
      <c r="B39" s="28" t="s">
        <v>28</v>
      </c>
      <c r="C39" s="28"/>
      <c r="D39" s="29"/>
      <c r="E39" s="28"/>
      <c r="F39" s="29" t="s">
        <v>162</v>
      </c>
      <c r="G39" s="29"/>
      <c r="H39" s="29" t="s">
        <v>172</v>
      </c>
      <c r="I39" s="29"/>
      <c r="J39" s="29"/>
      <c r="K39" s="126"/>
      <c r="L39" s="126"/>
      <c r="M39" s="28"/>
      <c r="N39" s="6"/>
    </row>
    <row r="40" spans="1:14" ht="15.75">
      <c r="A40" s="27"/>
      <c r="B40" s="28"/>
      <c r="C40" s="28"/>
      <c r="D40" s="47"/>
      <c r="E40" s="47"/>
      <c r="F40" s="28"/>
      <c r="G40" s="47"/>
      <c r="H40" s="130"/>
      <c r="I40" s="47"/>
      <c r="J40" s="47"/>
      <c r="K40" s="47"/>
      <c r="L40" s="47"/>
      <c r="M40" s="28"/>
      <c r="N40" s="6"/>
    </row>
    <row r="41" spans="1:14" ht="15.75">
      <c r="A41" s="27"/>
      <c r="B41" s="28" t="s">
        <v>29</v>
      </c>
      <c r="C41" s="28"/>
      <c r="D41" s="28"/>
      <c r="E41" s="28"/>
      <c r="F41" s="28"/>
      <c r="G41" s="28"/>
      <c r="H41" s="117"/>
      <c r="I41" s="28"/>
      <c r="J41" s="28"/>
      <c r="K41" s="28"/>
      <c r="L41" s="46">
        <f>H31/F31</f>
        <v>0.09289617486338798</v>
      </c>
      <c r="M41" s="28"/>
      <c r="N41" s="6"/>
    </row>
    <row r="42" spans="1:14" ht="15.75">
      <c r="A42" s="27"/>
      <c r="B42" s="28" t="s">
        <v>30</v>
      </c>
      <c r="C42" s="28"/>
      <c r="D42" s="28"/>
      <c r="E42" s="28"/>
      <c r="F42" s="28"/>
      <c r="G42" s="28"/>
      <c r="H42" s="117"/>
      <c r="I42" s="28"/>
      <c r="J42" s="28"/>
      <c r="K42" s="28"/>
      <c r="L42" s="46">
        <f>H33/F33</f>
        <v>0.1347176539069554</v>
      </c>
      <c r="M42" s="28"/>
      <c r="N42" s="6"/>
    </row>
    <row r="43" spans="1:14" ht="15.75">
      <c r="A43" s="27"/>
      <c r="B43" s="28" t="s">
        <v>31</v>
      </c>
      <c r="C43" s="28"/>
      <c r="D43" s="28"/>
      <c r="E43" s="28"/>
      <c r="F43" s="117"/>
      <c r="G43" s="28"/>
      <c r="H43" s="117"/>
      <c r="I43" s="28"/>
      <c r="J43" s="29" t="s">
        <v>155</v>
      </c>
      <c r="K43" s="29" t="s">
        <v>187</v>
      </c>
      <c r="L43" s="35">
        <v>207500</v>
      </c>
      <c r="M43" s="28"/>
      <c r="N43" s="6"/>
    </row>
    <row r="44" spans="1:14" ht="15.75">
      <c r="A44" s="27"/>
      <c r="B44" s="28"/>
      <c r="C44" s="28"/>
      <c r="D44" s="28"/>
      <c r="E44" s="28"/>
      <c r="F44" s="28"/>
      <c r="G44" s="28"/>
      <c r="H44" s="28"/>
      <c r="I44" s="28"/>
      <c r="J44" s="28" t="s">
        <v>179</v>
      </c>
      <c r="K44" s="28"/>
      <c r="L44" s="48"/>
      <c r="M44" s="28"/>
      <c r="N44" s="6"/>
    </row>
    <row r="45" spans="1:14" ht="15.75">
      <c r="A45" s="27"/>
      <c r="B45" s="28" t="s">
        <v>32</v>
      </c>
      <c r="C45" s="28"/>
      <c r="D45" s="28"/>
      <c r="E45" s="28"/>
      <c r="F45" s="28"/>
      <c r="G45" s="28"/>
      <c r="H45" s="28"/>
      <c r="I45" s="28"/>
      <c r="J45" s="29"/>
      <c r="K45" s="29"/>
      <c r="L45" s="29" t="s">
        <v>190</v>
      </c>
      <c r="M45" s="28"/>
      <c r="N45" s="6"/>
    </row>
    <row r="46" spans="1:14" ht="15.75">
      <c r="A46" s="32"/>
      <c r="B46" s="33" t="s">
        <v>33</v>
      </c>
      <c r="C46" s="33"/>
      <c r="D46" s="33"/>
      <c r="E46" s="33"/>
      <c r="F46" s="33"/>
      <c r="G46" s="33"/>
      <c r="H46" s="33"/>
      <c r="I46" s="33"/>
      <c r="J46" s="49"/>
      <c r="K46" s="49"/>
      <c r="L46" s="50">
        <v>38359</v>
      </c>
      <c r="M46" s="28"/>
      <c r="N46" s="6"/>
    </row>
    <row r="47" spans="1:14" ht="15.75">
      <c r="A47" s="27"/>
      <c r="B47" s="28" t="s">
        <v>34</v>
      </c>
      <c r="C47" s="28"/>
      <c r="D47" s="28"/>
      <c r="E47" s="28"/>
      <c r="F47" s="28"/>
      <c r="G47" s="28"/>
      <c r="H47" s="28"/>
      <c r="I47" s="28">
        <f>L47-J47+1</f>
        <v>92</v>
      </c>
      <c r="J47" s="51">
        <v>38175</v>
      </c>
      <c r="K47" s="52"/>
      <c r="L47" s="51">
        <v>38266</v>
      </c>
      <c r="M47" s="28"/>
      <c r="N47" s="6"/>
    </row>
    <row r="48" spans="1:14" ht="15.75">
      <c r="A48" s="27"/>
      <c r="B48" s="28" t="s">
        <v>35</v>
      </c>
      <c r="C48" s="28"/>
      <c r="D48" s="28"/>
      <c r="E48" s="28"/>
      <c r="F48" s="28"/>
      <c r="G48" s="28"/>
      <c r="H48" s="28"/>
      <c r="I48" s="28">
        <f>L48-J48+1</f>
        <v>92</v>
      </c>
      <c r="J48" s="51">
        <v>38267</v>
      </c>
      <c r="K48" s="52"/>
      <c r="L48" s="51">
        <v>38358</v>
      </c>
      <c r="M48" s="28"/>
      <c r="N48" s="6"/>
    </row>
    <row r="49" spans="1:14" ht="15.75">
      <c r="A49" s="27"/>
      <c r="B49" s="28" t="s">
        <v>36</v>
      </c>
      <c r="C49" s="28"/>
      <c r="D49" s="28"/>
      <c r="E49" s="28"/>
      <c r="F49" s="28"/>
      <c r="G49" s="28"/>
      <c r="H49" s="28"/>
      <c r="I49" s="28"/>
      <c r="J49" s="51"/>
      <c r="K49" s="52"/>
      <c r="L49" s="51" t="s">
        <v>191</v>
      </c>
      <c r="M49" s="28"/>
      <c r="N49" s="6"/>
    </row>
    <row r="50" spans="1:14" ht="15.75">
      <c r="A50" s="27"/>
      <c r="B50" s="28" t="s">
        <v>37</v>
      </c>
      <c r="C50" s="28"/>
      <c r="D50" s="28"/>
      <c r="E50" s="28"/>
      <c r="F50" s="28"/>
      <c r="G50" s="28"/>
      <c r="H50" s="28"/>
      <c r="I50" s="28"/>
      <c r="J50" s="51"/>
      <c r="K50" s="52"/>
      <c r="L50" s="51">
        <v>38355</v>
      </c>
      <c r="M50" s="28"/>
      <c r="N50" s="6"/>
    </row>
    <row r="51" spans="1:14" ht="15.75">
      <c r="A51" s="27"/>
      <c r="B51" s="28"/>
      <c r="C51" s="28"/>
      <c r="D51" s="28"/>
      <c r="E51" s="28"/>
      <c r="F51" s="28"/>
      <c r="G51" s="28"/>
      <c r="H51" s="28"/>
      <c r="I51" s="28"/>
      <c r="J51" s="51"/>
      <c r="K51" s="52"/>
      <c r="L51" s="51"/>
      <c r="M51" s="28"/>
      <c r="N51" s="6"/>
    </row>
    <row r="52" spans="1:14" ht="15.75">
      <c r="A52" s="7"/>
      <c r="B52" s="9"/>
      <c r="C52" s="9"/>
      <c r="D52" s="9"/>
      <c r="E52" s="9"/>
      <c r="F52" s="9"/>
      <c r="G52" s="9"/>
      <c r="H52" s="9"/>
      <c r="I52" s="9"/>
      <c r="J52" s="53"/>
      <c r="K52" s="54"/>
      <c r="L52" s="53"/>
      <c r="M52" s="9"/>
      <c r="N52" s="6"/>
    </row>
    <row r="53" spans="1:14" ht="19.5" thickBot="1">
      <c r="A53" s="118"/>
      <c r="B53" s="119" t="s">
        <v>209</v>
      </c>
      <c r="C53" s="120"/>
      <c r="D53" s="120"/>
      <c r="E53" s="120"/>
      <c r="F53" s="120"/>
      <c r="G53" s="120"/>
      <c r="H53" s="120"/>
      <c r="I53" s="120"/>
      <c r="J53" s="121"/>
      <c r="K53" s="122"/>
      <c r="L53" s="121"/>
      <c r="M53" s="123"/>
      <c r="N53" s="6"/>
    </row>
    <row r="54" spans="1:14" ht="15.75">
      <c r="A54" s="2"/>
      <c r="B54" s="5"/>
      <c r="C54" s="5"/>
      <c r="D54" s="5"/>
      <c r="E54" s="5"/>
      <c r="F54" s="5"/>
      <c r="G54" s="5"/>
      <c r="H54" s="5"/>
      <c r="I54" s="5"/>
      <c r="J54" s="5"/>
      <c r="K54" s="5"/>
      <c r="L54" s="56"/>
      <c r="M54" s="5"/>
      <c r="N54" s="6"/>
    </row>
    <row r="55" spans="1:14" ht="15.75">
      <c r="A55" s="7"/>
      <c r="B55" s="57" t="s">
        <v>39</v>
      </c>
      <c r="C55" s="15"/>
      <c r="D55" s="9"/>
      <c r="E55" s="9"/>
      <c r="F55" s="9"/>
      <c r="G55" s="9"/>
      <c r="H55" s="9"/>
      <c r="I55" s="9"/>
      <c r="J55" s="9"/>
      <c r="K55" s="9"/>
      <c r="L55" s="58"/>
      <c r="M55" s="9"/>
      <c r="N55" s="6"/>
    </row>
    <row r="56" spans="1:14" ht="15.75">
      <c r="A56" s="7"/>
      <c r="B56" s="15"/>
      <c r="C56" s="15"/>
      <c r="D56" s="9"/>
      <c r="E56" s="9"/>
      <c r="F56" s="9"/>
      <c r="G56" s="9"/>
      <c r="H56" s="9"/>
      <c r="I56" s="9"/>
      <c r="J56" s="9"/>
      <c r="K56" s="9"/>
      <c r="L56" s="58"/>
      <c r="M56" s="9"/>
      <c r="N56" s="6"/>
    </row>
    <row r="57" spans="1:14" ht="63">
      <c r="A57" s="7"/>
      <c r="B57" s="134" t="s">
        <v>40</v>
      </c>
      <c r="C57" s="135" t="s">
        <v>149</v>
      </c>
      <c r="D57" s="135" t="s">
        <v>151</v>
      </c>
      <c r="E57" s="135"/>
      <c r="F57" s="135" t="s">
        <v>163</v>
      </c>
      <c r="G57" s="135"/>
      <c r="H57" s="135" t="s">
        <v>173</v>
      </c>
      <c r="I57" s="135"/>
      <c r="J57" s="135" t="s">
        <v>180</v>
      </c>
      <c r="K57" s="135"/>
      <c r="L57" s="136" t="s">
        <v>192</v>
      </c>
      <c r="M57" s="9"/>
      <c r="N57" s="6"/>
    </row>
    <row r="58" spans="1:14" ht="15.75">
      <c r="A58" s="27"/>
      <c r="B58" s="28" t="s">
        <v>41</v>
      </c>
      <c r="C58" s="38">
        <v>421950</v>
      </c>
      <c r="D58" s="38">
        <v>370635</v>
      </c>
      <c r="E58" s="38"/>
      <c r="F58" s="38">
        <f>12660+13+5467+18</f>
        <v>18158</v>
      </c>
      <c r="G58" s="38"/>
      <c r="H58" s="38">
        <f>5467+13</f>
        <v>5480</v>
      </c>
      <c r="I58" s="38"/>
      <c r="J58" s="38">
        <v>0</v>
      </c>
      <c r="K58" s="38"/>
      <c r="L58" s="59">
        <f>D58-F58+H58-J58</f>
        <v>357957</v>
      </c>
      <c r="M58" s="28"/>
      <c r="N58" s="6"/>
    </row>
    <row r="59" spans="1:14" ht="15.75">
      <c r="A59" s="27"/>
      <c r="B59" s="28" t="s">
        <v>42</v>
      </c>
      <c r="C59" s="38">
        <v>54</v>
      </c>
      <c r="D59" s="38">
        <v>0</v>
      </c>
      <c r="E59" s="38"/>
      <c r="F59" s="38">
        <v>0</v>
      </c>
      <c r="G59" s="38"/>
      <c r="H59" s="38">
        <v>0</v>
      </c>
      <c r="I59" s="38"/>
      <c r="J59" s="38">
        <v>0</v>
      </c>
      <c r="K59" s="38"/>
      <c r="L59" s="59">
        <f>D59-F59+H59-J59</f>
        <v>0</v>
      </c>
      <c r="M59" s="28"/>
      <c r="N59" s="6"/>
    </row>
    <row r="60" spans="1:14" ht="15.75">
      <c r="A60" s="27"/>
      <c r="B60" s="28"/>
      <c r="C60" s="38"/>
      <c r="D60" s="38"/>
      <c r="E60" s="38"/>
      <c r="F60" s="38"/>
      <c r="G60" s="38"/>
      <c r="H60" s="38"/>
      <c r="I60" s="38"/>
      <c r="J60" s="38"/>
      <c r="K60" s="38"/>
      <c r="L60" s="59"/>
      <c r="M60" s="28"/>
      <c r="N60" s="6"/>
    </row>
    <row r="61" spans="1:14" ht="15.75">
      <c r="A61" s="27"/>
      <c r="B61" s="28" t="s">
        <v>43</v>
      </c>
      <c r="C61" s="38">
        <f>SUM(C58:C60)</f>
        <v>422004</v>
      </c>
      <c r="D61" s="38">
        <f>SUM(D58:D60)</f>
        <v>370635</v>
      </c>
      <c r="E61" s="38"/>
      <c r="F61" s="38">
        <f>SUM(F58:F60)</f>
        <v>18158</v>
      </c>
      <c r="G61" s="38"/>
      <c r="H61" s="38">
        <f>SUM(H58:H60)</f>
        <v>5480</v>
      </c>
      <c r="I61" s="38"/>
      <c r="J61" s="38">
        <f>SUM(J58:J60)</f>
        <v>0</v>
      </c>
      <c r="K61" s="38"/>
      <c r="L61" s="60">
        <f>SUM(L58:L60)</f>
        <v>357957</v>
      </c>
      <c r="M61" s="28"/>
      <c r="N61" s="6"/>
    </row>
    <row r="62" spans="1:14" ht="15.75">
      <c r="A62" s="27"/>
      <c r="B62" s="28"/>
      <c r="C62" s="38"/>
      <c r="D62" s="38"/>
      <c r="E62" s="38"/>
      <c r="F62" s="38"/>
      <c r="G62" s="38"/>
      <c r="H62" s="38"/>
      <c r="I62" s="38"/>
      <c r="J62" s="38"/>
      <c r="K62" s="38"/>
      <c r="L62" s="60"/>
      <c r="M62" s="28"/>
      <c r="N62" s="6"/>
    </row>
    <row r="63" spans="1:14" ht="15.75">
      <c r="A63" s="7"/>
      <c r="B63" s="131" t="s">
        <v>44</v>
      </c>
      <c r="C63" s="61"/>
      <c r="D63" s="61"/>
      <c r="E63" s="61"/>
      <c r="F63" s="61"/>
      <c r="G63" s="61"/>
      <c r="H63" s="61"/>
      <c r="I63" s="61"/>
      <c r="J63" s="61"/>
      <c r="K63" s="61"/>
      <c r="L63" s="62"/>
      <c r="M63" s="9"/>
      <c r="N63" s="6"/>
    </row>
    <row r="64" spans="1:14" ht="15.75">
      <c r="A64" s="7"/>
      <c r="B64" s="9"/>
      <c r="C64" s="61"/>
      <c r="D64" s="61"/>
      <c r="E64" s="61"/>
      <c r="F64" s="61"/>
      <c r="G64" s="61"/>
      <c r="H64" s="61"/>
      <c r="I64" s="61"/>
      <c r="J64" s="61"/>
      <c r="K64" s="61"/>
      <c r="L64" s="62"/>
      <c r="M64" s="9"/>
      <c r="N64" s="6"/>
    </row>
    <row r="65" spans="1:14" ht="15.75">
      <c r="A65" s="27"/>
      <c r="B65" s="28" t="s">
        <v>41</v>
      </c>
      <c r="C65" s="38"/>
      <c r="D65" s="38"/>
      <c r="E65" s="38"/>
      <c r="F65" s="38"/>
      <c r="G65" s="38"/>
      <c r="H65" s="38"/>
      <c r="I65" s="38"/>
      <c r="J65" s="38"/>
      <c r="K65" s="38"/>
      <c r="L65" s="60"/>
      <c r="M65" s="28"/>
      <c r="N65" s="6"/>
    </row>
    <row r="66" spans="1:14" ht="15.75">
      <c r="A66" s="27"/>
      <c r="B66" s="28" t="s">
        <v>42</v>
      </c>
      <c r="C66" s="38"/>
      <c r="D66" s="38"/>
      <c r="E66" s="38"/>
      <c r="F66" s="38"/>
      <c r="G66" s="38"/>
      <c r="H66" s="38"/>
      <c r="I66" s="38"/>
      <c r="J66" s="38"/>
      <c r="K66" s="38"/>
      <c r="L66" s="60"/>
      <c r="M66" s="28"/>
      <c r="N66" s="6"/>
    </row>
    <row r="67" spans="1:14" ht="15.75">
      <c r="A67" s="27"/>
      <c r="B67" s="28"/>
      <c r="C67" s="38"/>
      <c r="D67" s="38"/>
      <c r="E67" s="38"/>
      <c r="F67" s="38"/>
      <c r="G67" s="38"/>
      <c r="H67" s="38"/>
      <c r="I67" s="38"/>
      <c r="J67" s="38"/>
      <c r="K67" s="38"/>
      <c r="L67" s="60"/>
      <c r="M67" s="28"/>
      <c r="N67" s="6"/>
    </row>
    <row r="68" spans="1:14" ht="15.75">
      <c r="A68" s="27"/>
      <c r="B68" s="28" t="s">
        <v>43</v>
      </c>
      <c r="C68" s="38"/>
      <c r="D68" s="38"/>
      <c r="E68" s="38"/>
      <c r="F68" s="38"/>
      <c r="G68" s="38"/>
      <c r="H68" s="38"/>
      <c r="I68" s="38"/>
      <c r="J68" s="38"/>
      <c r="K68" s="38"/>
      <c r="L68" s="38"/>
      <c r="M68" s="28"/>
      <c r="N68" s="6"/>
    </row>
    <row r="69" spans="1:14" ht="15.75">
      <c r="A69" s="27"/>
      <c r="B69" s="28"/>
      <c r="C69" s="38"/>
      <c r="D69" s="38"/>
      <c r="E69" s="38"/>
      <c r="F69" s="38"/>
      <c r="G69" s="38"/>
      <c r="H69" s="38"/>
      <c r="I69" s="38"/>
      <c r="J69" s="38"/>
      <c r="K69" s="38"/>
      <c r="L69" s="38"/>
      <c r="M69" s="28"/>
      <c r="N69" s="6"/>
    </row>
    <row r="70" spans="1:14" ht="15.75">
      <c r="A70" s="27"/>
      <c r="B70" s="28" t="s">
        <v>45</v>
      </c>
      <c r="C70" s="38">
        <v>0</v>
      </c>
      <c r="D70" s="38">
        <v>0</v>
      </c>
      <c r="E70" s="38"/>
      <c r="F70" s="38"/>
      <c r="G70" s="38"/>
      <c r="H70" s="38"/>
      <c r="I70" s="38"/>
      <c r="J70" s="38"/>
      <c r="K70" s="38"/>
      <c r="L70" s="59">
        <f>D70-F70+H70-J70</f>
        <v>0</v>
      </c>
      <c r="M70" s="28"/>
      <c r="N70" s="6"/>
    </row>
    <row r="71" spans="1:14" ht="15.75">
      <c r="A71" s="27"/>
      <c r="B71" s="28" t="s">
        <v>46</v>
      </c>
      <c r="C71" s="38">
        <v>77996</v>
      </c>
      <c r="D71" s="38">
        <v>0</v>
      </c>
      <c r="E71" s="38"/>
      <c r="F71" s="38"/>
      <c r="G71" s="38"/>
      <c r="H71" s="38"/>
      <c r="I71" s="38"/>
      <c r="J71" s="38"/>
      <c r="K71" s="38"/>
      <c r="L71" s="60">
        <v>0</v>
      </c>
      <c r="M71" s="28"/>
      <c r="N71" s="6"/>
    </row>
    <row r="72" spans="1:14" ht="15.75">
      <c r="A72" s="27"/>
      <c r="B72" s="28" t="s">
        <v>47</v>
      </c>
      <c r="C72" s="38">
        <v>0</v>
      </c>
      <c r="D72" s="38">
        <v>0</v>
      </c>
      <c r="E72" s="38"/>
      <c r="F72" s="38"/>
      <c r="G72" s="38"/>
      <c r="H72" s="38"/>
      <c r="I72" s="38"/>
      <c r="J72" s="38"/>
      <c r="K72" s="38"/>
      <c r="L72" s="60">
        <v>18</v>
      </c>
      <c r="M72" s="28"/>
      <c r="N72" s="6"/>
    </row>
    <row r="73" spans="1:14" ht="15.75">
      <c r="A73" s="27"/>
      <c r="B73" s="28" t="s">
        <v>48</v>
      </c>
      <c r="C73" s="60">
        <f>SUM(C61:C72)</f>
        <v>500000</v>
      </c>
      <c r="D73" s="60">
        <f>SUM(D61:D72)</f>
        <v>370635</v>
      </c>
      <c r="E73" s="38"/>
      <c r="F73" s="60"/>
      <c r="G73" s="38"/>
      <c r="H73" s="60"/>
      <c r="I73" s="38"/>
      <c r="J73" s="60"/>
      <c r="K73" s="38"/>
      <c r="L73" s="60">
        <f>SUM(L61:L72)</f>
        <v>357975</v>
      </c>
      <c r="M73" s="28"/>
      <c r="N73" s="6"/>
    </row>
    <row r="74" spans="1:14" ht="15.75">
      <c r="A74" s="7"/>
      <c r="B74" s="9"/>
      <c r="C74" s="9"/>
      <c r="D74" s="9"/>
      <c r="E74" s="9"/>
      <c r="F74" s="9"/>
      <c r="G74" s="9"/>
      <c r="H74" s="9"/>
      <c r="I74" s="9"/>
      <c r="J74" s="9"/>
      <c r="K74" s="9"/>
      <c r="L74" s="9"/>
      <c r="M74" s="9"/>
      <c r="N74" s="6"/>
    </row>
    <row r="75" spans="1:14" ht="15.75">
      <c r="A75" s="7"/>
      <c r="B75" s="57" t="s">
        <v>49</v>
      </c>
      <c r="C75" s="16"/>
      <c r="D75" s="16"/>
      <c r="E75" s="16"/>
      <c r="F75" s="16"/>
      <c r="G75" s="16"/>
      <c r="H75" s="16"/>
      <c r="I75" s="19"/>
      <c r="J75" s="19" t="s">
        <v>181</v>
      </c>
      <c r="K75" s="19"/>
      <c r="L75" s="19" t="s">
        <v>193</v>
      </c>
      <c r="M75" s="9"/>
      <c r="N75" s="6"/>
    </row>
    <row r="76" spans="1:14" ht="15.75">
      <c r="A76" s="27"/>
      <c r="B76" s="28" t="s">
        <v>50</v>
      </c>
      <c r="C76" s="28"/>
      <c r="D76" s="28"/>
      <c r="E76" s="28"/>
      <c r="F76" s="28"/>
      <c r="G76" s="28"/>
      <c r="H76" s="28"/>
      <c r="I76" s="28"/>
      <c r="J76" s="38">
        <v>0</v>
      </c>
      <c r="K76" s="28"/>
      <c r="L76" s="59">
        <v>0</v>
      </c>
      <c r="M76" s="28"/>
      <c r="N76" s="6"/>
    </row>
    <row r="77" spans="1:14" ht="15.75">
      <c r="A77" s="27"/>
      <c r="B77" s="28" t="s">
        <v>51</v>
      </c>
      <c r="C77" s="47" t="s">
        <v>150</v>
      </c>
      <c r="D77" s="63">
        <f>J158</f>
        <v>38352</v>
      </c>
      <c r="E77" s="28"/>
      <c r="F77" s="28"/>
      <c r="G77" s="28"/>
      <c r="H77" s="28"/>
      <c r="I77" s="28"/>
      <c r="J77" s="38">
        <v>18140</v>
      </c>
      <c r="K77" s="28"/>
      <c r="L77" s="59"/>
      <c r="M77" s="28"/>
      <c r="N77" s="6"/>
    </row>
    <row r="78" spans="1:14" ht="15.75">
      <c r="A78" s="27"/>
      <c r="B78" s="28" t="s">
        <v>52</v>
      </c>
      <c r="C78" s="28"/>
      <c r="D78" s="28"/>
      <c r="E78" s="28"/>
      <c r="F78" s="28"/>
      <c r="G78" s="28"/>
      <c r="H78" s="28"/>
      <c r="I78" s="28"/>
      <c r="J78" s="38"/>
      <c r="K78" s="28"/>
      <c r="L78" s="59">
        <f>6309-20</f>
        <v>6289</v>
      </c>
      <c r="M78" s="28"/>
      <c r="N78" s="6"/>
    </row>
    <row r="79" spans="1:14" ht="15.75">
      <c r="A79" s="27"/>
      <c r="B79" s="28" t="s">
        <v>53</v>
      </c>
      <c r="C79" s="28"/>
      <c r="D79" s="28"/>
      <c r="E79" s="28"/>
      <c r="F79" s="28"/>
      <c r="G79" s="28"/>
      <c r="H79" s="28"/>
      <c r="I79" s="28"/>
      <c r="J79" s="38"/>
      <c r="K79" s="28"/>
      <c r="L79" s="59">
        <v>0</v>
      </c>
      <c r="M79" s="28"/>
      <c r="N79" s="6"/>
    </row>
    <row r="80" spans="1:14" ht="15.75">
      <c r="A80" s="27"/>
      <c r="B80" s="28" t="s">
        <v>54</v>
      </c>
      <c r="C80" s="28"/>
      <c r="D80" s="28"/>
      <c r="E80" s="28"/>
      <c r="F80" s="28"/>
      <c r="G80" s="28"/>
      <c r="H80" s="28"/>
      <c r="I80" s="28"/>
      <c r="J80" s="38">
        <f>SUM(J76:J79)</f>
        <v>18140</v>
      </c>
      <c r="K80" s="28"/>
      <c r="L80" s="60">
        <f>SUM(L76:L79)</f>
        <v>6289</v>
      </c>
      <c r="M80" s="28"/>
      <c r="N80" s="6"/>
    </row>
    <row r="81" spans="1:14" ht="15.75">
      <c r="A81" s="27"/>
      <c r="B81" s="28" t="s">
        <v>55</v>
      </c>
      <c r="C81" s="28"/>
      <c r="D81" s="28"/>
      <c r="E81" s="28"/>
      <c r="F81" s="28"/>
      <c r="G81" s="28"/>
      <c r="H81" s="28"/>
      <c r="I81" s="28"/>
      <c r="J81" s="38">
        <v>0</v>
      </c>
      <c r="K81" s="28"/>
      <c r="L81" s="59">
        <v>0</v>
      </c>
      <c r="M81" s="28"/>
      <c r="N81" s="6"/>
    </row>
    <row r="82" spans="1:14" ht="15.75">
      <c r="A82" s="27"/>
      <c r="B82" s="28" t="s">
        <v>56</v>
      </c>
      <c r="C82" s="28"/>
      <c r="D82" s="28"/>
      <c r="E82" s="28"/>
      <c r="F82" s="28"/>
      <c r="G82" s="28"/>
      <c r="H82" s="28"/>
      <c r="I82" s="28"/>
      <c r="J82" s="38">
        <f>J80+J81</f>
        <v>18140</v>
      </c>
      <c r="K82" s="28"/>
      <c r="L82" s="60">
        <f>L80+L81</f>
        <v>6289</v>
      </c>
      <c r="M82" s="28"/>
      <c r="N82" s="6"/>
    </row>
    <row r="83" spans="1:14" ht="15.75">
      <c r="A83" s="27"/>
      <c r="B83" s="137" t="s">
        <v>57</v>
      </c>
      <c r="C83" s="64"/>
      <c r="D83" s="28"/>
      <c r="E83" s="28"/>
      <c r="F83" s="28"/>
      <c r="G83" s="28"/>
      <c r="H83" s="28"/>
      <c r="I83" s="28"/>
      <c r="J83" s="38"/>
      <c r="K83" s="28"/>
      <c r="L83" s="59"/>
      <c r="M83" s="28"/>
      <c r="N83" s="6"/>
    </row>
    <row r="84" spans="1:14" ht="15.75">
      <c r="A84" s="27">
        <v>1</v>
      </c>
      <c r="B84" s="28" t="s">
        <v>58</v>
      </c>
      <c r="C84" s="28"/>
      <c r="D84" s="28"/>
      <c r="E84" s="28"/>
      <c r="F84" s="28"/>
      <c r="G84" s="28"/>
      <c r="H84" s="28"/>
      <c r="I84" s="28"/>
      <c r="J84" s="28"/>
      <c r="K84" s="28"/>
      <c r="L84" s="59">
        <v>0</v>
      </c>
      <c r="M84" s="28"/>
      <c r="N84" s="6"/>
    </row>
    <row r="85" spans="1:14" ht="15.75">
      <c r="A85" s="27">
        <v>2</v>
      </c>
      <c r="B85" s="28" t="s">
        <v>59</v>
      </c>
      <c r="C85" s="28"/>
      <c r="D85" s="28"/>
      <c r="E85" s="28"/>
      <c r="F85" s="28"/>
      <c r="G85" s="28"/>
      <c r="H85" s="28"/>
      <c r="I85" s="28"/>
      <c r="J85" s="28"/>
      <c r="K85" s="28"/>
      <c r="L85" s="59">
        <v>-5</v>
      </c>
      <c r="M85" s="28"/>
      <c r="N85" s="6"/>
    </row>
    <row r="86" spans="1:14" ht="15.75">
      <c r="A86" s="27">
        <v>3</v>
      </c>
      <c r="B86" s="28" t="s">
        <v>60</v>
      </c>
      <c r="C86" s="28"/>
      <c r="D86" s="28"/>
      <c r="E86" s="28"/>
      <c r="F86" s="28"/>
      <c r="G86" s="28"/>
      <c r="H86" s="28"/>
      <c r="I86" s="28"/>
      <c r="J86" s="28"/>
      <c r="K86" s="28"/>
      <c r="L86" s="59">
        <f>-280-9</f>
        <v>-289</v>
      </c>
      <c r="M86" s="28"/>
      <c r="N86" s="6"/>
    </row>
    <row r="87" spans="1:14" ht="15.75">
      <c r="A87" s="27">
        <v>4</v>
      </c>
      <c r="B87" s="28" t="s">
        <v>61</v>
      </c>
      <c r="C87" s="28"/>
      <c r="D87" s="28"/>
      <c r="E87" s="28"/>
      <c r="F87" s="28"/>
      <c r="G87" s="28"/>
      <c r="H87" s="28"/>
      <c r="I87" s="28"/>
      <c r="J87" s="28"/>
      <c r="K87" s="28"/>
      <c r="L87" s="59">
        <v>-57</v>
      </c>
      <c r="M87" s="28"/>
      <c r="N87" s="6"/>
    </row>
    <row r="88" spans="1:14" ht="15.75">
      <c r="A88" s="27">
        <v>5</v>
      </c>
      <c r="B88" s="28" t="s">
        <v>62</v>
      </c>
      <c r="C88" s="28"/>
      <c r="D88" s="28"/>
      <c r="E88" s="28"/>
      <c r="F88" s="28"/>
      <c r="G88" s="28"/>
      <c r="H88" s="28"/>
      <c r="I88" s="28"/>
      <c r="J88" s="28"/>
      <c r="K88" s="28"/>
      <c r="L88" s="59">
        <v>-4276</v>
      </c>
      <c r="M88" s="28"/>
      <c r="N88" s="6"/>
    </row>
    <row r="89" spans="1:14" ht="15.75">
      <c r="A89" s="27">
        <v>6</v>
      </c>
      <c r="B89" s="28" t="s">
        <v>63</v>
      </c>
      <c r="C89" s="28"/>
      <c r="D89" s="28"/>
      <c r="E89" s="28"/>
      <c r="F89" s="28"/>
      <c r="G89" s="28"/>
      <c r="H89" s="28"/>
      <c r="I89" s="28"/>
      <c r="J89" s="28"/>
      <c r="K89" s="28"/>
      <c r="L89" s="59">
        <v>-617</v>
      </c>
      <c r="M89" s="28"/>
      <c r="N89" s="6"/>
    </row>
    <row r="90" spans="1:14" ht="15.75">
      <c r="A90" s="27">
        <v>7</v>
      </c>
      <c r="B90" s="28" t="s">
        <v>64</v>
      </c>
      <c r="C90" s="28"/>
      <c r="D90" s="28"/>
      <c r="E90" s="28"/>
      <c r="F90" s="28"/>
      <c r="G90" s="28"/>
      <c r="H90" s="28"/>
      <c r="I90" s="28"/>
      <c r="J90" s="28"/>
      <c r="K90" s="28"/>
      <c r="L90" s="59">
        <v>-5</v>
      </c>
      <c r="M90" s="28"/>
      <c r="N90" s="6"/>
    </row>
    <row r="91" spans="1:14" ht="15.75">
      <c r="A91" s="27">
        <v>8</v>
      </c>
      <c r="B91" s="28" t="s">
        <v>65</v>
      </c>
      <c r="C91" s="28"/>
      <c r="D91" s="28"/>
      <c r="E91" s="28"/>
      <c r="F91" s="28"/>
      <c r="G91" s="28"/>
      <c r="H91" s="28"/>
      <c r="I91" s="28"/>
      <c r="J91" s="28"/>
      <c r="K91" s="28"/>
      <c r="L91" s="59">
        <v>-18</v>
      </c>
      <c r="M91" s="28"/>
      <c r="N91" s="6"/>
    </row>
    <row r="92" spans="1:14" ht="15.75">
      <c r="A92" s="27">
        <v>9</v>
      </c>
      <c r="B92" s="28" t="s">
        <v>66</v>
      </c>
      <c r="C92" s="28"/>
      <c r="D92" s="28"/>
      <c r="E92" s="28"/>
      <c r="F92" s="28"/>
      <c r="G92" s="28"/>
      <c r="H92" s="28"/>
      <c r="I92" s="28"/>
      <c r="J92" s="28"/>
      <c r="K92" s="28"/>
      <c r="L92" s="59">
        <v>0</v>
      </c>
      <c r="M92" s="28"/>
      <c r="N92" s="6"/>
    </row>
    <row r="93" spans="1:14" ht="15.75">
      <c r="A93" s="27">
        <v>10</v>
      </c>
      <c r="B93" s="28" t="s">
        <v>67</v>
      </c>
      <c r="C93" s="28"/>
      <c r="D93" s="28"/>
      <c r="E93" s="28"/>
      <c r="F93" s="28"/>
      <c r="G93" s="28"/>
      <c r="H93" s="28"/>
      <c r="I93" s="28"/>
      <c r="J93" s="28"/>
      <c r="K93" s="28"/>
      <c r="L93" s="59">
        <v>0</v>
      </c>
      <c r="M93" s="28"/>
      <c r="N93" s="6"/>
    </row>
    <row r="94" spans="1:14" ht="15.75">
      <c r="A94" s="27">
        <v>11</v>
      </c>
      <c r="B94" s="28" t="s">
        <v>68</v>
      </c>
      <c r="C94" s="28"/>
      <c r="D94" s="28"/>
      <c r="E94" s="28"/>
      <c r="F94" s="28"/>
      <c r="G94" s="28"/>
      <c r="H94" s="28"/>
      <c r="I94" s="28"/>
      <c r="J94" s="28"/>
      <c r="K94" s="28"/>
      <c r="L94" s="59">
        <v>0</v>
      </c>
      <c r="M94" s="28"/>
      <c r="N94" s="6"/>
    </row>
    <row r="95" spans="1:14" ht="15.75">
      <c r="A95" s="27">
        <v>12</v>
      </c>
      <c r="B95" s="28" t="s">
        <v>69</v>
      </c>
      <c r="C95" s="28"/>
      <c r="D95" s="28"/>
      <c r="E95" s="28"/>
      <c r="F95" s="28"/>
      <c r="G95" s="28"/>
      <c r="H95" s="28"/>
      <c r="I95" s="28"/>
      <c r="J95" s="28"/>
      <c r="K95" s="28"/>
      <c r="L95" s="59">
        <f>-30-222</f>
        <v>-252</v>
      </c>
      <c r="M95" s="28"/>
      <c r="N95" s="6"/>
    </row>
    <row r="96" spans="1:14" ht="15.75">
      <c r="A96" s="27">
        <v>13</v>
      </c>
      <c r="B96" s="28" t="s">
        <v>70</v>
      </c>
      <c r="C96" s="28"/>
      <c r="D96" s="28"/>
      <c r="E96" s="28"/>
      <c r="F96" s="28"/>
      <c r="G96" s="28"/>
      <c r="H96" s="28"/>
      <c r="I96" s="28"/>
      <c r="J96" s="28"/>
      <c r="K96" s="28"/>
      <c r="L96" s="59">
        <f>-SUM(L82:L95)</f>
        <v>-770</v>
      </c>
      <c r="M96" s="28"/>
      <c r="N96" s="6"/>
    </row>
    <row r="97" spans="1:14" ht="15.75">
      <c r="A97" s="27"/>
      <c r="B97" s="137" t="s">
        <v>71</v>
      </c>
      <c r="C97" s="64"/>
      <c r="D97" s="28"/>
      <c r="E97" s="28"/>
      <c r="F97" s="28"/>
      <c r="G97" s="28"/>
      <c r="H97" s="28"/>
      <c r="I97" s="28"/>
      <c r="J97" s="28"/>
      <c r="K97" s="28"/>
      <c r="L97" s="65"/>
      <c r="M97" s="28"/>
      <c r="N97" s="6"/>
    </row>
    <row r="98" spans="1:14" ht="15.75">
      <c r="A98" s="27"/>
      <c r="B98" s="28" t="s">
        <v>72</v>
      </c>
      <c r="C98" s="64"/>
      <c r="D98" s="28"/>
      <c r="E98" s="28"/>
      <c r="F98" s="28"/>
      <c r="G98" s="28"/>
      <c r="H98" s="28"/>
      <c r="I98" s="28"/>
      <c r="J98" s="38">
        <f>-J144</f>
        <v>-12</v>
      </c>
      <c r="K98" s="38"/>
      <c r="L98" s="59"/>
      <c r="M98" s="28"/>
      <c r="N98" s="6"/>
    </row>
    <row r="99" spans="1:14" ht="15.75">
      <c r="A99" s="27"/>
      <c r="B99" s="28" t="s">
        <v>73</v>
      </c>
      <c r="C99" s="28"/>
      <c r="D99" s="28"/>
      <c r="E99" s="28"/>
      <c r="F99" s="28"/>
      <c r="G99" s="28"/>
      <c r="H99" s="28"/>
      <c r="I99" s="28"/>
      <c r="J99" s="38">
        <f>-H144</f>
        <v>-5468</v>
      </c>
      <c r="K99" s="38"/>
      <c r="L99" s="59"/>
      <c r="M99" s="28"/>
      <c r="N99" s="6"/>
    </row>
    <row r="100" spans="1:14" ht="15.75">
      <c r="A100" s="27"/>
      <c r="B100" s="28" t="s">
        <v>74</v>
      </c>
      <c r="C100" s="28"/>
      <c r="D100" s="28"/>
      <c r="E100" s="28"/>
      <c r="F100" s="28"/>
      <c r="G100" s="28"/>
      <c r="H100" s="28"/>
      <c r="I100" s="28"/>
      <c r="J100" s="38">
        <v>-12660</v>
      </c>
      <c r="K100" s="38"/>
      <c r="L100" s="59"/>
      <c r="M100" s="28"/>
      <c r="N100" s="6"/>
    </row>
    <row r="101" spans="1:14" ht="15.75">
      <c r="A101" s="27"/>
      <c r="B101" s="28" t="s">
        <v>75</v>
      </c>
      <c r="C101" s="28"/>
      <c r="D101" s="28"/>
      <c r="E101" s="28"/>
      <c r="F101" s="28"/>
      <c r="G101" s="28"/>
      <c r="H101" s="28"/>
      <c r="I101" s="28"/>
      <c r="J101" s="38">
        <v>0</v>
      </c>
      <c r="K101" s="38"/>
      <c r="L101" s="59"/>
      <c r="M101" s="28"/>
      <c r="N101" s="6"/>
    </row>
    <row r="102" spans="1:14" ht="15.75">
      <c r="A102" s="27"/>
      <c r="B102" s="28" t="s">
        <v>76</v>
      </c>
      <c r="C102" s="28"/>
      <c r="D102" s="28"/>
      <c r="E102" s="28"/>
      <c r="F102" s="28"/>
      <c r="G102" s="28"/>
      <c r="H102" s="28"/>
      <c r="I102" s="28"/>
      <c r="J102" s="38">
        <f>SUM(J83:J101)</f>
        <v>-18140</v>
      </c>
      <c r="K102" s="38"/>
      <c r="L102" s="38">
        <f>SUM(L83:L101)</f>
        <v>-6289</v>
      </c>
      <c r="M102" s="28"/>
      <c r="N102" s="6"/>
    </row>
    <row r="103" spans="1:14" ht="15.75">
      <c r="A103" s="27"/>
      <c r="B103" s="28" t="s">
        <v>77</v>
      </c>
      <c r="C103" s="28"/>
      <c r="D103" s="28"/>
      <c r="E103" s="28"/>
      <c r="F103" s="28"/>
      <c r="G103" s="28"/>
      <c r="H103" s="28"/>
      <c r="I103" s="28"/>
      <c r="J103" s="38">
        <f>J82+J102</f>
        <v>0</v>
      </c>
      <c r="K103" s="38"/>
      <c r="L103" s="38">
        <f>L82+L102</f>
        <v>0</v>
      </c>
      <c r="M103" s="28"/>
      <c r="N103" s="6"/>
    </row>
    <row r="104" spans="1:14" ht="12" customHeight="1">
      <c r="A104" s="7"/>
      <c r="B104" s="9"/>
      <c r="C104" s="9"/>
      <c r="D104" s="9"/>
      <c r="E104" s="9"/>
      <c r="F104" s="9"/>
      <c r="G104" s="9"/>
      <c r="H104" s="9"/>
      <c r="I104" s="9"/>
      <c r="J104" s="9"/>
      <c r="K104" s="9"/>
      <c r="L104" s="58"/>
      <c r="M104" s="9"/>
      <c r="N104" s="6"/>
    </row>
    <row r="105" spans="1:14" ht="12" customHeight="1">
      <c r="A105" s="7"/>
      <c r="B105" s="9"/>
      <c r="C105" s="9"/>
      <c r="D105" s="9"/>
      <c r="E105" s="9"/>
      <c r="F105" s="9"/>
      <c r="G105" s="9"/>
      <c r="H105" s="9"/>
      <c r="I105" s="9"/>
      <c r="J105" s="9"/>
      <c r="K105" s="9"/>
      <c r="L105" s="58"/>
      <c r="M105" s="9"/>
      <c r="N105" s="6"/>
    </row>
    <row r="106" spans="1:14" ht="15.75" customHeight="1" thickBot="1">
      <c r="A106" s="118"/>
      <c r="B106" s="119" t="str">
        <f>B53</f>
        <v>PM4 INVESTOR REPORT QUARTER ENDING DECEMBER 2004</v>
      </c>
      <c r="C106" s="120"/>
      <c r="D106" s="120"/>
      <c r="E106" s="120"/>
      <c r="F106" s="120"/>
      <c r="G106" s="120"/>
      <c r="H106" s="120"/>
      <c r="I106" s="120"/>
      <c r="J106" s="120"/>
      <c r="K106" s="120"/>
      <c r="L106" s="124"/>
      <c r="M106" s="123"/>
      <c r="N106" s="6"/>
    </row>
    <row r="107" spans="1:14" ht="12" customHeight="1">
      <c r="A107" s="2"/>
      <c r="B107" s="5"/>
      <c r="C107" s="5"/>
      <c r="D107" s="5"/>
      <c r="E107" s="5"/>
      <c r="F107" s="5"/>
      <c r="G107" s="5"/>
      <c r="H107" s="5"/>
      <c r="I107" s="5"/>
      <c r="J107" s="5"/>
      <c r="K107" s="5"/>
      <c r="L107" s="66"/>
      <c r="M107" s="5"/>
      <c r="N107" s="6"/>
    </row>
    <row r="108" spans="1:14" ht="15.75">
      <c r="A108" s="7"/>
      <c r="B108" s="57" t="s">
        <v>78</v>
      </c>
      <c r="C108" s="15"/>
      <c r="D108" s="9"/>
      <c r="E108" s="9"/>
      <c r="F108" s="9"/>
      <c r="G108" s="9"/>
      <c r="H108" s="9"/>
      <c r="I108" s="9"/>
      <c r="J108" s="9"/>
      <c r="K108" s="9"/>
      <c r="L108" s="58"/>
      <c r="M108" s="9"/>
      <c r="N108" s="6"/>
    </row>
    <row r="109" spans="1:14" ht="15.75">
      <c r="A109" s="7"/>
      <c r="B109" s="23"/>
      <c r="C109" s="15"/>
      <c r="D109" s="9"/>
      <c r="E109" s="9"/>
      <c r="F109" s="9"/>
      <c r="G109" s="9"/>
      <c r="H109" s="9"/>
      <c r="I109" s="9"/>
      <c r="J109" s="9"/>
      <c r="K109" s="9"/>
      <c r="L109" s="58"/>
      <c r="M109" s="9"/>
      <c r="N109" s="6"/>
    </row>
    <row r="110" spans="1:14" ht="15.75">
      <c r="A110" s="7"/>
      <c r="B110" s="138" t="s">
        <v>79</v>
      </c>
      <c r="C110" s="15"/>
      <c r="D110" s="9"/>
      <c r="E110" s="9"/>
      <c r="F110" s="9"/>
      <c r="G110" s="9"/>
      <c r="H110" s="9"/>
      <c r="I110" s="9"/>
      <c r="J110" s="9"/>
      <c r="K110" s="9"/>
      <c r="L110" s="58"/>
      <c r="M110" s="9"/>
      <c r="N110" s="6"/>
    </row>
    <row r="111" spans="1:14" ht="15.75">
      <c r="A111" s="27"/>
      <c r="B111" s="28" t="s">
        <v>80</v>
      </c>
      <c r="C111" s="28"/>
      <c r="D111" s="28"/>
      <c r="E111" s="28"/>
      <c r="F111" s="28"/>
      <c r="G111" s="28"/>
      <c r="H111" s="28"/>
      <c r="I111" s="28"/>
      <c r="J111" s="28"/>
      <c r="K111" s="28"/>
      <c r="L111" s="59">
        <v>8750</v>
      </c>
      <c r="M111" s="28"/>
      <c r="N111" s="6"/>
    </row>
    <row r="112" spans="1:14" ht="15.75">
      <c r="A112" s="27"/>
      <c r="B112" s="28" t="s">
        <v>81</v>
      </c>
      <c r="C112" s="28"/>
      <c r="D112" s="28"/>
      <c r="E112" s="28"/>
      <c r="F112" s="28"/>
      <c r="G112" s="28"/>
      <c r="H112" s="28"/>
      <c r="I112" s="28"/>
      <c r="J112" s="28"/>
      <c r="K112" s="28"/>
      <c r="L112" s="59">
        <f>L111</f>
        <v>8750</v>
      </c>
      <c r="M112" s="28"/>
      <c r="N112" s="6"/>
    </row>
    <row r="113" spans="1:14" ht="15.75">
      <c r="A113" s="27"/>
      <c r="B113" s="28" t="s">
        <v>82</v>
      </c>
      <c r="C113" s="28"/>
      <c r="D113" s="28"/>
      <c r="E113" s="28"/>
      <c r="F113" s="28"/>
      <c r="G113" s="28"/>
      <c r="H113" s="28"/>
      <c r="I113" s="28"/>
      <c r="J113" s="28"/>
      <c r="K113" s="28"/>
      <c r="L113" s="59">
        <v>0</v>
      </c>
      <c r="M113" s="28"/>
      <c r="N113" s="6"/>
    </row>
    <row r="114" spans="1:14" ht="15.75">
      <c r="A114" s="27"/>
      <c r="B114" s="28" t="s">
        <v>83</v>
      </c>
      <c r="C114" s="28"/>
      <c r="D114" s="28"/>
      <c r="E114" s="28"/>
      <c r="F114" s="28"/>
      <c r="G114" s="28"/>
      <c r="H114" s="28"/>
      <c r="I114" s="28"/>
      <c r="J114" s="28"/>
      <c r="K114" s="28"/>
      <c r="L114" s="59">
        <v>0</v>
      </c>
      <c r="M114" s="28"/>
      <c r="N114" s="6"/>
    </row>
    <row r="115" spans="1:14" ht="15.75">
      <c r="A115" s="27"/>
      <c r="B115" s="28" t="s">
        <v>84</v>
      </c>
      <c r="C115" s="28"/>
      <c r="D115" s="28"/>
      <c r="E115" s="28"/>
      <c r="F115" s="28"/>
      <c r="G115" s="28"/>
      <c r="H115" s="28"/>
      <c r="I115" s="28"/>
      <c r="J115" s="28"/>
      <c r="K115" s="28"/>
      <c r="L115" s="59">
        <v>0</v>
      </c>
      <c r="M115" s="28"/>
      <c r="N115" s="6"/>
    </row>
    <row r="116" spans="1:14" ht="15.75">
      <c r="A116" s="27"/>
      <c r="B116" s="28" t="s">
        <v>62</v>
      </c>
      <c r="C116" s="28"/>
      <c r="D116" s="28"/>
      <c r="E116" s="28"/>
      <c r="F116" s="28"/>
      <c r="G116" s="28"/>
      <c r="H116" s="28"/>
      <c r="I116" s="28"/>
      <c r="J116" s="28"/>
      <c r="K116" s="28"/>
      <c r="L116" s="59">
        <v>0</v>
      </c>
      <c r="M116" s="28"/>
      <c r="N116" s="6"/>
    </row>
    <row r="117" spans="1:14" ht="15.75">
      <c r="A117" s="27"/>
      <c r="B117" s="28" t="s">
        <v>63</v>
      </c>
      <c r="C117" s="28"/>
      <c r="D117" s="28"/>
      <c r="E117" s="28"/>
      <c r="F117" s="28"/>
      <c r="G117" s="28"/>
      <c r="H117" s="28"/>
      <c r="I117" s="28"/>
      <c r="J117" s="28"/>
      <c r="K117" s="28"/>
      <c r="L117" s="59">
        <v>0</v>
      </c>
      <c r="M117" s="28"/>
      <c r="N117" s="6"/>
    </row>
    <row r="118" spans="1:14" ht="15.75">
      <c r="A118" s="27"/>
      <c r="B118" s="28" t="s">
        <v>85</v>
      </c>
      <c r="C118" s="28"/>
      <c r="D118" s="28"/>
      <c r="E118" s="28"/>
      <c r="F118" s="28"/>
      <c r="G118" s="28"/>
      <c r="H118" s="28"/>
      <c r="I118" s="28"/>
      <c r="J118" s="28"/>
      <c r="K118" s="28"/>
      <c r="L118" s="59">
        <v>0</v>
      </c>
      <c r="M118" s="28"/>
      <c r="N118" s="6"/>
    </row>
    <row r="119" spans="1:14" ht="15.75">
      <c r="A119" s="27"/>
      <c r="B119" s="28" t="s">
        <v>86</v>
      </c>
      <c r="C119" s="28"/>
      <c r="D119" s="28"/>
      <c r="E119" s="28"/>
      <c r="F119" s="28"/>
      <c r="G119" s="28"/>
      <c r="H119" s="28"/>
      <c r="I119" s="28"/>
      <c r="J119" s="28"/>
      <c r="K119" s="28"/>
      <c r="L119" s="59">
        <f>SUM(L112:L118)</f>
        <v>8750</v>
      </c>
      <c r="M119" s="28"/>
      <c r="N119" s="6"/>
    </row>
    <row r="120" spans="1:14" ht="15.75">
      <c r="A120" s="27"/>
      <c r="B120" s="28"/>
      <c r="C120" s="28"/>
      <c r="D120" s="28"/>
      <c r="E120" s="28"/>
      <c r="F120" s="28"/>
      <c r="G120" s="28"/>
      <c r="H120" s="28"/>
      <c r="I120" s="28"/>
      <c r="J120" s="28"/>
      <c r="K120" s="28"/>
      <c r="L120" s="67"/>
      <c r="M120" s="28"/>
      <c r="N120" s="6"/>
    </row>
    <row r="121" spans="1:14" ht="15.75">
      <c r="A121" s="7"/>
      <c r="B121" s="138" t="s">
        <v>87</v>
      </c>
      <c r="C121" s="9"/>
      <c r="D121" s="9"/>
      <c r="E121" s="9"/>
      <c r="F121" s="9"/>
      <c r="G121" s="9"/>
      <c r="H121" s="9"/>
      <c r="I121" s="9"/>
      <c r="J121" s="9"/>
      <c r="K121" s="9"/>
      <c r="L121" s="58"/>
      <c r="M121" s="9"/>
      <c r="N121" s="6"/>
    </row>
    <row r="122" spans="1:14" ht="15.75">
      <c r="A122" s="27"/>
      <c r="B122" s="28" t="s">
        <v>88</v>
      </c>
      <c r="C122" s="28"/>
      <c r="D122" s="68"/>
      <c r="E122" s="28"/>
      <c r="F122" s="28"/>
      <c r="G122" s="28"/>
      <c r="H122" s="28"/>
      <c r="I122" s="28"/>
      <c r="J122" s="28"/>
      <c r="K122" s="28"/>
      <c r="L122" s="69" t="s">
        <v>194</v>
      </c>
      <c r="M122" s="28"/>
      <c r="N122" s="6"/>
    </row>
    <row r="123" spans="1:14" ht="15.75">
      <c r="A123" s="27"/>
      <c r="B123" s="28" t="s">
        <v>89</v>
      </c>
      <c r="C123" s="126"/>
      <c r="D123" s="126"/>
      <c r="E123" s="126"/>
      <c r="F123" s="126"/>
      <c r="G123" s="126"/>
      <c r="H123" s="126"/>
      <c r="I123" s="126"/>
      <c r="J123" s="126"/>
      <c r="K123" s="126"/>
      <c r="L123" s="69" t="s">
        <v>194</v>
      </c>
      <c r="M123" s="28"/>
      <c r="N123" s="6"/>
    </row>
    <row r="124" spans="1:14" ht="15.75">
      <c r="A124" s="27"/>
      <c r="B124" s="28" t="s">
        <v>90</v>
      </c>
      <c r="C124" s="28"/>
      <c r="D124" s="28"/>
      <c r="E124" s="28"/>
      <c r="F124" s="28"/>
      <c r="G124" s="28"/>
      <c r="H124" s="28"/>
      <c r="I124" s="28"/>
      <c r="J124" s="28"/>
      <c r="K124" s="28"/>
      <c r="L124" s="69" t="s">
        <v>194</v>
      </c>
      <c r="M124" s="28"/>
      <c r="N124" s="6"/>
    </row>
    <row r="125" spans="1:14" ht="15.75">
      <c r="A125" s="27"/>
      <c r="B125" s="28" t="s">
        <v>91</v>
      </c>
      <c r="C125" s="28"/>
      <c r="D125" s="28"/>
      <c r="E125" s="28"/>
      <c r="F125" s="28"/>
      <c r="G125" s="28"/>
      <c r="H125" s="28"/>
      <c r="I125" s="28"/>
      <c r="J125" s="28"/>
      <c r="K125" s="28"/>
      <c r="L125" s="69" t="s">
        <v>194</v>
      </c>
      <c r="M125" s="28"/>
      <c r="N125" s="6"/>
    </row>
    <row r="126" spans="1:14" ht="15.75">
      <c r="A126" s="27"/>
      <c r="B126" s="28"/>
      <c r="C126" s="28"/>
      <c r="D126" s="28"/>
      <c r="E126" s="28"/>
      <c r="F126" s="28"/>
      <c r="G126" s="28"/>
      <c r="H126" s="28"/>
      <c r="I126" s="28"/>
      <c r="J126" s="28"/>
      <c r="K126" s="28"/>
      <c r="L126" s="67"/>
      <c r="M126" s="28"/>
      <c r="N126" s="6"/>
    </row>
    <row r="127" spans="1:14" ht="15.75">
      <c r="A127" s="7"/>
      <c r="B127" s="138" t="s">
        <v>92</v>
      </c>
      <c r="C127" s="15"/>
      <c r="D127" s="9"/>
      <c r="E127" s="9"/>
      <c r="F127" s="9"/>
      <c r="G127" s="9"/>
      <c r="H127" s="9"/>
      <c r="I127" s="9"/>
      <c r="J127" s="9"/>
      <c r="K127" s="9"/>
      <c r="L127" s="70"/>
      <c r="M127" s="9"/>
      <c r="N127" s="6"/>
    </row>
    <row r="128" spans="1:14" ht="15.75">
      <c r="A128" s="27"/>
      <c r="B128" s="28" t="s">
        <v>93</v>
      </c>
      <c r="C128" s="28"/>
      <c r="D128" s="28"/>
      <c r="E128" s="28"/>
      <c r="F128" s="28"/>
      <c r="G128" s="28"/>
      <c r="H128" s="28"/>
      <c r="I128" s="28"/>
      <c r="J128" s="28"/>
      <c r="K128" s="28"/>
      <c r="L128" s="59">
        <v>0</v>
      </c>
      <c r="M128" s="28"/>
      <c r="N128" s="6"/>
    </row>
    <row r="129" spans="1:14" ht="15.75">
      <c r="A129" s="27"/>
      <c r="B129" s="28" t="s">
        <v>94</v>
      </c>
      <c r="C129" s="28"/>
      <c r="D129" s="28"/>
      <c r="E129" s="28"/>
      <c r="F129" s="28"/>
      <c r="G129" s="28"/>
      <c r="H129" s="28"/>
      <c r="I129" s="28"/>
      <c r="J129" s="28"/>
      <c r="K129" s="28"/>
      <c r="L129" s="59">
        <v>18</v>
      </c>
      <c r="M129" s="28"/>
      <c r="N129" s="6"/>
    </row>
    <row r="130" spans="1:14" ht="15.75">
      <c r="A130" s="27"/>
      <c r="B130" s="28" t="s">
        <v>95</v>
      </c>
      <c r="C130" s="28"/>
      <c r="D130" s="28"/>
      <c r="E130" s="28"/>
      <c r="F130" s="28"/>
      <c r="G130" s="28"/>
      <c r="H130" s="28"/>
      <c r="I130" s="28"/>
      <c r="J130" s="28"/>
      <c r="K130" s="28"/>
      <c r="L130" s="59">
        <f>L129+L128</f>
        <v>18</v>
      </c>
      <c r="M130" s="28"/>
      <c r="N130" s="6"/>
    </row>
    <row r="131" spans="1:14" ht="15.75">
      <c r="A131" s="27"/>
      <c r="B131" s="28" t="s">
        <v>96</v>
      </c>
      <c r="C131" s="28"/>
      <c r="D131" s="28"/>
      <c r="E131" s="28"/>
      <c r="F131" s="28"/>
      <c r="G131" s="28"/>
      <c r="H131" s="71"/>
      <c r="I131" s="28"/>
      <c r="J131" s="28"/>
      <c r="K131" s="28"/>
      <c r="L131" s="59">
        <f>+L91</f>
        <v>-18</v>
      </c>
      <c r="M131" s="28"/>
      <c r="N131" s="6"/>
    </row>
    <row r="132" spans="1:14" ht="15.75">
      <c r="A132" s="27"/>
      <c r="B132" s="28" t="s">
        <v>97</v>
      </c>
      <c r="C132" s="28"/>
      <c r="D132" s="28"/>
      <c r="E132" s="28"/>
      <c r="F132" s="28"/>
      <c r="G132" s="28"/>
      <c r="H132" s="28"/>
      <c r="I132" s="28"/>
      <c r="J132" s="28"/>
      <c r="K132" s="28"/>
      <c r="L132" s="59">
        <f>L130+L131</f>
        <v>0</v>
      </c>
      <c r="M132" s="28"/>
      <c r="N132" s="6"/>
    </row>
    <row r="133" spans="1:14" ht="7.5" customHeight="1">
      <c r="A133" s="27"/>
      <c r="B133" s="28"/>
      <c r="C133" s="28"/>
      <c r="D133" s="28"/>
      <c r="E133" s="28"/>
      <c r="F133" s="28"/>
      <c r="G133" s="28"/>
      <c r="H133" s="28"/>
      <c r="I133" s="28"/>
      <c r="J133" s="28"/>
      <c r="K133" s="28"/>
      <c r="L133" s="67"/>
      <c r="M133" s="28"/>
      <c r="N133" s="6"/>
    </row>
    <row r="134" spans="1:14" ht="6" customHeight="1">
      <c r="A134" s="2"/>
      <c r="B134" s="5"/>
      <c r="C134" s="5"/>
      <c r="D134" s="5"/>
      <c r="E134" s="5"/>
      <c r="F134" s="5"/>
      <c r="G134" s="5"/>
      <c r="H134" s="5"/>
      <c r="I134" s="5"/>
      <c r="J134" s="5"/>
      <c r="K134" s="5"/>
      <c r="L134" s="66"/>
      <c r="M134" s="5"/>
      <c r="N134" s="6"/>
    </row>
    <row r="135" spans="1:14" ht="15.75">
      <c r="A135" s="7"/>
      <c r="B135" s="138" t="s">
        <v>98</v>
      </c>
      <c r="C135" s="15"/>
      <c r="D135" s="9"/>
      <c r="E135" s="9"/>
      <c r="F135" s="9"/>
      <c r="G135" s="9"/>
      <c r="H135" s="9"/>
      <c r="I135" s="9"/>
      <c r="J135" s="9"/>
      <c r="K135" s="9"/>
      <c r="L135" s="58"/>
      <c r="M135" s="9"/>
      <c r="N135" s="6"/>
    </row>
    <row r="136" spans="1:14" ht="15.75">
      <c r="A136" s="7"/>
      <c r="B136" s="23"/>
      <c r="C136" s="15"/>
      <c r="D136" s="9"/>
      <c r="E136" s="9"/>
      <c r="F136" s="9"/>
      <c r="G136" s="9"/>
      <c r="H136" s="9"/>
      <c r="I136" s="9"/>
      <c r="J136" s="9"/>
      <c r="K136" s="9"/>
      <c r="L136" s="58"/>
      <c r="M136" s="9"/>
      <c r="N136" s="6"/>
    </row>
    <row r="137" spans="1:14" ht="15.75">
      <c r="A137" s="27"/>
      <c r="B137" s="28" t="s">
        <v>99</v>
      </c>
      <c r="C137" s="72"/>
      <c r="D137" s="28"/>
      <c r="E137" s="28"/>
      <c r="F137" s="28"/>
      <c r="G137" s="28"/>
      <c r="H137" s="28"/>
      <c r="I137" s="28"/>
      <c r="J137" s="28"/>
      <c r="K137" s="28"/>
      <c r="L137" s="59">
        <f>L61</f>
        <v>357957</v>
      </c>
      <c r="M137" s="28"/>
      <c r="N137" s="6"/>
    </row>
    <row r="138" spans="1:15" ht="15.75">
      <c r="A138" s="27"/>
      <c r="B138" s="28" t="s">
        <v>100</v>
      </c>
      <c r="C138" s="72"/>
      <c r="D138" s="28"/>
      <c r="E138" s="28"/>
      <c r="F138" s="28"/>
      <c r="G138" s="28"/>
      <c r="H138" s="28"/>
      <c r="I138" s="28"/>
      <c r="J138" s="28"/>
      <c r="K138" s="28"/>
      <c r="L138" s="59">
        <f>L33</f>
        <v>357974.615</v>
      </c>
      <c r="M138" s="28"/>
      <c r="N138" s="6"/>
      <c r="O138" s="145"/>
    </row>
    <row r="139" spans="1:14" ht="7.5" customHeight="1">
      <c r="A139" s="27"/>
      <c r="B139" s="28"/>
      <c r="C139" s="28"/>
      <c r="D139" s="28"/>
      <c r="E139" s="28"/>
      <c r="F139" s="28"/>
      <c r="G139" s="28"/>
      <c r="H139" s="28"/>
      <c r="I139" s="28"/>
      <c r="J139" s="28"/>
      <c r="K139" s="28"/>
      <c r="L139" s="67"/>
      <c r="M139" s="28"/>
      <c r="N139" s="6"/>
    </row>
    <row r="140" spans="1:14" ht="15.75">
      <c r="A140" s="2"/>
      <c r="B140" s="5"/>
      <c r="C140" s="5"/>
      <c r="D140" s="5"/>
      <c r="E140" s="5"/>
      <c r="F140" s="5"/>
      <c r="G140" s="5"/>
      <c r="H140" s="5"/>
      <c r="I140" s="5"/>
      <c r="J140" s="5"/>
      <c r="K140" s="5"/>
      <c r="L140" s="66"/>
      <c r="M140" s="5"/>
      <c r="N140" s="6"/>
    </row>
    <row r="141" spans="1:14" ht="15.75">
      <c r="A141" s="7"/>
      <c r="B141" s="138" t="s">
        <v>101</v>
      </c>
      <c r="C141" s="131"/>
      <c r="D141" s="131"/>
      <c r="E141" s="131"/>
      <c r="F141" s="131"/>
      <c r="G141" s="131"/>
      <c r="H141" s="139" t="s">
        <v>174</v>
      </c>
      <c r="I141" s="139"/>
      <c r="J141" s="139" t="s">
        <v>182</v>
      </c>
      <c r="K141" s="131"/>
      <c r="L141" s="140" t="s">
        <v>195</v>
      </c>
      <c r="M141" s="131"/>
      <c r="N141" s="6"/>
    </row>
    <row r="142" spans="1:14" ht="15.75">
      <c r="A142" s="27"/>
      <c r="B142" s="28" t="s">
        <v>102</v>
      </c>
      <c r="C142" s="28"/>
      <c r="D142" s="28"/>
      <c r="E142" s="28"/>
      <c r="F142" s="28"/>
      <c r="G142" s="28"/>
      <c r="H142" s="59">
        <v>70000</v>
      </c>
      <c r="I142" s="28"/>
      <c r="J142" s="47"/>
      <c r="K142" s="28"/>
      <c r="L142" s="59"/>
      <c r="M142" s="28"/>
      <c r="N142" s="6"/>
    </row>
    <row r="143" spans="1:14" ht="15.75">
      <c r="A143" s="27"/>
      <c r="B143" s="28" t="s">
        <v>103</v>
      </c>
      <c r="C143" s="28"/>
      <c r="D143" s="28"/>
      <c r="E143" s="28"/>
      <c r="F143" s="28"/>
      <c r="G143" s="28"/>
      <c r="H143" s="59">
        <v>62053</v>
      </c>
      <c r="I143" s="28"/>
      <c r="J143" s="59">
        <v>2467</v>
      </c>
      <c r="K143" s="28"/>
      <c r="L143" s="59">
        <f>J143+H143</f>
        <v>64520</v>
      </c>
      <c r="M143" s="28"/>
      <c r="N143" s="6"/>
    </row>
    <row r="144" spans="1:14" ht="15.75">
      <c r="A144" s="27"/>
      <c r="B144" s="28" t="s">
        <v>104</v>
      </c>
      <c r="C144" s="28"/>
      <c r="D144" s="28"/>
      <c r="E144" s="28"/>
      <c r="F144" s="28"/>
      <c r="G144" s="28"/>
      <c r="H144" s="59">
        <v>5468</v>
      </c>
      <c r="I144" s="28"/>
      <c r="J144" s="59">
        <v>12</v>
      </c>
      <c r="K144" s="28"/>
      <c r="L144" s="59">
        <f>J144+H144</f>
        <v>5480</v>
      </c>
      <c r="M144" s="28"/>
      <c r="N144" s="6"/>
    </row>
    <row r="145" spans="1:14" ht="15.75">
      <c r="A145" s="27"/>
      <c r="B145" s="28" t="s">
        <v>105</v>
      </c>
      <c r="C145" s="28"/>
      <c r="D145" s="28"/>
      <c r="E145" s="28"/>
      <c r="F145" s="28"/>
      <c r="G145" s="28"/>
      <c r="H145" s="59">
        <f>H144+H143</f>
        <v>67521</v>
      </c>
      <c r="I145" s="28"/>
      <c r="J145" s="59">
        <f>J144+J143</f>
        <v>2479</v>
      </c>
      <c r="K145" s="28"/>
      <c r="L145" s="59">
        <f>J145+H145</f>
        <v>70000</v>
      </c>
      <c r="M145" s="28"/>
      <c r="N145" s="6"/>
    </row>
    <row r="146" spans="1:14" ht="15.75">
      <c r="A146" s="27"/>
      <c r="B146" s="28" t="s">
        <v>106</v>
      </c>
      <c r="C146" s="28"/>
      <c r="D146" s="28"/>
      <c r="E146" s="28"/>
      <c r="F146" s="28"/>
      <c r="G146" s="28"/>
      <c r="H146" s="59">
        <f>H142-H145-J145</f>
        <v>0</v>
      </c>
      <c r="I146" s="28"/>
      <c r="J146" s="47"/>
      <c r="K146" s="28"/>
      <c r="L146" s="59"/>
      <c r="M146" s="28"/>
      <c r="N146" s="6"/>
    </row>
    <row r="147" spans="1:14" ht="7.5" customHeight="1">
      <c r="A147" s="27"/>
      <c r="B147" s="28"/>
      <c r="C147" s="28"/>
      <c r="D147" s="28"/>
      <c r="E147" s="28"/>
      <c r="F147" s="28"/>
      <c r="G147" s="28"/>
      <c r="H147" s="28"/>
      <c r="I147" s="28"/>
      <c r="J147" s="28"/>
      <c r="K147" s="28"/>
      <c r="L147" s="67"/>
      <c r="M147" s="28"/>
      <c r="N147" s="6"/>
    </row>
    <row r="148" spans="1:14" ht="9" customHeight="1">
      <c r="A148" s="2"/>
      <c r="B148" s="5"/>
      <c r="C148" s="5"/>
      <c r="D148" s="5"/>
      <c r="E148" s="5"/>
      <c r="F148" s="5"/>
      <c r="G148" s="5"/>
      <c r="H148" s="5"/>
      <c r="I148" s="5"/>
      <c r="J148" s="5"/>
      <c r="K148" s="5"/>
      <c r="L148" s="66"/>
      <c r="M148" s="5"/>
      <c r="N148" s="6"/>
    </row>
    <row r="149" spans="1:14" ht="15.75">
      <c r="A149" s="7"/>
      <c r="B149" s="138" t="s">
        <v>107</v>
      </c>
      <c r="C149" s="15"/>
      <c r="D149" s="9"/>
      <c r="E149" s="9"/>
      <c r="F149" s="9"/>
      <c r="G149" s="9"/>
      <c r="H149" s="9"/>
      <c r="I149" s="9"/>
      <c r="J149" s="9"/>
      <c r="K149" s="9"/>
      <c r="L149" s="73"/>
      <c r="M149" s="9"/>
      <c r="N149" s="6"/>
    </row>
    <row r="150" spans="1:14" ht="15.75">
      <c r="A150" s="27"/>
      <c r="B150" s="28" t="s">
        <v>108</v>
      </c>
      <c r="C150" s="28"/>
      <c r="D150" s="28"/>
      <c r="E150" s="28"/>
      <c r="F150" s="28"/>
      <c r="G150" s="28"/>
      <c r="H150" s="28"/>
      <c r="I150" s="28"/>
      <c r="J150" s="28"/>
      <c r="K150" s="28"/>
      <c r="L150" s="65">
        <f>(L82+L84+L85+L86+L87)/-L88</f>
        <v>1.3886810102899907</v>
      </c>
      <c r="M150" s="28" t="s">
        <v>196</v>
      </c>
      <c r="N150" s="6"/>
    </row>
    <row r="151" spans="1:14" ht="15.75">
      <c r="A151" s="27"/>
      <c r="B151" s="28" t="s">
        <v>109</v>
      </c>
      <c r="C151" s="28"/>
      <c r="D151" s="28"/>
      <c r="E151" s="28"/>
      <c r="F151" s="28"/>
      <c r="G151" s="28"/>
      <c r="H151" s="28"/>
      <c r="I151" s="28"/>
      <c r="J151" s="28"/>
      <c r="K151" s="28"/>
      <c r="L151" s="65">
        <v>1.39</v>
      </c>
      <c r="M151" s="28" t="s">
        <v>196</v>
      </c>
      <c r="N151" s="6"/>
    </row>
    <row r="152" spans="1:14" ht="15.75">
      <c r="A152" s="27"/>
      <c r="B152" s="28" t="s">
        <v>110</v>
      </c>
      <c r="C152" s="28"/>
      <c r="D152" s="28"/>
      <c r="E152" s="28"/>
      <c r="F152" s="28"/>
      <c r="G152" s="28"/>
      <c r="H152" s="28"/>
      <c r="I152" s="28"/>
      <c r="J152" s="28"/>
      <c r="K152" s="28"/>
      <c r="L152" s="65">
        <f>(L82+SUM(L84:L88))/-L89</f>
        <v>2.693679092382496</v>
      </c>
      <c r="M152" s="28" t="s">
        <v>196</v>
      </c>
      <c r="N152" s="6"/>
    </row>
    <row r="153" spans="1:14" ht="15.75">
      <c r="A153" s="27"/>
      <c r="B153" s="28" t="s">
        <v>111</v>
      </c>
      <c r="C153" s="28"/>
      <c r="D153" s="28"/>
      <c r="E153" s="28"/>
      <c r="F153" s="28"/>
      <c r="G153" s="28"/>
      <c r="H153" s="28"/>
      <c r="I153" s="28"/>
      <c r="J153" s="28"/>
      <c r="K153" s="28"/>
      <c r="L153" s="74">
        <v>3.2</v>
      </c>
      <c r="M153" s="28" t="s">
        <v>196</v>
      </c>
      <c r="N153" s="6"/>
    </row>
    <row r="154" spans="1:14" ht="12.75" customHeight="1">
      <c r="A154" s="27"/>
      <c r="B154" s="28"/>
      <c r="C154" s="28"/>
      <c r="D154" s="28"/>
      <c r="E154" s="28"/>
      <c r="F154" s="28"/>
      <c r="G154" s="28"/>
      <c r="H154" s="28"/>
      <c r="I154" s="28"/>
      <c r="J154" s="28"/>
      <c r="K154" s="28"/>
      <c r="L154" s="28"/>
      <c r="M154" s="28"/>
      <c r="N154" s="6"/>
    </row>
    <row r="155" spans="1:14" ht="12.75" customHeight="1">
      <c r="A155" s="7"/>
      <c r="B155" s="9"/>
      <c r="C155" s="9"/>
      <c r="D155" s="9"/>
      <c r="E155" s="9"/>
      <c r="F155" s="9"/>
      <c r="G155" s="9"/>
      <c r="H155" s="9"/>
      <c r="I155" s="9"/>
      <c r="J155" s="9"/>
      <c r="K155" s="9"/>
      <c r="L155" s="9"/>
      <c r="M155" s="9"/>
      <c r="N155" s="6"/>
    </row>
    <row r="156" spans="1:14" ht="15" customHeight="1" thickBot="1">
      <c r="A156" s="118"/>
      <c r="B156" s="119" t="str">
        <f>B106</f>
        <v>PM4 INVESTOR REPORT QUARTER ENDING DECEMBER 2004</v>
      </c>
      <c r="C156" s="120"/>
      <c r="D156" s="120"/>
      <c r="E156" s="120"/>
      <c r="F156" s="120"/>
      <c r="G156" s="120"/>
      <c r="H156" s="120"/>
      <c r="I156" s="120"/>
      <c r="J156" s="120"/>
      <c r="K156" s="120"/>
      <c r="L156" s="120"/>
      <c r="M156" s="123"/>
      <c r="N156" s="6"/>
    </row>
    <row r="157" spans="1:14" ht="15.75">
      <c r="A157" s="2"/>
      <c r="B157" s="128"/>
      <c r="C157" s="128"/>
      <c r="D157" s="128"/>
      <c r="E157" s="128"/>
      <c r="F157" s="128"/>
      <c r="G157" s="128"/>
      <c r="H157" s="128"/>
      <c r="I157" s="128"/>
      <c r="J157" s="128"/>
      <c r="K157" s="128"/>
      <c r="L157" s="128"/>
      <c r="M157" s="128"/>
      <c r="N157" s="6"/>
    </row>
    <row r="158" spans="1:14" ht="15.75">
      <c r="A158" s="76"/>
      <c r="B158" s="57" t="s">
        <v>112</v>
      </c>
      <c r="C158" s="77"/>
      <c r="D158" s="77"/>
      <c r="E158" s="77"/>
      <c r="F158" s="77"/>
      <c r="G158" s="21"/>
      <c r="H158" s="21"/>
      <c r="I158" s="21"/>
      <c r="J158" s="21">
        <v>38352</v>
      </c>
      <c r="K158" s="17"/>
      <c r="L158" s="17"/>
      <c r="M158" s="9"/>
      <c r="N158" s="6"/>
    </row>
    <row r="159" spans="1:14" ht="15.75">
      <c r="A159" s="78"/>
      <c r="B159" s="79"/>
      <c r="C159" s="80"/>
      <c r="D159" s="80"/>
      <c r="E159" s="80"/>
      <c r="F159" s="80"/>
      <c r="G159" s="81"/>
      <c r="H159" s="81"/>
      <c r="I159" s="81"/>
      <c r="J159" s="81"/>
      <c r="K159" s="9"/>
      <c r="L159" s="9"/>
      <c r="M159" s="9"/>
      <c r="N159" s="6"/>
    </row>
    <row r="160" spans="1:14" ht="15.75">
      <c r="A160" s="82"/>
      <c r="B160" s="83" t="s">
        <v>113</v>
      </c>
      <c r="C160" s="84"/>
      <c r="D160" s="84"/>
      <c r="E160" s="84"/>
      <c r="F160" s="84"/>
      <c r="G160" s="71"/>
      <c r="H160" s="71"/>
      <c r="I160" s="71"/>
      <c r="J160" s="85">
        <v>0.06</v>
      </c>
      <c r="K160" s="28"/>
      <c r="L160" s="28"/>
      <c r="M160" s="28"/>
      <c r="N160" s="6"/>
    </row>
    <row r="161" spans="1:14" ht="15.75">
      <c r="A161" s="82"/>
      <c r="B161" s="83" t="s">
        <v>114</v>
      </c>
      <c r="C161" s="84"/>
      <c r="D161" s="84"/>
      <c r="E161" s="84"/>
      <c r="F161" s="84"/>
      <c r="G161" s="71"/>
      <c r="H161" s="71"/>
      <c r="I161" s="71"/>
      <c r="J161" s="85">
        <v>0.0452</v>
      </c>
      <c r="K161" s="28"/>
      <c r="L161" s="28"/>
      <c r="M161" s="28"/>
      <c r="N161" s="6"/>
    </row>
    <row r="162" spans="1:14" ht="15.75">
      <c r="A162" s="82"/>
      <c r="B162" s="83" t="s">
        <v>115</v>
      </c>
      <c r="C162" s="84"/>
      <c r="D162" s="84"/>
      <c r="E162" s="84"/>
      <c r="F162" s="84"/>
      <c r="G162" s="71"/>
      <c r="H162" s="71"/>
      <c r="I162" s="71"/>
      <c r="J162" s="85">
        <f>J160-J161</f>
        <v>0.0148</v>
      </c>
      <c r="K162" s="28"/>
      <c r="L162" s="28"/>
      <c r="M162" s="28"/>
      <c r="N162" s="6"/>
    </row>
    <row r="163" spans="1:14" ht="15.75">
      <c r="A163" s="82"/>
      <c r="B163" s="83" t="s">
        <v>116</v>
      </c>
      <c r="C163" s="84"/>
      <c r="D163" s="84"/>
      <c r="E163" s="84"/>
      <c r="F163" s="84"/>
      <c r="G163" s="71"/>
      <c r="H163" s="71"/>
      <c r="I163" s="71"/>
      <c r="J163" s="85">
        <v>0.06467</v>
      </c>
      <c r="K163" s="28"/>
      <c r="L163" s="28"/>
      <c r="M163" s="28"/>
      <c r="N163" s="6"/>
    </row>
    <row r="164" spans="1:14" ht="15.75">
      <c r="A164" s="82"/>
      <c r="B164" s="83" t="s">
        <v>117</v>
      </c>
      <c r="C164" s="84"/>
      <c r="D164" s="84"/>
      <c r="E164" s="84"/>
      <c r="F164" s="84"/>
      <c r="G164" s="71"/>
      <c r="H164" s="71"/>
      <c r="I164" s="71"/>
      <c r="J164" s="85">
        <f>L35</f>
        <v>0.05237654242330427</v>
      </c>
      <c r="K164" s="28"/>
      <c r="L164" s="28"/>
      <c r="M164" s="28"/>
      <c r="N164" s="6"/>
    </row>
    <row r="165" spans="1:14" ht="15.75">
      <c r="A165" s="82"/>
      <c r="B165" s="83" t="s">
        <v>118</v>
      </c>
      <c r="C165" s="84"/>
      <c r="D165" s="84"/>
      <c r="E165" s="84"/>
      <c r="F165" s="84"/>
      <c r="G165" s="71"/>
      <c r="H165" s="71"/>
      <c r="I165" s="71"/>
      <c r="J165" s="85">
        <f>J163-J164</f>
        <v>0.012293457576695734</v>
      </c>
      <c r="K165" s="28"/>
      <c r="L165" s="28"/>
      <c r="M165" s="28"/>
      <c r="N165" s="6"/>
    </row>
    <row r="166" spans="1:14" ht="15.75">
      <c r="A166" s="82"/>
      <c r="B166" s="83" t="s">
        <v>119</v>
      </c>
      <c r="C166" s="84"/>
      <c r="D166" s="84"/>
      <c r="E166" s="84"/>
      <c r="F166" s="84"/>
      <c r="G166" s="71"/>
      <c r="H166" s="71"/>
      <c r="I166" s="71"/>
      <c r="J166" s="86" t="s">
        <v>183</v>
      </c>
      <c r="K166" s="28"/>
      <c r="L166" s="28"/>
      <c r="M166" s="28"/>
      <c r="N166" s="6"/>
    </row>
    <row r="167" spans="1:14" ht="15.75">
      <c r="A167" s="82"/>
      <c r="B167" s="83" t="s">
        <v>120</v>
      </c>
      <c r="C167" s="84"/>
      <c r="D167" s="84"/>
      <c r="E167" s="84"/>
      <c r="F167" s="84"/>
      <c r="G167" s="71"/>
      <c r="H167" s="71"/>
      <c r="I167" s="71"/>
      <c r="J167" s="86" t="s">
        <v>184</v>
      </c>
      <c r="K167" s="28"/>
      <c r="L167" s="28"/>
      <c r="M167" s="28"/>
      <c r="N167" s="6"/>
    </row>
    <row r="168" spans="1:14" ht="15.75">
      <c r="A168" s="82"/>
      <c r="B168" s="83" t="s">
        <v>121</v>
      </c>
      <c r="C168" s="84"/>
      <c r="D168" s="84"/>
      <c r="E168" s="84"/>
      <c r="F168" s="84"/>
      <c r="G168" s="71"/>
      <c r="H168" s="71"/>
      <c r="I168" s="71"/>
      <c r="J168" s="87">
        <v>20.2</v>
      </c>
      <c r="K168" s="28" t="s">
        <v>188</v>
      </c>
      <c r="L168" s="28"/>
      <c r="M168" s="28"/>
      <c r="N168" s="6"/>
    </row>
    <row r="169" spans="1:14" ht="15.75">
      <c r="A169" s="82"/>
      <c r="B169" s="83" t="s">
        <v>122</v>
      </c>
      <c r="C169" s="84"/>
      <c r="D169" s="84"/>
      <c r="E169" s="84"/>
      <c r="F169" s="84"/>
      <c r="G169" s="71"/>
      <c r="H169" s="71"/>
      <c r="I169" s="71"/>
      <c r="J169" s="87">
        <v>18.39</v>
      </c>
      <c r="K169" s="28" t="s">
        <v>188</v>
      </c>
      <c r="L169" s="28"/>
      <c r="M169" s="28"/>
      <c r="N169" s="6"/>
    </row>
    <row r="170" spans="1:14" ht="15.75">
      <c r="A170" s="82"/>
      <c r="B170" s="83" t="s">
        <v>123</v>
      </c>
      <c r="C170" s="84"/>
      <c r="D170" s="84"/>
      <c r="E170" s="84"/>
      <c r="F170" s="84"/>
      <c r="G170" s="71"/>
      <c r="H170" s="71"/>
      <c r="I170" s="71"/>
      <c r="J170" s="85">
        <f>+F58/'Sept 04'!L58</f>
        <v>0.04899159550501167</v>
      </c>
      <c r="K170" s="28"/>
      <c r="L170" s="28"/>
      <c r="M170" s="28"/>
      <c r="N170" s="6"/>
    </row>
    <row r="171" spans="1:14" ht="15.75">
      <c r="A171" s="82"/>
      <c r="B171" s="83" t="s">
        <v>124</v>
      </c>
      <c r="C171" s="84"/>
      <c r="D171" s="84"/>
      <c r="E171" s="84"/>
      <c r="F171" s="84"/>
      <c r="G171" s="71"/>
      <c r="H171" s="71"/>
      <c r="I171" s="71"/>
      <c r="J171" s="85">
        <v>0.1662</v>
      </c>
      <c r="K171" s="28"/>
      <c r="L171" s="28"/>
      <c r="M171" s="28"/>
      <c r="N171" s="6"/>
    </row>
    <row r="172" spans="1:14" ht="15.75">
      <c r="A172" s="82"/>
      <c r="B172" s="83"/>
      <c r="C172" s="83"/>
      <c r="D172" s="83"/>
      <c r="E172" s="83"/>
      <c r="F172" s="83"/>
      <c r="G172" s="28"/>
      <c r="H172" s="28"/>
      <c r="I172" s="28"/>
      <c r="J172" s="67"/>
      <c r="K172" s="28"/>
      <c r="L172" s="88"/>
      <c r="M172" s="28"/>
      <c r="N172" s="6"/>
    </row>
    <row r="173" spans="1:14" ht="15.75">
      <c r="A173" s="89"/>
      <c r="B173" s="16" t="s">
        <v>125</v>
      </c>
      <c r="C173" s="90"/>
      <c r="D173" s="91"/>
      <c r="E173" s="90"/>
      <c r="F173" s="91"/>
      <c r="G173" s="90"/>
      <c r="H173" s="91"/>
      <c r="I173" s="19" t="s">
        <v>175</v>
      </c>
      <c r="J173" s="92" t="s">
        <v>185</v>
      </c>
      <c r="K173" s="17"/>
      <c r="L173" s="9"/>
      <c r="M173" s="9"/>
      <c r="N173" s="6"/>
    </row>
    <row r="174" spans="1:14" ht="15.75">
      <c r="A174" s="93"/>
      <c r="B174" s="83" t="s">
        <v>126</v>
      </c>
      <c r="C174" s="60"/>
      <c r="D174" s="60"/>
      <c r="E174" s="60"/>
      <c r="F174" s="28"/>
      <c r="G174" s="28"/>
      <c r="H174" s="28"/>
      <c r="I174" s="29">
        <v>16</v>
      </c>
      <c r="J174" s="94">
        <v>543</v>
      </c>
      <c r="K174" s="28"/>
      <c r="L174" s="88"/>
      <c r="M174" s="95"/>
      <c r="N174" s="6"/>
    </row>
    <row r="175" spans="1:14" ht="15.75">
      <c r="A175" s="93"/>
      <c r="B175" s="83" t="s">
        <v>205</v>
      </c>
      <c r="C175" s="60"/>
      <c r="D175" s="60"/>
      <c r="E175" s="60"/>
      <c r="F175" s="28"/>
      <c r="G175" s="28"/>
      <c r="H175" s="28"/>
      <c r="I175" s="29">
        <v>6</v>
      </c>
      <c r="J175" s="94">
        <v>918</v>
      </c>
      <c r="K175" s="28"/>
      <c r="L175" s="88"/>
      <c r="M175" s="95"/>
      <c r="N175" s="6"/>
    </row>
    <row r="176" spans="1:14" ht="15.75">
      <c r="A176" s="93"/>
      <c r="B176" s="83" t="s">
        <v>127</v>
      </c>
      <c r="C176" s="60"/>
      <c r="D176" s="60"/>
      <c r="E176" s="60"/>
      <c r="F176" s="28"/>
      <c r="G176" s="28"/>
      <c r="H176" s="28"/>
      <c r="I176" s="29">
        <v>0</v>
      </c>
      <c r="J176" s="94">
        <v>0</v>
      </c>
      <c r="K176" s="28"/>
      <c r="L176" s="88"/>
      <c r="M176" s="95"/>
      <c r="N176" s="6"/>
    </row>
    <row r="177" spans="1:14" ht="15.75">
      <c r="A177" s="93"/>
      <c r="B177" s="141" t="s">
        <v>128</v>
      </c>
      <c r="C177" s="60"/>
      <c r="D177" s="60"/>
      <c r="E177" s="60"/>
      <c r="F177" s="28"/>
      <c r="G177" s="28"/>
      <c r="H177" s="28"/>
      <c r="I177" s="28"/>
      <c r="J177" s="94">
        <v>0</v>
      </c>
      <c r="K177" s="28"/>
      <c r="L177" s="88"/>
      <c r="M177" s="95"/>
      <c r="N177" s="6"/>
    </row>
    <row r="178" spans="1:14" ht="15.75">
      <c r="A178" s="93"/>
      <c r="B178" s="141" t="s">
        <v>129</v>
      </c>
      <c r="C178" s="60"/>
      <c r="D178" s="60"/>
      <c r="E178" s="60"/>
      <c r="F178" s="28"/>
      <c r="G178" s="28"/>
      <c r="H178" s="28"/>
      <c r="I178" s="28"/>
      <c r="J178" s="94">
        <v>77991</v>
      </c>
      <c r="K178" s="28"/>
      <c r="L178" s="88"/>
      <c r="M178" s="95"/>
      <c r="N178" s="6"/>
    </row>
    <row r="179" spans="1:14" ht="15.75">
      <c r="A179" s="96"/>
      <c r="B179" s="141" t="s">
        <v>130</v>
      </c>
      <c r="C179" s="60"/>
      <c r="D179" s="83"/>
      <c r="E179" s="83"/>
      <c r="F179" s="83"/>
      <c r="G179" s="28"/>
      <c r="H179" s="28"/>
      <c r="I179" s="28"/>
      <c r="J179" s="94">
        <v>0</v>
      </c>
      <c r="K179" s="28"/>
      <c r="L179" s="88"/>
      <c r="M179" s="97"/>
      <c r="N179" s="6"/>
    </row>
    <row r="180" spans="1:14" ht="15.75">
      <c r="A180" s="93"/>
      <c r="B180" s="83" t="s">
        <v>131</v>
      </c>
      <c r="C180" s="60"/>
      <c r="D180" s="60"/>
      <c r="E180" s="60"/>
      <c r="F180" s="60"/>
      <c r="G180" s="28"/>
      <c r="H180" s="28"/>
      <c r="I180" s="28">
        <v>1</v>
      </c>
      <c r="J180" s="94">
        <f>+L129</f>
        <v>18</v>
      </c>
      <c r="K180" s="28"/>
      <c r="L180" s="88"/>
      <c r="M180" s="97"/>
      <c r="N180" s="6"/>
    </row>
    <row r="181" spans="1:14" ht="15.75">
      <c r="A181" s="93"/>
      <c r="B181" s="83" t="s">
        <v>132</v>
      </c>
      <c r="C181" s="60"/>
      <c r="D181" s="60"/>
      <c r="E181" s="60"/>
      <c r="F181" s="60"/>
      <c r="G181" s="28"/>
      <c r="H181" s="28"/>
      <c r="I181" s="28">
        <f>'Sept 04'!I181+'Dec 04'!I180</f>
        <v>2</v>
      </c>
      <c r="J181" s="94">
        <f>'Sept 04'!J181+J180</f>
        <v>24</v>
      </c>
      <c r="K181" s="28"/>
      <c r="L181" s="88"/>
      <c r="M181" s="97"/>
      <c r="N181" s="6"/>
    </row>
    <row r="182" spans="1:14" ht="15.75">
      <c r="A182" s="93"/>
      <c r="B182" s="83" t="s">
        <v>133</v>
      </c>
      <c r="C182" s="60"/>
      <c r="D182" s="60"/>
      <c r="E182" s="60"/>
      <c r="F182" s="60"/>
      <c r="G182" s="28"/>
      <c r="H182" s="28"/>
      <c r="I182" s="28"/>
      <c r="J182" s="94">
        <v>0</v>
      </c>
      <c r="K182" s="28"/>
      <c r="L182" s="88"/>
      <c r="M182" s="97"/>
      <c r="N182" s="6"/>
    </row>
    <row r="183" spans="1:14" ht="15.75">
      <c r="A183" s="96"/>
      <c r="B183" s="141" t="s">
        <v>134</v>
      </c>
      <c r="C183" s="60"/>
      <c r="D183" s="83"/>
      <c r="E183" s="83"/>
      <c r="F183" s="83"/>
      <c r="G183" s="28"/>
      <c r="H183" s="28"/>
      <c r="I183" s="28"/>
      <c r="J183" s="94"/>
      <c r="K183" s="28"/>
      <c r="L183" s="88"/>
      <c r="M183" s="97"/>
      <c r="N183" s="6"/>
    </row>
    <row r="184" spans="1:14" ht="15.75">
      <c r="A184" s="96"/>
      <c r="B184" s="83" t="s">
        <v>135</v>
      </c>
      <c r="C184" s="60"/>
      <c r="D184" s="83"/>
      <c r="E184" s="83"/>
      <c r="F184" s="83"/>
      <c r="G184" s="28"/>
      <c r="H184" s="28"/>
      <c r="I184" s="28">
        <v>0</v>
      </c>
      <c r="J184" s="94">
        <v>0</v>
      </c>
      <c r="K184" s="28"/>
      <c r="L184" s="88"/>
      <c r="M184" s="97"/>
      <c r="N184" s="6"/>
    </row>
    <row r="185" spans="1:14" ht="15.75">
      <c r="A185" s="93"/>
      <c r="B185" s="83" t="s">
        <v>136</v>
      </c>
      <c r="C185" s="60"/>
      <c r="D185" s="98"/>
      <c r="E185" s="98"/>
      <c r="F185" s="99"/>
      <c r="G185" s="28"/>
      <c r="H185" s="28"/>
      <c r="I185" s="28"/>
      <c r="J185" s="94">
        <v>0</v>
      </c>
      <c r="K185" s="28"/>
      <c r="L185" s="88"/>
      <c r="M185" s="97"/>
      <c r="N185" s="6"/>
    </row>
    <row r="186" spans="1:14" ht="15.75">
      <c r="A186" s="93"/>
      <c r="B186" s="83" t="s">
        <v>137</v>
      </c>
      <c r="C186" s="60"/>
      <c r="D186" s="98"/>
      <c r="E186" s="98"/>
      <c r="F186" s="99"/>
      <c r="G186" s="28"/>
      <c r="H186" s="28"/>
      <c r="I186" s="28"/>
      <c r="J186" s="94">
        <v>0</v>
      </c>
      <c r="K186" s="28"/>
      <c r="L186" s="88"/>
      <c r="M186" s="97"/>
      <c r="N186" s="6"/>
    </row>
    <row r="187" spans="1:14" ht="15.75">
      <c r="A187" s="93"/>
      <c r="B187" s="83" t="s">
        <v>138</v>
      </c>
      <c r="C187" s="60"/>
      <c r="D187" s="100"/>
      <c r="E187" s="98"/>
      <c r="F187" s="99"/>
      <c r="G187" s="28"/>
      <c r="H187" s="28"/>
      <c r="I187" s="28"/>
      <c r="J187" s="101">
        <v>0</v>
      </c>
      <c r="K187" s="28"/>
      <c r="L187" s="88"/>
      <c r="M187" s="97"/>
      <c r="N187" s="6"/>
    </row>
    <row r="188" spans="1:14" ht="15.75">
      <c r="A188" s="93"/>
      <c r="B188" s="83"/>
      <c r="C188" s="60"/>
      <c r="D188" s="100"/>
      <c r="E188" s="98"/>
      <c r="F188" s="99"/>
      <c r="G188" s="28"/>
      <c r="H188" s="28"/>
      <c r="I188" s="28"/>
      <c r="J188" s="101"/>
      <c r="K188" s="28"/>
      <c r="L188" s="88"/>
      <c r="M188" s="97"/>
      <c r="N188" s="6"/>
    </row>
    <row r="189" spans="1:14" ht="15.75">
      <c r="A189" s="7"/>
      <c r="B189" s="16" t="s">
        <v>139</v>
      </c>
      <c r="C189" s="19"/>
      <c r="D189" s="92"/>
      <c r="E189" s="19"/>
      <c r="F189" s="92"/>
      <c r="G189" s="19"/>
      <c r="H189" s="92" t="s">
        <v>175</v>
      </c>
      <c r="I189" s="19" t="s">
        <v>176</v>
      </c>
      <c r="J189" s="92" t="s">
        <v>186</v>
      </c>
      <c r="K189" s="19" t="s">
        <v>176</v>
      </c>
      <c r="L189" s="17"/>
      <c r="M189" s="102"/>
      <c r="N189" s="6"/>
    </row>
    <row r="190" spans="1:14" ht="15.75">
      <c r="A190" s="27"/>
      <c r="B190" s="60" t="s">
        <v>140</v>
      </c>
      <c r="C190" s="103"/>
      <c r="D190" s="60"/>
      <c r="E190" s="103"/>
      <c r="F190" s="28"/>
      <c r="G190" s="103"/>
      <c r="H190" s="60">
        <v>4475</v>
      </c>
      <c r="I190" s="105">
        <f>H190/H195</f>
        <v>0.9865520282186949</v>
      </c>
      <c r="J190" s="59">
        <v>354122</v>
      </c>
      <c r="K190" s="143">
        <f>J190/J195</f>
        <v>0.9892864226708795</v>
      </c>
      <c r="L190" s="88"/>
      <c r="M190" s="97"/>
      <c r="N190" s="6"/>
    </row>
    <row r="191" spans="1:14" ht="15.75">
      <c r="A191" s="27"/>
      <c r="B191" s="60" t="s">
        <v>141</v>
      </c>
      <c r="C191" s="103"/>
      <c r="D191" s="60"/>
      <c r="E191" s="103"/>
      <c r="F191" s="28"/>
      <c r="G191" s="105"/>
      <c r="H191" s="60">
        <v>35</v>
      </c>
      <c r="I191" s="105">
        <f>H191/H195</f>
        <v>0.007716049382716049</v>
      </c>
      <c r="J191" s="59">
        <v>2767</v>
      </c>
      <c r="K191" s="143">
        <f>J191/J195</f>
        <v>0.00772997874046324</v>
      </c>
      <c r="L191" s="88"/>
      <c r="M191" s="97"/>
      <c r="N191" s="6"/>
    </row>
    <row r="192" spans="1:14" ht="15.75">
      <c r="A192" s="27"/>
      <c r="B192" s="60" t="s">
        <v>142</v>
      </c>
      <c r="C192" s="103"/>
      <c r="D192" s="60"/>
      <c r="E192" s="103"/>
      <c r="F192" s="28"/>
      <c r="G192" s="105"/>
      <c r="H192" s="60">
        <v>9</v>
      </c>
      <c r="I192" s="105">
        <f>H192/H195</f>
        <v>0.001984126984126984</v>
      </c>
      <c r="J192" s="59">
        <v>383</v>
      </c>
      <c r="K192" s="143">
        <f>J192/J195</f>
        <v>0.0010699609170933939</v>
      </c>
      <c r="L192" s="88"/>
      <c r="M192" s="97"/>
      <c r="N192" s="6"/>
    </row>
    <row r="193" spans="1:14" ht="15.75">
      <c r="A193" s="27"/>
      <c r="B193" s="60" t="s">
        <v>143</v>
      </c>
      <c r="C193" s="103"/>
      <c r="D193" s="60"/>
      <c r="E193" s="103"/>
      <c r="F193" s="28"/>
      <c r="G193" s="105"/>
      <c r="H193" s="60">
        <v>17</v>
      </c>
      <c r="I193" s="105">
        <f>H193/H195</f>
        <v>0.003747795414462081</v>
      </c>
      <c r="J193" s="59">
        <v>685</v>
      </c>
      <c r="K193" s="143">
        <f>J193/J195</f>
        <v>0.001913637671563903</v>
      </c>
      <c r="L193" s="88"/>
      <c r="M193" s="97"/>
      <c r="N193" s="6"/>
    </row>
    <row r="194" spans="1:14" ht="15.75">
      <c r="A194" s="27"/>
      <c r="B194" s="60"/>
      <c r="C194" s="106"/>
      <c r="D194" s="95"/>
      <c r="E194" s="106"/>
      <c r="F194" s="28"/>
      <c r="G194" s="106"/>
      <c r="H194" s="95"/>
      <c r="I194" s="106"/>
      <c r="J194" s="59"/>
      <c r="K194" s="104"/>
      <c r="L194" s="88"/>
      <c r="M194" s="97"/>
      <c r="N194" s="6"/>
    </row>
    <row r="195" spans="1:14" ht="15.75">
      <c r="A195" s="27"/>
      <c r="B195" s="28"/>
      <c r="C195" s="28"/>
      <c r="D195" s="28"/>
      <c r="E195" s="28"/>
      <c r="F195" s="28"/>
      <c r="G195" s="28"/>
      <c r="H195" s="38">
        <f>SUM(H190:H193)</f>
        <v>4536</v>
      </c>
      <c r="I195" s="107">
        <f>SUM(I190:I194)</f>
        <v>1</v>
      </c>
      <c r="J195" s="59">
        <f>SUM(J190:J194)</f>
        <v>357957</v>
      </c>
      <c r="K195" s="107">
        <f>SUM(K190:K194)</f>
        <v>1</v>
      </c>
      <c r="L195" s="28"/>
      <c r="M195" s="28"/>
      <c r="N195" s="6"/>
    </row>
    <row r="196" spans="1:14" ht="15.75">
      <c r="A196" s="27"/>
      <c r="B196" s="28"/>
      <c r="C196" s="28"/>
      <c r="D196" s="28"/>
      <c r="E196" s="28"/>
      <c r="F196" s="28"/>
      <c r="G196" s="28"/>
      <c r="H196" s="38"/>
      <c r="I196" s="107"/>
      <c r="J196" s="59"/>
      <c r="K196" s="107"/>
      <c r="L196" s="28"/>
      <c r="M196" s="28"/>
      <c r="N196" s="6"/>
    </row>
    <row r="197" spans="1:14" ht="15.75">
      <c r="A197" s="7"/>
      <c r="B197" s="9"/>
      <c r="C197" s="9"/>
      <c r="D197" s="9"/>
      <c r="E197" s="9"/>
      <c r="F197" s="9"/>
      <c r="G197" s="9"/>
      <c r="H197" s="61"/>
      <c r="I197" s="108"/>
      <c r="J197" s="109"/>
      <c r="K197" s="108"/>
      <c r="L197" s="9"/>
      <c r="M197" s="9"/>
      <c r="N197" s="6"/>
    </row>
    <row r="198" spans="1:14" ht="15.75">
      <c r="A198" s="110"/>
      <c r="B198" s="16" t="s">
        <v>144</v>
      </c>
      <c r="C198" s="111"/>
      <c r="D198" s="19" t="s">
        <v>152</v>
      </c>
      <c r="E198" s="17"/>
      <c r="F198" s="16" t="s">
        <v>164</v>
      </c>
      <c r="G198" s="112"/>
      <c r="H198" s="112"/>
      <c r="I198" s="112"/>
      <c r="J198" s="125"/>
      <c r="K198" s="125"/>
      <c r="L198" s="125"/>
      <c r="M198" s="125"/>
      <c r="N198" s="6"/>
    </row>
    <row r="199" spans="1:14" ht="15.75">
      <c r="A199" s="129"/>
      <c r="B199" s="125"/>
      <c r="C199" s="125"/>
      <c r="D199" s="9"/>
      <c r="E199" s="9"/>
      <c r="F199" s="9"/>
      <c r="G199" s="125"/>
      <c r="H199" s="125"/>
      <c r="I199" s="125"/>
      <c r="J199" s="125"/>
      <c r="K199" s="125"/>
      <c r="L199" s="125"/>
      <c r="M199" s="125"/>
      <c r="N199" s="6"/>
    </row>
    <row r="200" spans="1:14" ht="15.75">
      <c r="A200" s="129"/>
      <c r="B200" s="15" t="s">
        <v>145</v>
      </c>
      <c r="C200" s="114"/>
      <c r="D200" s="115" t="s">
        <v>153</v>
      </c>
      <c r="E200" s="15"/>
      <c r="F200" s="15" t="s">
        <v>210</v>
      </c>
      <c r="G200" s="114"/>
      <c r="H200" s="114"/>
      <c r="I200" s="125"/>
      <c r="J200" s="125"/>
      <c r="K200" s="125"/>
      <c r="L200" s="125"/>
      <c r="M200" s="125"/>
      <c r="N200" s="6"/>
    </row>
    <row r="201" spans="1:14" ht="15.75">
      <c r="A201" s="129"/>
      <c r="B201" s="15" t="s">
        <v>146</v>
      </c>
      <c r="C201" s="114"/>
      <c r="D201" s="115" t="s">
        <v>154</v>
      </c>
      <c r="E201" s="15"/>
      <c r="F201" s="15" t="s">
        <v>211</v>
      </c>
      <c r="G201" s="114"/>
      <c r="H201" s="114"/>
      <c r="I201" s="125"/>
      <c r="J201" s="125"/>
      <c r="K201" s="125"/>
      <c r="L201" s="125"/>
      <c r="M201" s="125"/>
      <c r="N201" s="6"/>
    </row>
    <row r="202" spans="1:14" ht="15.75">
      <c r="A202" s="129"/>
      <c r="B202" s="15"/>
      <c r="C202" s="114"/>
      <c r="D202" s="115"/>
      <c r="E202" s="15"/>
      <c r="F202" s="15"/>
      <c r="G202" s="114"/>
      <c r="H202" s="114"/>
      <c r="I202" s="125"/>
      <c r="J202" s="125"/>
      <c r="K202" s="125"/>
      <c r="L202" s="125"/>
      <c r="M202" s="125"/>
      <c r="N202" s="6"/>
    </row>
    <row r="203" spans="1:14" ht="15.75">
      <c r="A203" s="129"/>
      <c r="B203" s="15"/>
      <c r="C203" s="114"/>
      <c r="D203" s="115"/>
      <c r="E203" s="15"/>
      <c r="F203" s="15"/>
      <c r="G203" s="114"/>
      <c r="H203" s="114"/>
      <c r="I203" s="125"/>
      <c r="J203" s="125"/>
      <c r="K203" s="125"/>
      <c r="L203" s="125"/>
      <c r="M203" s="125"/>
      <c r="N203" s="6"/>
    </row>
    <row r="204" spans="1:14" ht="18.75">
      <c r="A204" s="129"/>
      <c r="B204" s="55" t="str">
        <f>B156</f>
        <v>PM4 INVESTOR REPORT QUARTER ENDING DECEMBER 2004</v>
      </c>
      <c r="C204" s="114"/>
      <c r="D204" s="115"/>
      <c r="E204" s="15"/>
      <c r="F204" s="15"/>
      <c r="G204" s="114"/>
      <c r="H204" s="114"/>
      <c r="I204" s="125"/>
      <c r="J204" s="125"/>
      <c r="K204" s="125"/>
      <c r="L204" s="125"/>
      <c r="M204" s="125"/>
      <c r="N204" s="6"/>
    </row>
    <row r="205" spans="1:13" ht="15">
      <c r="A205" s="116"/>
      <c r="B205" s="116"/>
      <c r="C205" s="116"/>
      <c r="D205" s="116"/>
      <c r="E205" s="116"/>
      <c r="F205" s="116"/>
      <c r="G205" s="116"/>
      <c r="H205" s="116"/>
      <c r="I205" s="116"/>
      <c r="J205" s="116"/>
      <c r="K205" s="116"/>
      <c r="L205" s="116"/>
      <c r="M205" s="116"/>
    </row>
    <row r="208" ht="15">
      <c r="J208" s="144"/>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3" max="13" man="1"/>
    <brk id="106" max="13" man="1"/>
    <brk id="156" max="13" man="1"/>
  </rowBreaks>
  <drawing r:id="rId1"/>
</worksheet>
</file>

<file path=xl/worksheets/sheet12.xml><?xml version="1.0" encoding="utf-8"?>
<worksheet xmlns="http://schemas.openxmlformats.org/spreadsheetml/2006/main" xmlns:r="http://schemas.openxmlformats.org/officeDocument/2006/relationships">
  <dimension ref="A1:O224"/>
  <sheetViews>
    <sheetView showGridLines="0"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33.77734375" style="1" customWidth="1"/>
    <col min="7" max="7" width="1.4375" style="1" customWidth="1"/>
    <col min="8" max="8" width="24.5546875" style="1" customWidth="1"/>
    <col min="9" max="9" width="6.6640625" style="1" customWidth="1"/>
    <col min="10" max="10" width="12.6640625" style="1" customWidth="1"/>
    <col min="11" max="11" width="6.6640625" style="1" customWidth="1"/>
    <col min="12" max="12" width="13.6640625" style="1" customWidth="1"/>
    <col min="13" max="13" width="30.7773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25"/>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189</v>
      </c>
      <c r="M14" s="17"/>
      <c r="N14" s="6"/>
    </row>
    <row r="15" spans="1:14" ht="15.75">
      <c r="A15" s="7"/>
      <c r="B15" s="16" t="s">
        <v>8</v>
      </c>
      <c r="C15" s="16"/>
      <c r="D15" s="17"/>
      <c r="E15" s="17"/>
      <c r="F15" s="17"/>
      <c r="G15" s="17"/>
      <c r="H15" s="19"/>
      <c r="I15" s="20"/>
      <c r="J15" s="19" t="s">
        <v>177</v>
      </c>
      <c r="K15" s="20">
        <v>1</v>
      </c>
      <c r="L15" s="18"/>
      <c r="M15" s="17"/>
      <c r="N15" s="6"/>
    </row>
    <row r="16" spans="1:14" ht="15.75">
      <c r="A16" s="7"/>
      <c r="B16" s="16" t="s">
        <v>9</v>
      </c>
      <c r="C16" s="16"/>
      <c r="D16" s="17"/>
      <c r="E16" s="17"/>
      <c r="F16" s="17"/>
      <c r="G16" s="17"/>
      <c r="H16" s="19"/>
      <c r="I16" s="20"/>
      <c r="J16" s="19" t="s">
        <v>177</v>
      </c>
      <c r="K16" s="20">
        <v>1</v>
      </c>
      <c r="L16" s="18"/>
      <c r="M16" s="17"/>
      <c r="N16" s="6"/>
    </row>
    <row r="17" spans="1:14" ht="15.75">
      <c r="A17" s="7"/>
      <c r="B17" s="16" t="s">
        <v>10</v>
      </c>
      <c r="C17" s="16"/>
      <c r="D17" s="17"/>
      <c r="E17" s="17"/>
      <c r="F17" s="17"/>
      <c r="G17" s="17"/>
      <c r="H17" s="17"/>
      <c r="I17" s="17"/>
      <c r="J17" s="17"/>
      <c r="K17" s="17"/>
      <c r="L17" s="21">
        <v>37342</v>
      </c>
      <c r="M17" s="17"/>
      <c r="N17" s="6"/>
    </row>
    <row r="18" spans="1:14" ht="15.75">
      <c r="A18" s="7"/>
      <c r="B18" s="16" t="s">
        <v>11</v>
      </c>
      <c r="C18" s="16"/>
      <c r="D18" s="17"/>
      <c r="E18" s="17"/>
      <c r="F18" s="17"/>
      <c r="G18" s="17"/>
      <c r="H18" s="17"/>
      <c r="I18" s="17"/>
      <c r="J18" s="17"/>
      <c r="K18" s="17"/>
      <c r="L18" s="21">
        <v>38467</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178</v>
      </c>
      <c r="K20" s="9"/>
      <c r="L20" s="125"/>
      <c r="M20" s="9"/>
      <c r="N20" s="6"/>
    </row>
    <row r="21" spans="1:14" ht="15.75">
      <c r="A21" s="7"/>
      <c r="B21" s="9"/>
      <c r="C21" s="9"/>
      <c r="D21" s="9"/>
      <c r="E21" s="9"/>
      <c r="F21" s="9"/>
      <c r="G21" s="9"/>
      <c r="H21" s="9"/>
      <c r="I21" s="9"/>
      <c r="J21" s="9"/>
      <c r="K21" s="9"/>
      <c r="L21" s="24"/>
      <c r="M21" s="9"/>
      <c r="N21" s="6"/>
    </row>
    <row r="22" spans="1:14" ht="15.75">
      <c r="A22" s="7"/>
      <c r="B22" s="9"/>
      <c r="C22" s="132" t="s">
        <v>147</v>
      </c>
      <c r="D22" s="25"/>
      <c r="E22" s="25"/>
      <c r="F22" s="133" t="s">
        <v>155</v>
      </c>
      <c r="G22" s="133"/>
      <c r="H22" s="133" t="s">
        <v>167</v>
      </c>
      <c r="I22" s="26"/>
      <c r="J22" s="25"/>
      <c r="K22" s="125"/>
      <c r="L22" s="125"/>
      <c r="M22" s="9"/>
      <c r="N22" s="6"/>
    </row>
    <row r="23" spans="1:14" ht="15.75">
      <c r="A23" s="7"/>
      <c r="B23" s="9" t="s">
        <v>13</v>
      </c>
      <c r="C23" s="132" t="s">
        <v>148</v>
      </c>
      <c r="D23" s="25"/>
      <c r="E23" s="25"/>
      <c r="F23" s="25" t="s">
        <v>156</v>
      </c>
      <c r="G23" s="25"/>
      <c r="H23" s="25" t="s">
        <v>168</v>
      </c>
      <c r="I23" s="25"/>
      <c r="J23" s="25"/>
      <c r="K23" s="125"/>
      <c r="L23" s="125"/>
      <c r="M23" s="9"/>
      <c r="N23" s="6"/>
    </row>
    <row r="24" spans="1:14" ht="15.75">
      <c r="A24" s="27"/>
      <c r="B24" s="28" t="s">
        <v>14</v>
      </c>
      <c r="C24" s="29"/>
      <c r="D24" s="30"/>
      <c r="E24" s="30"/>
      <c r="F24" s="30" t="s">
        <v>157</v>
      </c>
      <c r="G24" s="30"/>
      <c r="H24" s="30" t="s">
        <v>169</v>
      </c>
      <c r="I24" s="30"/>
      <c r="J24" s="30"/>
      <c r="K24" s="126"/>
      <c r="L24" s="126"/>
      <c r="M24" s="28"/>
      <c r="N24" s="6"/>
    </row>
    <row r="25" spans="1:14" ht="15.75">
      <c r="A25" s="27"/>
      <c r="B25" s="28" t="s">
        <v>15</v>
      </c>
      <c r="C25" s="29"/>
      <c r="D25" s="30"/>
      <c r="E25" s="30"/>
      <c r="F25" s="30" t="s">
        <v>157</v>
      </c>
      <c r="G25" s="30"/>
      <c r="H25" s="30" t="s">
        <v>169</v>
      </c>
      <c r="I25" s="30"/>
      <c r="J25" s="30"/>
      <c r="K25" s="126"/>
      <c r="L25" s="126"/>
      <c r="M25" s="28"/>
      <c r="N25" s="6"/>
    </row>
    <row r="26" spans="1:14" ht="15.75">
      <c r="A26" s="32"/>
      <c r="B26" s="33" t="s">
        <v>16</v>
      </c>
      <c r="C26" s="33"/>
      <c r="D26" s="34"/>
      <c r="E26" s="34"/>
      <c r="F26" s="34" t="s">
        <v>156</v>
      </c>
      <c r="G26" s="34"/>
      <c r="H26" s="34" t="s">
        <v>168</v>
      </c>
      <c r="I26" s="34"/>
      <c r="J26" s="30"/>
      <c r="K26" s="126"/>
      <c r="L26" s="126"/>
      <c r="M26" s="28"/>
      <c r="N26" s="6"/>
    </row>
    <row r="27" spans="1:14" ht="15.75">
      <c r="A27" s="32"/>
      <c r="B27" s="33" t="s">
        <v>17</v>
      </c>
      <c r="C27" s="33"/>
      <c r="D27" s="34"/>
      <c r="E27" s="34"/>
      <c r="F27" s="34" t="s">
        <v>157</v>
      </c>
      <c r="G27" s="34"/>
      <c r="H27" s="34" t="s">
        <v>207</v>
      </c>
      <c r="I27" s="34"/>
      <c r="J27" s="30"/>
      <c r="K27" s="126"/>
      <c r="L27" s="126"/>
      <c r="M27" s="28"/>
      <c r="N27" s="6"/>
    </row>
    <row r="28" spans="1:14" ht="15.75">
      <c r="A28" s="32"/>
      <c r="B28" s="33" t="s">
        <v>18</v>
      </c>
      <c r="C28" s="33"/>
      <c r="D28" s="34"/>
      <c r="E28" s="34"/>
      <c r="F28" s="34" t="s">
        <v>157</v>
      </c>
      <c r="G28" s="34"/>
      <c r="H28" s="34" t="s">
        <v>169</v>
      </c>
      <c r="I28" s="34"/>
      <c r="J28" s="30"/>
      <c r="K28" s="126"/>
      <c r="L28" s="126"/>
      <c r="M28" s="28"/>
      <c r="N28" s="6"/>
    </row>
    <row r="29" spans="1:14" ht="15.75">
      <c r="A29" s="27"/>
      <c r="B29" s="28" t="s">
        <v>19</v>
      </c>
      <c r="C29" s="28"/>
      <c r="D29" s="29"/>
      <c r="E29" s="30"/>
      <c r="F29" s="29" t="s">
        <v>158</v>
      </c>
      <c r="G29" s="30"/>
      <c r="H29" s="29" t="s">
        <v>170</v>
      </c>
      <c r="I29" s="30"/>
      <c r="J29" s="29"/>
      <c r="K29" s="126"/>
      <c r="L29" s="126"/>
      <c r="M29" s="28"/>
      <c r="N29" s="6"/>
    </row>
    <row r="30" spans="1:14" ht="15.75">
      <c r="A30" s="27"/>
      <c r="B30" s="28"/>
      <c r="C30" s="28"/>
      <c r="D30" s="28"/>
      <c r="E30" s="30"/>
      <c r="F30" s="30"/>
      <c r="G30" s="30"/>
      <c r="H30" s="30"/>
      <c r="I30" s="30"/>
      <c r="J30" s="30"/>
      <c r="K30" s="126"/>
      <c r="L30" s="126"/>
      <c r="M30" s="28"/>
      <c r="N30" s="6"/>
    </row>
    <row r="31" spans="1:14" ht="15.75">
      <c r="A31" s="27"/>
      <c r="B31" s="28" t="s">
        <v>20</v>
      </c>
      <c r="C31" s="28"/>
      <c r="D31" s="35"/>
      <c r="E31" s="36"/>
      <c r="F31" s="35">
        <v>457500</v>
      </c>
      <c r="G31" s="35"/>
      <c r="H31" s="35">
        <v>42500</v>
      </c>
      <c r="I31" s="35"/>
      <c r="J31" s="35"/>
      <c r="K31" s="127"/>
      <c r="L31" s="35">
        <f>H31+F31</f>
        <v>500000</v>
      </c>
      <c r="M31" s="38"/>
      <c r="N31" s="6"/>
    </row>
    <row r="32" spans="1:14" ht="15.75">
      <c r="A32" s="27"/>
      <c r="B32" s="28" t="s">
        <v>21</v>
      </c>
      <c r="C32" s="39">
        <v>0.689562</v>
      </c>
      <c r="D32" s="35"/>
      <c r="E32" s="36"/>
      <c r="F32" s="35">
        <f>F31*C32</f>
        <v>315474.615</v>
      </c>
      <c r="G32" s="35"/>
      <c r="H32" s="35">
        <v>42500</v>
      </c>
      <c r="I32" s="35"/>
      <c r="J32" s="35"/>
      <c r="K32" s="127"/>
      <c r="L32" s="35">
        <f>H32+F32</f>
        <v>357974.615</v>
      </c>
      <c r="M32" s="38"/>
      <c r="N32" s="6"/>
    </row>
    <row r="33" spans="1:14" ht="12.75" customHeight="1">
      <c r="A33" s="32"/>
      <c r="B33" s="33" t="s">
        <v>22</v>
      </c>
      <c r="C33" s="40">
        <v>0.663224</v>
      </c>
      <c r="D33" s="41"/>
      <c r="E33" s="42"/>
      <c r="F33" s="41">
        <f>F31*C33</f>
        <v>303424.98000000004</v>
      </c>
      <c r="G33" s="41"/>
      <c r="H33" s="41">
        <f>H31</f>
        <v>42500</v>
      </c>
      <c r="I33" s="41"/>
      <c r="J33" s="41"/>
      <c r="K33" s="43"/>
      <c r="L33" s="41">
        <f>H33+F33+D33</f>
        <v>345924.98000000004</v>
      </c>
      <c r="M33" s="38"/>
      <c r="N33" s="6"/>
    </row>
    <row r="34" spans="1:14" ht="15.75">
      <c r="A34" s="27"/>
      <c r="B34" s="28" t="s">
        <v>23</v>
      </c>
      <c r="C34" s="44"/>
      <c r="D34" s="29"/>
      <c r="E34" s="28"/>
      <c r="F34" s="29" t="s">
        <v>159</v>
      </c>
      <c r="G34" s="29"/>
      <c r="H34" s="29" t="s">
        <v>171</v>
      </c>
      <c r="I34" s="29"/>
      <c r="J34" s="29"/>
      <c r="K34" s="126"/>
      <c r="L34" s="126"/>
      <c r="M34" s="28"/>
      <c r="N34" s="6"/>
    </row>
    <row r="35" spans="1:14" ht="15.75">
      <c r="A35" s="27"/>
      <c r="B35" s="28" t="s">
        <v>24</v>
      </c>
      <c r="C35" s="28"/>
      <c r="D35" s="45"/>
      <c r="E35" s="28"/>
      <c r="F35" s="45">
        <v>0.0514625</v>
      </c>
      <c r="G35" s="46"/>
      <c r="H35" s="45">
        <v>0.0573625</v>
      </c>
      <c r="I35" s="46"/>
      <c r="J35" s="45"/>
      <c r="K35" s="126"/>
      <c r="L35" s="46">
        <f>SUMPRODUCT(F35:H35,F32:H32)/L32</f>
        <v>0.05216296866312015</v>
      </c>
      <c r="M35" s="28"/>
      <c r="N35" s="6"/>
    </row>
    <row r="36" spans="1:14" ht="15.75">
      <c r="A36" s="27"/>
      <c r="B36" s="28" t="s">
        <v>25</v>
      </c>
      <c r="C36" s="28"/>
      <c r="D36" s="45"/>
      <c r="E36" s="28"/>
      <c r="F36" s="45">
        <v>0.0517</v>
      </c>
      <c r="G36" s="46"/>
      <c r="H36" s="45">
        <v>0.0576</v>
      </c>
      <c r="I36" s="46"/>
      <c r="J36" s="45"/>
      <c r="K36" s="126"/>
      <c r="L36" s="126"/>
      <c r="M36" s="28"/>
      <c r="N36" s="6"/>
    </row>
    <row r="37" spans="1:14" ht="15.75">
      <c r="A37" s="27"/>
      <c r="B37" s="28" t="s">
        <v>26</v>
      </c>
      <c r="C37" s="28"/>
      <c r="D37" s="29"/>
      <c r="E37" s="28"/>
      <c r="F37" s="29" t="s">
        <v>160</v>
      </c>
      <c r="G37" s="29"/>
      <c r="H37" s="29" t="s">
        <v>160</v>
      </c>
      <c r="I37" s="29"/>
      <c r="J37" s="29"/>
      <c r="K37" s="126"/>
      <c r="L37" s="126"/>
      <c r="M37" s="28"/>
      <c r="N37" s="6"/>
    </row>
    <row r="38" spans="1:14" ht="15.75">
      <c r="A38" s="27"/>
      <c r="B38" s="28" t="s">
        <v>27</v>
      </c>
      <c r="C38" s="28"/>
      <c r="D38" s="29"/>
      <c r="E38" s="28"/>
      <c r="F38" s="29" t="s">
        <v>161</v>
      </c>
      <c r="G38" s="29"/>
      <c r="H38" s="29" t="s">
        <v>161</v>
      </c>
      <c r="I38" s="29"/>
      <c r="J38" s="29"/>
      <c r="K38" s="126"/>
      <c r="L38" s="126"/>
      <c r="M38" s="28"/>
      <c r="N38" s="6"/>
    </row>
    <row r="39" spans="1:14" ht="15.75">
      <c r="A39" s="27"/>
      <c r="B39" s="28" t="s">
        <v>28</v>
      </c>
      <c r="C39" s="28"/>
      <c r="D39" s="29"/>
      <c r="E39" s="28"/>
      <c r="F39" s="29" t="s">
        <v>162</v>
      </c>
      <c r="G39" s="29"/>
      <c r="H39" s="29" t="s">
        <v>172</v>
      </c>
      <c r="I39" s="29"/>
      <c r="J39" s="29"/>
      <c r="K39" s="126"/>
      <c r="L39" s="126"/>
      <c r="M39" s="28"/>
      <c r="N39" s="6"/>
    </row>
    <row r="40" spans="1:14" ht="15.75">
      <c r="A40" s="27"/>
      <c r="B40" s="28"/>
      <c r="C40" s="28"/>
      <c r="D40" s="47"/>
      <c r="E40" s="47"/>
      <c r="F40" s="28"/>
      <c r="G40" s="47"/>
      <c r="H40" s="130"/>
      <c r="I40" s="47"/>
      <c r="J40" s="47"/>
      <c r="K40" s="47"/>
      <c r="L40" s="47"/>
      <c r="M40" s="28"/>
      <c r="N40" s="6"/>
    </row>
    <row r="41" spans="1:14" ht="15.75">
      <c r="A41" s="27"/>
      <c r="B41" s="28" t="s">
        <v>29</v>
      </c>
      <c r="C41" s="28"/>
      <c r="D41" s="28"/>
      <c r="E41" s="28"/>
      <c r="F41" s="28"/>
      <c r="G41" s="28"/>
      <c r="H41" s="117"/>
      <c r="I41" s="28"/>
      <c r="J41" s="28"/>
      <c r="K41" s="28"/>
      <c r="L41" s="46">
        <f>H31/F31</f>
        <v>0.09289617486338798</v>
      </c>
      <c r="M41" s="28"/>
      <c r="N41" s="6"/>
    </row>
    <row r="42" spans="1:14" ht="15.75">
      <c r="A42" s="27"/>
      <c r="B42" s="28" t="s">
        <v>30</v>
      </c>
      <c r="C42" s="28"/>
      <c r="D42" s="28"/>
      <c r="E42" s="28"/>
      <c r="F42" s="28"/>
      <c r="G42" s="28"/>
      <c r="H42" s="117"/>
      <c r="I42" s="28"/>
      <c r="J42" s="28"/>
      <c r="K42" s="28"/>
      <c r="L42" s="46">
        <f>H33/F33</f>
        <v>0.1400675712329288</v>
      </c>
      <c r="M42" s="28"/>
      <c r="N42" s="6"/>
    </row>
    <row r="43" spans="1:14" ht="15.75">
      <c r="A43" s="27"/>
      <c r="B43" s="28" t="s">
        <v>31</v>
      </c>
      <c r="C43" s="28"/>
      <c r="D43" s="28"/>
      <c r="E43" s="28"/>
      <c r="F43" s="117"/>
      <c r="G43" s="28"/>
      <c r="H43" s="117"/>
      <c r="I43" s="28"/>
      <c r="J43" s="29" t="s">
        <v>155</v>
      </c>
      <c r="K43" s="29" t="s">
        <v>187</v>
      </c>
      <c r="L43" s="35">
        <v>207500</v>
      </c>
      <c r="M43" s="28"/>
      <c r="N43" s="6"/>
    </row>
    <row r="44" spans="1:14" ht="15.75">
      <c r="A44" s="27"/>
      <c r="B44" s="28"/>
      <c r="C44" s="28"/>
      <c r="D44" s="28"/>
      <c r="E44" s="28"/>
      <c r="F44" s="28"/>
      <c r="G44" s="28"/>
      <c r="H44" s="28"/>
      <c r="I44" s="28"/>
      <c r="J44" s="28" t="s">
        <v>179</v>
      </c>
      <c r="K44" s="28"/>
      <c r="L44" s="48"/>
      <c r="M44" s="28"/>
      <c r="N44" s="6"/>
    </row>
    <row r="45" spans="1:14" ht="15.75">
      <c r="A45" s="27"/>
      <c r="B45" s="28" t="s">
        <v>32</v>
      </c>
      <c r="C45" s="28"/>
      <c r="D45" s="28"/>
      <c r="E45" s="28"/>
      <c r="F45" s="28"/>
      <c r="G45" s="28"/>
      <c r="H45" s="28"/>
      <c r="I45" s="28"/>
      <c r="J45" s="29"/>
      <c r="K45" s="29"/>
      <c r="L45" s="29" t="s">
        <v>190</v>
      </c>
      <c r="M45" s="28"/>
      <c r="N45" s="6"/>
    </row>
    <row r="46" spans="1:14" ht="15.75">
      <c r="A46" s="32"/>
      <c r="B46" s="33" t="s">
        <v>33</v>
      </c>
      <c r="C46" s="33"/>
      <c r="D46" s="33"/>
      <c r="E46" s="33"/>
      <c r="F46" s="33"/>
      <c r="G46" s="33"/>
      <c r="H46" s="33"/>
      <c r="I46" s="33"/>
      <c r="J46" s="49"/>
      <c r="K46" s="49"/>
      <c r="L46" s="50">
        <v>38449</v>
      </c>
      <c r="M46" s="28"/>
      <c r="N46" s="6"/>
    </row>
    <row r="47" spans="1:14" ht="15.75">
      <c r="A47" s="27"/>
      <c r="B47" s="28" t="s">
        <v>34</v>
      </c>
      <c r="C47" s="28"/>
      <c r="D47" s="28"/>
      <c r="E47" s="28"/>
      <c r="F47" s="28"/>
      <c r="G47" s="28"/>
      <c r="H47" s="28"/>
      <c r="I47" s="28">
        <f>L47-J47+1</f>
        <v>92</v>
      </c>
      <c r="J47" s="51">
        <v>38267</v>
      </c>
      <c r="K47" s="52"/>
      <c r="L47" s="51">
        <v>38358</v>
      </c>
      <c r="M47" s="28"/>
      <c r="N47" s="6"/>
    </row>
    <row r="48" spans="1:14" ht="15.75">
      <c r="A48" s="27"/>
      <c r="B48" s="28" t="s">
        <v>35</v>
      </c>
      <c r="C48" s="28"/>
      <c r="D48" s="28"/>
      <c r="E48" s="28"/>
      <c r="F48" s="28"/>
      <c r="G48" s="28"/>
      <c r="H48" s="28"/>
      <c r="I48" s="28">
        <f>L48-J48+1</f>
        <v>90</v>
      </c>
      <c r="J48" s="51">
        <v>38359</v>
      </c>
      <c r="K48" s="52"/>
      <c r="L48" s="51">
        <v>38448</v>
      </c>
      <c r="M48" s="28"/>
      <c r="N48" s="6"/>
    </row>
    <row r="49" spans="1:14" ht="15.75">
      <c r="A49" s="27"/>
      <c r="B49" s="28" t="s">
        <v>36</v>
      </c>
      <c r="C49" s="28"/>
      <c r="D49" s="28"/>
      <c r="E49" s="28"/>
      <c r="F49" s="28"/>
      <c r="G49" s="28"/>
      <c r="H49" s="28"/>
      <c r="I49" s="28"/>
      <c r="J49" s="51"/>
      <c r="K49" s="52"/>
      <c r="L49" s="51" t="s">
        <v>191</v>
      </c>
      <c r="M49" s="28"/>
      <c r="N49" s="6"/>
    </row>
    <row r="50" spans="1:14" ht="15.75">
      <c r="A50" s="27"/>
      <c r="B50" s="28" t="s">
        <v>37</v>
      </c>
      <c r="C50" s="28"/>
      <c r="D50" s="28"/>
      <c r="E50" s="28"/>
      <c r="F50" s="28"/>
      <c r="G50" s="28"/>
      <c r="H50" s="28"/>
      <c r="I50" s="28"/>
      <c r="J50" s="51"/>
      <c r="K50" s="52"/>
      <c r="L50" s="51">
        <v>38443</v>
      </c>
      <c r="M50" s="28"/>
      <c r="N50" s="6"/>
    </row>
    <row r="51" spans="1:14" ht="15.75">
      <c r="A51" s="27"/>
      <c r="B51" s="28"/>
      <c r="C51" s="28"/>
      <c r="D51" s="28"/>
      <c r="E51" s="28"/>
      <c r="F51" s="28"/>
      <c r="G51" s="28"/>
      <c r="H51" s="28"/>
      <c r="I51" s="28"/>
      <c r="J51" s="51"/>
      <c r="K51" s="52"/>
      <c r="L51" s="51"/>
      <c r="M51" s="28"/>
      <c r="N51" s="6"/>
    </row>
    <row r="52" spans="1:14" ht="15.75">
      <c r="A52" s="7"/>
      <c r="B52" s="9"/>
      <c r="C52" s="9"/>
      <c r="D52" s="9"/>
      <c r="E52" s="9"/>
      <c r="F52" s="9"/>
      <c r="G52" s="9"/>
      <c r="H52" s="9"/>
      <c r="I52" s="9"/>
      <c r="J52" s="53"/>
      <c r="K52" s="54"/>
      <c r="L52" s="53"/>
      <c r="M52" s="9"/>
      <c r="N52" s="6"/>
    </row>
    <row r="53" spans="1:14" ht="19.5" thickBot="1">
      <c r="A53" s="118"/>
      <c r="B53" s="119" t="s">
        <v>212</v>
      </c>
      <c r="C53" s="120"/>
      <c r="D53" s="120"/>
      <c r="E53" s="120"/>
      <c r="F53" s="120"/>
      <c r="G53" s="120"/>
      <c r="H53" s="120"/>
      <c r="I53" s="120"/>
      <c r="J53" s="121"/>
      <c r="K53" s="122"/>
      <c r="L53" s="121"/>
      <c r="M53" s="123"/>
      <c r="N53" s="6"/>
    </row>
    <row r="54" spans="1:14" ht="15.75">
      <c r="A54" s="2"/>
      <c r="B54" s="5"/>
      <c r="C54" s="5"/>
      <c r="D54" s="5"/>
      <c r="E54" s="5"/>
      <c r="F54" s="5"/>
      <c r="G54" s="5"/>
      <c r="H54" s="5"/>
      <c r="I54" s="5"/>
      <c r="J54" s="5"/>
      <c r="K54" s="5"/>
      <c r="L54" s="56"/>
      <c r="M54" s="5"/>
      <c r="N54" s="6"/>
    </row>
    <row r="55" spans="1:14" ht="15.75">
      <c r="A55" s="7"/>
      <c r="B55" s="57" t="s">
        <v>39</v>
      </c>
      <c r="C55" s="15"/>
      <c r="D55" s="9"/>
      <c r="E55" s="9"/>
      <c r="F55" s="9"/>
      <c r="G55" s="9"/>
      <c r="H55" s="9"/>
      <c r="I55" s="9"/>
      <c r="J55" s="9"/>
      <c r="K55" s="9"/>
      <c r="L55" s="58"/>
      <c r="M55" s="9"/>
      <c r="N55" s="6"/>
    </row>
    <row r="56" spans="1:14" ht="15.75">
      <c r="A56" s="7"/>
      <c r="B56" s="15"/>
      <c r="C56" s="15"/>
      <c r="D56" s="9"/>
      <c r="E56" s="9"/>
      <c r="F56" s="9"/>
      <c r="G56" s="9"/>
      <c r="H56" s="9"/>
      <c r="I56" s="9"/>
      <c r="J56" s="9"/>
      <c r="K56" s="9"/>
      <c r="L56" s="58"/>
      <c r="M56" s="9"/>
      <c r="N56" s="6"/>
    </row>
    <row r="57" spans="1:14" ht="31.5">
      <c r="A57" s="7"/>
      <c r="B57" s="134" t="s">
        <v>40</v>
      </c>
      <c r="C57" s="135" t="s">
        <v>149</v>
      </c>
      <c r="D57" s="135" t="s">
        <v>151</v>
      </c>
      <c r="E57" s="135"/>
      <c r="F57" s="135" t="s">
        <v>163</v>
      </c>
      <c r="G57" s="135"/>
      <c r="H57" s="135" t="s">
        <v>173</v>
      </c>
      <c r="I57" s="135"/>
      <c r="J57" s="135" t="s">
        <v>180</v>
      </c>
      <c r="K57" s="135"/>
      <c r="L57" s="136" t="s">
        <v>192</v>
      </c>
      <c r="M57" s="9"/>
      <c r="N57" s="6"/>
    </row>
    <row r="58" spans="1:14" ht="15.75">
      <c r="A58" s="27"/>
      <c r="B58" s="28" t="s">
        <v>41</v>
      </c>
      <c r="C58" s="38">
        <v>421950</v>
      </c>
      <c r="D58" s="38">
        <v>357957</v>
      </c>
      <c r="E58" s="38"/>
      <c r="F58" s="38">
        <f>12032</f>
        <v>12032</v>
      </c>
      <c r="G58" s="38"/>
      <c r="H58" s="38">
        <v>0</v>
      </c>
      <c r="I58" s="38"/>
      <c r="J58" s="38">
        <v>0</v>
      </c>
      <c r="K58" s="38"/>
      <c r="L58" s="59">
        <f>D58-F58+H58-J58</f>
        <v>345925</v>
      </c>
      <c r="M58" s="28"/>
      <c r="N58" s="6"/>
    </row>
    <row r="59" spans="1:14" ht="15.75">
      <c r="A59" s="27"/>
      <c r="B59" s="28" t="s">
        <v>42</v>
      </c>
      <c r="C59" s="38">
        <v>54</v>
      </c>
      <c r="D59" s="38">
        <v>0</v>
      </c>
      <c r="E59" s="38"/>
      <c r="F59" s="38">
        <v>0</v>
      </c>
      <c r="G59" s="38"/>
      <c r="H59" s="38">
        <v>0</v>
      </c>
      <c r="I59" s="38"/>
      <c r="J59" s="38">
        <v>0</v>
      </c>
      <c r="K59" s="38"/>
      <c r="L59" s="59">
        <f>D59-F59+H59-J59</f>
        <v>0</v>
      </c>
      <c r="M59" s="28"/>
      <c r="N59" s="6"/>
    </row>
    <row r="60" spans="1:14" ht="15.75">
      <c r="A60" s="27"/>
      <c r="B60" s="28"/>
      <c r="C60" s="38"/>
      <c r="D60" s="38"/>
      <c r="E60" s="38"/>
      <c r="F60" s="38"/>
      <c r="G60" s="38"/>
      <c r="H60" s="38"/>
      <c r="I60" s="38"/>
      <c r="J60" s="38"/>
      <c r="K60" s="38"/>
      <c r="L60" s="59"/>
      <c r="M60" s="28"/>
      <c r="N60" s="6"/>
    </row>
    <row r="61" spans="1:14" ht="15.75">
      <c r="A61" s="27"/>
      <c r="B61" s="28" t="s">
        <v>43</v>
      </c>
      <c r="C61" s="38">
        <f>SUM(C58:C60)</f>
        <v>422004</v>
      </c>
      <c r="D61" s="38">
        <f>SUM(D58:D60)</f>
        <v>357957</v>
      </c>
      <c r="E61" s="38"/>
      <c r="F61" s="38">
        <f>SUM(F58:F60)</f>
        <v>12032</v>
      </c>
      <c r="G61" s="38"/>
      <c r="H61" s="38">
        <f>SUM(H58:H60)</f>
        <v>0</v>
      </c>
      <c r="I61" s="38"/>
      <c r="J61" s="38">
        <f>SUM(J58:J60)</f>
        <v>0</v>
      </c>
      <c r="K61" s="38"/>
      <c r="L61" s="60">
        <f>SUM(L58:L60)</f>
        <v>345925</v>
      </c>
      <c r="M61" s="28"/>
      <c r="N61" s="6"/>
    </row>
    <row r="62" spans="1:14" ht="15.75">
      <c r="A62" s="27"/>
      <c r="B62" s="28"/>
      <c r="C62" s="38"/>
      <c r="D62" s="38"/>
      <c r="E62" s="38"/>
      <c r="F62" s="38"/>
      <c r="G62" s="38"/>
      <c r="H62" s="38"/>
      <c r="I62" s="38"/>
      <c r="J62" s="38"/>
      <c r="K62" s="38"/>
      <c r="L62" s="60"/>
      <c r="M62" s="28"/>
      <c r="N62" s="6"/>
    </row>
    <row r="63" spans="1:14" ht="15.75">
      <c r="A63" s="7"/>
      <c r="B63" s="131" t="s">
        <v>44</v>
      </c>
      <c r="C63" s="61"/>
      <c r="D63" s="61"/>
      <c r="E63" s="61"/>
      <c r="F63" s="61"/>
      <c r="G63" s="61"/>
      <c r="H63" s="61"/>
      <c r="I63" s="61"/>
      <c r="J63" s="61"/>
      <c r="K63" s="61"/>
      <c r="L63" s="62"/>
      <c r="M63" s="9"/>
      <c r="N63" s="6"/>
    </row>
    <row r="64" spans="1:14" ht="15.75">
      <c r="A64" s="7"/>
      <c r="B64" s="9"/>
      <c r="C64" s="61"/>
      <c r="D64" s="61"/>
      <c r="E64" s="61"/>
      <c r="F64" s="61"/>
      <c r="G64" s="61"/>
      <c r="H64" s="61"/>
      <c r="I64" s="61"/>
      <c r="J64" s="61"/>
      <c r="K64" s="61"/>
      <c r="L64" s="62"/>
      <c r="M64" s="9"/>
      <c r="N64" s="6"/>
    </row>
    <row r="65" spans="1:14" ht="15.75">
      <c r="A65" s="27"/>
      <c r="B65" s="28" t="s">
        <v>41</v>
      </c>
      <c r="C65" s="38"/>
      <c r="D65" s="38"/>
      <c r="E65" s="38"/>
      <c r="F65" s="38"/>
      <c r="G65" s="38"/>
      <c r="H65" s="38"/>
      <c r="I65" s="38"/>
      <c r="J65" s="38"/>
      <c r="K65" s="38"/>
      <c r="L65" s="60"/>
      <c r="M65" s="28"/>
      <c r="N65" s="6"/>
    </row>
    <row r="66" spans="1:14" ht="15.75">
      <c r="A66" s="27"/>
      <c r="B66" s="28" t="s">
        <v>42</v>
      </c>
      <c r="C66" s="38"/>
      <c r="D66" s="38"/>
      <c r="E66" s="38"/>
      <c r="F66" s="38"/>
      <c r="G66" s="38"/>
      <c r="H66" s="38"/>
      <c r="I66" s="38"/>
      <c r="J66" s="38"/>
      <c r="K66" s="38"/>
      <c r="L66" s="60"/>
      <c r="M66" s="28"/>
      <c r="N66" s="6"/>
    </row>
    <row r="67" spans="1:14" ht="15.75">
      <c r="A67" s="27"/>
      <c r="B67" s="28"/>
      <c r="C67" s="38"/>
      <c r="D67" s="38"/>
      <c r="E67" s="38"/>
      <c r="F67" s="38"/>
      <c r="G67" s="38"/>
      <c r="H67" s="38"/>
      <c r="I67" s="38"/>
      <c r="J67" s="38"/>
      <c r="K67" s="38"/>
      <c r="L67" s="60"/>
      <c r="M67" s="28"/>
      <c r="N67" s="6"/>
    </row>
    <row r="68" spans="1:14" ht="15.75">
      <c r="A68" s="27"/>
      <c r="B68" s="28" t="s">
        <v>43</v>
      </c>
      <c r="C68" s="38"/>
      <c r="D68" s="38"/>
      <c r="E68" s="38"/>
      <c r="F68" s="38"/>
      <c r="G68" s="38"/>
      <c r="H68" s="38"/>
      <c r="I68" s="38"/>
      <c r="J68" s="38"/>
      <c r="K68" s="38"/>
      <c r="L68" s="38"/>
      <c r="M68" s="28"/>
      <c r="N68" s="6"/>
    </row>
    <row r="69" spans="1:14" ht="15.75">
      <c r="A69" s="27"/>
      <c r="B69" s="28"/>
      <c r="C69" s="38"/>
      <c r="D69" s="38"/>
      <c r="E69" s="38"/>
      <c r="F69" s="38"/>
      <c r="G69" s="38"/>
      <c r="H69" s="38"/>
      <c r="I69" s="38"/>
      <c r="J69" s="38"/>
      <c r="K69" s="38"/>
      <c r="L69" s="38"/>
      <c r="M69" s="28"/>
      <c r="N69" s="6"/>
    </row>
    <row r="70" spans="1:14" ht="15.75">
      <c r="A70" s="27"/>
      <c r="B70" s="28" t="s">
        <v>45</v>
      </c>
      <c r="C70" s="38">
        <v>0</v>
      </c>
      <c r="D70" s="38">
        <v>0</v>
      </c>
      <c r="E70" s="38"/>
      <c r="F70" s="38"/>
      <c r="G70" s="38"/>
      <c r="H70" s="38"/>
      <c r="I70" s="38"/>
      <c r="J70" s="38"/>
      <c r="K70" s="38"/>
      <c r="L70" s="59">
        <f>D70-F70+H70-J70</f>
        <v>0</v>
      </c>
      <c r="M70" s="28"/>
      <c r="N70" s="6"/>
    </row>
    <row r="71" spans="1:14" ht="15.75">
      <c r="A71" s="27"/>
      <c r="B71" s="28" t="s">
        <v>46</v>
      </c>
      <c r="C71" s="38">
        <v>77996</v>
      </c>
      <c r="D71" s="38">
        <v>0</v>
      </c>
      <c r="E71" s="38"/>
      <c r="F71" s="38"/>
      <c r="G71" s="38"/>
      <c r="H71" s="38"/>
      <c r="I71" s="38"/>
      <c r="J71" s="38"/>
      <c r="K71" s="38"/>
      <c r="L71" s="60">
        <v>0</v>
      </c>
      <c r="M71" s="28"/>
      <c r="N71" s="6"/>
    </row>
    <row r="72" spans="1:14" ht="15.75">
      <c r="A72" s="27"/>
      <c r="B72" s="28" t="s">
        <v>47</v>
      </c>
      <c r="C72" s="38">
        <v>0</v>
      </c>
      <c r="D72" s="38">
        <v>18</v>
      </c>
      <c r="E72" s="38"/>
      <c r="F72" s="38"/>
      <c r="G72" s="38"/>
      <c r="H72" s="38"/>
      <c r="I72" s="38"/>
      <c r="J72" s="38"/>
      <c r="K72" s="38"/>
      <c r="L72" s="60">
        <v>0</v>
      </c>
      <c r="M72" s="28"/>
      <c r="N72" s="6"/>
    </row>
    <row r="73" spans="1:14" ht="15.75">
      <c r="A73" s="27"/>
      <c r="B73" s="28" t="s">
        <v>48</v>
      </c>
      <c r="C73" s="60">
        <f>SUM(C61:C72)</f>
        <v>500000</v>
      </c>
      <c r="D73" s="60">
        <f>SUM(D61:D72)</f>
        <v>357975</v>
      </c>
      <c r="E73" s="38"/>
      <c r="F73" s="60"/>
      <c r="G73" s="38"/>
      <c r="H73" s="60"/>
      <c r="I73" s="38"/>
      <c r="J73" s="60"/>
      <c r="K73" s="38"/>
      <c r="L73" s="60">
        <f>SUM(L61:L72)</f>
        <v>345925</v>
      </c>
      <c r="M73" s="28"/>
      <c r="N73" s="6"/>
    </row>
    <row r="74" spans="1:14" ht="15.75">
      <c r="A74" s="7"/>
      <c r="B74" s="9"/>
      <c r="C74" s="9"/>
      <c r="D74" s="9"/>
      <c r="E74" s="9"/>
      <c r="F74" s="9"/>
      <c r="G74" s="9"/>
      <c r="H74" s="9"/>
      <c r="I74" s="9"/>
      <c r="J74" s="9"/>
      <c r="K74" s="9"/>
      <c r="L74" s="9"/>
      <c r="M74" s="9"/>
      <c r="N74" s="6"/>
    </row>
    <row r="75" spans="1:14" ht="15.75">
      <c r="A75" s="7"/>
      <c r="B75" s="57" t="s">
        <v>49</v>
      </c>
      <c r="C75" s="16"/>
      <c r="D75" s="16"/>
      <c r="E75" s="16"/>
      <c r="F75" s="16"/>
      <c r="G75" s="16"/>
      <c r="H75" s="16"/>
      <c r="I75" s="19"/>
      <c r="J75" s="19" t="s">
        <v>181</v>
      </c>
      <c r="K75" s="19"/>
      <c r="L75" s="19" t="s">
        <v>193</v>
      </c>
      <c r="M75" s="9"/>
      <c r="N75" s="6"/>
    </row>
    <row r="76" spans="1:14" ht="15.75">
      <c r="A76" s="27"/>
      <c r="B76" s="28" t="s">
        <v>50</v>
      </c>
      <c r="C76" s="28"/>
      <c r="D76" s="28"/>
      <c r="E76" s="28"/>
      <c r="F76" s="28"/>
      <c r="G76" s="28"/>
      <c r="H76" s="28"/>
      <c r="I76" s="28"/>
      <c r="J76" s="38">
        <v>0</v>
      </c>
      <c r="K76" s="28"/>
      <c r="L76" s="59">
        <v>0</v>
      </c>
      <c r="M76" s="28"/>
      <c r="N76" s="6"/>
    </row>
    <row r="77" spans="1:14" ht="15.75">
      <c r="A77" s="27"/>
      <c r="B77" s="28" t="s">
        <v>51</v>
      </c>
      <c r="C77" s="47" t="s">
        <v>150</v>
      </c>
      <c r="D77" s="63">
        <f>J159</f>
        <v>38442</v>
      </c>
      <c r="E77" s="28"/>
      <c r="F77" s="28"/>
      <c r="G77" s="28"/>
      <c r="H77" s="28"/>
      <c r="I77" s="28"/>
      <c r="J77" s="38">
        <f>12032+18</f>
        <v>12050</v>
      </c>
      <c r="K77" s="28"/>
      <c r="L77" s="59"/>
      <c r="M77" s="28"/>
      <c r="N77" s="6"/>
    </row>
    <row r="78" spans="1:14" ht="15.75">
      <c r="A78" s="27"/>
      <c r="B78" s="28" t="s">
        <v>52</v>
      </c>
      <c r="C78" s="28"/>
      <c r="D78" s="28"/>
      <c r="E78" s="28"/>
      <c r="F78" s="28"/>
      <c r="G78" s="28"/>
      <c r="H78" s="28"/>
      <c r="I78" s="28"/>
      <c r="J78" s="38"/>
      <c r="K78" s="28"/>
      <c r="L78" s="59">
        <v>6013</v>
      </c>
      <c r="M78" s="28"/>
      <c r="N78" s="6"/>
    </row>
    <row r="79" spans="1:14" ht="15.75">
      <c r="A79" s="27"/>
      <c r="B79" s="28" t="s">
        <v>53</v>
      </c>
      <c r="C79" s="28"/>
      <c r="D79" s="28"/>
      <c r="E79" s="28"/>
      <c r="F79" s="28"/>
      <c r="G79" s="28"/>
      <c r="H79" s="28"/>
      <c r="I79" s="28"/>
      <c r="J79" s="38"/>
      <c r="K79" s="28"/>
      <c r="L79" s="59">
        <v>0</v>
      </c>
      <c r="M79" s="28"/>
      <c r="N79" s="6"/>
    </row>
    <row r="80" spans="1:14" ht="15.75">
      <c r="A80" s="27"/>
      <c r="B80" s="28" t="s">
        <v>54</v>
      </c>
      <c r="C80" s="28"/>
      <c r="D80" s="28"/>
      <c r="E80" s="28"/>
      <c r="F80" s="28"/>
      <c r="G80" s="28"/>
      <c r="H80" s="28"/>
      <c r="I80" s="28"/>
      <c r="J80" s="38">
        <f>SUM(J76:J79)</f>
        <v>12050</v>
      </c>
      <c r="K80" s="28"/>
      <c r="L80" s="60">
        <f>SUM(L76:L79)</f>
        <v>6013</v>
      </c>
      <c r="M80" s="28"/>
      <c r="N80" s="6"/>
    </row>
    <row r="81" spans="1:14" ht="15.75">
      <c r="A81" s="27"/>
      <c r="B81" s="28" t="s">
        <v>55</v>
      </c>
      <c r="C81" s="28"/>
      <c r="D81" s="28"/>
      <c r="E81" s="28"/>
      <c r="F81" s="28"/>
      <c r="G81" s="28"/>
      <c r="H81" s="28"/>
      <c r="I81" s="28"/>
      <c r="J81" s="38">
        <v>0</v>
      </c>
      <c r="K81" s="28"/>
      <c r="L81" s="59">
        <v>0</v>
      </c>
      <c r="M81" s="28"/>
      <c r="N81" s="6"/>
    </row>
    <row r="82" spans="1:14" ht="15.75">
      <c r="A82" s="27"/>
      <c r="B82" s="28" t="s">
        <v>56</v>
      </c>
      <c r="C82" s="28"/>
      <c r="D82" s="28"/>
      <c r="E82" s="28"/>
      <c r="F82" s="28"/>
      <c r="G82" s="28"/>
      <c r="H82" s="28"/>
      <c r="I82" s="28"/>
      <c r="J82" s="38">
        <f>J80+J81</f>
        <v>12050</v>
      </c>
      <c r="K82" s="28"/>
      <c r="L82" s="60">
        <f>L80+L81</f>
        <v>6013</v>
      </c>
      <c r="M82" s="28"/>
      <c r="N82" s="6"/>
    </row>
    <row r="83" spans="1:14" ht="15.75">
      <c r="A83" s="27"/>
      <c r="B83" s="137" t="s">
        <v>57</v>
      </c>
      <c r="C83" s="64"/>
      <c r="D83" s="28"/>
      <c r="E83" s="28"/>
      <c r="F83" s="28"/>
      <c r="G83" s="28"/>
      <c r="H83" s="28"/>
      <c r="I83" s="28"/>
      <c r="J83" s="38"/>
      <c r="K83" s="28"/>
      <c r="L83" s="59"/>
      <c r="M83" s="28"/>
      <c r="N83" s="6"/>
    </row>
    <row r="84" spans="1:14" ht="15.75">
      <c r="A84" s="27">
        <v>1</v>
      </c>
      <c r="B84" s="28" t="s">
        <v>58</v>
      </c>
      <c r="C84" s="28"/>
      <c r="D84" s="28"/>
      <c r="E84" s="28"/>
      <c r="F84" s="28"/>
      <c r="G84" s="28"/>
      <c r="H84" s="28"/>
      <c r="I84" s="28"/>
      <c r="J84" s="28"/>
      <c r="K84" s="28"/>
      <c r="L84" s="59">
        <v>0</v>
      </c>
      <c r="M84" s="28"/>
      <c r="N84" s="6"/>
    </row>
    <row r="85" spans="1:14" ht="15.75">
      <c r="A85" s="27">
        <v>2</v>
      </c>
      <c r="B85" s="28" t="s">
        <v>59</v>
      </c>
      <c r="C85" s="28"/>
      <c r="D85" s="28"/>
      <c r="E85" s="28"/>
      <c r="F85" s="28"/>
      <c r="G85" s="28"/>
      <c r="H85" s="28"/>
      <c r="I85" s="28"/>
      <c r="J85" s="28"/>
      <c r="K85" s="28"/>
      <c r="L85" s="59">
        <v>-5</v>
      </c>
      <c r="M85" s="28"/>
      <c r="N85" s="6"/>
    </row>
    <row r="86" spans="1:14" ht="15.75">
      <c r="A86" s="27">
        <v>3</v>
      </c>
      <c r="B86" s="28" t="s">
        <v>60</v>
      </c>
      <c r="C86" s="28"/>
      <c r="D86" s="28"/>
      <c r="E86" s="28"/>
      <c r="F86" s="28"/>
      <c r="G86" s="28"/>
      <c r="H86" s="28"/>
      <c r="I86" s="28"/>
      <c r="J86" s="28"/>
      <c r="K86" s="28"/>
      <c r="L86" s="59">
        <f>-266-11-9</f>
        <v>-286</v>
      </c>
      <c r="M86" s="28"/>
      <c r="N86" s="6"/>
    </row>
    <row r="87" spans="1:14" ht="15.75">
      <c r="A87" s="27">
        <v>4</v>
      </c>
      <c r="B87" s="28" t="s">
        <v>61</v>
      </c>
      <c r="C87" s="28"/>
      <c r="D87" s="28"/>
      <c r="E87" s="28"/>
      <c r="F87" s="28"/>
      <c r="G87" s="28"/>
      <c r="H87" s="28"/>
      <c r="I87" s="28"/>
      <c r="J87" s="28"/>
      <c r="K87" s="28"/>
      <c r="L87" s="59">
        <v>-59</v>
      </c>
      <c r="M87" s="28"/>
      <c r="N87" s="6"/>
    </row>
    <row r="88" spans="1:14" ht="15.75">
      <c r="A88" s="27">
        <v>5</v>
      </c>
      <c r="B88" s="28" t="s">
        <v>62</v>
      </c>
      <c r="C88" s="28"/>
      <c r="D88" s="28"/>
      <c r="E88" s="28"/>
      <c r="F88" s="28"/>
      <c r="G88" s="28"/>
      <c r="H88" s="28"/>
      <c r="I88" s="28"/>
      <c r="J88" s="28"/>
      <c r="K88" s="28"/>
      <c r="L88" s="59">
        <v>-4003</v>
      </c>
      <c r="M88" s="28"/>
      <c r="N88" s="6"/>
    </row>
    <row r="89" spans="1:14" ht="15.75">
      <c r="A89" s="27">
        <v>6</v>
      </c>
      <c r="B89" s="28" t="s">
        <v>63</v>
      </c>
      <c r="C89" s="28"/>
      <c r="D89" s="28"/>
      <c r="E89" s="28"/>
      <c r="F89" s="28"/>
      <c r="G89" s="28"/>
      <c r="H89" s="28"/>
      <c r="I89" s="28"/>
      <c r="J89" s="28"/>
      <c r="K89" s="28"/>
      <c r="L89" s="59">
        <v>-601</v>
      </c>
      <c r="M89" s="28"/>
      <c r="N89" s="6"/>
    </row>
    <row r="90" spans="1:14" ht="15.75">
      <c r="A90" s="27">
        <v>7</v>
      </c>
      <c r="B90" s="28" t="s">
        <v>64</v>
      </c>
      <c r="C90" s="28"/>
      <c r="D90" s="28"/>
      <c r="E90" s="28"/>
      <c r="F90" s="28"/>
      <c r="G90" s="28"/>
      <c r="H90" s="28"/>
      <c r="I90" s="28"/>
      <c r="J90" s="28"/>
      <c r="K90" s="28"/>
      <c r="L90" s="59">
        <v>-5</v>
      </c>
      <c r="M90" s="28"/>
      <c r="N90" s="6"/>
    </row>
    <row r="91" spans="1:14" ht="15.75">
      <c r="A91" s="27">
        <v>8</v>
      </c>
      <c r="B91" s="28" t="s">
        <v>65</v>
      </c>
      <c r="C91" s="28"/>
      <c r="D91" s="28"/>
      <c r="E91" s="28"/>
      <c r="F91" s="28"/>
      <c r="G91" s="28"/>
      <c r="H91" s="28"/>
      <c r="I91" s="28"/>
      <c r="J91" s="28"/>
      <c r="K91" s="28"/>
      <c r="L91" s="59">
        <v>0</v>
      </c>
      <c r="M91" s="28"/>
      <c r="N91" s="6"/>
    </row>
    <row r="92" spans="1:14" ht="15.75">
      <c r="A92" s="27">
        <v>9</v>
      </c>
      <c r="B92" s="28" t="s">
        <v>66</v>
      </c>
      <c r="C92" s="28"/>
      <c r="D92" s="28"/>
      <c r="E92" s="28"/>
      <c r="F92" s="28"/>
      <c r="G92" s="28"/>
      <c r="H92" s="28"/>
      <c r="I92" s="28"/>
      <c r="J92" s="28"/>
      <c r="K92" s="28"/>
      <c r="L92" s="59">
        <v>0</v>
      </c>
      <c r="M92" s="28"/>
      <c r="N92" s="6"/>
    </row>
    <row r="93" spans="1:14" ht="15.75">
      <c r="A93" s="27">
        <v>10</v>
      </c>
      <c r="B93" s="28" t="s">
        <v>67</v>
      </c>
      <c r="C93" s="28"/>
      <c r="D93" s="28"/>
      <c r="E93" s="28"/>
      <c r="F93" s="28"/>
      <c r="G93" s="28"/>
      <c r="H93" s="28"/>
      <c r="I93" s="28"/>
      <c r="J93" s="28"/>
      <c r="K93" s="28"/>
      <c r="L93" s="59">
        <v>0</v>
      </c>
      <c r="M93" s="28"/>
      <c r="N93" s="6"/>
    </row>
    <row r="94" spans="1:14" ht="15.75">
      <c r="A94" s="27">
        <v>11</v>
      </c>
      <c r="B94" s="28" t="s">
        <v>68</v>
      </c>
      <c r="C94" s="28"/>
      <c r="D94" s="28"/>
      <c r="E94" s="28"/>
      <c r="F94" s="28"/>
      <c r="G94" s="28"/>
      <c r="H94" s="28"/>
      <c r="I94" s="28"/>
      <c r="J94" s="28"/>
      <c r="K94" s="28"/>
      <c r="L94" s="59">
        <v>0</v>
      </c>
      <c r="M94" s="28"/>
      <c r="N94" s="6"/>
    </row>
    <row r="95" spans="1:14" ht="15.75">
      <c r="A95" s="27">
        <v>12</v>
      </c>
      <c r="B95" s="28" t="s">
        <v>69</v>
      </c>
      <c r="C95" s="28"/>
      <c r="D95" s="28"/>
      <c r="E95" s="28"/>
      <c r="F95" s="28"/>
      <c r="G95" s="28"/>
      <c r="H95" s="28"/>
      <c r="I95" s="28"/>
      <c r="J95" s="28"/>
      <c r="K95" s="28"/>
      <c r="L95" s="59">
        <f>-24-222</f>
        <v>-246</v>
      </c>
      <c r="M95" s="28"/>
      <c r="N95" s="6"/>
    </row>
    <row r="96" spans="1:14" ht="15.75">
      <c r="A96" s="27">
        <v>13</v>
      </c>
      <c r="B96" s="28" t="s">
        <v>70</v>
      </c>
      <c r="C96" s="28"/>
      <c r="D96" s="28"/>
      <c r="E96" s="28"/>
      <c r="F96" s="28"/>
      <c r="G96" s="28"/>
      <c r="H96" s="28"/>
      <c r="I96" s="28"/>
      <c r="J96" s="28"/>
      <c r="K96" s="28"/>
      <c r="L96" s="59">
        <f>-SUM(L82:L95)</f>
        <v>-808</v>
      </c>
      <c r="M96" s="28"/>
      <c r="N96" s="6"/>
    </row>
    <row r="97" spans="1:14" ht="15.75">
      <c r="A97" s="27"/>
      <c r="B97" s="137" t="s">
        <v>71</v>
      </c>
      <c r="C97" s="64"/>
      <c r="D97" s="28"/>
      <c r="E97" s="28"/>
      <c r="F97" s="28"/>
      <c r="G97" s="28"/>
      <c r="H97" s="28"/>
      <c r="I97" s="28"/>
      <c r="J97" s="28"/>
      <c r="K97" s="28"/>
      <c r="L97" s="65"/>
      <c r="M97" s="28"/>
      <c r="N97" s="6"/>
    </row>
    <row r="98" spans="1:14" ht="15.75">
      <c r="A98" s="27"/>
      <c r="B98" s="28" t="s">
        <v>72</v>
      </c>
      <c r="C98" s="64"/>
      <c r="D98" s="28"/>
      <c r="E98" s="28"/>
      <c r="F98" s="28"/>
      <c r="G98" s="28"/>
      <c r="H98" s="28"/>
      <c r="I98" s="28"/>
      <c r="J98" s="38">
        <f>-J145</f>
        <v>0</v>
      </c>
      <c r="K98" s="38"/>
      <c r="L98" s="59"/>
      <c r="M98" s="28"/>
      <c r="N98" s="6"/>
    </row>
    <row r="99" spans="1:14" ht="15.75">
      <c r="A99" s="27"/>
      <c r="B99" s="28" t="s">
        <v>73</v>
      </c>
      <c r="C99" s="28"/>
      <c r="D99" s="28"/>
      <c r="E99" s="28"/>
      <c r="F99" s="28"/>
      <c r="G99" s="28"/>
      <c r="H99" s="28"/>
      <c r="I99" s="28"/>
      <c r="J99" s="38">
        <f>-H145</f>
        <v>0</v>
      </c>
      <c r="K99" s="38"/>
      <c r="L99" s="59"/>
      <c r="M99" s="28"/>
      <c r="N99" s="6"/>
    </row>
    <row r="100" spans="1:14" ht="15.75">
      <c r="A100" s="27"/>
      <c r="B100" s="28" t="s">
        <v>74</v>
      </c>
      <c r="C100" s="28"/>
      <c r="D100" s="28"/>
      <c r="E100" s="28"/>
      <c r="F100" s="28"/>
      <c r="G100" s="28"/>
      <c r="H100" s="28"/>
      <c r="I100" s="28"/>
      <c r="J100" s="38">
        <v>-12050</v>
      </c>
      <c r="K100" s="38"/>
      <c r="L100" s="59"/>
      <c r="M100" s="28"/>
      <c r="N100" s="6"/>
    </row>
    <row r="101" spans="1:14" ht="15.75">
      <c r="A101" s="27"/>
      <c r="B101" s="28" t="s">
        <v>75</v>
      </c>
      <c r="C101" s="28"/>
      <c r="D101" s="28"/>
      <c r="E101" s="28"/>
      <c r="F101" s="28"/>
      <c r="G101" s="28"/>
      <c r="H101" s="28"/>
      <c r="I101" s="28"/>
      <c r="J101" s="38">
        <v>0</v>
      </c>
      <c r="K101" s="38"/>
      <c r="L101" s="59"/>
      <c r="M101" s="28"/>
      <c r="N101" s="6"/>
    </row>
    <row r="102" spans="1:14" ht="15.75">
      <c r="A102" s="27"/>
      <c r="B102" s="28" t="s">
        <v>76</v>
      </c>
      <c r="C102" s="28"/>
      <c r="D102" s="28"/>
      <c r="E102" s="28"/>
      <c r="F102" s="28"/>
      <c r="G102" s="28"/>
      <c r="H102" s="28"/>
      <c r="I102" s="28"/>
      <c r="J102" s="38">
        <f>SUM(J83:J101)</f>
        <v>-12050</v>
      </c>
      <c r="K102" s="38"/>
      <c r="L102" s="38">
        <f>SUM(L83:L101)</f>
        <v>-6013</v>
      </c>
      <c r="M102" s="28"/>
      <c r="N102" s="6"/>
    </row>
    <row r="103" spans="1:14" ht="15.75">
      <c r="A103" s="27"/>
      <c r="B103" s="28" t="s">
        <v>77</v>
      </c>
      <c r="C103" s="28"/>
      <c r="D103" s="28"/>
      <c r="E103" s="28"/>
      <c r="F103" s="28"/>
      <c r="G103" s="28"/>
      <c r="H103" s="28"/>
      <c r="I103" s="28"/>
      <c r="J103" s="38">
        <f>J82+J102</f>
        <v>0</v>
      </c>
      <c r="K103" s="38"/>
      <c r="L103" s="38">
        <f>L82+L102</f>
        <v>0</v>
      </c>
      <c r="M103" s="28"/>
      <c r="N103" s="6"/>
    </row>
    <row r="104" spans="1:14" ht="15.75">
      <c r="A104" s="27"/>
      <c r="B104" s="28"/>
      <c r="C104" s="28"/>
      <c r="D104" s="28"/>
      <c r="E104" s="28"/>
      <c r="F104" s="28"/>
      <c r="G104" s="28"/>
      <c r="H104" s="28"/>
      <c r="I104" s="28"/>
      <c r="J104" s="38"/>
      <c r="K104" s="38"/>
      <c r="L104" s="38"/>
      <c r="M104" s="28"/>
      <c r="N104" s="6"/>
    </row>
    <row r="105" spans="1:14" ht="15.75">
      <c r="A105" s="27"/>
      <c r="B105" s="28"/>
      <c r="C105" s="28"/>
      <c r="D105" s="28"/>
      <c r="E105" s="28"/>
      <c r="F105" s="28"/>
      <c r="G105" s="28"/>
      <c r="H105" s="28"/>
      <c r="I105" s="28"/>
      <c r="J105" s="38"/>
      <c r="K105" s="38"/>
      <c r="L105" s="38"/>
      <c r="M105" s="28"/>
      <c r="N105" s="6"/>
    </row>
    <row r="106" spans="1:14" ht="15.75">
      <c r="A106" s="7"/>
      <c r="B106" s="9"/>
      <c r="C106" s="9"/>
      <c r="D106" s="9"/>
      <c r="E106" s="9"/>
      <c r="F106" s="9"/>
      <c r="G106" s="9"/>
      <c r="H106" s="9"/>
      <c r="I106" s="9"/>
      <c r="J106" s="9"/>
      <c r="K106" s="9"/>
      <c r="L106" s="58"/>
      <c r="M106" s="9"/>
      <c r="N106" s="6"/>
    </row>
    <row r="107" spans="1:14" ht="19.5" thickBot="1">
      <c r="A107" s="118"/>
      <c r="B107" s="119" t="str">
        <f>B53</f>
        <v>PM4 INVESTOR REPORT QUARTER ENDING MARCH 2005</v>
      </c>
      <c r="C107" s="120"/>
      <c r="D107" s="120"/>
      <c r="E107" s="120"/>
      <c r="F107" s="120"/>
      <c r="G107" s="120"/>
      <c r="H107" s="120"/>
      <c r="I107" s="120"/>
      <c r="J107" s="120"/>
      <c r="K107" s="120"/>
      <c r="L107" s="124"/>
      <c r="M107" s="123"/>
      <c r="N107" s="6"/>
    </row>
    <row r="108" spans="1:14" ht="15.75">
      <c r="A108" s="2"/>
      <c r="B108" s="5"/>
      <c r="C108" s="5"/>
      <c r="D108" s="5"/>
      <c r="E108" s="5"/>
      <c r="F108" s="5"/>
      <c r="G108" s="5"/>
      <c r="H108" s="5"/>
      <c r="I108" s="5"/>
      <c r="J108" s="5"/>
      <c r="K108" s="5"/>
      <c r="L108" s="66"/>
      <c r="M108" s="5"/>
      <c r="N108" s="6"/>
    </row>
    <row r="109" spans="1:14" ht="15.75">
      <c r="A109" s="7"/>
      <c r="B109" s="57" t="s">
        <v>78</v>
      </c>
      <c r="C109" s="15"/>
      <c r="D109" s="9"/>
      <c r="E109" s="9"/>
      <c r="F109" s="9"/>
      <c r="G109" s="9"/>
      <c r="H109" s="9"/>
      <c r="I109" s="9"/>
      <c r="J109" s="9"/>
      <c r="K109" s="9"/>
      <c r="L109" s="58"/>
      <c r="M109" s="9"/>
      <c r="N109" s="6"/>
    </row>
    <row r="110" spans="1:14" ht="15.75">
      <c r="A110" s="7"/>
      <c r="B110" s="23"/>
      <c r="C110" s="15"/>
      <c r="D110" s="9"/>
      <c r="E110" s="9"/>
      <c r="F110" s="9"/>
      <c r="G110" s="9"/>
      <c r="H110" s="9"/>
      <c r="I110" s="9"/>
      <c r="J110" s="9"/>
      <c r="K110" s="9"/>
      <c r="L110" s="58"/>
      <c r="M110" s="9"/>
      <c r="N110" s="6"/>
    </row>
    <row r="111" spans="1:14" ht="15.75">
      <c r="A111" s="7"/>
      <c r="B111" s="138" t="s">
        <v>79</v>
      </c>
      <c r="C111" s="15"/>
      <c r="D111" s="9"/>
      <c r="E111" s="9"/>
      <c r="F111" s="9"/>
      <c r="G111" s="9"/>
      <c r="H111" s="9"/>
      <c r="I111" s="9"/>
      <c r="J111" s="9"/>
      <c r="K111" s="9"/>
      <c r="L111" s="58"/>
      <c r="M111" s="9"/>
      <c r="N111" s="6"/>
    </row>
    <row r="112" spans="1:14" ht="15.75">
      <c r="A112" s="27"/>
      <c r="B112" s="28" t="s">
        <v>80</v>
      </c>
      <c r="C112" s="28"/>
      <c r="D112" s="28"/>
      <c r="E112" s="28"/>
      <c r="F112" s="28"/>
      <c r="G112" s="28"/>
      <c r="H112" s="28"/>
      <c r="I112" s="28"/>
      <c r="J112" s="28"/>
      <c r="K112" s="28"/>
      <c r="L112" s="59">
        <v>8750</v>
      </c>
      <c r="M112" s="28"/>
      <c r="N112" s="6"/>
    </row>
    <row r="113" spans="1:14" ht="15.75">
      <c r="A113" s="27"/>
      <c r="B113" s="28" t="s">
        <v>81</v>
      </c>
      <c r="C113" s="28"/>
      <c r="D113" s="28"/>
      <c r="E113" s="28"/>
      <c r="F113" s="28"/>
      <c r="G113" s="28"/>
      <c r="H113" s="28"/>
      <c r="I113" s="28"/>
      <c r="J113" s="28"/>
      <c r="K113" s="28"/>
      <c r="L113" s="59">
        <f>L112</f>
        <v>8750</v>
      </c>
      <c r="M113" s="28"/>
      <c r="N113" s="6"/>
    </row>
    <row r="114" spans="1:14" ht="15.75">
      <c r="A114" s="27"/>
      <c r="B114" s="28" t="s">
        <v>82</v>
      </c>
      <c r="C114" s="28"/>
      <c r="D114" s="28"/>
      <c r="E114" s="28"/>
      <c r="F114" s="28"/>
      <c r="G114" s="28"/>
      <c r="H114" s="28"/>
      <c r="I114" s="28"/>
      <c r="J114" s="28"/>
      <c r="K114" s="28"/>
      <c r="L114" s="59">
        <v>0</v>
      </c>
      <c r="M114" s="28"/>
      <c r="N114" s="6"/>
    </row>
    <row r="115" spans="1:14" ht="15.75">
      <c r="A115" s="27"/>
      <c r="B115" s="28" t="s">
        <v>83</v>
      </c>
      <c r="C115" s="28"/>
      <c r="D115" s="28"/>
      <c r="E115" s="28"/>
      <c r="F115" s="28"/>
      <c r="G115" s="28"/>
      <c r="H115" s="28"/>
      <c r="I115" s="28"/>
      <c r="J115" s="28"/>
      <c r="K115" s="28"/>
      <c r="L115" s="59">
        <v>0</v>
      </c>
      <c r="M115" s="28"/>
      <c r="N115" s="6"/>
    </row>
    <row r="116" spans="1:14" ht="15.75">
      <c r="A116" s="27"/>
      <c r="B116" s="28" t="s">
        <v>84</v>
      </c>
      <c r="C116" s="28"/>
      <c r="D116" s="28"/>
      <c r="E116" s="28"/>
      <c r="F116" s="28"/>
      <c r="G116" s="28"/>
      <c r="H116" s="28"/>
      <c r="I116" s="28"/>
      <c r="J116" s="28"/>
      <c r="K116" s="28"/>
      <c r="L116" s="59">
        <v>0</v>
      </c>
      <c r="M116" s="28"/>
      <c r="N116" s="6"/>
    </row>
    <row r="117" spans="1:14" ht="15.75">
      <c r="A117" s="27"/>
      <c r="B117" s="28" t="s">
        <v>62</v>
      </c>
      <c r="C117" s="28"/>
      <c r="D117" s="28"/>
      <c r="E117" s="28"/>
      <c r="F117" s="28"/>
      <c r="G117" s="28"/>
      <c r="H117" s="28"/>
      <c r="I117" s="28"/>
      <c r="J117" s="28"/>
      <c r="K117" s="28"/>
      <c r="L117" s="59">
        <v>0</v>
      </c>
      <c r="M117" s="28"/>
      <c r="N117" s="6"/>
    </row>
    <row r="118" spans="1:14" ht="15.75">
      <c r="A118" s="27"/>
      <c r="B118" s="28" t="s">
        <v>63</v>
      </c>
      <c r="C118" s="28"/>
      <c r="D118" s="28"/>
      <c r="E118" s="28"/>
      <c r="F118" s="28"/>
      <c r="G118" s="28"/>
      <c r="H118" s="28"/>
      <c r="I118" s="28"/>
      <c r="J118" s="28"/>
      <c r="K118" s="28"/>
      <c r="L118" s="59">
        <v>0</v>
      </c>
      <c r="M118" s="28"/>
      <c r="N118" s="6"/>
    </row>
    <row r="119" spans="1:14" ht="15.75">
      <c r="A119" s="27"/>
      <c r="B119" s="28" t="s">
        <v>85</v>
      </c>
      <c r="C119" s="28"/>
      <c r="D119" s="28"/>
      <c r="E119" s="28"/>
      <c r="F119" s="28"/>
      <c r="G119" s="28"/>
      <c r="H119" s="28"/>
      <c r="I119" s="28"/>
      <c r="J119" s="28"/>
      <c r="K119" s="28"/>
      <c r="L119" s="59">
        <v>0</v>
      </c>
      <c r="M119" s="28"/>
      <c r="N119" s="6"/>
    </row>
    <row r="120" spans="1:14" ht="15.75">
      <c r="A120" s="27"/>
      <c r="B120" s="28" t="s">
        <v>86</v>
      </c>
      <c r="C120" s="28"/>
      <c r="D120" s="28"/>
      <c r="E120" s="28"/>
      <c r="F120" s="28"/>
      <c r="G120" s="28"/>
      <c r="H120" s="28"/>
      <c r="I120" s="28"/>
      <c r="J120" s="28"/>
      <c r="K120" s="28"/>
      <c r="L120" s="59">
        <f>SUM(L113:L119)</f>
        <v>8750</v>
      </c>
      <c r="M120" s="28"/>
      <c r="N120" s="6"/>
    </row>
    <row r="121" spans="1:14" ht="15.75">
      <c r="A121" s="27"/>
      <c r="B121" s="28"/>
      <c r="C121" s="28"/>
      <c r="D121" s="28"/>
      <c r="E121" s="28"/>
      <c r="F121" s="28"/>
      <c r="G121" s="28"/>
      <c r="H121" s="28"/>
      <c r="I121" s="28"/>
      <c r="J121" s="28"/>
      <c r="K121" s="28"/>
      <c r="L121" s="67"/>
      <c r="M121" s="28"/>
      <c r="N121" s="6"/>
    </row>
    <row r="122" spans="1:14" ht="15.75">
      <c r="A122" s="7"/>
      <c r="B122" s="138" t="s">
        <v>87</v>
      </c>
      <c r="C122" s="9"/>
      <c r="D122" s="9"/>
      <c r="E122" s="9"/>
      <c r="F122" s="9"/>
      <c r="G122" s="9"/>
      <c r="H122" s="9"/>
      <c r="I122" s="9"/>
      <c r="J122" s="9"/>
      <c r="K122" s="9"/>
      <c r="L122" s="58"/>
      <c r="M122" s="9"/>
      <c r="N122" s="6"/>
    </row>
    <row r="123" spans="1:14" ht="15.75">
      <c r="A123" s="27"/>
      <c r="B123" s="28" t="s">
        <v>88</v>
      </c>
      <c r="C123" s="28"/>
      <c r="D123" s="68"/>
      <c r="E123" s="28"/>
      <c r="F123" s="28"/>
      <c r="G123" s="28"/>
      <c r="H123" s="28"/>
      <c r="I123" s="28"/>
      <c r="J123" s="28"/>
      <c r="K123" s="28"/>
      <c r="L123" s="69" t="s">
        <v>194</v>
      </c>
      <c r="M123" s="28"/>
      <c r="N123" s="6"/>
    </row>
    <row r="124" spans="1:14" ht="15.75">
      <c r="A124" s="27"/>
      <c r="B124" s="28" t="s">
        <v>89</v>
      </c>
      <c r="C124" s="126"/>
      <c r="D124" s="126"/>
      <c r="E124" s="126"/>
      <c r="F124" s="126"/>
      <c r="G124" s="126"/>
      <c r="H124" s="126"/>
      <c r="I124" s="126"/>
      <c r="J124" s="126"/>
      <c r="K124" s="126"/>
      <c r="L124" s="69" t="s">
        <v>194</v>
      </c>
      <c r="M124" s="28"/>
      <c r="N124" s="6"/>
    </row>
    <row r="125" spans="1:14" ht="15.75">
      <c r="A125" s="27"/>
      <c r="B125" s="28" t="s">
        <v>90</v>
      </c>
      <c r="C125" s="28"/>
      <c r="D125" s="28"/>
      <c r="E125" s="28"/>
      <c r="F125" s="28"/>
      <c r="G125" s="28"/>
      <c r="H125" s="28"/>
      <c r="I125" s="28"/>
      <c r="J125" s="28"/>
      <c r="K125" s="28"/>
      <c r="L125" s="69" t="s">
        <v>194</v>
      </c>
      <c r="M125" s="28"/>
      <c r="N125" s="6"/>
    </row>
    <row r="126" spans="1:14" ht="15.75">
      <c r="A126" s="27"/>
      <c r="B126" s="28" t="s">
        <v>91</v>
      </c>
      <c r="C126" s="28"/>
      <c r="D126" s="28"/>
      <c r="E126" s="28"/>
      <c r="F126" s="28"/>
      <c r="G126" s="28"/>
      <c r="H126" s="28"/>
      <c r="I126" s="28"/>
      <c r="J126" s="28"/>
      <c r="K126" s="28"/>
      <c r="L126" s="69" t="s">
        <v>194</v>
      </c>
      <c r="M126" s="28"/>
      <c r="N126" s="6"/>
    </row>
    <row r="127" spans="1:14" ht="15.75">
      <c r="A127" s="27"/>
      <c r="B127" s="28"/>
      <c r="C127" s="28"/>
      <c r="D127" s="28"/>
      <c r="E127" s="28"/>
      <c r="F127" s="28"/>
      <c r="G127" s="28"/>
      <c r="H127" s="28"/>
      <c r="I127" s="28"/>
      <c r="J127" s="28"/>
      <c r="K127" s="28"/>
      <c r="L127" s="67"/>
      <c r="M127" s="28"/>
      <c r="N127" s="6"/>
    </row>
    <row r="128" spans="1:14" ht="15.75">
      <c r="A128" s="7"/>
      <c r="B128" s="138" t="s">
        <v>92</v>
      </c>
      <c r="C128" s="15"/>
      <c r="D128" s="9"/>
      <c r="E128" s="9"/>
      <c r="F128" s="9"/>
      <c r="G128" s="9"/>
      <c r="H128" s="9"/>
      <c r="I128" s="9"/>
      <c r="J128" s="9"/>
      <c r="K128" s="9"/>
      <c r="L128" s="70"/>
      <c r="M128" s="9"/>
      <c r="N128" s="6"/>
    </row>
    <row r="129" spans="1:14" ht="15.75">
      <c r="A129" s="27"/>
      <c r="B129" s="28" t="s">
        <v>93</v>
      </c>
      <c r="C129" s="28"/>
      <c r="D129" s="28"/>
      <c r="E129" s="28"/>
      <c r="F129" s="28"/>
      <c r="G129" s="28"/>
      <c r="H129" s="28"/>
      <c r="I129" s="28"/>
      <c r="J129" s="28"/>
      <c r="K129" s="28"/>
      <c r="L129" s="59">
        <v>0</v>
      </c>
      <c r="M129" s="28"/>
      <c r="N129" s="6"/>
    </row>
    <row r="130" spans="1:14" ht="15.75">
      <c r="A130" s="27"/>
      <c r="B130" s="28" t="s">
        <v>94</v>
      </c>
      <c r="C130" s="28"/>
      <c r="D130" s="28"/>
      <c r="E130" s="28"/>
      <c r="F130" s="28"/>
      <c r="G130" s="28"/>
      <c r="H130" s="28"/>
      <c r="I130" s="28"/>
      <c r="J130" s="28"/>
      <c r="K130" s="28"/>
      <c r="L130" s="59">
        <v>0</v>
      </c>
      <c r="M130" s="28"/>
      <c r="N130" s="6"/>
    </row>
    <row r="131" spans="1:14" ht="15.75">
      <c r="A131" s="27"/>
      <c r="B131" s="28" t="s">
        <v>95</v>
      </c>
      <c r="C131" s="28"/>
      <c r="D131" s="28"/>
      <c r="E131" s="28"/>
      <c r="F131" s="28"/>
      <c r="G131" s="28"/>
      <c r="H131" s="28"/>
      <c r="I131" s="28"/>
      <c r="J131" s="28"/>
      <c r="K131" s="28"/>
      <c r="L131" s="59">
        <f>L130+L129</f>
        <v>0</v>
      </c>
      <c r="M131" s="28"/>
      <c r="N131" s="6"/>
    </row>
    <row r="132" spans="1:14" ht="15.75">
      <c r="A132" s="27"/>
      <c r="B132" s="28" t="s">
        <v>96</v>
      </c>
      <c r="C132" s="28"/>
      <c r="D132" s="28"/>
      <c r="E132" s="28"/>
      <c r="F132" s="28"/>
      <c r="G132" s="28"/>
      <c r="H132" s="71"/>
      <c r="I132" s="28"/>
      <c r="J132" s="28"/>
      <c r="K132" s="28"/>
      <c r="L132" s="59">
        <f>+L91</f>
        <v>0</v>
      </c>
      <c r="M132" s="28"/>
      <c r="N132" s="6"/>
    </row>
    <row r="133" spans="1:14" ht="15.75">
      <c r="A133" s="27"/>
      <c r="B133" s="28" t="s">
        <v>97</v>
      </c>
      <c r="C133" s="28"/>
      <c r="D133" s="28"/>
      <c r="E133" s="28"/>
      <c r="F133" s="28"/>
      <c r="G133" s="28"/>
      <c r="H133" s="28"/>
      <c r="I133" s="28"/>
      <c r="J133" s="28"/>
      <c r="K133" s="28"/>
      <c r="L133" s="59">
        <f>L131+L132</f>
        <v>0</v>
      </c>
      <c r="M133" s="28"/>
      <c r="N133" s="6"/>
    </row>
    <row r="134" spans="1:14" ht="7.5" customHeight="1">
      <c r="A134" s="27"/>
      <c r="B134" s="28"/>
      <c r="C134" s="28"/>
      <c r="D134" s="28"/>
      <c r="E134" s="28"/>
      <c r="F134" s="28"/>
      <c r="G134" s="28"/>
      <c r="H134" s="28"/>
      <c r="I134" s="28"/>
      <c r="J134" s="28"/>
      <c r="K134" s="28"/>
      <c r="L134" s="67"/>
      <c r="M134" s="28"/>
      <c r="N134" s="6"/>
    </row>
    <row r="135" spans="1:14" ht="6" customHeight="1">
      <c r="A135" s="2"/>
      <c r="B135" s="5"/>
      <c r="C135" s="5"/>
      <c r="D135" s="5"/>
      <c r="E135" s="5"/>
      <c r="F135" s="5"/>
      <c r="G135" s="5"/>
      <c r="H135" s="5"/>
      <c r="I135" s="5"/>
      <c r="J135" s="5"/>
      <c r="K135" s="5"/>
      <c r="L135" s="66"/>
      <c r="M135" s="5"/>
      <c r="N135" s="6"/>
    </row>
    <row r="136" spans="1:14" ht="15.75">
      <c r="A136" s="7"/>
      <c r="B136" s="138" t="s">
        <v>98</v>
      </c>
      <c r="C136" s="15"/>
      <c r="D136" s="9"/>
      <c r="E136" s="9"/>
      <c r="F136" s="9"/>
      <c r="G136" s="9"/>
      <c r="H136" s="9"/>
      <c r="I136" s="9"/>
      <c r="J136" s="9"/>
      <c r="K136" s="9"/>
      <c r="L136" s="58"/>
      <c r="M136" s="9"/>
      <c r="N136" s="6"/>
    </row>
    <row r="137" spans="1:14" ht="15.75">
      <c r="A137" s="7"/>
      <c r="B137" s="23"/>
      <c r="C137" s="15"/>
      <c r="D137" s="9"/>
      <c r="E137" s="9"/>
      <c r="F137" s="9"/>
      <c r="G137" s="9"/>
      <c r="H137" s="9"/>
      <c r="I137" s="9"/>
      <c r="J137" s="9"/>
      <c r="K137" s="9"/>
      <c r="L137" s="58"/>
      <c r="M137" s="9"/>
      <c r="N137" s="6"/>
    </row>
    <row r="138" spans="1:14" ht="15.75">
      <c r="A138" s="27"/>
      <c r="B138" s="28" t="s">
        <v>99</v>
      </c>
      <c r="C138" s="72"/>
      <c r="D138" s="28"/>
      <c r="E138" s="28"/>
      <c r="F138" s="28"/>
      <c r="G138" s="28"/>
      <c r="H138" s="28"/>
      <c r="I138" s="28"/>
      <c r="J138" s="28"/>
      <c r="K138" s="28"/>
      <c r="L138" s="59">
        <f>L61</f>
        <v>345925</v>
      </c>
      <c r="M138" s="28"/>
      <c r="N138" s="6"/>
    </row>
    <row r="139" spans="1:15" ht="15.75">
      <c r="A139" s="27"/>
      <c r="B139" s="28" t="s">
        <v>100</v>
      </c>
      <c r="C139" s="72"/>
      <c r="D139" s="28"/>
      <c r="E139" s="28"/>
      <c r="F139" s="28"/>
      <c r="G139" s="28"/>
      <c r="H139" s="28"/>
      <c r="I139" s="28"/>
      <c r="J139" s="28"/>
      <c r="K139" s="28"/>
      <c r="L139" s="59">
        <f>L33</f>
        <v>345924.98000000004</v>
      </c>
      <c r="M139" s="28"/>
      <c r="N139" s="6"/>
      <c r="O139" s="145"/>
    </row>
    <row r="140" spans="1:14" ht="7.5" customHeight="1">
      <c r="A140" s="27"/>
      <c r="B140" s="28"/>
      <c r="C140" s="28"/>
      <c r="D140" s="28"/>
      <c r="E140" s="28"/>
      <c r="F140" s="28"/>
      <c r="G140" s="28"/>
      <c r="H140" s="28"/>
      <c r="I140" s="28"/>
      <c r="J140" s="28"/>
      <c r="K140" s="28"/>
      <c r="L140" s="67"/>
      <c r="M140" s="28"/>
      <c r="N140" s="6"/>
    </row>
    <row r="141" spans="1:14" ht="15.75">
      <c r="A141" s="2"/>
      <c r="B141" s="5"/>
      <c r="C141" s="5"/>
      <c r="D141" s="5"/>
      <c r="E141" s="5"/>
      <c r="F141" s="5"/>
      <c r="G141" s="5"/>
      <c r="H141" s="5"/>
      <c r="I141" s="5"/>
      <c r="J141" s="5"/>
      <c r="K141" s="5"/>
      <c r="L141" s="66"/>
      <c r="M141" s="5"/>
      <c r="N141" s="6"/>
    </row>
    <row r="142" spans="1:14" ht="15.75">
      <c r="A142" s="7"/>
      <c r="B142" s="138" t="s">
        <v>101</v>
      </c>
      <c r="C142" s="131"/>
      <c r="D142" s="131"/>
      <c r="E142" s="131"/>
      <c r="F142" s="131"/>
      <c r="G142" s="131"/>
      <c r="H142" s="139" t="s">
        <v>174</v>
      </c>
      <c r="I142" s="139"/>
      <c r="J142" s="139" t="s">
        <v>182</v>
      </c>
      <c r="K142" s="131"/>
      <c r="L142" s="140" t="s">
        <v>195</v>
      </c>
      <c r="M142" s="131"/>
      <c r="N142" s="6"/>
    </row>
    <row r="143" spans="1:14" ht="15.75">
      <c r="A143" s="27"/>
      <c r="B143" s="28" t="s">
        <v>102</v>
      </c>
      <c r="C143" s="28"/>
      <c r="D143" s="28"/>
      <c r="E143" s="28"/>
      <c r="F143" s="28"/>
      <c r="G143" s="28"/>
      <c r="H143" s="59">
        <v>70000</v>
      </c>
      <c r="I143" s="28"/>
      <c r="J143" s="47"/>
      <c r="K143" s="28"/>
      <c r="L143" s="59"/>
      <c r="M143" s="28"/>
      <c r="N143" s="6"/>
    </row>
    <row r="144" spans="1:14" ht="15.75">
      <c r="A144" s="27"/>
      <c r="B144" s="28" t="s">
        <v>103</v>
      </c>
      <c r="C144" s="28"/>
      <c r="D144" s="28"/>
      <c r="E144" s="28"/>
      <c r="F144" s="28"/>
      <c r="G144" s="28"/>
      <c r="H144" s="59">
        <v>67521</v>
      </c>
      <c r="I144" s="28"/>
      <c r="J144" s="59">
        <v>2479</v>
      </c>
      <c r="K144" s="28"/>
      <c r="L144" s="59">
        <f>J144+H144</f>
        <v>70000</v>
      </c>
      <c r="M144" s="28"/>
      <c r="N144" s="6"/>
    </row>
    <row r="145" spans="1:14" ht="15.75">
      <c r="A145" s="27"/>
      <c r="B145" s="28" t="s">
        <v>104</v>
      </c>
      <c r="C145" s="28"/>
      <c r="D145" s="28"/>
      <c r="E145" s="28"/>
      <c r="F145" s="28"/>
      <c r="G145" s="28"/>
      <c r="H145" s="59">
        <v>0</v>
      </c>
      <c r="I145" s="28"/>
      <c r="J145" s="59">
        <v>0</v>
      </c>
      <c r="K145" s="28"/>
      <c r="L145" s="59">
        <f>J145+H145</f>
        <v>0</v>
      </c>
      <c r="M145" s="28"/>
      <c r="N145" s="6"/>
    </row>
    <row r="146" spans="1:14" ht="15.75">
      <c r="A146" s="27"/>
      <c r="B146" s="28" t="s">
        <v>105</v>
      </c>
      <c r="C146" s="28"/>
      <c r="D146" s="28"/>
      <c r="E146" s="28"/>
      <c r="F146" s="28"/>
      <c r="G146" s="28"/>
      <c r="H146" s="59">
        <f>H145+H144</f>
        <v>67521</v>
      </c>
      <c r="I146" s="28"/>
      <c r="J146" s="59">
        <f>J145+J144</f>
        <v>2479</v>
      </c>
      <c r="K146" s="28"/>
      <c r="L146" s="59">
        <f>J146+H146</f>
        <v>70000</v>
      </c>
      <c r="M146" s="28"/>
      <c r="N146" s="6"/>
    </row>
    <row r="147" spans="1:14" ht="15.75">
      <c r="A147" s="27"/>
      <c r="B147" s="28" t="s">
        <v>106</v>
      </c>
      <c r="C147" s="28"/>
      <c r="D147" s="28"/>
      <c r="E147" s="28"/>
      <c r="F147" s="28"/>
      <c r="G147" s="28"/>
      <c r="H147" s="59">
        <f>H143-H146-J146</f>
        <v>0</v>
      </c>
      <c r="I147" s="28"/>
      <c r="J147" s="47"/>
      <c r="K147" s="28"/>
      <c r="L147" s="59"/>
      <c r="M147" s="28"/>
      <c r="N147" s="6"/>
    </row>
    <row r="148" spans="1:14" ht="7.5" customHeight="1">
      <c r="A148" s="27"/>
      <c r="B148" s="28"/>
      <c r="C148" s="28"/>
      <c r="D148" s="28"/>
      <c r="E148" s="28"/>
      <c r="F148" s="28"/>
      <c r="G148" s="28"/>
      <c r="H148" s="28"/>
      <c r="I148" s="28"/>
      <c r="J148" s="28"/>
      <c r="K148" s="28"/>
      <c r="L148" s="67"/>
      <c r="M148" s="28"/>
      <c r="N148" s="6"/>
    </row>
    <row r="149" spans="1:14" ht="9" customHeight="1">
      <c r="A149" s="2"/>
      <c r="B149" s="5"/>
      <c r="C149" s="5"/>
      <c r="D149" s="5"/>
      <c r="E149" s="5"/>
      <c r="F149" s="5"/>
      <c r="G149" s="5"/>
      <c r="H149" s="5"/>
      <c r="I149" s="5"/>
      <c r="J149" s="5"/>
      <c r="K149" s="5"/>
      <c r="L149" s="66"/>
      <c r="M149" s="5"/>
      <c r="N149" s="6"/>
    </row>
    <row r="150" spans="1:14" ht="15.75">
      <c r="A150" s="7"/>
      <c r="B150" s="138" t="s">
        <v>107</v>
      </c>
      <c r="C150" s="15"/>
      <c r="D150" s="9"/>
      <c r="E150" s="9"/>
      <c r="F150" s="9"/>
      <c r="G150" s="9"/>
      <c r="H150" s="9"/>
      <c r="I150" s="9"/>
      <c r="J150" s="9"/>
      <c r="K150" s="9"/>
      <c r="L150" s="73"/>
      <c r="M150" s="9"/>
      <c r="N150" s="6"/>
    </row>
    <row r="151" spans="1:14" ht="15.75">
      <c r="A151" s="27"/>
      <c r="B151" s="28" t="s">
        <v>108</v>
      </c>
      <c r="C151" s="28"/>
      <c r="D151" s="28"/>
      <c r="E151" s="28"/>
      <c r="F151" s="28"/>
      <c r="G151" s="28"/>
      <c r="H151" s="28"/>
      <c r="I151" s="28"/>
      <c r="J151" s="28"/>
      <c r="K151" s="28"/>
      <c r="L151" s="65">
        <f>(L82+L84+L85+L86+L87)/-L88</f>
        <v>1.414688983262553</v>
      </c>
      <c r="M151" s="28" t="s">
        <v>196</v>
      </c>
      <c r="N151" s="6"/>
    </row>
    <row r="152" spans="1:14" ht="15.75">
      <c r="A152" s="27"/>
      <c r="B152" s="28" t="s">
        <v>109</v>
      </c>
      <c r="C152" s="28"/>
      <c r="D152" s="28"/>
      <c r="E152" s="28"/>
      <c r="F152" s="28"/>
      <c r="G152" s="28"/>
      <c r="H152" s="28"/>
      <c r="I152" s="28"/>
      <c r="J152" s="28"/>
      <c r="K152" s="28"/>
      <c r="L152" s="65">
        <v>1.39</v>
      </c>
      <c r="M152" s="28" t="s">
        <v>196</v>
      </c>
      <c r="N152" s="6"/>
    </row>
    <row r="153" spans="1:14" ht="15.75">
      <c r="A153" s="27"/>
      <c r="B153" s="28" t="s">
        <v>110</v>
      </c>
      <c r="C153" s="28"/>
      <c r="D153" s="28"/>
      <c r="E153" s="28"/>
      <c r="F153" s="28"/>
      <c r="G153" s="28"/>
      <c r="H153" s="28"/>
      <c r="I153" s="28"/>
      <c r="J153" s="28"/>
      <c r="K153" s="28"/>
      <c r="L153" s="65">
        <f>(L82+SUM(L84:L88))/-L89</f>
        <v>2.762063227953411</v>
      </c>
      <c r="M153" s="28" t="s">
        <v>196</v>
      </c>
      <c r="N153" s="6"/>
    </row>
    <row r="154" spans="1:14" ht="15.75">
      <c r="A154" s="27"/>
      <c r="B154" s="28" t="s">
        <v>111</v>
      </c>
      <c r="C154" s="28"/>
      <c r="D154" s="28"/>
      <c r="E154" s="28"/>
      <c r="F154" s="28"/>
      <c r="G154" s="28"/>
      <c r="H154" s="28"/>
      <c r="I154" s="28"/>
      <c r="J154" s="28"/>
      <c r="K154" s="28"/>
      <c r="L154" s="74">
        <v>3.16</v>
      </c>
      <c r="M154" s="28" t="s">
        <v>196</v>
      </c>
      <c r="N154" s="6"/>
    </row>
    <row r="155" spans="1:14" ht="12.75" customHeight="1">
      <c r="A155" s="27"/>
      <c r="B155" s="28"/>
      <c r="C155" s="28"/>
      <c r="D155" s="28"/>
      <c r="E155" s="28"/>
      <c r="F155" s="28"/>
      <c r="G155" s="28"/>
      <c r="H155" s="28"/>
      <c r="I155" s="28"/>
      <c r="J155" s="28"/>
      <c r="K155" s="28"/>
      <c r="L155" s="28"/>
      <c r="M155" s="28"/>
      <c r="N155" s="6"/>
    </row>
    <row r="156" spans="1:14" ht="12.75" customHeight="1">
      <c r="A156" s="7"/>
      <c r="B156" s="9"/>
      <c r="C156" s="9"/>
      <c r="D156" s="9"/>
      <c r="E156" s="9"/>
      <c r="F156" s="9"/>
      <c r="G156" s="9"/>
      <c r="H156" s="9"/>
      <c r="I156" s="9"/>
      <c r="J156" s="9"/>
      <c r="K156" s="9"/>
      <c r="L156" s="9"/>
      <c r="M156" s="9"/>
      <c r="N156" s="6"/>
    </row>
    <row r="157" spans="1:14" ht="15" customHeight="1" thickBot="1">
      <c r="A157" s="118"/>
      <c r="B157" s="119" t="str">
        <f>B107</f>
        <v>PM4 INVESTOR REPORT QUARTER ENDING MARCH 2005</v>
      </c>
      <c r="C157" s="120"/>
      <c r="D157" s="120"/>
      <c r="E157" s="120"/>
      <c r="F157" s="120"/>
      <c r="G157" s="120"/>
      <c r="H157" s="120"/>
      <c r="I157" s="120"/>
      <c r="J157" s="120"/>
      <c r="K157" s="120"/>
      <c r="L157" s="120"/>
      <c r="M157" s="123"/>
      <c r="N157" s="6"/>
    </row>
    <row r="158" spans="1:14" ht="15.75">
      <c r="A158" s="2"/>
      <c r="B158" s="128"/>
      <c r="C158" s="128"/>
      <c r="D158" s="128"/>
      <c r="E158" s="128"/>
      <c r="F158" s="128"/>
      <c r="G158" s="128"/>
      <c r="H158" s="128"/>
      <c r="I158" s="128"/>
      <c r="J158" s="128"/>
      <c r="K158" s="128"/>
      <c r="L158" s="128"/>
      <c r="M158" s="128"/>
      <c r="N158" s="6"/>
    </row>
    <row r="159" spans="1:14" ht="15.75">
      <c r="A159" s="76"/>
      <c r="B159" s="57" t="s">
        <v>112</v>
      </c>
      <c r="C159" s="77"/>
      <c r="D159" s="77"/>
      <c r="E159" s="77"/>
      <c r="F159" s="77"/>
      <c r="G159" s="21"/>
      <c r="H159" s="21"/>
      <c r="I159" s="21"/>
      <c r="J159" s="21">
        <v>38442</v>
      </c>
      <c r="K159" s="17"/>
      <c r="L159" s="17"/>
      <c r="M159" s="9"/>
      <c r="N159" s="6"/>
    </row>
    <row r="160" spans="1:14" ht="15.75">
      <c r="A160" s="78"/>
      <c r="B160" s="79"/>
      <c r="C160" s="80"/>
      <c r="D160" s="80"/>
      <c r="E160" s="80"/>
      <c r="F160" s="80"/>
      <c r="G160" s="81"/>
      <c r="H160" s="81"/>
      <c r="I160" s="81"/>
      <c r="J160" s="81"/>
      <c r="K160" s="9"/>
      <c r="L160" s="9"/>
      <c r="M160" s="9"/>
      <c r="N160" s="6"/>
    </row>
    <row r="161" spans="1:14" ht="15.75">
      <c r="A161" s="82"/>
      <c r="B161" s="83" t="s">
        <v>113</v>
      </c>
      <c r="C161" s="84"/>
      <c r="D161" s="84"/>
      <c r="E161" s="84"/>
      <c r="F161" s="84"/>
      <c r="G161" s="71"/>
      <c r="H161" s="71"/>
      <c r="I161" s="71"/>
      <c r="J161" s="85">
        <v>0.06</v>
      </c>
      <c r="K161" s="28"/>
      <c r="L161" s="28"/>
      <c r="M161" s="28"/>
      <c r="N161" s="6"/>
    </row>
    <row r="162" spans="1:14" ht="15.75">
      <c r="A162" s="82"/>
      <c r="B162" s="83" t="s">
        <v>114</v>
      </c>
      <c r="C162" s="84"/>
      <c r="D162" s="84"/>
      <c r="E162" s="84"/>
      <c r="F162" s="84"/>
      <c r="G162" s="71"/>
      <c r="H162" s="71"/>
      <c r="I162" s="71"/>
      <c r="J162" s="85">
        <v>0.0452</v>
      </c>
      <c r="K162" s="28"/>
      <c r="L162" s="28"/>
      <c r="M162" s="28"/>
      <c r="N162" s="6"/>
    </row>
    <row r="163" spans="1:14" ht="15.75">
      <c r="A163" s="82"/>
      <c r="B163" s="83" t="s">
        <v>115</v>
      </c>
      <c r="C163" s="84"/>
      <c r="D163" s="84"/>
      <c r="E163" s="84"/>
      <c r="F163" s="84"/>
      <c r="G163" s="71"/>
      <c r="H163" s="71"/>
      <c r="I163" s="71"/>
      <c r="J163" s="85">
        <f>J161-J162</f>
        <v>0.0148</v>
      </c>
      <c r="K163" s="28"/>
      <c r="L163" s="28"/>
      <c r="M163" s="28"/>
      <c r="N163" s="6"/>
    </row>
    <row r="164" spans="1:14" ht="15.75">
      <c r="A164" s="82"/>
      <c r="B164" s="83" t="s">
        <v>116</v>
      </c>
      <c r="C164" s="84"/>
      <c r="D164" s="84"/>
      <c r="E164" s="84"/>
      <c r="F164" s="84"/>
      <c r="G164" s="71"/>
      <c r="H164" s="71"/>
      <c r="I164" s="71"/>
      <c r="J164" s="85">
        <v>0.06489</v>
      </c>
      <c r="K164" s="28"/>
      <c r="L164" s="28"/>
      <c r="M164" s="28"/>
      <c r="N164" s="6"/>
    </row>
    <row r="165" spans="1:14" ht="15.75">
      <c r="A165" s="82"/>
      <c r="B165" s="83" t="s">
        <v>117</v>
      </c>
      <c r="C165" s="84"/>
      <c r="D165" s="84"/>
      <c r="E165" s="84"/>
      <c r="F165" s="84"/>
      <c r="G165" s="71"/>
      <c r="H165" s="71"/>
      <c r="I165" s="71"/>
      <c r="J165" s="85">
        <f>L35</f>
        <v>0.05216296866312015</v>
      </c>
      <c r="K165" s="28"/>
      <c r="L165" s="28"/>
      <c r="M165" s="28"/>
      <c r="N165" s="6"/>
    </row>
    <row r="166" spans="1:14" ht="15.75">
      <c r="A166" s="82"/>
      <c r="B166" s="83" t="s">
        <v>118</v>
      </c>
      <c r="C166" s="84"/>
      <c r="D166" s="84"/>
      <c r="E166" s="84"/>
      <c r="F166" s="84"/>
      <c r="G166" s="71"/>
      <c r="H166" s="71"/>
      <c r="I166" s="71"/>
      <c r="J166" s="85">
        <f>J164-J165</f>
        <v>0.01272703133687985</v>
      </c>
      <c r="K166" s="28"/>
      <c r="L166" s="28"/>
      <c r="M166" s="28"/>
      <c r="N166" s="6"/>
    </row>
    <row r="167" spans="1:14" ht="15.75">
      <c r="A167" s="82"/>
      <c r="B167" s="83" t="s">
        <v>119</v>
      </c>
      <c r="C167" s="84"/>
      <c r="D167" s="84"/>
      <c r="E167" s="84"/>
      <c r="F167" s="84"/>
      <c r="G167" s="71"/>
      <c r="H167" s="71"/>
      <c r="I167" s="71"/>
      <c r="J167" s="86" t="s">
        <v>183</v>
      </c>
      <c r="K167" s="28"/>
      <c r="L167" s="28"/>
      <c r="M167" s="28"/>
      <c r="N167" s="6"/>
    </row>
    <row r="168" spans="1:14" ht="15.75">
      <c r="A168" s="82"/>
      <c r="B168" s="83" t="s">
        <v>120</v>
      </c>
      <c r="C168" s="84"/>
      <c r="D168" s="84"/>
      <c r="E168" s="84"/>
      <c r="F168" s="84"/>
      <c r="G168" s="71"/>
      <c r="H168" s="71"/>
      <c r="I168" s="71"/>
      <c r="J168" s="86" t="s">
        <v>184</v>
      </c>
      <c r="K168" s="28"/>
      <c r="L168" s="28"/>
      <c r="M168" s="28"/>
      <c r="N168" s="6"/>
    </row>
    <row r="169" spans="1:14" ht="15.75">
      <c r="A169" s="82"/>
      <c r="B169" s="83" t="s">
        <v>121</v>
      </c>
      <c r="C169" s="84"/>
      <c r="D169" s="84"/>
      <c r="E169" s="84"/>
      <c r="F169" s="84"/>
      <c r="G169" s="71"/>
      <c r="H169" s="71"/>
      <c r="I169" s="71"/>
      <c r="J169" s="87">
        <v>20.2</v>
      </c>
      <c r="K169" s="28" t="s">
        <v>188</v>
      </c>
      <c r="L169" s="28"/>
      <c r="M169" s="28"/>
      <c r="N169" s="6"/>
    </row>
    <row r="170" spans="1:14" ht="15.75">
      <c r="A170" s="82"/>
      <c r="B170" s="83" t="s">
        <v>122</v>
      </c>
      <c r="C170" s="84"/>
      <c r="D170" s="84"/>
      <c r="E170" s="84"/>
      <c r="F170" s="84"/>
      <c r="G170" s="71"/>
      <c r="H170" s="71"/>
      <c r="I170" s="71"/>
      <c r="J170" s="87">
        <v>18.24</v>
      </c>
      <c r="K170" s="28" t="s">
        <v>188</v>
      </c>
      <c r="L170" s="28"/>
      <c r="M170" s="28"/>
      <c r="N170" s="6"/>
    </row>
    <row r="171" spans="1:14" ht="15.75">
      <c r="A171" s="82"/>
      <c r="B171" s="83" t="s">
        <v>123</v>
      </c>
      <c r="C171" s="84"/>
      <c r="D171" s="84"/>
      <c r="E171" s="84"/>
      <c r="F171" s="84"/>
      <c r="G171" s="71"/>
      <c r="H171" s="71"/>
      <c r="I171" s="71"/>
      <c r="J171" s="85">
        <f>+F58/'Dec 04'!L58</f>
        <v>0.03361297586022902</v>
      </c>
      <c r="K171" s="28"/>
      <c r="L171" s="28"/>
      <c r="M171" s="28"/>
      <c r="N171" s="6"/>
    </row>
    <row r="172" spans="1:14" ht="15.75">
      <c r="A172" s="82"/>
      <c r="B172" s="83" t="s">
        <v>124</v>
      </c>
      <c r="C172" s="84"/>
      <c r="D172" s="84"/>
      <c r="E172" s="84"/>
      <c r="F172" s="84"/>
      <c r="G172" s="71"/>
      <c r="H172" s="71"/>
      <c r="I172" s="71"/>
      <c r="J172" s="85">
        <v>0.1631</v>
      </c>
      <c r="K172" s="28"/>
      <c r="L172" s="28"/>
      <c r="M172" s="28"/>
      <c r="N172" s="6"/>
    </row>
    <row r="173" spans="1:14" ht="15.75">
      <c r="A173" s="82"/>
      <c r="B173" s="83"/>
      <c r="C173" s="83"/>
      <c r="D173" s="83"/>
      <c r="E173" s="83"/>
      <c r="F173" s="83"/>
      <c r="G173" s="28"/>
      <c r="H173" s="28"/>
      <c r="I173" s="28"/>
      <c r="J173" s="67"/>
      <c r="K173" s="28"/>
      <c r="L173" s="88"/>
      <c r="M173" s="28"/>
      <c r="N173" s="6"/>
    </row>
    <row r="174" spans="1:14" ht="15.75">
      <c r="A174" s="89"/>
      <c r="B174" s="16" t="s">
        <v>125</v>
      </c>
      <c r="C174" s="90"/>
      <c r="D174" s="91"/>
      <c r="E174" s="90"/>
      <c r="F174" s="91"/>
      <c r="G174" s="90"/>
      <c r="H174" s="91"/>
      <c r="I174" s="19" t="s">
        <v>175</v>
      </c>
      <c r="J174" s="92" t="s">
        <v>185</v>
      </c>
      <c r="K174" s="17"/>
      <c r="L174" s="9"/>
      <c r="M174" s="9"/>
      <c r="N174" s="6"/>
    </row>
    <row r="175" spans="1:14" ht="15.75">
      <c r="A175" s="93"/>
      <c r="B175" s="83" t="s">
        <v>126</v>
      </c>
      <c r="C175" s="60"/>
      <c r="D175" s="60"/>
      <c r="E175" s="60"/>
      <c r="F175" s="28"/>
      <c r="G175" s="28"/>
      <c r="H175" s="28"/>
      <c r="I175" s="29">
        <v>9</v>
      </c>
      <c r="J175" s="94">
        <v>291</v>
      </c>
      <c r="K175" s="28"/>
      <c r="L175" s="88"/>
      <c r="M175" s="95"/>
      <c r="N175" s="6"/>
    </row>
    <row r="176" spans="1:14" ht="15.75">
      <c r="A176" s="93"/>
      <c r="B176" s="83" t="s">
        <v>205</v>
      </c>
      <c r="C176" s="60"/>
      <c r="D176" s="60"/>
      <c r="E176" s="60"/>
      <c r="F176" s="28"/>
      <c r="G176" s="28"/>
      <c r="H176" s="28"/>
      <c r="I176" s="29">
        <v>2</v>
      </c>
      <c r="J176" s="94">
        <v>141</v>
      </c>
      <c r="K176" s="28"/>
      <c r="L176" s="88"/>
      <c r="M176" s="95"/>
      <c r="N176" s="6"/>
    </row>
    <row r="177" spans="1:14" ht="15.75">
      <c r="A177" s="93"/>
      <c r="B177" s="83" t="s">
        <v>127</v>
      </c>
      <c r="C177" s="60"/>
      <c r="D177" s="60"/>
      <c r="E177" s="60"/>
      <c r="F177" s="28"/>
      <c r="G177" s="28"/>
      <c r="H177" s="28"/>
      <c r="I177" s="29">
        <v>0</v>
      </c>
      <c r="J177" s="94">
        <v>0</v>
      </c>
      <c r="K177" s="28"/>
      <c r="L177" s="88"/>
      <c r="M177" s="95"/>
      <c r="N177" s="6"/>
    </row>
    <row r="178" spans="1:14" ht="15.75">
      <c r="A178" s="93"/>
      <c r="B178" s="141" t="s">
        <v>128</v>
      </c>
      <c r="C178" s="60"/>
      <c r="D178" s="60"/>
      <c r="E178" s="60"/>
      <c r="F178" s="28"/>
      <c r="G178" s="28"/>
      <c r="H178" s="28"/>
      <c r="I178" s="28"/>
      <c r="J178" s="94">
        <v>0</v>
      </c>
      <c r="K178" s="28"/>
      <c r="L178" s="88"/>
      <c r="M178" s="95"/>
      <c r="N178" s="6"/>
    </row>
    <row r="179" spans="1:14" ht="15.75">
      <c r="A179" s="93"/>
      <c r="B179" s="141" t="s">
        <v>129</v>
      </c>
      <c r="C179" s="60"/>
      <c r="D179" s="60"/>
      <c r="E179" s="60"/>
      <c r="F179" s="28"/>
      <c r="G179" s="28"/>
      <c r="H179" s="28"/>
      <c r="I179" s="28"/>
      <c r="J179" s="94">
        <v>77991</v>
      </c>
      <c r="K179" s="28"/>
      <c r="L179" s="88"/>
      <c r="M179" s="95"/>
      <c r="N179" s="6"/>
    </row>
    <row r="180" spans="1:14" ht="15.75">
      <c r="A180" s="96"/>
      <c r="B180" s="141" t="s">
        <v>130</v>
      </c>
      <c r="C180" s="60"/>
      <c r="D180" s="83"/>
      <c r="E180" s="83"/>
      <c r="F180" s="83"/>
      <c r="G180" s="28"/>
      <c r="H180" s="28"/>
      <c r="I180" s="28"/>
      <c r="J180" s="94">
        <v>0</v>
      </c>
      <c r="K180" s="28"/>
      <c r="L180" s="88"/>
      <c r="M180" s="97"/>
      <c r="N180" s="6"/>
    </row>
    <row r="181" spans="1:14" ht="15.75">
      <c r="A181" s="93"/>
      <c r="B181" s="83" t="s">
        <v>131</v>
      </c>
      <c r="C181" s="60"/>
      <c r="D181" s="60"/>
      <c r="E181" s="60"/>
      <c r="F181" s="60"/>
      <c r="G181" s="28"/>
      <c r="H181" s="28"/>
      <c r="I181" s="28">
        <v>0</v>
      </c>
      <c r="J181" s="94">
        <f>+L130</f>
        <v>0</v>
      </c>
      <c r="K181" s="28"/>
      <c r="L181" s="88"/>
      <c r="M181" s="97"/>
      <c r="N181" s="6"/>
    </row>
    <row r="182" spans="1:14" ht="15.75">
      <c r="A182" s="93"/>
      <c r="B182" s="83" t="s">
        <v>132</v>
      </c>
      <c r="C182" s="60"/>
      <c r="D182" s="60"/>
      <c r="E182" s="60"/>
      <c r="F182" s="60"/>
      <c r="G182" s="28"/>
      <c r="H182" s="28"/>
      <c r="I182" s="28">
        <f>'Dec 04'!I181+'Mar 05'!I181</f>
        <v>2</v>
      </c>
      <c r="J182" s="94">
        <f>'Dec 04'!J181+J181</f>
        <v>24</v>
      </c>
      <c r="K182" s="28"/>
      <c r="L182" s="88"/>
      <c r="M182" s="97"/>
      <c r="N182" s="6"/>
    </row>
    <row r="183" spans="1:14" ht="15.75">
      <c r="A183" s="93"/>
      <c r="B183" s="83" t="s">
        <v>133</v>
      </c>
      <c r="C183" s="60"/>
      <c r="D183" s="60"/>
      <c r="E183" s="60"/>
      <c r="F183" s="60"/>
      <c r="G183" s="28"/>
      <c r="H183" s="28"/>
      <c r="I183" s="28"/>
      <c r="J183" s="94">
        <v>0</v>
      </c>
      <c r="K183" s="28"/>
      <c r="L183" s="88"/>
      <c r="M183" s="97"/>
      <c r="N183" s="6"/>
    </row>
    <row r="184" spans="1:14" ht="15.75">
      <c r="A184" s="96"/>
      <c r="B184" s="141" t="s">
        <v>134</v>
      </c>
      <c r="C184" s="60"/>
      <c r="D184" s="83"/>
      <c r="E184" s="83"/>
      <c r="F184" s="83"/>
      <c r="G184" s="28"/>
      <c r="H184" s="28"/>
      <c r="I184" s="28"/>
      <c r="J184" s="94"/>
      <c r="K184" s="28"/>
      <c r="L184" s="88"/>
      <c r="M184" s="97"/>
      <c r="N184" s="6"/>
    </row>
    <row r="185" spans="1:14" ht="15.75">
      <c r="A185" s="96"/>
      <c r="B185" s="83" t="s">
        <v>135</v>
      </c>
      <c r="C185" s="60"/>
      <c r="D185" s="83"/>
      <c r="E185" s="83"/>
      <c r="F185" s="83"/>
      <c r="G185" s="28"/>
      <c r="H185" s="28"/>
      <c r="I185" s="28">
        <v>0</v>
      </c>
      <c r="J185" s="94">
        <v>0</v>
      </c>
      <c r="K185" s="28"/>
      <c r="L185" s="88"/>
      <c r="M185" s="97"/>
      <c r="N185" s="6"/>
    </row>
    <row r="186" spans="1:14" ht="15.75">
      <c r="A186" s="93"/>
      <c r="B186" s="83" t="s">
        <v>136</v>
      </c>
      <c r="C186" s="60"/>
      <c r="D186" s="98"/>
      <c r="E186" s="98"/>
      <c r="F186" s="99"/>
      <c r="G186" s="28"/>
      <c r="H186" s="28"/>
      <c r="I186" s="28"/>
      <c r="J186" s="94">
        <v>0</v>
      </c>
      <c r="K186" s="28"/>
      <c r="L186" s="88"/>
      <c r="M186" s="97"/>
      <c r="N186" s="6"/>
    </row>
    <row r="187" spans="1:14" ht="15.75">
      <c r="A187" s="93"/>
      <c r="B187" s="83" t="s">
        <v>137</v>
      </c>
      <c r="C187" s="60"/>
      <c r="D187" s="98"/>
      <c r="E187" s="98"/>
      <c r="F187" s="99"/>
      <c r="G187" s="28"/>
      <c r="H187" s="28"/>
      <c r="I187" s="28"/>
      <c r="J187" s="94">
        <v>0</v>
      </c>
      <c r="K187" s="28"/>
      <c r="L187" s="88"/>
      <c r="M187" s="97"/>
      <c r="N187" s="6"/>
    </row>
    <row r="188" spans="1:14" ht="15.75">
      <c r="A188" s="93"/>
      <c r="B188" s="83" t="s">
        <v>138</v>
      </c>
      <c r="C188" s="60"/>
      <c r="D188" s="100"/>
      <c r="E188" s="98"/>
      <c r="F188" s="99"/>
      <c r="G188" s="28"/>
      <c r="H188" s="28"/>
      <c r="I188" s="28"/>
      <c r="J188" s="101">
        <v>0</v>
      </c>
      <c r="K188" s="28"/>
      <c r="L188" s="88"/>
      <c r="M188" s="97"/>
      <c r="N188" s="6"/>
    </row>
    <row r="189" spans="1:14" ht="15.75">
      <c r="A189" s="93"/>
      <c r="B189" s="83"/>
      <c r="C189" s="60"/>
      <c r="D189" s="100"/>
      <c r="E189" s="98"/>
      <c r="F189" s="99"/>
      <c r="G189" s="28"/>
      <c r="H189" s="28"/>
      <c r="I189" s="28"/>
      <c r="J189" s="101"/>
      <c r="K189" s="28"/>
      <c r="L189" s="88"/>
      <c r="M189" s="97"/>
      <c r="N189" s="6"/>
    </row>
    <row r="190" spans="1:14" ht="15.75">
      <c r="A190" s="7"/>
      <c r="B190" s="16" t="s">
        <v>221</v>
      </c>
      <c r="C190" s="19"/>
      <c r="D190" s="92"/>
      <c r="E190" s="19"/>
      <c r="F190" s="92"/>
      <c r="G190" s="19"/>
      <c r="H190" s="92" t="s">
        <v>175</v>
      </c>
      <c r="I190" s="19" t="s">
        <v>176</v>
      </c>
      <c r="J190" s="92" t="s">
        <v>186</v>
      </c>
      <c r="K190" s="19" t="s">
        <v>176</v>
      </c>
      <c r="L190" s="17"/>
      <c r="M190" s="102"/>
      <c r="N190" s="6"/>
    </row>
    <row r="191" spans="1:14" ht="15.75">
      <c r="A191" s="27"/>
      <c r="B191" s="60" t="s">
        <v>140</v>
      </c>
      <c r="C191" s="103"/>
      <c r="D191" s="60"/>
      <c r="E191" s="103"/>
      <c r="F191" s="28"/>
      <c r="G191" s="103"/>
      <c r="H191" s="60">
        <v>4310</v>
      </c>
      <c r="I191" s="105">
        <f>H191/H200</f>
        <v>0.9921731123388582</v>
      </c>
      <c r="J191" s="59">
        <v>344134</v>
      </c>
      <c r="K191" s="143">
        <f>J191/J200</f>
        <v>0.9952282349674941</v>
      </c>
      <c r="L191" s="88"/>
      <c r="M191" s="97"/>
      <c r="N191" s="6"/>
    </row>
    <row r="192" spans="1:14" ht="15.75">
      <c r="A192" s="27"/>
      <c r="B192" s="60" t="s">
        <v>141</v>
      </c>
      <c r="C192" s="103"/>
      <c r="D192" s="60"/>
      <c r="E192" s="103"/>
      <c r="F192" s="28"/>
      <c r="G192" s="105"/>
      <c r="H192" s="60">
        <v>18</v>
      </c>
      <c r="I192" s="105">
        <f>H192/H200</f>
        <v>0.004143646408839779</v>
      </c>
      <c r="J192" s="59">
        <v>944</v>
      </c>
      <c r="K192" s="143">
        <f>J192/J200</f>
        <v>0.0027300279943548575</v>
      </c>
      <c r="L192" s="88"/>
      <c r="M192" s="97"/>
      <c r="N192" s="6"/>
    </row>
    <row r="193" spans="1:14" ht="15.75">
      <c r="A193" s="27"/>
      <c r="B193" s="60" t="s">
        <v>142</v>
      </c>
      <c r="C193" s="103"/>
      <c r="D193" s="60"/>
      <c r="E193" s="103"/>
      <c r="F193" s="28"/>
      <c r="G193" s="105"/>
      <c r="H193" s="60">
        <v>6</v>
      </c>
      <c r="I193" s="105">
        <f>H193/H200</f>
        <v>0.0013812154696132596</v>
      </c>
      <c r="J193" s="59">
        <v>444</v>
      </c>
      <c r="K193" s="143">
        <f>J193/J200</f>
        <v>0.0012840385905652084</v>
      </c>
      <c r="L193" s="88"/>
      <c r="M193" s="97"/>
      <c r="N193" s="6"/>
    </row>
    <row r="194" spans="1:14" ht="15.75">
      <c r="A194" s="27"/>
      <c r="B194" s="60" t="s">
        <v>213</v>
      </c>
      <c r="C194" s="103"/>
      <c r="D194" s="60"/>
      <c r="E194" s="103"/>
      <c r="F194" s="28"/>
      <c r="G194" s="105"/>
      <c r="H194" s="60">
        <v>2</v>
      </c>
      <c r="I194" s="105">
        <f>H194/$H$200</f>
        <v>0.00046040515653775324</v>
      </c>
      <c r="J194" s="59">
        <v>57</v>
      </c>
      <c r="K194" s="143">
        <f>J194/$J$200</f>
        <v>0.00016484279203202</v>
      </c>
      <c r="L194" s="88"/>
      <c r="M194" s="97"/>
      <c r="N194" s="6"/>
    </row>
    <row r="195" spans="1:14" ht="15.75">
      <c r="A195" s="27"/>
      <c r="B195" s="60" t="s">
        <v>214</v>
      </c>
      <c r="C195" s="103"/>
      <c r="D195" s="60"/>
      <c r="E195" s="103"/>
      <c r="F195" s="28"/>
      <c r="G195" s="105"/>
      <c r="H195" s="60">
        <v>1</v>
      </c>
      <c r="I195" s="105">
        <f>H195/$H$200</f>
        <v>0.00023020257826887662</v>
      </c>
      <c r="J195" s="59">
        <v>24</v>
      </c>
      <c r="K195" s="143">
        <f>J195/$J$200</f>
        <v>6.940749138190315E-05</v>
      </c>
      <c r="L195" s="88"/>
      <c r="M195" s="97"/>
      <c r="N195" s="6"/>
    </row>
    <row r="196" spans="1:14" ht="15.75">
      <c r="A196" s="27"/>
      <c r="B196" s="60" t="s">
        <v>215</v>
      </c>
      <c r="C196" s="103"/>
      <c r="D196" s="60"/>
      <c r="E196" s="103"/>
      <c r="F196" s="28"/>
      <c r="G196" s="105"/>
      <c r="H196" s="60">
        <v>2</v>
      </c>
      <c r="I196" s="105">
        <f>H196/$H$200</f>
        <v>0.00046040515653775324</v>
      </c>
      <c r="J196" s="59">
        <v>60</v>
      </c>
      <c r="K196" s="143">
        <f>J196/$J$200</f>
        <v>0.0001735187284547579</v>
      </c>
      <c r="L196" s="88"/>
      <c r="M196" s="97"/>
      <c r="N196" s="6"/>
    </row>
    <row r="197" spans="1:14" ht="15.75">
      <c r="A197" s="27"/>
      <c r="B197" s="60" t="s">
        <v>216</v>
      </c>
      <c r="C197" s="103"/>
      <c r="D197" s="60"/>
      <c r="E197" s="103"/>
      <c r="F197" s="28"/>
      <c r="G197" s="105"/>
      <c r="H197" s="60">
        <v>2</v>
      </c>
      <c r="I197" s="105">
        <f>H197/$H$200</f>
        <v>0.00046040515653775324</v>
      </c>
      <c r="J197" s="59">
        <v>45</v>
      </c>
      <c r="K197" s="143">
        <f>J197/$J$200</f>
        <v>0.00013013904634106842</v>
      </c>
      <c r="L197" s="88"/>
      <c r="M197" s="97"/>
      <c r="N197" s="6"/>
    </row>
    <row r="198" spans="1:14" ht="15.75">
      <c r="A198" s="27"/>
      <c r="B198" s="60" t="s">
        <v>217</v>
      </c>
      <c r="C198" s="103"/>
      <c r="D198" s="60"/>
      <c r="E198" s="103"/>
      <c r="F198" s="28"/>
      <c r="G198" s="105"/>
      <c r="H198" s="60">
        <v>3</v>
      </c>
      <c r="I198" s="105">
        <f>H198/$H$200</f>
        <v>0.0006906077348066298</v>
      </c>
      <c r="J198" s="59">
        <v>76</v>
      </c>
      <c r="K198" s="143">
        <f>J198/$J$200</f>
        <v>0.00021979038937602666</v>
      </c>
      <c r="L198" s="88"/>
      <c r="M198" s="97"/>
      <c r="N198" s="6"/>
    </row>
    <row r="199" spans="1:14" ht="15.75">
      <c r="A199" s="27"/>
      <c r="B199" s="60"/>
      <c r="C199" s="103"/>
      <c r="D199" s="60"/>
      <c r="E199" s="103"/>
      <c r="F199" s="28"/>
      <c r="G199" s="105"/>
      <c r="H199" s="60"/>
      <c r="I199" s="105"/>
      <c r="J199" s="59"/>
      <c r="K199" s="143"/>
      <c r="L199" s="88"/>
      <c r="M199" s="97"/>
      <c r="N199" s="6"/>
    </row>
    <row r="200" spans="1:14" ht="15.75">
      <c r="A200" s="158"/>
      <c r="B200" s="159"/>
      <c r="C200" s="159"/>
      <c r="D200" s="159"/>
      <c r="E200" s="159"/>
      <c r="F200" s="159"/>
      <c r="G200" s="159"/>
      <c r="H200" s="160">
        <f>SUM(H191:H198)</f>
        <v>4344</v>
      </c>
      <c r="I200" s="161">
        <f>SUM(I191:I199)</f>
        <v>1</v>
      </c>
      <c r="J200" s="162">
        <f>SUM(J191:J199)</f>
        <v>345784</v>
      </c>
      <c r="K200" s="161">
        <f>SUM(K191:K199)</f>
        <v>1</v>
      </c>
      <c r="L200" s="159"/>
      <c r="M200" s="163"/>
      <c r="N200" s="6"/>
    </row>
    <row r="201" spans="1:14" ht="15.75">
      <c r="A201" s="149"/>
      <c r="B201" s="150"/>
      <c r="C201" s="150"/>
      <c r="D201" s="150"/>
      <c r="E201" s="150"/>
      <c r="F201" s="150"/>
      <c r="G201" s="150"/>
      <c r="H201" s="151"/>
      <c r="I201" s="152"/>
      <c r="J201" s="153"/>
      <c r="K201" s="152"/>
      <c r="L201" s="150"/>
      <c r="M201" s="154"/>
      <c r="N201" s="6"/>
    </row>
    <row r="202" spans="1:14" ht="15.75">
      <c r="A202" s="146"/>
      <c r="B202" s="155" t="s">
        <v>222</v>
      </c>
      <c r="C202" s="156"/>
      <c r="D202" s="157"/>
      <c r="E202" s="156"/>
      <c r="F202" s="157"/>
      <c r="G202" s="156"/>
      <c r="H202" s="157" t="s">
        <v>175</v>
      </c>
      <c r="I202" s="156" t="s">
        <v>176</v>
      </c>
      <c r="J202" s="157" t="s">
        <v>186</v>
      </c>
      <c r="K202" s="156" t="s">
        <v>176</v>
      </c>
      <c r="L202" s="147"/>
      <c r="M202" s="148"/>
      <c r="N202" s="6"/>
    </row>
    <row r="203" spans="1:14" ht="15.75">
      <c r="A203" s="27"/>
      <c r="B203" s="60" t="s">
        <v>140</v>
      </c>
      <c r="C203" s="103"/>
      <c r="D203" s="60"/>
      <c r="E203" s="103"/>
      <c r="F203" s="28"/>
      <c r="G203" s="103"/>
      <c r="H203" s="60">
        <v>0</v>
      </c>
      <c r="I203" s="105">
        <f>H203/H212</f>
        <v>0</v>
      </c>
      <c r="J203" s="59">
        <v>0</v>
      </c>
      <c r="K203" s="143">
        <f>J203/J212</f>
        <v>0</v>
      </c>
      <c r="L203" s="28"/>
      <c r="M203" s="28"/>
      <c r="N203" s="6"/>
    </row>
    <row r="204" spans="1:14" ht="15.75">
      <c r="A204" s="27"/>
      <c r="B204" s="60" t="s">
        <v>141</v>
      </c>
      <c r="C204" s="103"/>
      <c r="D204" s="60"/>
      <c r="E204" s="103"/>
      <c r="F204" s="28"/>
      <c r="G204" s="105"/>
      <c r="H204" s="60">
        <v>0</v>
      </c>
      <c r="I204" s="105">
        <f>H204/H212</f>
        <v>0</v>
      </c>
      <c r="J204" s="59">
        <v>0</v>
      </c>
      <c r="K204" s="143">
        <f>J204/J212</f>
        <v>0</v>
      </c>
      <c r="L204" s="28"/>
      <c r="M204" s="28"/>
      <c r="N204" s="6"/>
    </row>
    <row r="205" spans="1:14" ht="15.75">
      <c r="A205" s="27"/>
      <c r="B205" s="60" t="s">
        <v>142</v>
      </c>
      <c r="C205" s="103"/>
      <c r="D205" s="60"/>
      <c r="E205" s="103"/>
      <c r="F205" s="28"/>
      <c r="G205" s="105"/>
      <c r="H205" s="60">
        <v>0</v>
      </c>
      <c r="I205" s="105">
        <f>H205/H212</f>
        <v>0</v>
      </c>
      <c r="J205" s="59">
        <v>0</v>
      </c>
      <c r="K205" s="143">
        <f>J205/J212</f>
        <v>0</v>
      </c>
      <c r="L205" s="28"/>
      <c r="M205" s="28"/>
      <c r="N205" s="6"/>
    </row>
    <row r="206" spans="1:14" ht="15.75">
      <c r="A206" s="27"/>
      <c r="B206" s="60" t="s">
        <v>213</v>
      </c>
      <c r="C206" s="103"/>
      <c r="D206" s="60"/>
      <c r="E206" s="103"/>
      <c r="F206" s="28"/>
      <c r="G206" s="105"/>
      <c r="H206" s="60">
        <v>1</v>
      </c>
      <c r="I206" s="105">
        <f>H206/$H$212</f>
        <v>0.5</v>
      </c>
      <c r="J206" s="59">
        <v>80</v>
      </c>
      <c r="K206" s="143">
        <f>J206/$J$212</f>
        <v>0.5714285714285714</v>
      </c>
      <c r="L206" s="28"/>
      <c r="M206" s="28"/>
      <c r="N206" s="6"/>
    </row>
    <row r="207" spans="1:14" ht="15.75">
      <c r="A207" s="27"/>
      <c r="B207" s="60" t="s">
        <v>214</v>
      </c>
      <c r="C207" s="103"/>
      <c r="D207" s="60"/>
      <c r="E207" s="103"/>
      <c r="F207" s="28"/>
      <c r="G207" s="105"/>
      <c r="H207" s="60">
        <v>1</v>
      </c>
      <c r="I207" s="105">
        <f>H207/$H$212</f>
        <v>0.5</v>
      </c>
      <c r="J207" s="59">
        <v>60</v>
      </c>
      <c r="K207" s="143">
        <f>J207/$J$212</f>
        <v>0.42857142857142855</v>
      </c>
      <c r="L207" s="28"/>
      <c r="M207" s="28"/>
      <c r="N207" s="6"/>
    </row>
    <row r="208" spans="1:14" ht="15.75">
      <c r="A208" s="27"/>
      <c r="B208" s="60" t="s">
        <v>215</v>
      </c>
      <c r="C208" s="103"/>
      <c r="D208" s="60"/>
      <c r="E208" s="103"/>
      <c r="F208" s="28"/>
      <c r="G208" s="105"/>
      <c r="H208" s="60">
        <v>0</v>
      </c>
      <c r="I208" s="105">
        <f>H208/$H$212</f>
        <v>0</v>
      </c>
      <c r="J208" s="59">
        <v>0</v>
      </c>
      <c r="K208" s="143">
        <f>J208/$J$212</f>
        <v>0</v>
      </c>
      <c r="L208" s="28"/>
      <c r="M208" s="28"/>
      <c r="N208" s="6"/>
    </row>
    <row r="209" spans="1:14" ht="15.75">
      <c r="A209" s="27"/>
      <c r="B209" s="60" t="s">
        <v>216</v>
      </c>
      <c r="C209" s="103"/>
      <c r="D209" s="60"/>
      <c r="E209" s="103"/>
      <c r="F209" s="28"/>
      <c r="G209" s="105"/>
      <c r="H209" s="60">
        <v>0</v>
      </c>
      <c r="I209" s="105">
        <f>H209/$H$212</f>
        <v>0</v>
      </c>
      <c r="J209" s="59">
        <v>0</v>
      </c>
      <c r="K209" s="143">
        <f>J209/$J$212</f>
        <v>0</v>
      </c>
      <c r="L209" s="28"/>
      <c r="M209" s="28"/>
      <c r="N209" s="6"/>
    </row>
    <row r="210" spans="1:14" ht="15.75">
      <c r="A210" s="27"/>
      <c r="B210" s="60" t="s">
        <v>217</v>
      </c>
      <c r="C210" s="103"/>
      <c r="D210" s="60"/>
      <c r="E210" s="103"/>
      <c r="F210" s="28"/>
      <c r="G210" s="105"/>
      <c r="H210" s="60">
        <v>0</v>
      </c>
      <c r="I210" s="105">
        <f>H210/$H$212</f>
        <v>0</v>
      </c>
      <c r="J210" s="59">
        <v>0</v>
      </c>
      <c r="K210" s="143">
        <f>J210/$J$212</f>
        <v>0</v>
      </c>
      <c r="L210" s="28"/>
      <c r="M210" s="28"/>
      <c r="N210" s="6"/>
    </row>
    <row r="211" spans="1:14" ht="15.75">
      <c r="A211" s="27"/>
      <c r="B211" s="60"/>
      <c r="C211" s="103"/>
      <c r="D211" s="60"/>
      <c r="E211" s="103"/>
      <c r="F211" s="28"/>
      <c r="G211" s="105"/>
      <c r="H211" s="60"/>
      <c r="I211" s="105"/>
      <c r="J211" s="59"/>
      <c r="K211" s="143"/>
      <c r="L211" s="28"/>
      <c r="M211" s="28"/>
      <c r="N211" s="6"/>
    </row>
    <row r="212" spans="1:14" ht="15.75">
      <c r="A212" s="158"/>
      <c r="B212" s="159"/>
      <c r="C212" s="159"/>
      <c r="D212" s="159"/>
      <c r="E212" s="159"/>
      <c r="F212" s="159"/>
      <c r="G212" s="159"/>
      <c r="H212" s="160">
        <f>SUM(H203:H210)</f>
        <v>2</v>
      </c>
      <c r="I212" s="161">
        <f>SUM(I203:I211)</f>
        <v>1</v>
      </c>
      <c r="J212" s="162">
        <f>SUM(J203:J211)</f>
        <v>140</v>
      </c>
      <c r="K212" s="161">
        <f>SUM(K203:K211)</f>
        <v>1</v>
      </c>
      <c r="L212" s="159"/>
      <c r="M212" s="163"/>
      <c r="N212" s="6"/>
    </row>
    <row r="213" spans="1:14" ht="15.75">
      <c r="A213" s="7"/>
      <c r="B213" s="9"/>
      <c r="C213" s="9"/>
      <c r="D213" s="9"/>
      <c r="E213" s="9"/>
      <c r="F213" s="9"/>
      <c r="G213" s="9"/>
      <c r="H213" s="61"/>
      <c r="I213" s="108"/>
      <c r="J213" s="109"/>
      <c r="K213" s="108"/>
      <c r="L213" s="9"/>
      <c r="M213" s="9"/>
      <c r="N213" s="6"/>
    </row>
    <row r="214" spans="1:14" ht="15.75">
      <c r="A214" s="110"/>
      <c r="B214" s="16" t="s">
        <v>218</v>
      </c>
      <c r="C214" s="111"/>
      <c r="D214" s="19"/>
      <c r="E214" s="17"/>
      <c r="F214" s="16"/>
      <c r="G214" s="112"/>
      <c r="H214" s="112"/>
      <c r="I214" s="112"/>
      <c r="J214" s="125"/>
      <c r="K214" s="125"/>
      <c r="L214" s="125"/>
      <c r="M214" s="125"/>
      <c r="N214" s="6"/>
    </row>
    <row r="215" spans="1:14" ht="15.75">
      <c r="A215" s="129"/>
      <c r="B215" s="125"/>
      <c r="C215" s="125"/>
      <c r="D215" s="9"/>
      <c r="E215" s="9"/>
      <c r="F215" s="9"/>
      <c r="G215" s="125"/>
      <c r="H215" s="125"/>
      <c r="I215" s="125"/>
      <c r="J215" s="125"/>
      <c r="K215" s="125"/>
      <c r="L215" s="125"/>
      <c r="M215" s="125"/>
      <c r="N215" s="6"/>
    </row>
    <row r="216" spans="1:14" ht="15.75">
      <c r="A216" s="129"/>
      <c r="B216" s="15" t="s">
        <v>220</v>
      </c>
      <c r="C216" s="114"/>
      <c r="D216" s="115"/>
      <c r="E216" s="15"/>
      <c r="F216" s="15"/>
      <c r="G216" s="114"/>
      <c r="H216" s="114"/>
      <c r="I216" s="125"/>
      <c r="J216" s="125"/>
      <c r="K216" s="125"/>
      <c r="L216" s="125"/>
      <c r="M216" s="125"/>
      <c r="N216" s="6"/>
    </row>
    <row r="217" spans="1:14" ht="15.75">
      <c r="A217" s="129"/>
      <c r="B217" s="15" t="s">
        <v>219</v>
      </c>
      <c r="C217" s="114"/>
      <c r="D217" s="115"/>
      <c r="E217" s="15"/>
      <c r="F217" s="15"/>
      <c r="G217" s="114"/>
      <c r="H217" s="114"/>
      <c r="I217" s="125"/>
      <c r="J217" s="125"/>
      <c r="K217" s="125"/>
      <c r="L217" s="125"/>
      <c r="M217" s="125"/>
      <c r="N217" s="6"/>
    </row>
    <row r="218" spans="1:14" ht="15.75">
      <c r="A218" s="129"/>
      <c r="B218" s="15"/>
      <c r="C218" s="114"/>
      <c r="D218" s="115"/>
      <c r="E218" s="15"/>
      <c r="F218" s="15"/>
      <c r="G218" s="114"/>
      <c r="H218" s="114"/>
      <c r="I218" s="125"/>
      <c r="J218" s="125"/>
      <c r="K218" s="125"/>
      <c r="L218" s="125"/>
      <c r="M218" s="125"/>
      <c r="N218" s="6"/>
    </row>
    <row r="219" spans="1:14" ht="15.75">
      <c r="A219" s="129"/>
      <c r="B219" s="15"/>
      <c r="C219" s="114"/>
      <c r="D219" s="115"/>
      <c r="E219" s="15"/>
      <c r="F219" s="15"/>
      <c r="G219" s="114"/>
      <c r="H219" s="114"/>
      <c r="I219" s="125"/>
      <c r="J219" s="125"/>
      <c r="K219" s="125"/>
      <c r="L219" s="125"/>
      <c r="M219" s="125"/>
      <c r="N219" s="6"/>
    </row>
    <row r="220" spans="1:14" ht="18.75">
      <c r="A220" s="129"/>
      <c r="B220" s="55" t="str">
        <f>B157</f>
        <v>PM4 INVESTOR REPORT QUARTER ENDING MARCH 2005</v>
      </c>
      <c r="C220" s="114"/>
      <c r="D220" s="115"/>
      <c r="E220" s="15"/>
      <c r="F220" s="15"/>
      <c r="G220" s="114"/>
      <c r="H220" s="114"/>
      <c r="I220" s="125"/>
      <c r="J220" s="125"/>
      <c r="K220" s="125"/>
      <c r="L220" s="125"/>
      <c r="M220" s="125"/>
      <c r="N220" s="6"/>
    </row>
    <row r="221" spans="1:13" ht="15">
      <c r="A221" s="116"/>
      <c r="B221" s="116"/>
      <c r="C221" s="116"/>
      <c r="D221" s="116"/>
      <c r="E221" s="116"/>
      <c r="F221" s="116"/>
      <c r="G221" s="116"/>
      <c r="H221" s="116"/>
      <c r="I221" s="116"/>
      <c r="J221" s="116"/>
      <c r="K221" s="116"/>
      <c r="L221" s="116"/>
      <c r="M221" s="116"/>
    </row>
    <row r="224" ht="15">
      <c r="J224" s="144"/>
    </row>
  </sheetData>
  <printOptions horizontalCentered="1" verticalCentered="1"/>
  <pageMargins left="0.5118110236220472" right="0.5118110236220472" top="0.31496062992125984" bottom="0.35433070866141736" header="0" footer="0"/>
  <pageSetup horizontalDpi="600" verticalDpi="600" orientation="landscape" paperSize="9" scale="48" r:id="rId2"/>
  <rowBreaks count="3" manualBreakCount="3">
    <brk id="53" max="13" man="1"/>
    <brk id="107" max="13" man="1"/>
    <brk id="157" max="13" man="1"/>
  </rowBreaks>
  <drawing r:id="rId1"/>
</worksheet>
</file>

<file path=xl/worksheets/sheet13.xml><?xml version="1.0" encoding="utf-8"?>
<worksheet xmlns="http://schemas.openxmlformats.org/spreadsheetml/2006/main" xmlns:r="http://schemas.openxmlformats.org/officeDocument/2006/relationships">
  <dimension ref="A1:O226"/>
  <sheetViews>
    <sheetView showGridLines="0" tabSelected="1"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33.77734375" style="1" customWidth="1"/>
    <col min="7" max="7" width="1.4375" style="1" customWidth="1"/>
    <col min="8" max="8" width="24.5546875" style="1" customWidth="1"/>
    <col min="9" max="9" width="6.6640625" style="1" customWidth="1"/>
    <col min="10" max="10" width="12.6640625" style="1" customWidth="1"/>
    <col min="11" max="11" width="6.6640625" style="1" customWidth="1"/>
    <col min="12" max="12" width="13.6640625" style="1" customWidth="1"/>
    <col min="13" max="13" width="30.7773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25"/>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189</v>
      </c>
      <c r="M14" s="17"/>
      <c r="N14" s="6"/>
    </row>
    <row r="15" spans="1:14" ht="15.75">
      <c r="A15" s="7"/>
      <c r="B15" s="16" t="s">
        <v>8</v>
      </c>
      <c r="C15" s="16"/>
      <c r="D15" s="17"/>
      <c r="E15" s="17"/>
      <c r="F15" s="17"/>
      <c r="G15" s="17"/>
      <c r="H15" s="19"/>
      <c r="I15" s="20"/>
      <c r="J15" s="19" t="s">
        <v>177</v>
      </c>
      <c r="K15" s="20">
        <v>1</v>
      </c>
      <c r="L15" s="18"/>
      <c r="M15" s="17"/>
      <c r="N15" s="6"/>
    </row>
    <row r="16" spans="1:14" ht="15.75">
      <c r="A16" s="7"/>
      <c r="B16" s="16" t="s">
        <v>9</v>
      </c>
      <c r="C16" s="16"/>
      <c r="D16" s="17"/>
      <c r="E16" s="17"/>
      <c r="F16" s="17"/>
      <c r="G16" s="17"/>
      <c r="H16" s="19"/>
      <c r="I16" s="20"/>
      <c r="J16" s="19" t="s">
        <v>177</v>
      </c>
      <c r="K16" s="20">
        <v>1</v>
      </c>
      <c r="L16" s="18"/>
      <c r="M16" s="17"/>
      <c r="N16" s="6"/>
    </row>
    <row r="17" spans="1:14" ht="15.75">
      <c r="A17" s="7"/>
      <c r="B17" s="16" t="s">
        <v>10</v>
      </c>
      <c r="C17" s="16"/>
      <c r="D17" s="17"/>
      <c r="E17" s="17"/>
      <c r="F17" s="17"/>
      <c r="G17" s="17"/>
      <c r="H17" s="17"/>
      <c r="I17" s="17"/>
      <c r="J17" s="17"/>
      <c r="K17" s="17"/>
      <c r="L17" s="21">
        <v>37342</v>
      </c>
      <c r="M17" s="17"/>
      <c r="N17" s="6"/>
    </row>
    <row r="18" spans="1:14" ht="15.75">
      <c r="A18" s="7"/>
      <c r="B18" s="16" t="s">
        <v>11</v>
      </c>
      <c r="C18" s="16"/>
      <c r="D18" s="17"/>
      <c r="E18" s="17"/>
      <c r="F18" s="17"/>
      <c r="G18" s="17"/>
      <c r="H18" s="17"/>
      <c r="I18" s="17"/>
      <c r="J18" s="17"/>
      <c r="K18" s="17"/>
      <c r="L18" s="21">
        <v>38551</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178</v>
      </c>
      <c r="K20" s="9"/>
      <c r="L20" s="125"/>
      <c r="M20" s="9"/>
      <c r="N20" s="6"/>
    </row>
    <row r="21" spans="1:14" ht="15.75">
      <c r="A21" s="7"/>
      <c r="B21" s="9"/>
      <c r="C21" s="9"/>
      <c r="D21" s="9"/>
      <c r="E21" s="9"/>
      <c r="F21" s="9"/>
      <c r="G21" s="9"/>
      <c r="H21" s="9"/>
      <c r="I21" s="9"/>
      <c r="J21" s="9"/>
      <c r="K21" s="9"/>
      <c r="L21" s="24"/>
      <c r="M21" s="9"/>
      <c r="N21" s="6"/>
    </row>
    <row r="22" spans="1:14" ht="15.75">
      <c r="A22" s="7"/>
      <c r="B22" s="9"/>
      <c r="C22" s="132" t="s">
        <v>147</v>
      </c>
      <c r="D22" s="25"/>
      <c r="E22" s="25"/>
      <c r="F22" s="133" t="s">
        <v>155</v>
      </c>
      <c r="G22" s="133"/>
      <c r="H22" s="133" t="s">
        <v>167</v>
      </c>
      <c r="I22" s="26"/>
      <c r="J22" s="25"/>
      <c r="K22" s="125"/>
      <c r="L22" s="125"/>
      <c r="M22" s="9"/>
      <c r="N22" s="6"/>
    </row>
    <row r="23" spans="1:14" ht="15.75">
      <c r="A23" s="7"/>
      <c r="B23" s="9" t="s">
        <v>13</v>
      </c>
      <c r="C23" s="132" t="s">
        <v>148</v>
      </c>
      <c r="D23" s="25"/>
      <c r="E23" s="25"/>
      <c r="F23" s="25" t="s">
        <v>156</v>
      </c>
      <c r="G23" s="25"/>
      <c r="H23" s="25" t="s">
        <v>168</v>
      </c>
      <c r="I23" s="25"/>
      <c r="J23" s="25"/>
      <c r="K23" s="125"/>
      <c r="L23" s="125"/>
      <c r="M23" s="9"/>
      <c r="N23" s="6"/>
    </row>
    <row r="24" spans="1:14" ht="15.75">
      <c r="A24" s="27"/>
      <c r="B24" s="28" t="s">
        <v>14</v>
      </c>
      <c r="C24" s="29"/>
      <c r="D24" s="30"/>
      <c r="E24" s="30"/>
      <c r="F24" s="30" t="s">
        <v>157</v>
      </c>
      <c r="G24" s="30"/>
      <c r="H24" s="30" t="s">
        <v>169</v>
      </c>
      <c r="I24" s="30"/>
      <c r="J24" s="30"/>
      <c r="K24" s="126"/>
      <c r="L24" s="126"/>
      <c r="M24" s="28"/>
      <c r="N24" s="6"/>
    </row>
    <row r="25" spans="1:14" ht="15.75">
      <c r="A25" s="27"/>
      <c r="B25" s="28" t="s">
        <v>15</v>
      </c>
      <c r="C25" s="29"/>
      <c r="D25" s="30"/>
      <c r="E25" s="30"/>
      <c r="F25" s="30" t="s">
        <v>157</v>
      </c>
      <c r="G25" s="30"/>
      <c r="H25" s="30" t="s">
        <v>169</v>
      </c>
      <c r="I25" s="30"/>
      <c r="J25" s="30"/>
      <c r="K25" s="126"/>
      <c r="L25" s="126"/>
      <c r="M25" s="28"/>
      <c r="N25" s="6"/>
    </row>
    <row r="26" spans="1:14" ht="15.75">
      <c r="A26" s="32"/>
      <c r="B26" s="33" t="s">
        <v>16</v>
      </c>
      <c r="C26" s="33"/>
      <c r="D26" s="34"/>
      <c r="E26" s="34"/>
      <c r="F26" s="34" t="s">
        <v>156</v>
      </c>
      <c r="G26" s="34"/>
      <c r="H26" s="34" t="s">
        <v>168</v>
      </c>
      <c r="I26" s="34"/>
      <c r="J26" s="30"/>
      <c r="K26" s="126"/>
      <c r="L26" s="126"/>
      <c r="M26" s="28"/>
      <c r="N26" s="6"/>
    </row>
    <row r="27" spans="1:14" ht="15.75">
      <c r="A27" s="32"/>
      <c r="B27" s="33" t="s">
        <v>17</v>
      </c>
      <c r="C27" s="33"/>
      <c r="D27" s="34"/>
      <c r="E27" s="34"/>
      <c r="F27" s="34" t="s">
        <v>157</v>
      </c>
      <c r="G27" s="34"/>
      <c r="H27" s="34" t="s">
        <v>207</v>
      </c>
      <c r="I27" s="34"/>
      <c r="J27" s="30"/>
      <c r="K27" s="126"/>
      <c r="L27" s="126"/>
      <c r="M27" s="28"/>
      <c r="N27" s="6"/>
    </row>
    <row r="28" spans="1:14" ht="15.75">
      <c r="A28" s="32"/>
      <c r="B28" s="33" t="s">
        <v>18</v>
      </c>
      <c r="C28" s="33"/>
      <c r="D28" s="34"/>
      <c r="E28" s="34"/>
      <c r="F28" s="34" t="s">
        <v>157</v>
      </c>
      <c r="G28" s="34"/>
      <c r="H28" s="34" t="s">
        <v>169</v>
      </c>
      <c r="I28" s="34"/>
      <c r="J28" s="30"/>
      <c r="K28" s="126"/>
      <c r="L28" s="126"/>
      <c r="M28" s="28"/>
      <c r="N28" s="6"/>
    </row>
    <row r="29" spans="1:14" ht="15.75">
      <c r="A29" s="27"/>
      <c r="B29" s="28" t="s">
        <v>19</v>
      </c>
      <c r="C29" s="28"/>
      <c r="D29" s="29"/>
      <c r="E29" s="30"/>
      <c r="F29" s="29" t="s">
        <v>158</v>
      </c>
      <c r="G29" s="30"/>
      <c r="H29" s="29" t="s">
        <v>170</v>
      </c>
      <c r="I29" s="30"/>
      <c r="J29" s="29"/>
      <c r="K29" s="126"/>
      <c r="L29" s="126"/>
      <c r="M29" s="28"/>
      <c r="N29" s="6"/>
    </row>
    <row r="30" spans="1:14" ht="15.75">
      <c r="A30" s="27"/>
      <c r="B30" s="28"/>
      <c r="C30" s="28"/>
      <c r="D30" s="28"/>
      <c r="E30" s="30"/>
      <c r="F30" s="30"/>
      <c r="G30" s="30"/>
      <c r="H30" s="30"/>
      <c r="I30" s="30"/>
      <c r="J30" s="30"/>
      <c r="K30" s="126"/>
      <c r="L30" s="126"/>
      <c r="M30" s="28"/>
      <c r="N30" s="6"/>
    </row>
    <row r="31" spans="1:14" ht="15.75">
      <c r="A31" s="27"/>
      <c r="B31" s="28" t="s">
        <v>20</v>
      </c>
      <c r="C31" s="28"/>
      <c r="D31" s="35"/>
      <c r="E31" s="36"/>
      <c r="F31" s="35">
        <v>457500</v>
      </c>
      <c r="G31" s="35"/>
      <c r="H31" s="35">
        <v>42500</v>
      </c>
      <c r="I31" s="35"/>
      <c r="J31" s="35"/>
      <c r="K31" s="127"/>
      <c r="L31" s="35">
        <f>H31+F31</f>
        <v>500000</v>
      </c>
      <c r="M31" s="38"/>
      <c r="N31" s="6"/>
    </row>
    <row r="32" spans="1:14" ht="15.75">
      <c r="A32" s="27"/>
      <c r="B32" s="28" t="s">
        <v>21</v>
      </c>
      <c r="C32" s="39">
        <v>0.663224</v>
      </c>
      <c r="D32" s="35"/>
      <c r="E32" s="36"/>
      <c r="F32" s="35">
        <f>F31*C32</f>
        <v>303424.98000000004</v>
      </c>
      <c r="G32" s="35"/>
      <c r="H32" s="35">
        <v>42500</v>
      </c>
      <c r="I32" s="35"/>
      <c r="J32" s="35"/>
      <c r="K32" s="127"/>
      <c r="L32" s="35">
        <f>H32+F32</f>
        <v>345924.98000000004</v>
      </c>
      <c r="M32" s="38"/>
      <c r="N32" s="6"/>
    </row>
    <row r="33" spans="1:14" ht="12.75" customHeight="1">
      <c r="A33" s="32"/>
      <c r="B33" s="33" t="s">
        <v>22</v>
      </c>
      <c r="C33" s="40">
        <v>0</v>
      </c>
      <c r="D33" s="41"/>
      <c r="E33" s="42"/>
      <c r="F33" s="41">
        <f>F31*C33</f>
        <v>0</v>
      </c>
      <c r="G33" s="41"/>
      <c r="H33" s="41">
        <v>0</v>
      </c>
      <c r="I33" s="41"/>
      <c r="J33" s="41"/>
      <c r="K33" s="43"/>
      <c r="L33" s="41">
        <f>H33+F33+D33</f>
        <v>0</v>
      </c>
      <c r="M33" s="38"/>
      <c r="N33" s="6"/>
    </row>
    <row r="34" spans="1:14" ht="15.75">
      <c r="A34" s="27"/>
      <c r="B34" s="28" t="s">
        <v>23</v>
      </c>
      <c r="C34" s="44"/>
      <c r="D34" s="29"/>
      <c r="E34" s="28"/>
      <c r="F34" s="29" t="s">
        <v>159</v>
      </c>
      <c r="G34" s="29"/>
      <c r="H34" s="29" t="s">
        <v>171</v>
      </c>
      <c r="I34" s="29"/>
      <c r="J34" s="29"/>
      <c r="K34" s="126"/>
      <c r="L34" s="126"/>
      <c r="M34" s="28"/>
      <c r="N34" s="6"/>
    </row>
    <row r="35" spans="1:14" ht="15.75">
      <c r="A35" s="27"/>
      <c r="B35" s="28" t="s">
        <v>24</v>
      </c>
      <c r="C35" s="28"/>
      <c r="D35" s="45"/>
      <c r="E35" s="28"/>
      <c r="F35" s="45">
        <v>0.0521625</v>
      </c>
      <c r="G35" s="46"/>
      <c r="H35" s="45">
        <v>0.0580625</v>
      </c>
      <c r="I35" s="46"/>
      <c r="J35" s="45"/>
      <c r="K35" s="126"/>
      <c r="L35" s="46">
        <f>SUMPRODUCT(F35:H35,F32:H32)/L32</f>
        <v>0.052887368149157656</v>
      </c>
      <c r="M35" s="28"/>
      <c r="N35" s="6"/>
    </row>
    <row r="36" spans="1:14" ht="15.75">
      <c r="A36" s="27"/>
      <c r="B36" s="28" t="s">
        <v>25</v>
      </c>
      <c r="C36" s="28"/>
      <c r="D36" s="45"/>
      <c r="E36" s="28"/>
      <c r="F36" s="45">
        <v>0.0514625</v>
      </c>
      <c r="G36" s="46"/>
      <c r="H36" s="45">
        <v>0.0573625</v>
      </c>
      <c r="I36" s="46"/>
      <c r="J36" s="45"/>
      <c r="K36" s="126"/>
      <c r="L36" s="126"/>
      <c r="M36" s="28"/>
      <c r="N36" s="6"/>
    </row>
    <row r="37" spans="1:14" ht="15.75">
      <c r="A37" s="27"/>
      <c r="B37" s="28" t="s">
        <v>26</v>
      </c>
      <c r="C37" s="28"/>
      <c r="D37" s="29"/>
      <c r="E37" s="28"/>
      <c r="F37" s="29" t="s">
        <v>160</v>
      </c>
      <c r="G37" s="29"/>
      <c r="H37" s="29" t="s">
        <v>160</v>
      </c>
      <c r="I37" s="29"/>
      <c r="J37" s="29"/>
      <c r="K37" s="126"/>
      <c r="L37" s="126"/>
      <c r="M37" s="28"/>
      <c r="N37" s="6"/>
    </row>
    <row r="38" spans="1:14" ht="15.75">
      <c r="A38" s="27"/>
      <c r="B38" s="28" t="s">
        <v>27</v>
      </c>
      <c r="C38" s="28"/>
      <c r="D38" s="29"/>
      <c r="E38" s="28"/>
      <c r="F38" s="29" t="s">
        <v>161</v>
      </c>
      <c r="G38" s="29"/>
      <c r="H38" s="29" t="s">
        <v>161</v>
      </c>
      <c r="I38" s="29"/>
      <c r="J38" s="29"/>
      <c r="K38" s="126"/>
      <c r="L38" s="126"/>
      <c r="M38" s="28"/>
      <c r="N38" s="6"/>
    </row>
    <row r="39" spans="1:14" ht="15.75">
      <c r="A39" s="27"/>
      <c r="B39" s="28" t="s">
        <v>28</v>
      </c>
      <c r="C39" s="28"/>
      <c r="D39" s="29"/>
      <c r="E39" s="28"/>
      <c r="F39" s="29" t="s">
        <v>162</v>
      </c>
      <c r="G39" s="29"/>
      <c r="H39" s="29" t="s">
        <v>172</v>
      </c>
      <c r="I39" s="29"/>
      <c r="J39" s="29"/>
      <c r="K39" s="126"/>
      <c r="L39" s="126"/>
      <c r="M39" s="28"/>
      <c r="N39" s="6"/>
    </row>
    <row r="40" spans="1:14" ht="15.75">
      <c r="A40" s="27"/>
      <c r="B40" s="28"/>
      <c r="C40" s="28"/>
      <c r="D40" s="47"/>
      <c r="E40" s="47"/>
      <c r="F40" s="28"/>
      <c r="G40" s="47"/>
      <c r="H40" s="130"/>
      <c r="I40" s="47"/>
      <c r="J40" s="47"/>
      <c r="K40" s="47"/>
      <c r="L40" s="47"/>
      <c r="M40" s="28"/>
      <c r="N40" s="6"/>
    </row>
    <row r="41" spans="1:14" ht="15.75">
      <c r="A41" s="27"/>
      <c r="B41" s="28" t="s">
        <v>29</v>
      </c>
      <c r="C41" s="28"/>
      <c r="D41" s="28"/>
      <c r="E41" s="28"/>
      <c r="F41" s="28"/>
      <c r="G41" s="28"/>
      <c r="H41" s="117"/>
      <c r="I41" s="28"/>
      <c r="J41" s="28"/>
      <c r="K41" s="28"/>
      <c r="L41" s="46">
        <f>H31/F31</f>
        <v>0.09289617486338798</v>
      </c>
      <c r="M41" s="28"/>
      <c r="N41" s="6"/>
    </row>
    <row r="42" spans="1:14" ht="15.75">
      <c r="A42" s="27"/>
      <c r="B42" s="28" t="s">
        <v>30</v>
      </c>
      <c r="C42" s="28"/>
      <c r="D42" s="28"/>
      <c r="E42" s="28"/>
      <c r="F42" s="28"/>
      <c r="G42" s="28"/>
      <c r="H42" s="117"/>
      <c r="I42" s="28"/>
      <c r="J42" s="28"/>
      <c r="K42" s="28"/>
      <c r="L42" s="46">
        <v>0</v>
      </c>
      <c r="M42" s="28"/>
      <c r="N42" s="6"/>
    </row>
    <row r="43" spans="1:14" ht="15.75">
      <c r="A43" s="27"/>
      <c r="B43" s="28" t="s">
        <v>31</v>
      </c>
      <c r="C43" s="28"/>
      <c r="D43" s="28"/>
      <c r="E43" s="28"/>
      <c r="F43" s="117"/>
      <c r="G43" s="28"/>
      <c r="H43" s="117"/>
      <c r="I43" s="28"/>
      <c r="J43" s="29" t="s">
        <v>155</v>
      </c>
      <c r="K43" s="29" t="s">
        <v>187</v>
      </c>
      <c r="L43" s="35">
        <v>207500</v>
      </c>
      <c r="M43" s="28"/>
      <c r="N43" s="6"/>
    </row>
    <row r="44" spans="1:14" ht="15.75">
      <c r="A44" s="27"/>
      <c r="B44" s="28"/>
      <c r="C44" s="28"/>
      <c r="D44" s="28"/>
      <c r="E44" s="28"/>
      <c r="F44" s="28"/>
      <c r="G44" s="28"/>
      <c r="H44" s="28"/>
      <c r="I44" s="28"/>
      <c r="J44" s="28" t="s">
        <v>179</v>
      </c>
      <c r="K44" s="28"/>
      <c r="L44" s="48"/>
      <c r="M44" s="28"/>
      <c r="N44" s="6"/>
    </row>
    <row r="45" spans="1:14" ht="15.75">
      <c r="A45" s="27"/>
      <c r="B45" s="28" t="s">
        <v>32</v>
      </c>
      <c r="C45" s="28"/>
      <c r="D45" s="28"/>
      <c r="E45" s="28"/>
      <c r="F45" s="28"/>
      <c r="G45" s="28"/>
      <c r="H45" s="28"/>
      <c r="I45" s="28"/>
      <c r="J45" s="29"/>
      <c r="K45" s="29"/>
      <c r="L45" s="29" t="s">
        <v>190</v>
      </c>
      <c r="M45" s="28"/>
      <c r="N45" s="6"/>
    </row>
    <row r="46" spans="1:14" ht="15.75">
      <c r="A46" s="32"/>
      <c r="B46" s="33" t="s">
        <v>33</v>
      </c>
      <c r="C46" s="33"/>
      <c r="D46" s="33"/>
      <c r="E46" s="33"/>
      <c r="F46" s="33"/>
      <c r="G46" s="33"/>
      <c r="H46" s="33"/>
      <c r="I46" s="33"/>
      <c r="J46" s="49"/>
      <c r="K46" s="49"/>
      <c r="L46" s="50">
        <v>38540</v>
      </c>
      <c r="M46" s="28"/>
      <c r="N46" s="6"/>
    </row>
    <row r="47" spans="1:14" ht="15.75">
      <c r="A47" s="27"/>
      <c r="B47" s="28" t="s">
        <v>34</v>
      </c>
      <c r="C47" s="28"/>
      <c r="D47" s="28"/>
      <c r="E47" s="28"/>
      <c r="F47" s="28"/>
      <c r="G47" s="28"/>
      <c r="H47" s="28"/>
      <c r="I47" s="28">
        <f>L47-J47+1</f>
        <v>90</v>
      </c>
      <c r="J47" s="51">
        <v>38359</v>
      </c>
      <c r="K47" s="52"/>
      <c r="L47" s="51">
        <v>38448</v>
      </c>
      <c r="M47" s="28"/>
      <c r="N47" s="6"/>
    </row>
    <row r="48" spans="1:14" ht="15.75">
      <c r="A48" s="27"/>
      <c r="B48" s="28" t="s">
        <v>35</v>
      </c>
      <c r="C48" s="28"/>
      <c r="D48" s="28"/>
      <c r="E48" s="28"/>
      <c r="F48" s="28"/>
      <c r="G48" s="28"/>
      <c r="H48" s="28"/>
      <c r="I48" s="28">
        <f>L48-J48+1</f>
        <v>91</v>
      </c>
      <c r="J48" s="51">
        <v>38449</v>
      </c>
      <c r="K48" s="52"/>
      <c r="L48" s="51">
        <v>38539</v>
      </c>
      <c r="M48" s="28"/>
      <c r="N48" s="6"/>
    </row>
    <row r="49" spans="1:14" ht="15.75">
      <c r="A49" s="27"/>
      <c r="B49" s="28" t="s">
        <v>36</v>
      </c>
      <c r="C49" s="28"/>
      <c r="D49" s="28"/>
      <c r="E49" s="28"/>
      <c r="F49" s="28"/>
      <c r="G49" s="28"/>
      <c r="H49" s="28"/>
      <c r="I49" s="28"/>
      <c r="J49" s="51"/>
      <c r="K49" s="52"/>
      <c r="L49" s="51" t="s">
        <v>191</v>
      </c>
      <c r="M49" s="28"/>
      <c r="N49" s="6"/>
    </row>
    <row r="50" spans="1:14" ht="15.75">
      <c r="A50" s="27"/>
      <c r="B50" s="28" t="s">
        <v>37</v>
      </c>
      <c r="C50" s="28"/>
      <c r="D50" s="28"/>
      <c r="E50" s="28"/>
      <c r="F50" s="28"/>
      <c r="G50" s="28"/>
      <c r="H50" s="28"/>
      <c r="I50" s="28"/>
      <c r="J50" s="51"/>
      <c r="K50" s="52"/>
      <c r="L50" s="51">
        <v>38534</v>
      </c>
      <c r="M50" s="28"/>
      <c r="N50" s="6"/>
    </row>
    <row r="51" spans="1:14" ht="15.75">
      <c r="A51" s="27"/>
      <c r="B51" s="28"/>
      <c r="C51" s="28"/>
      <c r="D51" s="28"/>
      <c r="E51" s="28"/>
      <c r="F51" s="28"/>
      <c r="G51" s="28"/>
      <c r="H51" s="28"/>
      <c r="I51" s="28"/>
      <c r="J51" s="51"/>
      <c r="K51" s="52"/>
      <c r="L51" s="51"/>
      <c r="M51" s="28"/>
      <c r="N51" s="6"/>
    </row>
    <row r="52" spans="1:14" ht="15.75">
      <c r="A52" s="7"/>
      <c r="B52" s="9"/>
      <c r="C52" s="9"/>
      <c r="D52" s="9"/>
      <c r="E52" s="9"/>
      <c r="F52" s="9"/>
      <c r="G52" s="9"/>
      <c r="H52" s="9"/>
      <c r="I52" s="9"/>
      <c r="J52" s="53"/>
      <c r="K52" s="54"/>
      <c r="L52" s="53"/>
      <c r="M52" s="9"/>
      <c r="N52" s="6"/>
    </row>
    <row r="53" spans="1:14" ht="19.5" thickBot="1">
      <c r="A53" s="118"/>
      <c r="B53" s="119" t="s">
        <v>223</v>
      </c>
      <c r="C53" s="120"/>
      <c r="D53" s="120"/>
      <c r="E53" s="120"/>
      <c r="F53" s="120"/>
      <c r="G53" s="120"/>
      <c r="H53" s="120"/>
      <c r="I53" s="120"/>
      <c r="J53" s="121"/>
      <c r="K53" s="122"/>
      <c r="L53" s="121"/>
      <c r="M53" s="123"/>
      <c r="N53" s="6"/>
    </row>
    <row r="54" spans="1:14" ht="15.75">
      <c r="A54" s="2"/>
      <c r="B54" s="5"/>
      <c r="C54" s="5"/>
      <c r="D54" s="5"/>
      <c r="E54" s="5"/>
      <c r="F54" s="5"/>
      <c r="G54" s="5"/>
      <c r="H54" s="5"/>
      <c r="I54" s="5"/>
      <c r="J54" s="5"/>
      <c r="K54" s="5"/>
      <c r="L54" s="56"/>
      <c r="M54" s="5"/>
      <c r="N54" s="6"/>
    </row>
    <row r="55" spans="1:14" ht="15.75">
      <c r="A55" s="7"/>
      <c r="B55" s="57" t="s">
        <v>39</v>
      </c>
      <c r="C55" s="15"/>
      <c r="D55" s="9"/>
      <c r="E55" s="9"/>
      <c r="F55" s="9"/>
      <c r="G55" s="9"/>
      <c r="H55" s="9"/>
      <c r="I55" s="9"/>
      <c r="J55" s="9"/>
      <c r="K55" s="9"/>
      <c r="L55" s="58"/>
      <c r="M55" s="9"/>
      <c r="N55" s="6"/>
    </row>
    <row r="56" spans="1:14" ht="15.75">
      <c r="A56" s="7"/>
      <c r="B56" s="15"/>
      <c r="C56" s="15"/>
      <c r="D56" s="9"/>
      <c r="E56" s="9"/>
      <c r="F56" s="9"/>
      <c r="G56" s="9"/>
      <c r="H56" s="9"/>
      <c r="I56" s="9"/>
      <c r="J56" s="9"/>
      <c r="K56" s="9"/>
      <c r="L56" s="58"/>
      <c r="M56" s="9"/>
      <c r="N56" s="6"/>
    </row>
    <row r="57" spans="1:14" ht="31.5">
      <c r="A57" s="7"/>
      <c r="B57" s="134" t="s">
        <v>40</v>
      </c>
      <c r="C57" s="135" t="s">
        <v>149</v>
      </c>
      <c r="D57" s="135" t="s">
        <v>151</v>
      </c>
      <c r="E57" s="135"/>
      <c r="F57" s="135" t="s">
        <v>163</v>
      </c>
      <c r="G57" s="135"/>
      <c r="H57" s="135" t="s">
        <v>173</v>
      </c>
      <c r="I57" s="135"/>
      <c r="J57" s="135" t="s">
        <v>180</v>
      </c>
      <c r="K57" s="135"/>
      <c r="L57" s="136" t="s">
        <v>192</v>
      </c>
      <c r="M57" s="9"/>
      <c r="N57" s="6"/>
    </row>
    <row r="58" spans="1:14" ht="15.75">
      <c r="A58" s="27"/>
      <c r="B58" s="28" t="s">
        <v>41</v>
      </c>
      <c r="C58" s="38">
        <v>421950</v>
      </c>
      <c r="D58" s="38">
        <v>345925</v>
      </c>
      <c r="E58" s="38"/>
      <c r="F58" s="38">
        <v>345925</v>
      </c>
      <c r="G58" s="38"/>
      <c r="H58" s="38">
        <v>0</v>
      </c>
      <c r="I58" s="38"/>
      <c r="J58" s="38">
        <v>0</v>
      </c>
      <c r="K58" s="38"/>
      <c r="L58" s="59">
        <f>D58-F58+H58-J58</f>
        <v>0</v>
      </c>
      <c r="M58" s="28"/>
      <c r="N58" s="6"/>
    </row>
    <row r="59" spans="1:14" ht="15.75">
      <c r="A59" s="27"/>
      <c r="B59" s="28" t="s">
        <v>42</v>
      </c>
      <c r="C59" s="38">
        <v>54</v>
      </c>
      <c r="D59" s="38">
        <v>0</v>
      </c>
      <c r="E59" s="38"/>
      <c r="F59" s="38">
        <v>0</v>
      </c>
      <c r="G59" s="38"/>
      <c r="H59" s="38">
        <v>0</v>
      </c>
      <c r="I59" s="38"/>
      <c r="J59" s="38">
        <v>0</v>
      </c>
      <c r="K59" s="38"/>
      <c r="L59" s="59">
        <f>D59-F59+H59-J59</f>
        <v>0</v>
      </c>
      <c r="M59" s="28"/>
      <c r="N59" s="6"/>
    </row>
    <row r="60" spans="1:14" ht="15.75">
      <c r="A60" s="27"/>
      <c r="B60" s="28"/>
      <c r="C60" s="38"/>
      <c r="D60" s="38"/>
      <c r="E60" s="38"/>
      <c r="F60" s="38"/>
      <c r="G60" s="38"/>
      <c r="H60" s="38"/>
      <c r="I60" s="38"/>
      <c r="J60" s="38"/>
      <c r="K60" s="38"/>
      <c r="L60" s="59"/>
      <c r="M60" s="28"/>
      <c r="N60" s="6"/>
    </row>
    <row r="61" spans="1:14" ht="15.75">
      <c r="A61" s="27"/>
      <c r="B61" s="28" t="s">
        <v>43</v>
      </c>
      <c r="C61" s="38">
        <f>SUM(C58:C60)</f>
        <v>422004</v>
      </c>
      <c r="D61" s="38">
        <f>SUM(D58:D60)</f>
        <v>345925</v>
      </c>
      <c r="E61" s="38"/>
      <c r="F61" s="38">
        <f>SUM(F58:F60)</f>
        <v>345925</v>
      </c>
      <c r="G61" s="38"/>
      <c r="H61" s="38">
        <f>SUM(H58:H60)</f>
        <v>0</v>
      </c>
      <c r="I61" s="38"/>
      <c r="J61" s="38">
        <f>SUM(J58:J60)</f>
        <v>0</v>
      </c>
      <c r="K61" s="38"/>
      <c r="L61" s="60">
        <f>SUM(L58:L60)</f>
        <v>0</v>
      </c>
      <c r="M61" s="28"/>
      <c r="N61" s="6"/>
    </row>
    <row r="62" spans="1:14" ht="15.75">
      <c r="A62" s="27"/>
      <c r="B62" s="28"/>
      <c r="C62" s="38"/>
      <c r="D62" s="38"/>
      <c r="E62" s="38"/>
      <c r="F62" s="38"/>
      <c r="G62" s="38"/>
      <c r="H62" s="38"/>
      <c r="I62" s="38"/>
      <c r="J62" s="38"/>
      <c r="K62" s="38"/>
      <c r="L62" s="60"/>
      <c r="M62" s="28"/>
      <c r="N62" s="6"/>
    </row>
    <row r="63" spans="1:14" ht="15.75">
      <c r="A63" s="7"/>
      <c r="B63" s="131" t="s">
        <v>44</v>
      </c>
      <c r="C63" s="61"/>
      <c r="D63" s="61"/>
      <c r="E63" s="61"/>
      <c r="F63" s="61"/>
      <c r="G63" s="61"/>
      <c r="H63" s="61"/>
      <c r="I63" s="61"/>
      <c r="J63" s="61"/>
      <c r="K63" s="61"/>
      <c r="L63" s="62"/>
      <c r="M63" s="9"/>
      <c r="N63" s="6"/>
    </row>
    <row r="64" spans="1:14" ht="15.75">
      <c r="A64" s="7"/>
      <c r="B64" s="9"/>
      <c r="C64" s="61"/>
      <c r="D64" s="61"/>
      <c r="E64" s="61"/>
      <c r="F64" s="61"/>
      <c r="G64" s="61"/>
      <c r="H64" s="61"/>
      <c r="I64" s="61"/>
      <c r="J64" s="61"/>
      <c r="K64" s="61"/>
      <c r="L64" s="62"/>
      <c r="M64" s="9"/>
      <c r="N64" s="6"/>
    </row>
    <row r="65" spans="1:14" ht="15.75">
      <c r="A65" s="27"/>
      <c r="B65" s="28" t="s">
        <v>41</v>
      </c>
      <c r="C65" s="38"/>
      <c r="D65" s="38"/>
      <c r="E65" s="38"/>
      <c r="F65" s="38"/>
      <c r="G65" s="38"/>
      <c r="H65" s="38"/>
      <c r="I65" s="38"/>
      <c r="J65" s="38"/>
      <c r="K65" s="38"/>
      <c r="L65" s="60"/>
      <c r="M65" s="28"/>
      <c r="N65" s="6"/>
    </row>
    <row r="66" spans="1:14" ht="15.75">
      <c r="A66" s="27"/>
      <c r="B66" s="28" t="s">
        <v>42</v>
      </c>
      <c r="C66" s="38"/>
      <c r="D66" s="38"/>
      <c r="E66" s="38"/>
      <c r="F66" s="38"/>
      <c r="G66" s="38"/>
      <c r="H66" s="38"/>
      <c r="I66" s="38"/>
      <c r="J66" s="38"/>
      <c r="K66" s="38"/>
      <c r="L66" s="60"/>
      <c r="M66" s="28"/>
      <c r="N66" s="6"/>
    </row>
    <row r="67" spans="1:14" ht="15.75">
      <c r="A67" s="27"/>
      <c r="B67" s="28"/>
      <c r="C67" s="38"/>
      <c r="D67" s="38"/>
      <c r="E67" s="38"/>
      <c r="F67" s="38"/>
      <c r="G67" s="38"/>
      <c r="H67" s="38"/>
      <c r="I67" s="38"/>
      <c r="J67" s="38"/>
      <c r="K67" s="38"/>
      <c r="L67" s="60"/>
      <c r="M67" s="28"/>
      <c r="N67" s="6"/>
    </row>
    <row r="68" spans="1:14" ht="15.75">
      <c r="A68" s="27"/>
      <c r="B68" s="28" t="s">
        <v>43</v>
      </c>
      <c r="C68" s="38"/>
      <c r="D68" s="38"/>
      <c r="E68" s="38"/>
      <c r="F68" s="38"/>
      <c r="G68" s="38"/>
      <c r="H68" s="38"/>
      <c r="I68" s="38"/>
      <c r="J68" s="38"/>
      <c r="K68" s="38"/>
      <c r="L68" s="38"/>
      <c r="M68" s="28"/>
      <c r="N68" s="6"/>
    </row>
    <row r="69" spans="1:14" ht="15.75">
      <c r="A69" s="27"/>
      <c r="B69" s="28"/>
      <c r="C69" s="38"/>
      <c r="D69" s="38"/>
      <c r="E69" s="38"/>
      <c r="F69" s="38"/>
      <c r="G69" s="38"/>
      <c r="H69" s="38"/>
      <c r="I69" s="38"/>
      <c r="J69" s="38"/>
      <c r="K69" s="38"/>
      <c r="L69" s="38"/>
      <c r="M69" s="28"/>
      <c r="N69" s="6"/>
    </row>
    <row r="70" spans="1:14" ht="15.75">
      <c r="A70" s="27"/>
      <c r="B70" s="28" t="s">
        <v>45</v>
      </c>
      <c r="C70" s="38">
        <v>0</v>
      </c>
      <c r="D70" s="38">
        <v>0</v>
      </c>
      <c r="E70" s="38"/>
      <c r="F70" s="38"/>
      <c r="G70" s="38"/>
      <c r="H70" s="38"/>
      <c r="I70" s="38"/>
      <c r="J70" s="38"/>
      <c r="K70" s="38"/>
      <c r="L70" s="59">
        <f>D70-F70+H70-J70</f>
        <v>0</v>
      </c>
      <c r="M70" s="28"/>
      <c r="N70" s="6"/>
    </row>
    <row r="71" spans="1:14" ht="15.75">
      <c r="A71" s="27"/>
      <c r="B71" s="28" t="s">
        <v>46</v>
      </c>
      <c r="C71" s="38">
        <v>77996</v>
      </c>
      <c r="D71" s="38">
        <v>0</v>
      </c>
      <c r="E71" s="38"/>
      <c r="F71" s="38"/>
      <c r="G71" s="38"/>
      <c r="H71" s="38"/>
      <c r="I71" s="38"/>
      <c r="J71" s="38"/>
      <c r="K71" s="38"/>
      <c r="L71" s="60">
        <v>0</v>
      </c>
      <c r="M71" s="28"/>
      <c r="N71" s="6"/>
    </row>
    <row r="72" spans="1:14" ht="15.75">
      <c r="A72" s="27"/>
      <c r="B72" s="28" t="s">
        <v>47</v>
      </c>
      <c r="C72" s="38">
        <v>0</v>
      </c>
      <c r="D72" s="38">
        <v>0</v>
      </c>
      <c r="E72" s="38"/>
      <c r="F72" s="38"/>
      <c r="G72" s="38"/>
      <c r="H72" s="38"/>
      <c r="I72" s="38"/>
      <c r="J72" s="38"/>
      <c r="K72" s="38"/>
      <c r="L72" s="60">
        <v>0</v>
      </c>
      <c r="M72" s="28"/>
      <c r="N72" s="6"/>
    </row>
    <row r="73" spans="1:14" ht="15.75">
      <c r="A73" s="27"/>
      <c r="B73" s="28" t="s">
        <v>48</v>
      </c>
      <c r="C73" s="60">
        <f>SUM(C61:C72)</f>
        <v>500000</v>
      </c>
      <c r="D73" s="60">
        <f>SUM(D61:D72)</f>
        <v>345925</v>
      </c>
      <c r="E73" s="38"/>
      <c r="F73" s="60"/>
      <c r="G73" s="38"/>
      <c r="H73" s="60"/>
      <c r="I73" s="38"/>
      <c r="J73" s="60"/>
      <c r="K73" s="38"/>
      <c r="L73" s="60">
        <f>SUM(L61:L72)</f>
        <v>0</v>
      </c>
      <c r="M73" s="28"/>
      <c r="N73" s="6"/>
    </row>
    <row r="74" spans="1:14" ht="15.75">
      <c r="A74" s="7"/>
      <c r="B74" s="9"/>
      <c r="C74" s="9"/>
      <c r="D74" s="9"/>
      <c r="E74" s="9"/>
      <c r="F74" s="9"/>
      <c r="G74" s="9"/>
      <c r="H74" s="9"/>
      <c r="I74" s="9"/>
      <c r="J74" s="9"/>
      <c r="K74" s="9"/>
      <c r="L74" s="9"/>
      <c r="M74" s="9"/>
      <c r="N74" s="6"/>
    </row>
    <row r="75" spans="1:14" ht="15.75">
      <c r="A75" s="7"/>
      <c r="B75" s="57" t="s">
        <v>49</v>
      </c>
      <c r="C75" s="16"/>
      <c r="D75" s="16"/>
      <c r="E75" s="16"/>
      <c r="F75" s="16"/>
      <c r="G75" s="16"/>
      <c r="H75" s="16"/>
      <c r="I75" s="19"/>
      <c r="J75" s="19" t="s">
        <v>181</v>
      </c>
      <c r="K75" s="19"/>
      <c r="L75" s="19" t="s">
        <v>193</v>
      </c>
      <c r="M75" s="9"/>
      <c r="N75" s="6"/>
    </row>
    <row r="76" spans="1:14" ht="15.75">
      <c r="A76" s="27"/>
      <c r="B76" s="28" t="s">
        <v>50</v>
      </c>
      <c r="C76" s="28"/>
      <c r="D76" s="28"/>
      <c r="E76" s="28"/>
      <c r="F76" s="28"/>
      <c r="G76" s="28"/>
      <c r="H76" s="28"/>
      <c r="I76" s="28"/>
      <c r="J76" s="38">
        <v>0</v>
      </c>
      <c r="K76" s="28"/>
      <c r="L76" s="59">
        <v>0</v>
      </c>
      <c r="M76" s="28"/>
      <c r="N76" s="6"/>
    </row>
    <row r="77" spans="1:14" ht="15.75">
      <c r="A77" s="27"/>
      <c r="B77" s="28" t="s">
        <v>51</v>
      </c>
      <c r="C77" s="47" t="s">
        <v>150</v>
      </c>
      <c r="D77" s="63">
        <f>J161</f>
        <v>38533</v>
      </c>
      <c r="E77" s="28"/>
      <c r="F77" s="28"/>
      <c r="G77" s="28"/>
      <c r="H77" s="28"/>
      <c r="I77" s="28"/>
      <c r="J77" s="38">
        <v>345925</v>
      </c>
      <c r="K77" s="28"/>
      <c r="L77" s="59"/>
      <c r="M77" s="28"/>
      <c r="N77" s="6"/>
    </row>
    <row r="78" spans="1:14" ht="15.75">
      <c r="A78" s="27"/>
      <c r="B78" s="28" t="s">
        <v>52</v>
      </c>
      <c r="C78" s="28"/>
      <c r="D78" s="28"/>
      <c r="E78" s="28"/>
      <c r="F78" s="28"/>
      <c r="G78" s="28"/>
      <c r="H78" s="28"/>
      <c r="I78" s="28"/>
      <c r="J78" s="38"/>
      <c r="K78" s="28"/>
      <c r="L78" s="59">
        <f>5803+443</f>
        <v>6246</v>
      </c>
      <c r="M78" s="28"/>
      <c r="N78" s="6"/>
    </row>
    <row r="79" spans="1:14" ht="15.75">
      <c r="A79" s="27"/>
      <c r="B79" s="28" t="s">
        <v>224</v>
      </c>
      <c r="C79" s="28"/>
      <c r="D79" s="28"/>
      <c r="E79" s="28"/>
      <c r="F79" s="28"/>
      <c r="G79" s="28"/>
      <c r="H79" s="28"/>
      <c r="I79" s="28"/>
      <c r="J79" s="38"/>
      <c r="K79" s="28"/>
      <c r="L79" s="59">
        <v>8750</v>
      </c>
      <c r="M79" s="28"/>
      <c r="N79" s="6"/>
    </row>
    <row r="80" spans="1:14" ht="15.75">
      <c r="A80" s="27"/>
      <c r="B80" s="28" t="s">
        <v>53</v>
      </c>
      <c r="C80" s="28"/>
      <c r="D80" s="28"/>
      <c r="E80" s="28"/>
      <c r="F80" s="28"/>
      <c r="G80" s="28"/>
      <c r="H80" s="28"/>
      <c r="I80" s="28"/>
      <c r="J80" s="38"/>
      <c r="K80" s="28"/>
      <c r="L80" s="59">
        <v>0</v>
      </c>
      <c r="M80" s="28"/>
      <c r="N80" s="6"/>
    </row>
    <row r="81" spans="1:14" ht="15.75">
      <c r="A81" s="27"/>
      <c r="B81" s="28" t="s">
        <v>54</v>
      </c>
      <c r="C81" s="28"/>
      <c r="D81" s="28"/>
      <c r="E81" s="28"/>
      <c r="F81" s="28"/>
      <c r="G81" s="28"/>
      <c r="H81" s="28"/>
      <c r="I81" s="28"/>
      <c r="J81" s="38">
        <f>SUM(J76:J80)</f>
        <v>345925</v>
      </c>
      <c r="K81" s="28"/>
      <c r="L81" s="60">
        <f>SUM(L76:L80)</f>
        <v>14996</v>
      </c>
      <c r="M81" s="28"/>
      <c r="N81" s="6"/>
    </row>
    <row r="82" spans="1:14" ht="15.75">
      <c r="A82" s="27"/>
      <c r="B82" s="28" t="s">
        <v>55</v>
      </c>
      <c r="C82" s="28"/>
      <c r="D82" s="28"/>
      <c r="E82" s="28"/>
      <c r="F82" s="28"/>
      <c r="G82" s="28"/>
      <c r="H82" s="28"/>
      <c r="I82" s="28"/>
      <c r="J82" s="38">
        <v>0</v>
      </c>
      <c r="K82" s="28"/>
      <c r="L82" s="59">
        <v>0</v>
      </c>
      <c r="M82" s="28"/>
      <c r="N82" s="6"/>
    </row>
    <row r="83" spans="1:14" ht="15.75">
      <c r="A83" s="27"/>
      <c r="B83" s="28" t="s">
        <v>56</v>
      </c>
      <c r="C83" s="28"/>
      <c r="D83" s="28"/>
      <c r="E83" s="28"/>
      <c r="F83" s="28"/>
      <c r="G83" s="28"/>
      <c r="H83" s="28"/>
      <c r="I83" s="28"/>
      <c r="J83" s="38">
        <f>J81+J82</f>
        <v>345925</v>
      </c>
      <c r="K83" s="28"/>
      <c r="L83" s="60">
        <f>L81+L82</f>
        <v>14996</v>
      </c>
      <c r="M83" s="28"/>
      <c r="N83" s="6"/>
    </row>
    <row r="84" spans="1:14" ht="15.75">
      <c r="A84" s="27"/>
      <c r="B84" s="137" t="s">
        <v>57</v>
      </c>
      <c r="C84" s="64"/>
      <c r="D84" s="28"/>
      <c r="E84" s="28"/>
      <c r="F84" s="28"/>
      <c r="G84" s="28"/>
      <c r="H84" s="28"/>
      <c r="I84" s="28"/>
      <c r="J84" s="38"/>
      <c r="K84" s="28"/>
      <c r="L84" s="59"/>
      <c r="M84" s="28"/>
      <c r="N84" s="6"/>
    </row>
    <row r="85" spans="1:14" ht="15.75">
      <c r="A85" s="27">
        <v>1</v>
      </c>
      <c r="B85" s="28" t="s">
        <v>58</v>
      </c>
      <c r="C85" s="28"/>
      <c r="D85" s="28"/>
      <c r="E85" s="28"/>
      <c r="F85" s="28"/>
      <c r="G85" s="28"/>
      <c r="H85" s="28"/>
      <c r="I85" s="28"/>
      <c r="J85" s="28"/>
      <c r="K85" s="28"/>
      <c r="L85" s="59">
        <v>0</v>
      </c>
      <c r="M85" s="28"/>
      <c r="N85" s="6"/>
    </row>
    <row r="86" spans="1:14" ht="15.75">
      <c r="A86" s="27">
        <v>2</v>
      </c>
      <c r="B86" s="28" t="s">
        <v>59</v>
      </c>
      <c r="C86" s="28"/>
      <c r="D86" s="28"/>
      <c r="E86" s="28"/>
      <c r="F86" s="28"/>
      <c r="G86" s="28"/>
      <c r="H86" s="28"/>
      <c r="I86" s="28"/>
      <c r="J86" s="28"/>
      <c r="K86" s="28"/>
      <c r="L86" s="59">
        <v>-5</v>
      </c>
      <c r="M86" s="28"/>
      <c r="N86" s="6"/>
    </row>
    <row r="87" spans="1:14" ht="15.75">
      <c r="A87" s="27">
        <v>3</v>
      </c>
      <c r="B87" s="28" t="s">
        <v>60</v>
      </c>
      <c r="C87" s="28"/>
      <c r="D87" s="28"/>
      <c r="E87" s="28"/>
      <c r="F87" s="28"/>
      <c r="G87" s="28"/>
      <c r="H87" s="28"/>
      <c r="I87" s="28"/>
      <c r="J87" s="28"/>
      <c r="K87" s="28"/>
      <c r="L87" s="59">
        <f>-260-13-9</f>
        <v>-282</v>
      </c>
      <c r="M87" s="28"/>
      <c r="N87" s="6"/>
    </row>
    <row r="88" spans="1:14" ht="15.75">
      <c r="A88" s="27">
        <v>4</v>
      </c>
      <c r="B88" s="28" t="s">
        <v>61</v>
      </c>
      <c r="C88" s="28"/>
      <c r="D88" s="28"/>
      <c r="E88" s="28"/>
      <c r="F88" s="28"/>
      <c r="G88" s="28"/>
      <c r="H88" s="28"/>
      <c r="I88" s="28"/>
      <c r="J88" s="28"/>
      <c r="K88" s="28"/>
      <c r="L88" s="59">
        <v>-48</v>
      </c>
      <c r="M88" s="28"/>
      <c r="N88" s="6"/>
    </row>
    <row r="89" spans="1:14" ht="15.75">
      <c r="A89" s="27">
        <v>5</v>
      </c>
      <c r="B89" s="28" t="s">
        <v>62</v>
      </c>
      <c r="C89" s="28"/>
      <c r="D89" s="28"/>
      <c r="E89" s="28"/>
      <c r="F89" s="28"/>
      <c r="G89" s="28"/>
      <c r="H89" s="28"/>
      <c r="I89" s="28"/>
      <c r="J89" s="28"/>
      <c r="K89" s="28"/>
      <c r="L89" s="59">
        <v>-3946</v>
      </c>
      <c r="M89" s="28"/>
      <c r="N89" s="6"/>
    </row>
    <row r="90" spans="1:14" ht="15.75">
      <c r="A90" s="27">
        <v>6</v>
      </c>
      <c r="B90" s="28" t="s">
        <v>63</v>
      </c>
      <c r="C90" s="28"/>
      <c r="D90" s="28"/>
      <c r="E90" s="28"/>
      <c r="F90" s="28"/>
      <c r="G90" s="28"/>
      <c r="H90" s="28"/>
      <c r="I90" s="28"/>
      <c r="J90" s="28"/>
      <c r="K90" s="28"/>
      <c r="L90" s="59">
        <v>-615</v>
      </c>
      <c r="M90" s="28"/>
      <c r="N90" s="6"/>
    </row>
    <row r="91" spans="1:14" ht="15.75">
      <c r="A91" s="27">
        <v>7</v>
      </c>
      <c r="B91" s="28" t="s">
        <v>64</v>
      </c>
      <c r="C91" s="28"/>
      <c r="D91" s="28"/>
      <c r="E91" s="28"/>
      <c r="F91" s="28"/>
      <c r="G91" s="28"/>
      <c r="H91" s="28"/>
      <c r="I91" s="28"/>
      <c r="J91" s="28"/>
      <c r="K91" s="28"/>
      <c r="L91" s="59">
        <v>-5</v>
      </c>
      <c r="M91" s="28"/>
      <c r="N91" s="6"/>
    </row>
    <row r="92" spans="1:14" ht="15.75">
      <c r="A92" s="27">
        <v>8</v>
      </c>
      <c r="B92" s="28" t="s">
        <v>65</v>
      </c>
      <c r="C92" s="28"/>
      <c r="D92" s="28"/>
      <c r="E92" s="28"/>
      <c r="F92" s="28"/>
      <c r="G92" s="28"/>
      <c r="H92" s="28"/>
      <c r="I92" s="28"/>
      <c r="J92" s="28"/>
      <c r="K92" s="28"/>
      <c r="L92" s="59">
        <v>0</v>
      </c>
      <c r="M92" s="28"/>
      <c r="N92" s="6"/>
    </row>
    <row r="93" spans="1:14" ht="15.75">
      <c r="A93" s="27">
        <v>9</v>
      </c>
      <c r="B93" s="28" t="s">
        <v>66</v>
      </c>
      <c r="C93" s="28"/>
      <c r="D93" s="28"/>
      <c r="E93" s="28"/>
      <c r="F93" s="28"/>
      <c r="G93" s="28"/>
      <c r="H93" s="28"/>
      <c r="I93" s="28"/>
      <c r="J93" s="28"/>
      <c r="K93" s="28"/>
      <c r="L93" s="59">
        <v>0</v>
      </c>
      <c r="M93" s="28"/>
      <c r="N93" s="6"/>
    </row>
    <row r="94" spans="1:14" ht="15.75">
      <c r="A94" s="27">
        <v>10</v>
      </c>
      <c r="B94" s="28" t="s">
        <v>67</v>
      </c>
      <c r="C94" s="28"/>
      <c r="D94" s="28"/>
      <c r="E94" s="28"/>
      <c r="F94" s="28"/>
      <c r="G94" s="28"/>
      <c r="H94" s="28"/>
      <c r="I94" s="28"/>
      <c r="J94" s="28"/>
      <c r="K94" s="28"/>
      <c r="L94" s="59">
        <v>0</v>
      </c>
      <c r="M94" s="28"/>
      <c r="N94" s="6"/>
    </row>
    <row r="95" spans="1:14" ht="15.75">
      <c r="A95" s="27">
        <v>11</v>
      </c>
      <c r="B95" s="28" t="s">
        <v>68</v>
      </c>
      <c r="C95" s="28"/>
      <c r="D95" s="28"/>
      <c r="E95" s="28"/>
      <c r="F95" s="28"/>
      <c r="G95" s="28"/>
      <c r="H95" s="28"/>
      <c r="I95" s="28"/>
      <c r="J95" s="28"/>
      <c r="K95" s="28"/>
      <c r="L95" s="59">
        <v>0</v>
      </c>
      <c r="M95" s="28"/>
      <c r="N95" s="6"/>
    </row>
    <row r="96" spans="1:14" ht="15.75">
      <c r="A96" s="27">
        <v>12</v>
      </c>
      <c r="B96" s="28" t="s">
        <v>69</v>
      </c>
      <c r="C96" s="28"/>
      <c r="D96" s="28"/>
      <c r="E96" s="28"/>
      <c r="F96" s="28"/>
      <c r="G96" s="28"/>
      <c r="H96" s="28"/>
      <c r="I96" s="28"/>
      <c r="J96" s="28"/>
      <c r="K96" s="28"/>
      <c r="L96" s="59">
        <f>-20-222</f>
        <v>-242</v>
      </c>
      <c r="M96" s="28"/>
      <c r="N96" s="6"/>
    </row>
    <row r="97" spans="1:14" ht="15.75">
      <c r="A97" s="27">
        <v>13</v>
      </c>
      <c r="B97" s="28" t="s">
        <v>70</v>
      </c>
      <c r="C97" s="28"/>
      <c r="D97" s="28"/>
      <c r="E97" s="28"/>
      <c r="F97" s="28"/>
      <c r="G97" s="28"/>
      <c r="H97" s="28"/>
      <c r="I97" s="28"/>
      <c r="J97" s="28"/>
      <c r="K97" s="28"/>
      <c r="L97" s="59">
        <f>-SUM(L83:L96)</f>
        <v>-9853</v>
      </c>
      <c r="M97" s="28"/>
      <c r="N97" s="6"/>
    </row>
    <row r="98" spans="1:14" ht="15.75">
      <c r="A98" s="27"/>
      <c r="B98" s="137" t="s">
        <v>71</v>
      </c>
      <c r="C98" s="64"/>
      <c r="D98" s="28"/>
      <c r="E98" s="28"/>
      <c r="F98" s="28"/>
      <c r="G98" s="28"/>
      <c r="H98" s="28"/>
      <c r="I98" s="28"/>
      <c r="J98" s="28"/>
      <c r="K98" s="28"/>
      <c r="L98" s="65"/>
      <c r="M98" s="28"/>
      <c r="N98" s="6"/>
    </row>
    <row r="99" spans="1:14" ht="15.75">
      <c r="A99" s="27"/>
      <c r="B99" s="28" t="s">
        <v>72</v>
      </c>
      <c r="C99" s="64"/>
      <c r="D99" s="28"/>
      <c r="E99" s="28"/>
      <c r="F99" s="28"/>
      <c r="G99" s="28"/>
      <c r="H99" s="28"/>
      <c r="I99" s="28"/>
      <c r="J99" s="38">
        <f>-J147</f>
        <v>0</v>
      </c>
      <c r="K99" s="38"/>
      <c r="L99" s="59"/>
      <c r="M99" s="28"/>
      <c r="N99" s="6"/>
    </row>
    <row r="100" spans="1:14" ht="15.75">
      <c r="A100" s="27"/>
      <c r="B100" s="28" t="s">
        <v>73</v>
      </c>
      <c r="C100" s="28"/>
      <c r="D100" s="28"/>
      <c r="E100" s="28"/>
      <c r="F100" s="28"/>
      <c r="G100" s="28"/>
      <c r="H100" s="28"/>
      <c r="I100" s="28"/>
      <c r="J100" s="38">
        <f>-H147</f>
        <v>0</v>
      </c>
      <c r="K100" s="38"/>
      <c r="L100" s="59"/>
      <c r="M100" s="28"/>
      <c r="N100" s="6"/>
    </row>
    <row r="101" spans="1:14" ht="15.75">
      <c r="A101" s="27"/>
      <c r="B101" s="28" t="s">
        <v>74</v>
      </c>
      <c r="C101" s="28"/>
      <c r="D101" s="28"/>
      <c r="E101" s="28"/>
      <c r="F101" s="28"/>
      <c r="G101" s="28"/>
      <c r="H101" s="28"/>
      <c r="I101" s="28"/>
      <c r="J101" s="38">
        <v>-303425</v>
      </c>
      <c r="K101" s="38"/>
      <c r="L101" s="59"/>
      <c r="M101" s="28"/>
      <c r="N101" s="6"/>
    </row>
    <row r="102" spans="1:14" ht="15.75">
      <c r="A102" s="27"/>
      <c r="B102" s="28" t="s">
        <v>75</v>
      </c>
      <c r="C102" s="28"/>
      <c r="D102" s="28"/>
      <c r="E102" s="28"/>
      <c r="F102" s="28"/>
      <c r="G102" s="28"/>
      <c r="H102" s="28"/>
      <c r="I102" s="28"/>
      <c r="J102" s="38">
        <v>-42500</v>
      </c>
      <c r="K102" s="38"/>
      <c r="L102" s="59"/>
      <c r="M102" s="28"/>
      <c r="N102" s="6"/>
    </row>
    <row r="103" spans="1:14" ht="15.75">
      <c r="A103" s="27"/>
      <c r="B103" s="28" t="s">
        <v>76</v>
      </c>
      <c r="C103" s="28"/>
      <c r="D103" s="28"/>
      <c r="E103" s="28"/>
      <c r="F103" s="28"/>
      <c r="G103" s="28"/>
      <c r="H103" s="28"/>
      <c r="I103" s="28"/>
      <c r="J103" s="38">
        <f>SUM(J84:J102)</f>
        <v>-345925</v>
      </c>
      <c r="K103" s="38"/>
      <c r="L103" s="38">
        <f>SUM(L84:L102)</f>
        <v>-14996</v>
      </c>
      <c r="M103" s="28"/>
      <c r="N103" s="6"/>
    </row>
    <row r="104" spans="1:14" ht="15.75">
      <c r="A104" s="27"/>
      <c r="B104" s="28" t="s">
        <v>77</v>
      </c>
      <c r="C104" s="28"/>
      <c r="D104" s="28"/>
      <c r="E104" s="28"/>
      <c r="F104" s="28"/>
      <c r="G104" s="28"/>
      <c r="H104" s="28"/>
      <c r="I104" s="28"/>
      <c r="J104" s="38">
        <f>J83+J103</f>
        <v>0</v>
      </c>
      <c r="K104" s="38"/>
      <c r="L104" s="38">
        <f>L83+L103</f>
        <v>0</v>
      </c>
      <c r="M104" s="28"/>
      <c r="N104" s="6"/>
    </row>
    <row r="105" spans="1:14" ht="15.75">
      <c r="A105" s="27"/>
      <c r="B105" s="28"/>
      <c r="C105" s="28"/>
      <c r="D105" s="28"/>
      <c r="E105" s="28"/>
      <c r="F105" s="28"/>
      <c r="G105" s="28"/>
      <c r="H105" s="28"/>
      <c r="I105" s="28"/>
      <c r="J105" s="38"/>
      <c r="K105" s="38"/>
      <c r="L105" s="38"/>
      <c r="M105" s="28"/>
      <c r="N105" s="6"/>
    </row>
    <row r="106" spans="1:14" ht="15.75">
      <c r="A106" s="27"/>
      <c r="B106" s="28"/>
      <c r="C106" s="28"/>
      <c r="D106" s="28"/>
      <c r="E106" s="28"/>
      <c r="F106" s="28"/>
      <c r="G106" s="28"/>
      <c r="H106" s="28"/>
      <c r="I106" s="28"/>
      <c r="J106" s="38"/>
      <c r="K106" s="38"/>
      <c r="L106" s="38"/>
      <c r="M106" s="28"/>
      <c r="N106" s="6"/>
    </row>
    <row r="107" spans="1:14" ht="15.75">
      <c r="A107" s="7"/>
      <c r="B107" s="9"/>
      <c r="C107" s="9"/>
      <c r="D107" s="9"/>
      <c r="E107" s="9"/>
      <c r="F107" s="9"/>
      <c r="G107" s="9"/>
      <c r="H107" s="9"/>
      <c r="I107" s="9"/>
      <c r="J107" s="9"/>
      <c r="K107" s="9"/>
      <c r="L107" s="58"/>
      <c r="M107" s="9"/>
      <c r="N107" s="6"/>
    </row>
    <row r="108" spans="1:14" ht="19.5" thickBot="1">
      <c r="A108" s="118"/>
      <c r="B108" s="119" t="str">
        <f>B53</f>
        <v>PM4 INVESTOR REPORT QUARTER ENDING JUNE 2005</v>
      </c>
      <c r="C108" s="120"/>
      <c r="D108" s="120"/>
      <c r="E108" s="120"/>
      <c r="F108" s="120"/>
      <c r="G108" s="120"/>
      <c r="H108" s="120"/>
      <c r="I108" s="120"/>
      <c r="J108" s="120"/>
      <c r="K108" s="120"/>
      <c r="L108" s="124"/>
      <c r="M108" s="123"/>
      <c r="N108" s="6"/>
    </row>
    <row r="109" spans="1:14" ht="15.75">
      <c r="A109" s="2"/>
      <c r="B109" s="5"/>
      <c r="C109" s="5"/>
      <c r="D109" s="5"/>
      <c r="E109" s="5"/>
      <c r="F109" s="5"/>
      <c r="G109" s="5"/>
      <c r="H109" s="5"/>
      <c r="I109" s="5"/>
      <c r="J109" s="5"/>
      <c r="K109" s="5"/>
      <c r="L109" s="66"/>
      <c r="M109" s="5"/>
      <c r="N109" s="6"/>
    </row>
    <row r="110" spans="1:14" ht="15.75">
      <c r="A110" s="7"/>
      <c r="B110" s="57" t="s">
        <v>78</v>
      </c>
      <c r="C110" s="15"/>
      <c r="D110" s="9"/>
      <c r="E110" s="9"/>
      <c r="F110" s="9"/>
      <c r="G110" s="9"/>
      <c r="H110" s="9"/>
      <c r="I110" s="9"/>
      <c r="J110" s="9"/>
      <c r="K110" s="9"/>
      <c r="L110" s="58"/>
      <c r="M110" s="9"/>
      <c r="N110" s="6"/>
    </row>
    <row r="111" spans="1:14" ht="15.75">
      <c r="A111" s="7"/>
      <c r="B111" s="23"/>
      <c r="C111" s="15"/>
      <c r="D111" s="9"/>
      <c r="E111" s="9"/>
      <c r="F111" s="9"/>
      <c r="G111" s="9"/>
      <c r="H111" s="9"/>
      <c r="I111" s="9"/>
      <c r="J111" s="9"/>
      <c r="K111" s="9"/>
      <c r="L111" s="58"/>
      <c r="M111" s="9"/>
      <c r="N111" s="6"/>
    </row>
    <row r="112" spans="1:14" ht="15.75">
      <c r="A112" s="7"/>
      <c r="B112" s="138" t="s">
        <v>79</v>
      </c>
      <c r="C112" s="15"/>
      <c r="D112" s="9"/>
      <c r="E112" s="9"/>
      <c r="F112" s="9"/>
      <c r="G112" s="9"/>
      <c r="H112" s="9"/>
      <c r="I112" s="9"/>
      <c r="J112" s="9"/>
      <c r="K112" s="9"/>
      <c r="L112" s="58"/>
      <c r="M112" s="9"/>
      <c r="N112" s="6"/>
    </row>
    <row r="113" spans="1:14" ht="15.75">
      <c r="A113" s="27"/>
      <c r="B113" s="28" t="s">
        <v>80</v>
      </c>
      <c r="C113" s="28"/>
      <c r="D113" s="28"/>
      <c r="E113" s="28"/>
      <c r="F113" s="28"/>
      <c r="G113" s="28"/>
      <c r="H113" s="28"/>
      <c r="I113" s="28"/>
      <c r="J113" s="28"/>
      <c r="K113" s="28"/>
      <c r="L113" s="59">
        <v>8750</v>
      </c>
      <c r="M113" s="28"/>
      <c r="N113" s="6"/>
    </row>
    <row r="114" spans="1:14" ht="15.75">
      <c r="A114" s="27"/>
      <c r="B114" s="28" t="s">
        <v>81</v>
      </c>
      <c r="C114" s="28"/>
      <c r="D114" s="28"/>
      <c r="E114" s="28"/>
      <c r="F114" s="28"/>
      <c r="G114" s="28"/>
      <c r="H114" s="28"/>
      <c r="I114" s="28"/>
      <c r="J114" s="28"/>
      <c r="K114" s="28"/>
      <c r="L114" s="59">
        <f>L113</f>
        <v>8750</v>
      </c>
      <c r="M114" s="28"/>
      <c r="N114" s="6"/>
    </row>
    <row r="115" spans="1:14" ht="15.75">
      <c r="A115" s="27"/>
      <c r="B115" s="28" t="s">
        <v>82</v>
      </c>
      <c r="C115" s="28"/>
      <c r="D115" s="28"/>
      <c r="E115" s="28"/>
      <c r="F115" s="28"/>
      <c r="G115" s="28"/>
      <c r="H115" s="28"/>
      <c r="I115" s="28"/>
      <c r="J115" s="28"/>
      <c r="K115" s="28"/>
      <c r="L115" s="59">
        <v>0</v>
      </c>
      <c r="M115" s="28"/>
      <c r="N115" s="6"/>
    </row>
    <row r="116" spans="1:14" ht="15.75">
      <c r="A116" s="27"/>
      <c r="B116" s="28" t="s">
        <v>225</v>
      </c>
      <c r="C116" s="28"/>
      <c r="D116" s="28"/>
      <c r="E116" s="28"/>
      <c r="F116" s="28"/>
      <c r="G116" s="28"/>
      <c r="H116" s="28"/>
      <c r="I116" s="28"/>
      <c r="J116" s="28"/>
      <c r="K116" s="28"/>
      <c r="L116" s="59">
        <v>-8750</v>
      </c>
      <c r="M116" s="28"/>
      <c r="N116" s="6"/>
    </row>
    <row r="117" spans="1:14" ht="15.75">
      <c r="A117" s="27"/>
      <c r="B117" s="28" t="s">
        <v>83</v>
      </c>
      <c r="C117" s="28"/>
      <c r="D117" s="28"/>
      <c r="E117" s="28"/>
      <c r="F117" s="28"/>
      <c r="G117" s="28"/>
      <c r="H117" s="28"/>
      <c r="I117" s="28"/>
      <c r="J117" s="28"/>
      <c r="K117" s="28"/>
      <c r="L117" s="59">
        <v>0</v>
      </c>
      <c r="M117" s="28"/>
      <c r="N117" s="6"/>
    </row>
    <row r="118" spans="1:14" ht="15.75">
      <c r="A118" s="27"/>
      <c r="B118" s="28" t="s">
        <v>84</v>
      </c>
      <c r="C118" s="28"/>
      <c r="D118" s="28"/>
      <c r="E118" s="28"/>
      <c r="F118" s="28"/>
      <c r="G118" s="28"/>
      <c r="H118" s="28"/>
      <c r="I118" s="28"/>
      <c r="J118" s="28"/>
      <c r="K118" s="28"/>
      <c r="L118" s="59">
        <v>0</v>
      </c>
      <c r="M118" s="28"/>
      <c r="N118" s="6"/>
    </row>
    <row r="119" spans="1:14" ht="15.75">
      <c r="A119" s="27"/>
      <c r="B119" s="28" t="s">
        <v>62</v>
      </c>
      <c r="C119" s="28"/>
      <c r="D119" s="28"/>
      <c r="E119" s="28"/>
      <c r="F119" s="28"/>
      <c r="G119" s="28"/>
      <c r="H119" s="28"/>
      <c r="I119" s="28"/>
      <c r="J119" s="28"/>
      <c r="K119" s="28"/>
      <c r="L119" s="59">
        <v>0</v>
      </c>
      <c r="M119" s="28"/>
      <c r="N119" s="6"/>
    </row>
    <row r="120" spans="1:14" ht="15.75">
      <c r="A120" s="27"/>
      <c r="B120" s="28" t="s">
        <v>63</v>
      </c>
      <c r="C120" s="28"/>
      <c r="D120" s="28"/>
      <c r="E120" s="28"/>
      <c r="F120" s="28"/>
      <c r="G120" s="28"/>
      <c r="H120" s="28"/>
      <c r="I120" s="28"/>
      <c r="J120" s="28"/>
      <c r="K120" s="28"/>
      <c r="L120" s="59">
        <v>0</v>
      </c>
      <c r="M120" s="28"/>
      <c r="N120" s="6"/>
    </row>
    <row r="121" spans="1:14" ht="15.75">
      <c r="A121" s="27"/>
      <c r="B121" s="28" t="s">
        <v>85</v>
      </c>
      <c r="C121" s="28"/>
      <c r="D121" s="28"/>
      <c r="E121" s="28"/>
      <c r="F121" s="28"/>
      <c r="G121" s="28"/>
      <c r="H121" s="28"/>
      <c r="I121" s="28"/>
      <c r="J121" s="28"/>
      <c r="K121" s="28"/>
      <c r="L121" s="59">
        <v>0</v>
      </c>
      <c r="M121" s="28"/>
      <c r="N121" s="6"/>
    </row>
    <row r="122" spans="1:14" ht="15.75">
      <c r="A122" s="27"/>
      <c r="B122" s="28" t="s">
        <v>86</v>
      </c>
      <c r="C122" s="28"/>
      <c r="D122" s="28"/>
      <c r="E122" s="28"/>
      <c r="F122" s="28"/>
      <c r="G122" s="28"/>
      <c r="H122" s="28"/>
      <c r="I122" s="28"/>
      <c r="J122" s="28"/>
      <c r="K122" s="28"/>
      <c r="L122" s="59">
        <f>SUM(L114:L121)</f>
        <v>0</v>
      </c>
      <c r="M122" s="28"/>
      <c r="N122" s="6"/>
    </row>
    <row r="123" spans="1:14" ht="15.75">
      <c r="A123" s="27"/>
      <c r="B123" s="28"/>
      <c r="C123" s="28"/>
      <c r="D123" s="28"/>
      <c r="E123" s="28"/>
      <c r="F123" s="28"/>
      <c r="G123" s="28"/>
      <c r="H123" s="28"/>
      <c r="I123" s="28"/>
      <c r="J123" s="28"/>
      <c r="K123" s="28"/>
      <c r="L123" s="67"/>
      <c r="M123" s="28"/>
      <c r="N123" s="6"/>
    </row>
    <row r="124" spans="1:14" ht="15.75">
      <c r="A124" s="7"/>
      <c r="B124" s="138" t="s">
        <v>87</v>
      </c>
      <c r="C124" s="9"/>
      <c r="D124" s="9"/>
      <c r="E124" s="9"/>
      <c r="F124" s="9"/>
      <c r="G124" s="9"/>
      <c r="H124" s="9"/>
      <c r="I124" s="9"/>
      <c r="J124" s="9"/>
      <c r="K124" s="9"/>
      <c r="L124" s="58"/>
      <c r="M124" s="9"/>
      <c r="N124" s="6"/>
    </row>
    <row r="125" spans="1:14" ht="15.75">
      <c r="A125" s="27"/>
      <c r="B125" s="28" t="s">
        <v>88</v>
      </c>
      <c r="C125" s="28"/>
      <c r="D125" s="68"/>
      <c r="E125" s="28"/>
      <c r="F125" s="28"/>
      <c r="G125" s="28"/>
      <c r="H125" s="28"/>
      <c r="I125" s="28"/>
      <c r="J125" s="28"/>
      <c r="K125" s="28"/>
      <c r="L125" s="69" t="s">
        <v>194</v>
      </c>
      <c r="M125" s="28"/>
      <c r="N125" s="6"/>
    </row>
    <row r="126" spans="1:14" ht="15.75">
      <c r="A126" s="27"/>
      <c r="B126" s="28" t="s">
        <v>89</v>
      </c>
      <c r="C126" s="126"/>
      <c r="D126" s="126"/>
      <c r="E126" s="126"/>
      <c r="F126" s="126"/>
      <c r="G126" s="126"/>
      <c r="H126" s="126"/>
      <c r="I126" s="126"/>
      <c r="J126" s="126"/>
      <c r="K126" s="126"/>
      <c r="L126" s="69" t="s">
        <v>194</v>
      </c>
      <c r="M126" s="28"/>
      <c r="N126" s="6"/>
    </row>
    <row r="127" spans="1:14" ht="15.75">
      <c r="A127" s="27"/>
      <c r="B127" s="28" t="s">
        <v>90</v>
      </c>
      <c r="C127" s="28"/>
      <c r="D127" s="28"/>
      <c r="E127" s="28"/>
      <c r="F127" s="28"/>
      <c r="G127" s="28"/>
      <c r="H127" s="28"/>
      <c r="I127" s="28"/>
      <c r="J127" s="28"/>
      <c r="K127" s="28"/>
      <c r="L127" s="69" t="s">
        <v>194</v>
      </c>
      <c r="M127" s="28"/>
      <c r="N127" s="6"/>
    </row>
    <row r="128" spans="1:14" ht="15.75">
      <c r="A128" s="27"/>
      <c r="B128" s="28" t="s">
        <v>91</v>
      </c>
      <c r="C128" s="28"/>
      <c r="D128" s="28"/>
      <c r="E128" s="28"/>
      <c r="F128" s="28"/>
      <c r="G128" s="28"/>
      <c r="H128" s="28"/>
      <c r="I128" s="28"/>
      <c r="J128" s="28"/>
      <c r="K128" s="28"/>
      <c r="L128" s="69" t="s">
        <v>194</v>
      </c>
      <c r="M128" s="28"/>
      <c r="N128" s="6"/>
    </row>
    <row r="129" spans="1:14" ht="15.75">
      <c r="A129" s="27"/>
      <c r="B129" s="28"/>
      <c r="C129" s="28"/>
      <c r="D129" s="28"/>
      <c r="E129" s="28"/>
      <c r="F129" s="28"/>
      <c r="G129" s="28"/>
      <c r="H129" s="28"/>
      <c r="I129" s="28"/>
      <c r="J129" s="28"/>
      <c r="K129" s="28"/>
      <c r="L129" s="67"/>
      <c r="M129" s="28"/>
      <c r="N129" s="6"/>
    </row>
    <row r="130" spans="1:14" ht="15.75">
      <c r="A130" s="7"/>
      <c r="B130" s="138" t="s">
        <v>92</v>
      </c>
      <c r="C130" s="15"/>
      <c r="D130" s="9"/>
      <c r="E130" s="9"/>
      <c r="F130" s="9"/>
      <c r="G130" s="9"/>
      <c r="H130" s="9"/>
      <c r="I130" s="9"/>
      <c r="J130" s="9"/>
      <c r="K130" s="9"/>
      <c r="L130" s="70"/>
      <c r="M130" s="9"/>
      <c r="N130" s="6"/>
    </row>
    <row r="131" spans="1:14" ht="15.75">
      <c r="A131" s="27"/>
      <c r="B131" s="28" t="s">
        <v>93</v>
      </c>
      <c r="C131" s="28"/>
      <c r="D131" s="28"/>
      <c r="E131" s="28"/>
      <c r="F131" s="28"/>
      <c r="G131" s="28"/>
      <c r="H131" s="28"/>
      <c r="I131" s="28"/>
      <c r="J131" s="28"/>
      <c r="K131" s="28"/>
      <c r="L131" s="59">
        <v>0</v>
      </c>
      <c r="M131" s="28"/>
      <c r="N131" s="6"/>
    </row>
    <row r="132" spans="1:14" ht="15.75">
      <c r="A132" s="27"/>
      <c r="B132" s="28" t="s">
        <v>94</v>
      </c>
      <c r="C132" s="28"/>
      <c r="D132" s="28"/>
      <c r="E132" s="28"/>
      <c r="F132" s="28"/>
      <c r="G132" s="28"/>
      <c r="H132" s="28"/>
      <c r="I132" s="28"/>
      <c r="J132" s="28"/>
      <c r="K132" s="28"/>
      <c r="L132" s="59">
        <v>0</v>
      </c>
      <c r="M132" s="28"/>
      <c r="N132" s="6"/>
    </row>
    <row r="133" spans="1:14" ht="15.75">
      <c r="A133" s="27"/>
      <c r="B133" s="28" t="s">
        <v>95</v>
      </c>
      <c r="C133" s="28"/>
      <c r="D133" s="28"/>
      <c r="E133" s="28"/>
      <c r="F133" s="28"/>
      <c r="G133" s="28"/>
      <c r="H133" s="28"/>
      <c r="I133" s="28"/>
      <c r="J133" s="28"/>
      <c r="K133" s="28"/>
      <c r="L133" s="59">
        <f>L132+L131</f>
        <v>0</v>
      </c>
      <c r="M133" s="28"/>
      <c r="N133" s="6"/>
    </row>
    <row r="134" spans="1:14" ht="15.75">
      <c r="A134" s="27"/>
      <c r="B134" s="28" t="s">
        <v>96</v>
      </c>
      <c r="C134" s="28"/>
      <c r="D134" s="28"/>
      <c r="E134" s="28"/>
      <c r="F134" s="28"/>
      <c r="G134" s="28"/>
      <c r="H134" s="71"/>
      <c r="I134" s="28"/>
      <c r="J134" s="28"/>
      <c r="K134" s="28"/>
      <c r="L134" s="59">
        <f>+L92</f>
        <v>0</v>
      </c>
      <c r="M134" s="28"/>
      <c r="N134" s="6"/>
    </row>
    <row r="135" spans="1:14" ht="15.75">
      <c r="A135" s="27"/>
      <c r="B135" s="28" t="s">
        <v>97</v>
      </c>
      <c r="C135" s="28"/>
      <c r="D135" s="28"/>
      <c r="E135" s="28"/>
      <c r="F135" s="28"/>
      <c r="G135" s="28"/>
      <c r="H135" s="28"/>
      <c r="I135" s="28"/>
      <c r="J135" s="28"/>
      <c r="K135" s="28"/>
      <c r="L135" s="59">
        <f>L133+L134</f>
        <v>0</v>
      </c>
      <c r="M135" s="28"/>
      <c r="N135" s="6"/>
    </row>
    <row r="136" spans="1:14" ht="7.5" customHeight="1">
      <c r="A136" s="27"/>
      <c r="B136" s="28"/>
      <c r="C136" s="28"/>
      <c r="D136" s="28"/>
      <c r="E136" s="28"/>
      <c r="F136" s="28"/>
      <c r="G136" s="28"/>
      <c r="H136" s="28"/>
      <c r="I136" s="28"/>
      <c r="J136" s="28"/>
      <c r="K136" s="28"/>
      <c r="L136" s="67"/>
      <c r="M136" s="28"/>
      <c r="N136" s="6"/>
    </row>
    <row r="137" spans="1:14" ht="6" customHeight="1">
      <c r="A137" s="2"/>
      <c r="B137" s="5"/>
      <c r="C137" s="5"/>
      <c r="D137" s="5"/>
      <c r="E137" s="5"/>
      <c r="F137" s="5"/>
      <c r="G137" s="5"/>
      <c r="H137" s="5"/>
      <c r="I137" s="5"/>
      <c r="J137" s="5"/>
      <c r="K137" s="5"/>
      <c r="L137" s="66"/>
      <c r="M137" s="5"/>
      <c r="N137" s="6"/>
    </row>
    <row r="138" spans="1:14" ht="15.75">
      <c r="A138" s="7"/>
      <c r="B138" s="138" t="s">
        <v>98</v>
      </c>
      <c r="C138" s="15"/>
      <c r="D138" s="9"/>
      <c r="E138" s="9"/>
      <c r="F138" s="9"/>
      <c r="G138" s="9"/>
      <c r="H138" s="9"/>
      <c r="I138" s="9"/>
      <c r="J138" s="9"/>
      <c r="K138" s="9"/>
      <c r="L138" s="58"/>
      <c r="M138" s="9"/>
      <c r="N138" s="6"/>
    </row>
    <row r="139" spans="1:14" ht="15.75">
      <c r="A139" s="7"/>
      <c r="B139" s="23"/>
      <c r="C139" s="15"/>
      <c r="D139" s="9"/>
      <c r="E139" s="9"/>
      <c r="F139" s="9"/>
      <c r="G139" s="9"/>
      <c r="H139" s="9"/>
      <c r="I139" s="9"/>
      <c r="J139" s="9"/>
      <c r="K139" s="9"/>
      <c r="L139" s="58"/>
      <c r="M139" s="9"/>
      <c r="N139" s="6"/>
    </row>
    <row r="140" spans="1:14" ht="15.75">
      <c r="A140" s="27"/>
      <c r="B140" s="28" t="s">
        <v>99</v>
      </c>
      <c r="C140" s="72"/>
      <c r="D140" s="28"/>
      <c r="E140" s="28"/>
      <c r="F140" s="28"/>
      <c r="G140" s="28"/>
      <c r="H140" s="28"/>
      <c r="I140" s="28"/>
      <c r="J140" s="28"/>
      <c r="K140" s="28"/>
      <c r="L140" s="59">
        <f>L61</f>
        <v>0</v>
      </c>
      <c r="M140" s="28"/>
      <c r="N140" s="6"/>
    </row>
    <row r="141" spans="1:15" ht="15.75">
      <c r="A141" s="27"/>
      <c r="B141" s="28" t="s">
        <v>100</v>
      </c>
      <c r="C141" s="72"/>
      <c r="D141" s="28"/>
      <c r="E141" s="28"/>
      <c r="F141" s="28"/>
      <c r="G141" s="28"/>
      <c r="H141" s="28"/>
      <c r="I141" s="28"/>
      <c r="J141" s="28"/>
      <c r="K141" s="28"/>
      <c r="L141" s="59">
        <f>L33</f>
        <v>0</v>
      </c>
      <c r="M141" s="28"/>
      <c r="N141" s="6"/>
      <c r="O141" s="145"/>
    </row>
    <row r="142" spans="1:14" ht="7.5" customHeight="1">
      <c r="A142" s="27"/>
      <c r="B142" s="28"/>
      <c r="C142" s="28"/>
      <c r="D142" s="28"/>
      <c r="E142" s="28"/>
      <c r="F142" s="28"/>
      <c r="G142" s="28"/>
      <c r="H142" s="28"/>
      <c r="I142" s="28"/>
      <c r="J142" s="28"/>
      <c r="K142" s="28"/>
      <c r="L142" s="67"/>
      <c r="M142" s="28"/>
      <c r="N142" s="6"/>
    </row>
    <row r="143" spans="1:14" ht="15.75">
      <c r="A143" s="2"/>
      <c r="B143" s="5"/>
      <c r="C143" s="5"/>
      <c r="D143" s="5"/>
      <c r="E143" s="5"/>
      <c r="F143" s="5"/>
      <c r="G143" s="5"/>
      <c r="H143" s="5"/>
      <c r="I143" s="5"/>
      <c r="J143" s="5"/>
      <c r="K143" s="5"/>
      <c r="L143" s="66"/>
      <c r="M143" s="5"/>
      <c r="N143" s="6"/>
    </row>
    <row r="144" spans="1:14" ht="15.75">
      <c r="A144" s="7"/>
      <c r="B144" s="138" t="s">
        <v>101</v>
      </c>
      <c r="C144" s="131"/>
      <c r="D144" s="131"/>
      <c r="E144" s="131"/>
      <c r="F144" s="131"/>
      <c r="G144" s="131"/>
      <c r="H144" s="139" t="s">
        <v>174</v>
      </c>
      <c r="I144" s="139"/>
      <c r="J144" s="139" t="s">
        <v>182</v>
      </c>
      <c r="K144" s="131"/>
      <c r="L144" s="140" t="s">
        <v>195</v>
      </c>
      <c r="M144" s="131"/>
      <c r="N144" s="6"/>
    </row>
    <row r="145" spans="1:14" ht="15.75">
      <c r="A145" s="27"/>
      <c r="B145" s="28" t="s">
        <v>102</v>
      </c>
      <c r="C145" s="28"/>
      <c r="D145" s="28"/>
      <c r="E145" s="28"/>
      <c r="F145" s="28"/>
      <c r="G145" s="28"/>
      <c r="H145" s="59">
        <v>70000</v>
      </c>
      <c r="I145" s="28"/>
      <c r="J145" s="47"/>
      <c r="K145" s="28"/>
      <c r="L145" s="59"/>
      <c r="M145" s="28"/>
      <c r="N145" s="6"/>
    </row>
    <row r="146" spans="1:14" ht="15.75">
      <c r="A146" s="27"/>
      <c r="B146" s="28" t="s">
        <v>103</v>
      </c>
      <c r="C146" s="28"/>
      <c r="D146" s="28"/>
      <c r="E146" s="28"/>
      <c r="F146" s="28"/>
      <c r="G146" s="28"/>
      <c r="H146" s="59">
        <v>67521</v>
      </c>
      <c r="I146" s="28"/>
      <c r="J146" s="59">
        <v>2479</v>
      </c>
      <c r="K146" s="28"/>
      <c r="L146" s="59">
        <f>J146+H146</f>
        <v>70000</v>
      </c>
      <c r="M146" s="28"/>
      <c r="N146" s="6"/>
    </row>
    <row r="147" spans="1:14" ht="15.75">
      <c r="A147" s="27"/>
      <c r="B147" s="28" t="s">
        <v>104</v>
      </c>
      <c r="C147" s="28"/>
      <c r="D147" s="28"/>
      <c r="E147" s="28"/>
      <c r="F147" s="28"/>
      <c r="G147" s="28"/>
      <c r="H147" s="59">
        <v>0</v>
      </c>
      <c r="I147" s="28"/>
      <c r="J147" s="59">
        <v>0</v>
      </c>
      <c r="K147" s="28"/>
      <c r="L147" s="59">
        <f>J147+H147</f>
        <v>0</v>
      </c>
      <c r="M147" s="28"/>
      <c r="N147" s="6"/>
    </row>
    <row r="148" spans="1:14" ht="15.75">
      <c r="A148" s="27"/>
      <c r="B148" s="28" t="s">
        <v>105</v>
      </c>
      <c r="C148" s="28"/>
      <c r="D148" s="28"/>
      <c r="E148" s="28"/>
      <c r="F148" s="28"/>
      <c r="G148" s="28"/>
      <c r="H148" s="59">
        <f>H147+H146</f>
        <v>67521</v>
      </c>
      <c r="I148" s="28"/>
      <c r="J148" s="59">
        <f>J147+J146</f>
        <v>2479</v>
      </c>
      <c r="K148" s="28"/>
      <c r="L148" s="59">
        <f>J148+H148</f>
        <v>70000</v>
      </c>
      <c r="M148" s="28"/>
      <c r="N148" s="6"/>
    </row>
    <row r="149" spans="1:14" ht="15.75">
      <c r="A149" s="27"/>
      <c r="B149" s="28" t="s">
        <v>106</v>
      </c>
      <c r="C149" s="28"/>
      <c r="D149" s="28"/>
      <c r="E149" s="28"/>
      <c r="F149" s="28"/>
      <c r="G149" s="28"/>
      <c r="H149" s="59">
        <f>H145-H148-J148</f>
        <v>0</v>
      </c>
      <c r="I149" s="28"/>
      <c r="J149" s="47"/>
      <c r="K149" s="28"/>
      <c r="L149" s="59"/>
      <c r="M149" s="28"/>
      <c r="N149" s="6"/>
    </row>
    <row r="150" spans="1:14" ht="7.5" customHeight="1">
      <c r="A150" s="27"/>
      <c r="B150" s="28"/>
      <c r="C150" s="28"/>
      <c r="D150" s="28"/>
      <c r="E150" s="28"/>
      <c r="F150" s="28"/>
      <c r="G150" s="28"/>
      <c r="H150" s="28"/>
      <c r="I150" s="28"/>
      <c r="J150" s="28"/>
      <c r="K150" s="28"/>
      <c r="L150" s="67"/>
      <c r="M150" s="28"/>
      <c r="N150" s="6"/>
    </row>
    <row r="151" spans="1:14" ht="9" customHeight="1">
      <c r="A151" s="2"/>
      <c r="B151" s="5"/>
      <c r="C151" s="5"/>
      <c r="D151" s="5"/>
      <c r="E151" s="5"/>
      <c r="F151" s="5"/>
      <c r="G151" s="5"/>
      <c r="H151" s="5"/>
      <c r="I151" s="5"/>
      <c r="J151" s="5"/>
      <c r="K151" s="5"/>
      <c r="L151" s="66"/>
      <c r="M151" s="5"/>
      <c r="N151" s="6"/>
    </row>
    <row r="152" spans="1:14" ht="15.75">
      <c r="A152" s="7"/>
      <c r="B152" s="138" t="s">
        <v>107</v>
      </c>
      <c r="C152" s="15"/>
      <c r="D152" s="9"/>
      <c r="E152" s="9"/>
      <c r="F152" s="9"/>
      <c r="G152" s="9"/>
      <c r="H152" s="9"/>
      <c r="I152" s="9"/>
      <c r="J152" s="9"/>
      <c r="K152" s="9"/>
      <c r="L152" s="73"/>
      <c r="M152" s="9"/>
      <c r="N152" s="6"/>
    </row>
    <row r="153" spans="1:14" ht="15.75">
      <c r="A153" s="27"/>
      <c r="B153" s="28" t="s">
        <v>108</v>
      </c>
      <c r="C153" s="28"/>
      <c r="D153" s="28"/>
      <c r="E153" s="28"/>
      <c r="F153" s="28"/>
      <c r="G153" s="28"/>
      <c r="H153" s="28"/>
      <c r="I153" s="28"/>
      <c r="J153" s="28"/>
      <c r="K153" s="28"/>
      <c r="L153" s="65">
        <f>(L83+L85+L86+L87+L88-L79)/-L89</f>
        <v>1.4979726305119108</v>
      </c>
      <c r="M153" s="28" t="s">
        <v>196</v>
      </c>
      <c r="N153" s="6"/>
    </row>
    <row r="154" spans="1:14" ht="15.75">
      <c r="A154" s="27"/>
      <c r="B154" s="28" t="s">
        <v>109</v>
      </c>
      <c r="C154" s="28"/>
      <c r="D154" s="28"/>
      <c r="E154" s="28"/>
      <c r="F154" s="28"/>
      <c r="G154" s="28"/>
      <c r="H154" s="28"/>
      <c r="I154" s="28"/>
      <c r="J154" s="28"/>
      <c r="K154" s="28"/>
      <c r="L154" s="65">
        <v>1.4</v>
      </c>
      <c r="M154" s="28" t="s">
        <v>196</v>
      </c>
      <c r="N154" s="6"/>
    </row>
    <row r="155" spans="1:14" ht="15.75">
      <c r="A155" s="27"/>
      <c r="B155" s="28" t="s">
        <v>110</v>
      </c>
      <c r="C155" s="28"/>
      <c r="D155" s="28"/>
      <c r="E155" s="28"/>
      <c r="F155" s="28"/>
      <c r="G155" s="28"/>
      <c r="H155" s="28"/>
      <c r="I155" s="28"/>
      <c r="J155" s="28"/>
      <c r="K155" s="28"/>
      <c r="L155" s="65">
        <f>(L83+SUM(L85:L89)-L79)/-L90</f>
        <v>3.1951219512195124</v>
      </c>
      <c r="M155" s="28" t="s">
        <v>196</v>
      </c>
      <c r="N155" s="6"/>
    </row>
    <row r="156" spans="1:14" ht="15.75">
      <c r="A156" s="27"/>
      <c r="B156" s="28" t="s">
        <v>111</v>
      </c>
      <c r="C156" s="28"/>
      <c r="D156" s="28"/>
      <c r="E156" s="28"/>
      <c r="F156" s="28"/>
      <c r="G156" s="28"/>
      <c r="H156" s="28"/>
      <c r="I156" s="28"/>
      <c r="J156" s="28"/>
      <c r="K156" s="28"/>
      <c r="L156" s="74">
        <v>3.16</v>
      </c>
      <c r="M156" s="28" t="s">
        <v>196</v>
      </c>
      <c r="N156" s="6"/>
    </row>
    <row r="157" spans="1:14" ht="12.75" customHeight="1">
      <c r="A157" s="27"/>
      <c r="B157" s="28"/>
      <c r="C157" s="28"/>
      <c r="D157" s="28"/>
      <c r="E157" s="28"/>
      <c r="F157" s="28"/>
      <c r="G157" s="28"/>
      <c r="H157" s="28"/>
      <c r="I157" s="28"/>
      <c r="J157" s="28"/>
      <c r="K157" s="28"/>
      <c r="L157" s="28"/>
      <c r="M157" s="28"/>
      <c r="N157" s="6"/>
    </row>
    <row r="158" spans="1:14" ht="12.75" customHeight="1">
      <c r="A158" s="7"/>
      <c r="B158" s="9"/>
      <c r="C158" s="9"/>
      <c r="D158" s="9"/>
      <c r="E158" s="9"/>
      <c r="F158" s="9"/>
      <c r="G158" s="9"/>
      <c r="H158" s="9"/>
      <c r="I158" s="9"/>
      <c r="J158" s="9"/>
      <c r="K158" s="9"/>
      <c r="L158" s="9"/>
      <c r="M158" s="9"/>
      <c r="N158" s="6"/>
    </row>
    <row r="159" spans="1:14" ht="15" customHeight="1" thickBot="1">
      <c r="A159" s="118"/>
      <c r="B159" s="119" t="str">
        <f>B108</f>
        <v>PM4 INVESTOR REPORT QUARTER ENDING JUNE 2005</v>
      </c>
      <c r="C159" s="120"/>
      <c r="D159" s="120"/>
      <c r="E159" s="120"/>
      <c r="F159" s="120"/>
      <c r="G159" s="120"/>
      <c r="H159" s="120"/>
      <c r="I159" s="120"/>
      <c r="J159" s="120"/>
      <c r="K159" s="120"/>
      <c r="L159" s="120"/>
      <c r="M159" s="123"/>
      <c r="N159" s="6"/>
    </row>
    <row r="160" spans="1:14" ht="15.75">
      <c r="A160" s="2"/>
      <c r="B160" s="128"/>
      <c r="C160" s="128"/>
      <c r="D160" s="128"/>
      <c r="E160" s="128"/>
      <c r="F160" s="128"/>
      <c r="G160" s="128"/>
      <c r="H160" s="128"/>
      <c r="I160" s="128"/>
      <c r="J160" s="128"/>
      <c r="K160" s="128"/>
      <c r="L160" s="128"/>
      <c r="M160" s="128"/>
      <c r="N160" s="6"/>
    </row>
    <row r="161" spans="1:14" ht="15.75">
      <c r="A161" s="76"/>
      <c r="B161" s="57" t="s">
        <v>112</v>
      </c>
      <c r="C161" s="77"/>
      <c r="D161" s="77"/>
      <c r="E161" s="77"/>
      <c r="F161" s="77"/>
      <c r="G161" s="21"/>
      <c r="H161" s="21"/>
      <c r="I161" s="21"/>
      <c r="J161" s="21">
        <v>38533</v>
      </c>
      <c r="K161" s="17"/>
      <c r="L161" s="17"/>
      <c r="M161" s="9"/>
      <c r="N161" s="6"/>
    </row>
    <row r="162" spans="1:14" ht="15.75">
      <c r="A162" s="78"/>
      <c r="B162" s="79"/>
      <c r="C162" s="80"/>
      <c r="D162" s="80"/>
      <c r="E162" s="80"/>
      <c r="F162" s="80"/>
      <c r="G162" s="81"/>
      <c r="H162" s="81"/>
      <c r="I162" s="81"/>
      <c r="J162" s="81"/>
      <c r="K162" s="9"/>
      <c r="L162" s="9"/>
      <c r="M162" s="9"/>
      <c r="N162" s="6"/>
    </row>
    <row r="163" spans="1:14" ht="15.75">
      <c r="A163" s="82"/>
      <c r="B163" s="83" t="s">
        <v>113</v>
      </c>
      <c r="C163" s="84"/>
      <c r="D163" s="84"/>
      <c r="E163" s="84"/>
      <c r="F163" s="84"/>
      <c r="G163" s="71"/>
      <c r="H163" s="71"/>
      <c r="I163" s="71"/>
      <c r="J163" s="85">
        <v>0.06</v>
      </c>
      <c r="K163" s="28"/>
      <c r="L163" s="28"/>
      <c r="M163" s="28"/>
      <c r="N163" s="6"/>
    </row>
    <row r="164" spans="1:14" ht="15.75">
      <c r="A164" s="82"/>
      <c r="B164" s="83" t="s">
        <v>114</v>
      </c>
      <c r="C164" s="84"/>
      <c r="D164" s="84"/>
      <c r="E164" s="84"/>
      <c r="F164" s="84"/>
      <c r="G164" s="71"/>
      <c r="H164" s="71"/>
      <c r="I164" s="71"/>
      <c r="J164" s="85">
        <v>0.0452</v>
      </c>
      <c r="K164" s="28"/>
      <c r="L164" s="28"/>
      <c r="M164" s="28"/>
      <c r="N164" s="6"/>
    </row>
    <row r="165" spans="1:14" ht="15.75">
      <c r="A165" s="82"/>
      <c r="B165" s="83" t="s">
        <v>115</v>
      </c>
      <c r="C165" s="84"/>
      <c r="D165" s="84"/>
      <c r="E165" s="84"/>
      <c r="F165" s="84"/>
      <c r="G165" s="71"/>
      <c r="H165" s="71"/>
      <c r="I165" s="71"/>
      <c r="J165" s="85">
        <f>J163-J164</f>
        <v>0.0148</v>
      </c>
      <c r="K165" s="28"/>
      <c r="L165" s="28"/>
      <c r="M165" s="28"/>
      <c r="N165" s="6"/>
    </row>
    <row r="166" spans="1:14" ht="15.75">
      <c r="A166" s="82"/>
      <c r="B166" s="83" t="s">
        <v>116</v>
      </c>
      <c r="C166" s="84"/>
      <c r="D166" s="84"/>
      <c r="E166" s="84"/>
      <c r="F166" s="84"/>
      <c r="G166" s="71"/>
      <c r="H166" s="71"/>
      <c r="I166" s="71"/>
      <c r="J166" s="85">
        <v>0</v>
      </c>
      <c r="K166" s="28"/>
      <c r="L166" s="28"/>
      <c r="M166" s="28"/>
      <c r="N166" s="6"/>
    </row>
    <row r="167" spans="1:14" ht="15.75">
      <c r="A167" s="82"/>
      <c r="B167" s="83" t="s">
        <v>117</v>
      </c>
      <c r="C167" s="84"/>
      <c r="D167" s="84"/>
      <c r="E167" s="84"/>
      <c r="F167" s="84"/>
      <c r="G167" s="71"/>
      <c r="H167" s="71"/>
      <c r="I167" s="71"/>
      <c r="J167" s="85">
        <v>0</v>
      </c>
      <c r="K167" s="28"/>
      <c r="L167" s="28"/>
      <c r="M167" s="28"/>
      <c r="N167" s="6"/>
    </row>
    <row r="168" spans="1:14" ht="15.75">
      <c r="A168" s="82"/>
      <c r="B168" s="83" t="s">
        <v>118</v>
      </c>
      <c r="C168" s="84"/>
      <c r="D168" s="84"/>
      <c r="E168" s="84"/>
      <c r="F168" s="84"/>
      <c r="G168" s="71"/>
      <c r="H168" s="71"/>
      <c r="I168" s="71"/>
      <c r="J168" s="85">
        <f>J166-J167</f>
        <v>0</v>
      </c>
      <c r="K168" s="28"/>
      <c r="L168" s="28"/>
      <c r="M168" s="28"/>
      <c r="N168" s="6"/>
    </row>
    <row r="169" spans="1:14" ht="15.75">
      <c r="A169" s="82"/>
      <c r="B169" s="83" t="s">
        <v>119</v>
      </c>
      <c r="C169" s="84"/>
      <c r="D169" s="84"/>
      <c r="E169" s="84"/>
      <c r="F169" s="84"/>
      <c r="G169" s="71"/>
      <c r="H169" s="71"/>
      <c r="I169" s="71"/>
      <c r="J169" s="86" t="s">
        <v>183</v>
      </c>
      <c r="K169" s="28"/>
      <c r="L169" s="28"/>
      <c r="M169" s="28"/>
      <c r="N169" s="6"/>
    </row>
    <row r="170" spans="1:14" ht="15.75">
      <c r="A170" s="82"/>
      <c r="B170" s="83" t="s">
        <v>120</v>
      </c>
      <c r="C170" s="84"/>
      <c r="D170" s="84"/>
      <c r="E170" s="84"/>
      <c r="F170" s="84"/>
      <c r="G170" s="71"/>
      <c r="H170" s="71"/>
      <c r="I170" s="71"/>
      <c r="J170" s="86" t="s">
        <v>184</v>
      </c>
      <c r="K170" s="28"/>
      <c r="L170" s="28"/>
      <c r="M170" s="28"/>
      <c r="N170" s="6"/>
    </row>
    <row r="171" spans="1:14" ht="15.75">
      <c r="A171" s="82"/>
      <c r="B171" s="83" t="s">
        <v>121</v>
      </c>
      <c r="C171" s="84"/>
      <c r="D171" s="84"/>
      <c r="E171" s="84"/>
      <c r="F171" s="84"/>
      <c r="G171" s="71"/>
      <c r="H171" s="71"/>
      <c r="I171" s="71"/>
      <c r="J171" s="87">
        <v>0</v>
      </c>
      <c r="K171" s="28" t="s">
        <v>188</v>
      </c>
      <c r="L171" s="28"/>
      <c r="M171" s="28"/>
      <c r="N171" s="6"/>
    </row>
    <row r="172" spans="1:14" ht="15.75">
      <c r="A172" s="82"/>
      <c r="B172" s="83" t="s">
        <v>122</v>
      </c>
      <c r="C172" s="84"/>
      <c r="D172" s="84"/>
      <c r="E172" s="84"/>
      <c r="F172" s="84"/>
      <c r="G172" s="71"/>
      <c r="H172" s="71"/>
      <c r="I172" s="71"/>
      <c r="J172" s="87">
        <v>0</v>
      </c>
      <c r="K172" s="28" t="s">
        <v>188</v>
      </c>
      <c r="L172" s="28"/>
      <c r="M172" s="28"/>
      <c r="N172" s="6"/>
    </row>
    <row r="173" spans="1:14" ht="15.75">
      <c r="A173" s="82"/>
      <c r="B173" s="83" t="s">
        <v>123</v>
      </c>
      <c r="C173" s="84"/>
      <c r="D173" s="84"/>
      <c r="E173" s="84"/>
      <c r="F173" s="84"/>
      <c r="G173" s="71"/>
      <c r="H173" s="71"/>
      <c r="I173" s="71"/>
      <c r="J173" s="85">
        <v>1</v>
      </c>
      <c r="K173" s="28"/>
      <c r="L173" s="28"/>
      <c r="M173" s="28"/>
      <c r="N173" s="6"/>
    </row>
    <row r="174" spans="1:14" ht="15.75">
      <c r="A174" s="82"/>
      <c r="B174" s="83" t="s">
        <v>124</v>
      </c>
      <c r="C174" s="84"/>
      <c r="D174" s="84"/>
      <c r="E174" s="84"/>
      <c r="F174" s="84"/>
      <c r="G174" s="71"/>
      <c r="H174" s="71"/>
      <c r="I174" s="71"/>
      <c r="J174" s="85">
        <v>1</v>
      </c>
      <c r="K174" s="28"/>
      <c r="L174" s="28"/>
      <c r="M174" s="28"/>
      <c r="N174" s="6"/>
    </row>
    <row r="175" spans="1:14" ht="15.75">
      <c r="A175" s="82"/>
      <c r="B175" s="83"/>
      <c r="C175" s="83"/>
      <c r="D175" s="83"/>
      <c r="E175" s="83"/>
      <c r="F175" s="83"/>
      <c r="G175" s="28"/>
      <c r="H175" s="28"/>
      <c r="I175" s="28"/>
      <c r="J175" s="67"/>
      <c r="K175" s="28"/>
      <c r="L175" s="88"/>
      <c r="M175" s="28"/>
      <c r="N175" s="6"/>
    </row>
    <row r="176" spans="1:14" ht="15.75">
      <c r="A176" s="89"/>
      <c r="B176" s="16" t="s">
        <v>125</v>
      </c>
      <c r="C176" s="90"/>
      <c r="D176" s="91"/>
      <c r="E176" s="90"/>
      <c r="F176" s="91"/>
      <c r="G176" s="90"/>
      <c r="H176" s="91"/>
      <c r="I176" s="19" t="s">
        <v>175</v>
      </c>
      <c r="J176" s="92" t="s">
        <v>185</v>
      </c>
      <c r="K176" s="17"/>
      <c r="L176" s="9"/>
      <c r="M176" s="9"/>
      <c r="N176" s="6"/>
    </row>
    <row r="177" spans="1:14" ht="15.75">
      <c r="A177" s="93"/>
      <c r="B177" s="83" t="s">
        <v>126</v>
      </c>
      <c r="C177" s="60"/>
      <c r="D177" s="60"/>
      <c r="E177" s="60"/>
      <c r="F177" s="28"/>
      <c r="G177" s="28"/>
      <c r="H177" s="28"/>
      <c r="I177" s="29">
        <v>0</v>
      </c>
      <c r="J177" s="94">
        <v>0</v>
      </c>
      <c r="K177" s="28"/>
      <c r="L177" s="88"/>
      <c r="M177" s="95"/>
      <c r="N177" s="6"/>
    </row>
    <row r="178" spans="1:14" ht="15.75">
      <c r="A178" s="93"/>
      <c r="B178" s="83" t="s">
        <v>205</v>
      </c>
      <c r="C178" s="60"/>
      <c r="D178" s="60"/>
      <c r="E178" s="60"/>
      <c r="F178" s="28"/>
      <c r="G178" s="28"/>
      <c r="H178" s="28"/>
      <c r="I178" s="29">
        <v>0</v>
      </c>
      <c r="J178" s="94">
        <v>0</v>
      </c>
      <c r="K178" s="28"/>
      <c r="L178" s="88"/>
      <c r="M178" s="95"/>
      <c r="N178" s="6"/>
    </row>
    <row r="179" spans="1:14" ht="15.75">
      <c r="A179" s="93"/>
      <c r="B179" s="83" t="s">
        <v>127</v>
      </c>
      <c r="C179" s="60"/>
      <c r="D179" s="60"/>
      <c r="E179" s="60"/>
      <c r="F179" s="28"/>
      <c r="G179" s="28"/>
      <c r="H179" s="28"/>
      <c r="I179" s="29">
        <v>0</v>
      </c>
      <c r="J179" s="94">
        <v>0</v>
      </c>
      <c r="K179" s="28"/>
      <c r="L179" s="88"/>
      <c r="M179" s="95"/>
      <c r="N179" s="6"/>
    </row>
    <row r="180" spans="1:14" ht="15.75">
      <c r="A180" s="93"/>
      <c r="B180" s="141" t="s">
        <v>128</v>
      </c>
      <c r="C180" s="60"/>
      <c r="D180" s="60"/>
      <c r="E180" s="60"/>
      <c r="F180" s="28"/>
      <c r="G180" s="28"/>
      <c r="H180" s="28"/>
      <c r="I180" s="28"/>
      <c r="J180" s="94">
        <v>0</v>
      </c>
      <c r="K180" s="28"/>
      <c r="L180" s="88"/>
      <c r="M180" s="95"/>
      <c r="N180" s="6"/>
    </row>
    <row r="181" spans="1:14" ht="15.75">
      <c r="A181" s="93"/>
      <c r="B181" s="141" t="s">
        <v>129</v>
      </c>
      <c r="C181" s="60"/>
      <c r="D181" s="60"/>
      <c r="E181" s="60"/>
      <c r="F181" s="28"/>
      <c r="G181" s="28"/>
      <c r="H181" s="28"/>
      <c r="I181" s="28"/>
      <c r="J181" s="94">
        <v>77991</v>
      </c>
      <c r="K181" s="28"/>
      <c r="L181" s="88"/>
      <c r="M181" s="95"/>
      <c r="N181" s="6"/>
    </row>
    <row r="182" spans="1:14" ht="15.75">
      <c r="A182" s="96"/>
      <c r="B182" s="141" t="s">
        <v>130</v>
      </c>
      <c r="C182" s="60"/>
      <c r="D182" s="83"/>
      <c r="E182" s="83"/>
      <c r="F182" s="83"/>
      <c r="G182" s="28"/>
      <c r="H182" s="28"/>
      <c r="I182" s="28"/>
      <c r="J182" s="94">
        <v>0</v>
      </c>
      <c r="K182" s="28"/>
      <c r="L182" s="88"/>
      <c r="M182" s="97"/>
      <c r="N182" s="6"/>
    </row>
    <row r="183" spans="1:14" ht="15.75">
      <c r="A183" s="93"/>
      <c r="B183" s="83" t="s">
        <v>131</v>
      </c>
      <c r="C183" s="60"/>
      <c r="D183" s="60"/>
      <c r="E183" s="60"/>
      <c r="F183" s="60"/>
      <c r="G183" s="28"/>
      <c r="H183" s="28"/>
      <c r="I183" s="28">
        <v>0</v>
      </c>
      <c r="J183" s="94">
        <f>+L132</f>
        <v>0</v>
      </c>
      <c r="K183" s="28"/>
      <c r="L183" s="88"/>
      <c r="M183" s="97"/>
      <c r="N183" s="6"/>
    </row>
    <row r="184" spans="1:14" ht="15.75">
      <c r="A184" s="93"/>
      <c r="B184" s="83" t="s">
        <v>132</v>
      </c>
      <c r="C184" s="60"/>
      <c r="D184" s="60"/>
      <c r="E184" s="60"/>
      <c r="F184" s="60"/>
      <c r="G184" s="28"/>
      <c r="H184" s="28"/>
      <c r="I184" s="28">
        <f>+'Mar 05'!I182+I183</f>
        <v>2</v>
      </c>
      <c r="J184" s="94">
        <f>+'Mar 05'!J182+J183</f>
        <v>24</v>
      </c>
      <c r="K184" s="28"/>
      <c r="L184" s="88"/>
      <c r="M184" s="97"/>
      <c r="N184" s="6"/>
    </row>
    <row r="185" spans="1:14" ht="15.75">
      <c r="A185" s="93"/>
      <c r="B185" s="83" t="s">
        <v>133</v>
      </c>
      <c r="C185" s="60"/>
      <c r="D185" s="60"/>
      <c r="E185" s="60"/>
      <c r="F185" s="60"/>
      <c r="G185" s="28"/>
      <c r="H185" s="28"/>
      <c r="I185" s="28"/>
      <c r="J185" s="94">
        <v>0</v>
      </c>
      <c r="K185" s="28"/>
      <c r="L185" s="88"/>
      <c r="M185" s="97"/>
      <c r="N185" s="6"/>
    </row>
    <row r="186" spans="1:14" ht="15.75">
      <c r="A186" s="96"/>
      <c r="B186" s="141" t="s">
        <v>134</v>
      </c>
      <c r="C186" s="60"/>
      <c r="D186" s="83"/>
      <c r="E186" s="83"/>
      <c r="F186" s="83"/>
      <c r="G186" s="28"/>
      <c r="H186" s="28"/>
      <c r="I186" s="28"/>
      <c r="J186" s="94"/>
      <c r="K186" s="28"/>
      <c r="L186" s="88"/>
      <c r="M186" s="97"/>
      <c r="N186" s="6"/>
    </row>
    <row r="187" spans="1:14" ht="15.75">
      <c r="A187" s="96"/>
      <c r="B187" s="83" t="s">
        <v>135</v>
      </c>
      <c r="C187" s="60"/>
      <c r="D187" s="83"/>
      <c r="E187" s="83"/>
      <c r="F187" s="83"/>
      <c r="G187" s="28"/>
      <c r="H187" s="28"/>
      <c r="I187" s="28">
        <v>0</v>
      </c>
      <c r="J187" s="94">
        <v>0</v>
      </c>
      <c r="K187" s="28"/>
      <c r="L187" s="88"/>
      <c r="M187" s="97"/>
      <c r="N187" s="6"/>
    </row>
    <row r="188" spans="1:14" ht="15.75">
      <c r="A188" s="93"/>
      <c r="B188" s="83" t="s">
        <v>136</v>
      </c>
      <c r="C188" s="60"/>
      <c r="D188" s="98"/>
      <c r="E188" s="98"/>
      <c r="F188" s="99"/>
      <c r="G188" s="28"/>
      <c r="H188" s="28"/>
      <c r="I188" s="28"/>
      <c r="J188" s="94">
        <v>0</v>
      </c>
      <c r="K188" s="28"/>
      <c r="L188" s="88"/>
      <c r="M188" s="97"/>
      <c r="N188" s="6"/>
    </row>
    <row r="189" spans="1:14" ht="15.75">
      <c r="A189" s="93"/>
      <c r="B189" s="83" t="s">
        <v>137</v>
      </c>
      <c r="C189" s="60"/>
      <c r="D189" s="98"/>
      <c r="E189" s="98"/>
      <c r="F189" s="99"/>
      <c r="G189" s="28"/>
      <c r="H189" s="28"/>
      <c r="I189" s="28"/>
      <c r="J189" s="94">
        <v>0</v>
      </c>
      <c r="K189" s="28"/>
      <c r="L189" s="88"/>
      <c r="M189" s="97"/>
      <c r="N189" s="6"/>
    </row>
    <row r="190" spans="1:14" ht="15.75">
      <c r="A190" s="93"/>
      <c r="B190" s="83" t="s">
        <v>138</v>
      </c>
      <c r="C190" s="60"/>
      <c r="D190" s="100"/>
      <c r="E190" s="98"/>
      <c r="F190" s="99"/>
      <c r="G190" s="28"/>
      <c r="H190" s="28"/>
      <c r="I190" s="28"/>
      <c r="J190" s="101">
        <v>0</v>
      </c>
      <c r="K190" s="28"/>
      <c r="L190" s="88"/>
      <c r="M190" s="97"/>
      <c r="N190" s="6"/>
    </row>
    <row r="191" spans="1:14" ht="15.75">
      <c r="A191" s="93"/>
      <c r="B191" s="83"/>
      <c r="C191" s="60"/>
      <c r="D191" s="100"/>
      <c r="E191" s="98"/>
      <c r="F191" s="99"/>
      <c r="G191" s="28"/>
      <c r="H191" s="28"/>
      <c r="I191" s="28"/>
      <c r="J191" s="101"/>
      <c r="K191" s="28"/>
      <c r="L191" s="88"/>
      <c r="M191" s="97"/>
      <c r="N191" s="6"/>
    </row>
    <row r="192" spans="1:14" ht="15.75">
      <c r="A192" s="7"/>
      <c r="B192" s="16" t="s">
        <v>221</v>
      </c>
      <c r="C192" s="19"/>
      <c r="D192" s="92"/>
      <c r="E192" s="19"/>
      <c r="F192" s="92"/>
      <c r="G192" s="19"/>
      <c r="H192" s="92" t="s">
        <v>175</v>
      </c>
      <c r="I192" s="19" t="s">
        <v>176</v>
      </c>
      <c r="J192" s="92" t="s">
        <v>186</v>
      </c>
      <c r="K192" s="19" t="s">
        <v>176</v>
      </c>
      <c r="L192" s="17"/>
      <c r="M192" s="102"/>
      <c r="N192" s="6"/>
    </row>
    <row r="193" spans="1:14" ht="15.75">
      <c r="A193" s="27"/>
      <c r="B193" s="60" t="s">
        <v>140</v>
      </c>
      <c r="C193" s="103"/>
      <c r="D193" s="60"/>
      <c r="E193" s="103"/>
      <c r="F193" s="28"/>
      <c r="G193" s="103"/>
      <c r="H193" s="60">
        <v>0</v>
      </c>
      <c r="I193" s="105">
        <v>0</v>
      </c>
      <c r="J193" s="59">
        <v>0</v>
      </c>
      <c r="K193" s="143">
        <v>0</v>
      </c>
      <c r="L193" s="88"/>
      <c r="M193" s="97"/>
      <c r="N193" s="6"/>
    </row>
    <row r="194" spans="1:14" ht="15.75">
      <c r="A194" s="27"/>
      <c r="B194" s="60" t="s">
        <v>141</v>
      </c>
      <c r="C194" s="103"/>
      <c r="D194" s="60"/>
      <c r="E194" s="103"/>
      <c r="F194" s="28"/>
      <c r="G194" s="105"/>
      <c r="H194" s="60">
        <v>0</v>
      </c>
      <c r="I194" s="105">
        <v>0</v>
      </c>
      <c r="J194" s="59">
        <v>0</v>
      </c>
      <c r="K194" s="143">
        <v>0</v>
      </c>
      <c r="L194" s="88"/>
      <c r="M194" s="97"/>
      <c r="N194" s="6"/>
    </row>
    <row r="195" spans="1:14" ht="15.75">
      <c r="A195" s="27"/>
      <c r="B195" s="60" t="s">
        <v>142</v>
      </c>
      <c r="C195" s="103"/>
      <c r="D195" s="60"/>
      <c r="E195" s="103"/>
      <c r="F195" s="28"/>
      <c r="G195" s="105"/>
      <c r="H195" s="60">
        <v>0</v>
      </c>
      <c r="I195" s="105">
        <v>0</v>
      </c>
      <c r="J195" s="59">
        <v>0</v>
      </c>
      <c r="K195" s="143">
        <v>0</v>
      </c>
      <c r="L195" s="88"/>
      <c r="M195" s="97"/>
      <c r="N195" s="6"/>
    </row>
    <row r="196" spans="1:14" ht="15.75">
      <c r="A196" s="27"/>
      <c r="B196" s="60" t="s">
        <v>213</v>
      </c>
      <c r="C196" s="103"/>
      <c r="D196" s="60"/>
      <c r="E196" s="103"/>
      <c r="F196" s="28"/>
      <c r="G196" s="105"/>
      <c r="H196" s="60">
        <v>0</v>
      </c>
      <c r="I196" s="105">
        <v>0</v>
      </c>
      <c r="J196" s="59">
        <v>0</v>
      </c>
      <c r="K196" s="143">
        <v>0</v>
      </c>
      <c r="L196" s="88"/>
      <c r="M196" s="97"/>
      <c r="N196" s="6"/>
    </row>
    <row r="197" spans="1:14" ht="15.75">
      <c r="A197" s="27"/>
      <c r="B197" s="60" t="s">
        <v>214</v>
      </c>
      <c r="C197" s="103"/>
      <c r="D197" s="60"/>
      <c r="E197" s="103"/>
      <c r="F197" s="28"/>
      <c r="G197" s="105"/>
      <c r="H197" s="60">
        <v>0</v>
      </c>
      <c r="I197" s="105">
        <v>0</v>
      </c>
      <c r="J197" s="59">
        <v>0</v>
      </c>
      <c r="K197" s="143">
        <v>0</v>
      </c>
      <c r="L197" s="88"/>
      <c r="M197" s="97"/>
      <c r="N197" s="6"/>
    </row>
    <row r="198" spans="1:14" ht="15.75">
      <c r="A198" s="27"/>
      <c r="B198" s="60" t="s">
        <v>215</v>
      </c>
      <c r="C198" s="103"/>
      <c r="D198" s="60"/>
      <c r="E198" s="103"/>
      <c r="F198" s="28"/>
      <c r="G198" s="105"/>
      <c r="H198" s="60">
        <v>0</v>
      </c>
      <c r="I198" s="105">
        <v>0</v>
      </c>
      <c r="J198" s="59">
        <v>0</v>
      </c>
      <c r="K198" s="143">
        <v>0</v>
      </c>
      <c r="L198" s="88"/>
      <c r="M198" s="97"/>
      <c r="N198" s="6"/>
    </row>
    <row r="199" spans="1:14" ht="15.75">
      <c r="A199" s="27"/>
      <c r="B199" s="60" t="s">
        <v>216</v>
      </c>
      <c r="C199" s="103"/>
      <c r="D199" s="60"/>
      <c r="E199" s="103"/>
      <c r="F199" s="28"/>
      <c r="G199" s="105"/>
      <c r="H199" s="60">
        <v>0</v>
      </c>
      <c r="I199" s="105">
        <v>0</v>
      </c>
      <c r="J199" s="59">
        <v>0</v>
      </c>
      <c r="K199" s="143">
        <v>0</v>
      </c>
      <c r="L199" s="88"/>
      <c r="M199" s="97"/>
      <c r="N199" s="6"/>
    </row>
    <row r="200" spans="1:14" ht="15.75">
      <c r="A200" s="27"/>
      <c r="B200" s="60" t="s">
        <v>217</v>
      </c>
      <c r="C200" s="103"/>
      <c r="D200" s="60"/>
      <c r="E200" s="103"/>
      <c r="F200" s="28"/>
      <c r="G200" s="105"/>
      <c r="H200" s="60">
        <v>0</v>
      </c>
      <c r="I200" s="105">
        <v>0</v>
      </c>
      <c r="J200" s="59">
        <v>0</v>
      </c>
      <c r="K200" s="143">
        <v>0</v>
      </c>
      <c r="L200" s="88"/>
      <c r="M200" s="97"/>
      <c r="N200" s="6"/>
    </row>
    <row r="201" spans="1:14" ht="15.75">
      <c r="A201" s="27"/>
      <c r="B201" s="60"/>
      <c r="C201" s="103"/>
      <c r="D201" s="60"/>
      <c r="E201" s="103"/>
      <c r="F201" s="28"/>
      <c r="G201" s="105"/>
      <c r="H201" s="60"/>
      <c r="I201" s="105"/>
      <c r="J201" s="59"/>
      <c r="K201" s="143"/>
      <c r="L201" s="88"/>
      <c r="M201" s="97"/>
      <c r="N201" s="6"/>
    </row>
    <row r="202" spans="1:14" ht="15.75">
      <c r="A202" s="158"/>
      <c r="B202" s="159"/>
      <c r="C202" s="159"/>
      <c r="D202" s="159"/>
      <c r="E202" s="159"/>
      <c r="F202" s="159"/>
      <c r="G202" s="159"/>
      <c r="H202" s="160">
        <f>SUM(H193:H200)</f>
        <v>0</v>
      </c>
      <c r="I202" s="161">
        <f>SUM(I193:I201)</f>
        <v>0</v>
      </c>
      <c r="J202" s="162">
        <f>SUM(J193:J201)</f>
        <v>0</v>
      </c>
      <c r="K202" s="161">
        <f>SUM(K193:K201)</f>
        <v>0</v>
      </c>
      <c r="L202" s="159"/>
      <c r="M202" s="163"/>
      <c r="N202" s="6"/>
    </row>
    <row r="203" spans="1:14" ht="15.75">
      <c r="A203" s="149"/>
      <c r="B203" s="150"/>
      <c r="C203" s="150"/>
      <c r="D203" s="150"/>
      <c r="E203" s="150"/>
      <c r="F203" s="150"/>
      <c r="G203" s="150"/>
      <c r="H203" s="151"/>
      <c r="I203" s="152"/>
      <c r="J203" s="153"/>
      <c r="K203" s="152"/>
      <c r="L203" s="150"/>
      <c r="M203" s="154"/>
      <c r="N203" s="6"/>
    </row>
    <row r="204" spans="1:14" ht="15.75">
      <c r="A204" s="146"/>
      <c r="B204" s="155" t="s">
        <v>222</v>
      </c>
      <c r="C204" s="156"/>
      <c r="D204" s="157"/>
      <c r="E204" s="156"/>
      <c r="F204" s="157"/>
      <c r="G204" s="156"/>
      <c r="H204" s="157" t="s">
        <v>175</v>
      </c>
      <c r="I204" s="156" t="s">
        <v>176</v>
      </c>
      <c r="J204" s="157" t="s">
        <v>186</v>
      </c>
      <c r="K204" s="156" t="s">
        <v>176</v>
      </c>
      <c r="L204" s="147"/>
      <c r="M204" s="148"/>
      <c r="N204" s="6"/>
    </row>
    <row r="205" spans="1:14" ht="15.75">
      <c r="A205" s="27"/>
      <c r="B205" s="60" t="s">
        <v>140</v>
      </c>
      <c r="C205" s="103"/>
      <c r="D205" s="60"/>
      <c r="E205" s="103"/>
      <c r="F205" s="28"/>
      <c r="G205" s="103"/>
      <c r="H205" s="60">
        <v>0</v>
      </c>
      <c r="I205" s="105">
        <v>0</v>
      </c>
      <c r="J205" s="59">
        <v>0</v>
      </c>
      <c r="K205" s="143">
        <v>0</v>
      </c>
      <c r="L205" s="28"/>
      <c r="M205" s="28"/>
      <c r="N205" s="6"/>
    </row>
    <row r="206" spans="1:14" ht="15.75">
      <c r="A206" s="27"/>
      <c r="B206" s="60" t="s">
        <v>141</v>
      </c>
      <c r="C206" s="103"/>
      <c r="D206" s="60"/>
      <c r="E206" s="103"/>
      <c r="F206" s="28"/>
      <c r="G206" s="105"/>
      <c r="H206" s="60">
        <v>0</v>
      </c>
      <c r="I206" s="105">
        <v>0</v>
      </c>
      <c r="J206" s="59">
        <v>0</v>
      </c>
      <c r="K206" s="143">
        <v>0</v>
      </c>
      <c r="L206" s="28"/>
      <c r="M206" s="28"/>
      <c r="N206" s="6"/>
    </row>
    <row r="207" spans="1:14" ht="15.75">
      <c r="A207" s="27"/>
      <c r="B207" s="60" t="s">
        <v>142</v>
      </c>
      <c r="C207" s="103"/>
      <c r="D207" s="60"/>
      <c r="E207" s="103"/>
      <c r="F207" s="28"/>
      <c r="G207" s="105"/>
      <c r="H207" s="60">
        <v>0</v>
      </c>
      <c r="I207" s="105">
        <v>0</v>
      </c>
      <c r="J207" s="59">
        <v>0</v>
      </c>
      <c r="K207" s="143">
        <v>0</v>
      </c>
      <c r="L207" s="28"/>
      <c r="M207" s="28"/>
      <c r="N207" s="6"/>
    </row>
    <row r="208" spans="1:14" ht="15.75">
      <c r="A208" s="27"/>
      <c r="B208" s="60" t="s">
        <v>213</v>
      </c>
      <c r="C208" s="103"/>
      <c r="D208" s="60"/>
      <c r="E208" s="103"/>
      <c r="F208" s="28"/>
      <c r="G208" s="105"/>
      <c r="H208" s="60">
        <v>0</v>
      </c>
      <c r="I208" s="105">
        <v>0</v>
      </c>
      <c r="J208" s="59">
        <v>0</v>
      </c>
      <c r="K208" s="143">
        <v>0</v>
      </c>
      <c r="L208" s="28"/>
      <c r="M208" s="28"/>
      <c r="N208" s="6"/>
    </row>
    <row r="209" spans="1:14" ht="15.75">
      <c r="A209" s="27"/>
      <c r="B209" s="60" t="s">
        <v>214</v>
      </c>
      <c r="C209" s="103"/>
      <c r="D209" s="60"/>
      <c r="E209" s="103"/>
      <c r="F209" s="28"/>
      <c r="G209" s="105"/>
      <c r="H209" s="60">
        <v>0</v>
      </c>
      <c r="I209" s="105">
        <v>0</v>
      </c>
      <c r="J209" s="59">
        <v>0</v>
      </c>
      <c r="K209" s="143">
        <v>0</v>
      </c>
      <c r="L209" s="28"/>
      <c r="M209" s="28"/>
      <c r="N209" s="6"/>
    </row>
    <row r="210" spans="1:14" ht="15.75">
      <c r="A210" s="27"/>
      <c r="B210" s="60" t="s">
        <v>215</v>
      </c>
      <c r="C210" s="103"/>
      <c r="D210" s="60"/>
      <c r="E210" s="103"/>
      <c r="F210" s="28"/>
      <c r="G210" s="105"/>
      <c r="H210" s="60">
        <v>0</v>
      </c>
      <c r="I210" s="105">
        <v>0</v>
      </c>
      <c r="J210" s="59">
        <v>0</v>
      </c>
      <c r="K210" s="143">
        <v>0</v>
      </c>
      <c r="L210" s="28"/>
      <c r="M210" s="28"/>
      <c r="N210" s="6"/>
    </row>
    <row r="211" spans="1:14" ht="15.75">
      <c r="A211" s="27"/>
      <c r="B211" s="60" t="s">
        <v>216</v>
      </c>
      <c r="C211" s="103"/>
      <c r="D211" s="60"/>
      <c r="E211" s="103"/>
      <c r="F211" s="28"/>
      <c r="G211" s="105"/>
      <c r="H211" s="60">
        <v>0</v>
      </c>
      <c r="I211" s="105">
        <v>0</v>
      </c>
      <c r="J211" s="59">
        <v>0</v>
      </c>
      <c r="K211" s="143">
        <v>0</v>
      </c>
      <c r="L211" s="28"/>
      <c r="M211" s="28"/>
      <c r="N211" s="6"/>
    </row>
    <row r="212" spans="1:14" ht="15.75">
      <c r="A212" s="27"/>
      <c r="B212" s="60" t="s">
        <v>217</v>
      </c>
      <c r="C212" s="103"/>
      <c r="D212" s="60"/>
      <c r="E212" s="103"/>
      <c r="F212" s="28"/>
      <c r="G212" s="105"/>
      <c r="H212" s="60">
        <v>0</v>
      </c>
      <c r="I212" s="105">
        <v>0</v>
      </c>
      <c r="J212" s="59">
        <v>0</v>
      </c>
      <c r="K212" s="143">
        <v>0</v>
      </c>
      <c r="L212" s="28"/>
      <c r="M212" s="28"/>
      <c r="N212" s="6"/>
    </row>
    <row r="213" spans="1:14" ht="15.75">
      <c r="A213" s="27"/>
      <c r="B213" s="60"/>
      <c r="C213" s="103"/>
      <c r="D213" s="60"/>
      <c r="E213" s="103"/>
      <c r="F213" s="28"/>
      <c r="G213" s="105"/>
      <c r="H213" s="60"/>
      <c r="I213" s="105"/>
      <c r="J213" s="59"/>
      <c r="K213" s="143"/>
      <c r="L213" s="28"/>
      <c r="M213" s="28"/>
      <c r="N213" s="6"/>
    </row>
    <row r="214" spans="1:14" ht="15.75">
      <c r="A214" s="158"/>
      <c r="B214" s="159"/>
      <c r="C214" s="159"/>
      <c r="D214" s="159"/>
      <c r="E214" s="159"/>
      <c r="F214" s="159"/>
      <c r="G214" s="159"/>
      <c r="H214" s="160">
        <f>SUM(H205:H212)</f>
        <v>0</v>
      </c>
      <c r="I214" s="161">
        <f>SUM(I205:I213)</f>
        <v>0</v>
      </c>
      <c r="J214" s="162">
        <f>SUM(J205:J213)</f>
        <v>0</v>
      </c>
      <c r="K214" s="161">
        <f>SUM(K205:K213)</f>
        <v>0</v>
      </c>
      <c r="L214" s="159"/>
      <c r="M214" s="163"/>
      <c r="N214" s="6"/>
    </row>
    <row r="215" spans="1:14" ht="15.75">
      <c r="A215" s="7"/>
      <c r="B215" s="9"/>
      <c r="C215" s="9"/>
      <c r="D215" s="9"/>
      <c r="E215" s="9"/>
      <c r="F215" s="9"/>
      <c r="G215" s="9"/>
      <c r="H215" s="61"/>
      <c r="I215" s="108"/>
      <c r="J215" s="109"/>
      <c r="K215" s="108"/>
      <c r="L215" s="9"/>
      <c r="M215" s="9"/>
      <c r="N215" s="6"/>
    </row>
    <row r="216" spans="1:14" ht="15.75">
      <c r="A216" s="110"/>
      <c r="B216" s="16" t="s">
        <v>218</v>
      </c>
      <c r="C216" s="111"/>
      <c r="D216" s="19"/>
      <c r="E216" s="17"/>
      <c r="F216" s="16"/>
      <c r="G216" s="112"/>
      <c r="H216" s="112"/>
      <c r="I216" s="112"/>
      <c r="J216" s="125"/>
      <c r="K216" s="125"/>
      <c r="L216" s="125"/>
      <c r="M216" s="125"/>
      <c r="N216" s="6"/>
    </row>
    <row r="217" spans="1:14" ht="15.75">
      <c r="A217" s="129"/>
      <c r="B217" s="125"/>
      <c r="C217" s="125"/>
      <c r="D217" s="9"/>
      <c r="E217" s="9"/>
      <c r="F217" s="9"/>
      <c r="G217" s="125"/>
      <c r="H217" s="125"/>
      <c r="I217" s="125"/>
      <c r="J217" s="125"/>
      <c r="K217" s="125"/>
      <c r="L217" s="125"/>
      <c r="M217" s="125"/>
      <c r="N217" s="6"/>
    </row>
    <row r="218" spans="1:14" ht="15.75">
      <c r="A218" s="129"/>
      <c r="B218" s="15" t="s">
        <v>220</v>
      </c>
      <c r="C218" s="114"/>
      <c r="D218" s="115"/>
      <c r="E218" s="15"/>
      <c r="F218" s="15"/>
      <c r="G218" s="114"/>
      <c r="H218" s="114"/>
      <c r="I218" s="125"/>
      <c r="J218" s="125"/>
      <c r="K218" s="125"/>
      <c r="L218" s="125"/>
      <c r="M218" s="125"/>
      <c r="N218" s="6"/>
    </row>
    <row r="219" spans="1:14" ht="15.75">
      <c r="A219" s="129"/>
      <c r="B219" s="15" t="s">
        <v>219</v>
      </c>
      <c r="C219" s="114"/>
      <c r="D219" s="115"/>
      <c r="E219" s="15"/>
      <c r="F219" s="15"/>
      <c r="G219" s="114"/>
      <c r="H219" s="114"/>
      <c r="I219" s="125"/>
      <c r="J219" s="125"/>
      <c r="K219" s="125"/>
      <c r="L219" s="125"/>
      <c r="M219" s="125"/>
      <c r="N219" s="6"/>
    </row>
    <row r="220" spans="1:14" ht="15.75">
      <c r="A220" s="129"/>
      <c r="B220" s="15"/>
      <c r="C220" s="114"/>
      <c r="D220" s="115"/>
      <c r="E220" s="15"/>
      <c r="F220" s="15"/>
      <c r="G220" s="114"/>
      <c r="H220" s="114"/>
      <c r="I220" s="125"/>
      <c r="J220" s="125"/>
      <c r="K220" s="125"/>
      <c r="L220" s="125"/>
      <c r="M220" s="125"/>
      <c r="N220" s="6"/>
    </row>
    <row r="221" spans="1:14" ht="15.75">
      <c r="A221" s="129"/>
      <c r="B221" s="15"/>
      <c r="C221" s="114"/>
      <c r="D221" s="115"/>
      <c r="E221" s="15"/>
      <c r="F221" s="15"/>
      <c r="G221" s="114"/>
      <c r="H221" s="114"/>
      <c r="I221" s="125"/>
      <c r="J221" s="125"/>
      <c r="K221" s="125"/>
      <c r="L221" s="125"/>
      <c r="M221" s="125"/>
      <c r="N221" s="6"/>
    </row>
    <row r="222" spans="1:14" ht="18.75">
      <c r="A222" s="129"/>
      <c r="B222" s="55" t="str">
        <f>B159</f>
        <v>PM4 INVESTOR REPORT QUARTER ENDING JUNE 2005</v>
      </c>
      <c r="C222" s="114"/>
      <c r="D222" s="115"/>
      <c r="E222" s="15"/>
      <c r="F222" s="15"/>
      <c r="G222" s="114"/>
      <c r="H222" s="114"/>
      <c r="I222" s="125"/>
      <c r="J222" s="125"/>
      <c r="K222" s="125"/>
      <c r="L222" s="125"/>
      <c r="M222" s="125"/>
      <c r="N222" s="6"/>
    </row>
    <row r="223" spans="1:13" ht="15">
      <c r="A223" s="116"/>
      <c r="B223" s="116"/>
      <c r="C223" s="116"/>
      <c r="D223" s="116"/>
      <c r="E223" s="116"/>
      <c r="F223" s="116"/>
      <c r="G223" s="116"/>
      <c r="H223" s="116"/>
      <c r="I223" s="116"/>
      <c r="J223" s="116"/>
      <c r="K223" s="116"/>
      <c r="L223" s="116"/>
      <c r="M223" s="116"/>
    </row>
    <row r="226" ht="15">
      <c r="J226" s="144"/>
    </row>
  </sheetData>
  <printOptions horizontalCentered="1" verticalCentered="1"/>
  <pageMargins left="0.5118110236220472" right="0.5118110236220472" top="0.31496062992125984" bottom="0.35433070866141736" header="0" footer="0"/>
  <pageSetup horizontalDpi="600" verticalDpi="600" orientation="landscape" paperSize="9" scale="48" r:id="rId2"/>
  <rowBreaks count="3" manualBreakCount="3">
    <brk id="53" max="13" man="1"/>
    <brk id="108" max="13" man="1"/>
    <brk id="159" max="13" man="1"/>
  </rowBreaks>
  <drawing r:id="rId1"/>
</worksheet>
</file>

<file path=xl/worksheets/sheet2.xml><?xml version="1.0" encoding="utf-8"?>
<worksheet xmlns="http://schemas.openxmlformats.org/spreadsheetml/2006/main" xmlns:r="http://schemas.openxmlformats.org/officeDocument/2006/relationships">
  <dimension ref="A1:N20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29.445312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4"/>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189</v>
      </c>
      <c r="M14" s="17"/>
      <c r="N14" s="6"/>
    </row>
    <row r="15" spans="1:14" ht="15.75">
      <c r="A15" s="7"/>
      <c r="B15" s="16" t="s">
        <v>8</v>
      </c>
      <c r="C15" s="16"/>
      <c r="D15" s="17"/>
      <c r="E15" s="17"/>
      <c r="F15" s="17"/>
      <c r="G15" s="17"/>
      <c r="H15" s="19"/>
      <c r="I15" s="20"/>
      <c r="J15" s="19" t="s">
        <v>177</v>
      </c>
      <c r="K15" s="20">
        <v>1</v>
      </c>
      <c r="L15" s="18"/>
      <c r="M15" s="17"/>
      <c r="N15" s="6"/>
    </row>
    <row r="16" spans="1:14" ht="15.75">
      <c r="A16" s="7"/>
      <c r="B16" s="16" t="s">
        <v>9</v>
      </c>
      <c r="C16" s="16"/>
      <c r="D16" s="17"/>
      <c r="E16" s="17"/>
      <c r="F16" s="17"/>
      <c r="G16" s="17"/>
      <c r="H16" s="19"/>
      <c r="I16" s="20"/>
      <c r="J16" s="19" t="s">
        <v>177</v>
      </c>
      <c r="K16" s="20">
        <v>1</v>
      </c>
      <c r="L16" s="18"/>
      <c r="M16" s="17"/>
      <c r="N16" s="6"/>
    </row>
    <row r="17" spans="1:14" ht="15.75">
      <c r="A17" s="7"/>
      <c r="B17" s="16" t="s">
        <v>10</v>
      </c>
      <c r="C17" s="16"/>
      <c r="D17" s="17"/>
      <c r="E17" s="17"/>
      <c r="F17" s="17"/>
      <c r="G17" s="17"/>
      <c r="H17" s="17"/>
      <c r="I17" s="17"/>
      <c r="J17" s="17"/>
      <c r="K17" s="17"/>
      <c r="L17" s="21">
        <v>37342</v>
      </c>
      <c r="M17" s="17"/>
      <c r="N17" s="6"/>
    </row>
    <row r="18" spans="1:14" ht="15.75">
      <c r="A18" s="7"/>
      <c r="B18" s="16" t="s">
        <v>11</v>
      </c>
      <c r="C18" s="16"/>
      <c r="D18" s="17"/>
      <c r="E18" s="17"/>
      <c r="F18" s="17"/>
      <c r="G18" s="17"/>
      <c r="H18" s="17"/>
      <c r="I18" s="17"/>
      <c r="J18" s="17"/>
      <c r="K18" s="17"/>
      <c r="L18" s="21">
        <v>37546</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178</v>
      </c>
      <c r="K20" s="9"/>
      <c r="L20" s="14"/>
      <c r="M20" s="9"/>
      <c r="N20" s="6"/>
    </row>
    <row r="21" spans="1:14" ht="15.75">
      <c r="A21" s="7"/>
      <c r="B21" s="9"/>
      <c r="C21" s="9"/>
      <c r="D21" s="9"/>
      <c r="E21" s="9"/>
      <c r="F21" s="9"/>
      <c r="G21" s="9"/>
      <c r="H21" s="9"/>
      <c r="I21" s="9"/>
      <c r="J21" s="9"/>
      <c r="K21" s="9"/>
      <c r="L21" s="24"/>
      <c r="M21" s="9"/>
      <c r="N21" s="6"/>
    </row>
    <row r="22" spans="1:14" ht="15.75">
      <c r="A22" s="7"/>
      <c r="B22" s="9"/>
      <c r="C22" s="132" t="s">
        <v>147</v>
      </c>
      <c r="D22" s="25"/>
      <c r="E22" s="25"/>
      <c r="F22" s="133" t="s">
        <v>155</v>
      </c>
      <c r="G22" s="133"/>
      <c r="H22" s="133" t="s">
        <v>167</v>
      </c>
      <c r="I22" s="26"/>
      <c r="J22" s="25"/>
      <c r="K22" s="14"/>
      <c r="L22" s="14"/>
      <c r="M22" s="9"/>
      <c r="N22" s="6"/>
    </row>
    <row r="23" spans="1:14" ht="15.75">
      <c r="A23" s="7"/>
      <c r="B23" s="9" t="s">
        <v>13</v>
      </c>
      <c r="C23" s="132" t="s">
        <v>148</v>
      </c>
      <c r="D23" s="25"/>
      <c r="E23" s="25"/>
      <c r="F23" s="25" t="s">
        <v>156</v>
      </c>
      <c r="G23" s="25"/>
      <c r="H23" s="25" t="s">
        <v>168</v>
      </c>
      <c r="I23" s="25"/>
      <c r="J23" s="25"/>
      <c r="K23" s="14"/>
      <c r="L23" s="14"/>
      <c r="M23" s="9"/>
      <c r="N23" s="6"/>
    </row>
    <row r="24" spans="1:14" ht="15.75">
      <c r="A24" s="27"/>
      <c r="B24" s="28" t="s">
        <v>14</v>
      </c>
      <c r="C24" s="29"/>
      <c r="D24" s="30"/>
      <c r="E24" s="30"/>
      <c r="F24" s="30" t="s">
        <v>157</v>
      </c>
      <c r="G24" s="30"/>
      <c r="H24" s="30" t="s">
        <v>169</v>
      </c>
      <c r="I24" s="30"/>
      <c r="J24" s="30"/>
      <c r="K24" s="31"/>
      <c r="L24" s="31"/>
      <c r="M24" s="28"/>
      <c r="N24" s="6"/>
    </row>
    <row r="25" spans="1:14" ht="15.75">
      <c r="A25" s="27"/>
      <c r="B25" s="28" t="s">
        <v>15</v>
      </c>
      <c r="C25" s="29"/>
      <c r="D25" s="30"/>
      <c r="E25" s="30"/>
      <c r="F25" s="30" t="s">
        <v>157</v>
      </c>
      <c r="G25" s="30"/>
      <c r="H25" s="30" t="s">
        <v>169</v>
      </c>
      <c r="I25" s="30"/>
      <c r="J25" s="30"/>
      <c r="K25" s="31"/>
      <c r="L25" s="31"/>
      <c r="M25" s="28"/>
      <c r="N25" s="6"/>
    </row>
    <row r="26" spans="1:14" ht="15.75">
      <c r="A26" s="32"/>
      <c r="B26" s="33" t="s">
        <v>16</v>
      </c>
      <c r="C26" s="33"/>
      <c r="D26" s="34"/>
      <c r="E26" s="34"/>
      <c r="F26" s="34" t="s">
        <v>156</v>
      </c>
      <c r="G26" s="34"/>
      <c r="H26" s="34" t="s">
        <v>168</v>
      </c>
      <c r="I26" s="34"/>
      <c r="J26" s="30"/>
      <c r="K26" s="31"/>
      <c r="L26" s="31"/>
      <c r="M26" s="28"/>
      <c r="N26" s="6"/>
    </row>
    <row r="27" spans="1:14" ht="15.75">
      <c r="A27" s="32"/>
      <c r="B27" s="33" t="s">
        <v>17</v>
      </c>
      <c r="C27" s="33"/>
      <c r="D27" s="34"/>
      <c r="E27" s="34"/>
      <c r="F27" s="34" t="s">
        <v>157</v>
      </c>
      <c r="G27" s="34"/>
      <c r="H27" s="34" t="s">
        <v>169</v>
      </c>
      <c r="I27" s="34"/>
      <c r="J27" s="30"/>
      <c r="K27" s="31"/>
      <c r="L27" s="31"/>
      <c r="M27" s="28"/>
      <c r="N27" s="6"/>
    </row>
    <row r="28" spans="1:14" ht="15.75">
      <c r="A28" s="32"/>
      <c r="B28" s="33" t="s">
        <v>18</v>
      </c>
      <c r="C28" s="33"/>
      <c r="D28" s="34"/>
      <c r="E28" s="34"/>
      <c r="F28" s="34" t="s">
        <v>157</v>
      </c>
      <c r="G28" s="34"/>
      <c r="H28" s="34" t="s">
        <v>169</v>
      </c>
      <c r="I28" s="34"/>
      <c r="J28" s="30"/>
      <c r="K28" s="31"/>
      <c r="L28" s="31"/>
      <c r="M28" s="28"/>
      <c r="N28" s="6"/>
    </row>
    <row r="29" spans="1:14" ht="15.75">
      <c r="A29" s="27"/>
      <c r="B29" s="28" t="s">
        <v>19</v>
      </c>
      <c r="C29" s="28"/>
      <c r="D29" s="29"/>
      <c r="E29" s="30"/>
      <c r="F29" s="29" t="s">
        <v>158</v>
      </c>
      <c r="G29" s="30"/>
      <c r="H29" s="29" t="s">
        <v>170</v>
      </c>
      <c r="I29" s="30"/>
      <c r="J29" s="29"/>
      <c r="K29" s="31"/>
      <c r="L29" s="31"/>
      <c r="M29" s="28"/>
      <c r="N29" s="6"/>
    </row>
    <row r="30" spans="1:14" ht="15.75">
      <c r="A30" s="27"/>
      <c r="B30" s="28"/>
      <c r="C30" s="28"/>
      <c r="D30" s="28"/>
      <c r="E30" s="30"/>
      <c r="F30" s="30"/>
      <c r="G30" s="30"/>
      <c r="H30" s="30"/>
      <c r="I30" s="30"/>
      <c r="J30" s="30"/>
      <c r="K30" s="31"/>
      <c r="L30" s="31"/>
      <c r="M30" s="28"/>
      <c r="N30" s="6"/>
    </row>
    <row r="31" spans="1:14" ht="15.75">
      <c r="A31" s="27"/>
      <c r="B31" s="28" t="s">
        <v>20</v>
      </c>
      <c r="C31" s="28"/>
      <c r="D31" s="35"/>
      <c r="E31" s="36"/>
      <c r="F31" s="35">
        <v>457500</v>
      </c>
      <c r="G31" s="35"/>
      <c r="H31" s="35">
        <v>42500</v>
      </c>
      <c r="I31" s="35"/>
      <c r="J31" s="35"/>
      <c r="K31" s="37"/>
      <c r="L31" s="35">
        <f>H31+F31</f>
        <v>500000</v>
      </c>
      <c r="M31" s="38"/>
      <c r="N31" s="6"/>
    </row>
    <row r="32" spans="1:14" ht="15.75">
      <c r="A32" s="27"/>
      <c r="B32" s="28" t="s">
        <v>21</v>
      </c>
      <c r="C32" s="39">
        <v>0.971003</v>
      </c>
      <c r="D32" s="35"/>
      <c r="E32" s="36"/>
      <c r="F32" s="35">
        <f>F31*C32</f>
        <v>444233.8725</v>
      </c>
      <c r="G32" s="35"/>
      <c r="H32" s="35">
        <v>42500</v>
      </c>
      <c r="I32" s="35"/>
      <c r="J32" s="35"/>
      <c r="K32" s="37"/>
      <c r="L32" s="35">
        <f>H32+F32</f>
        <v>486733.8725</v>
      </c>
      <c r="M32" s="38"/>
      <c r="N32" s="6"/>
    </row>
    <row r="33" spans="1:14" ht="12.75" customHeight="1">
      <c r="A33" s="32"/>
      <c r="B33" s="33" t="s">
        <v>22</v>
      </c>
      <c r="C33" s="40">
        <v>0.947624</v>
      </c>
      <c r="D33" s="41"/>
      <c r="E33" s="42"/>
      <c r="F33" s="41">
        <f>F31*C33</f>
        <v>433537.98</v>
      </c>
      <c r="G33" s="41"/>
      <c r="H33" s="41">
        <f>H31</f>
        <v>42500</v>
      </c>
      <c r="I33" s="41"/>
      <c r="J33" s="41"/>
      <c r="K33" s="43"/>
      <c r="L33" s="41">
        <f>H33+F33+D33</f>
        <v>476037.98</v>
      </c>
      <c r="M33" s="38"/>
      <c r="N33" s="6"/>
    </row>
    <row r="34" spans="1:14" ht="15.75">
      <c r="A34" s="27"/>
      <c r="B34" s="28" t="s">
        <v>23</v>
      </c>
      <c r="C34" s="44"/>
      <c r="D34" s="29"/>
      <c r="E34" s="28"/>
      <c r="F34" s="29" t="s">
        <v>159</v>
      </c>
      <c r="G34" s="29"/>
      <c r="H34" s="29" t="s">
        <v>171</v>
      </c>
      <c r="I34" s="29"/>
      <c r="J34" s="29"/>
      <c r="K34" s="31"/>
      <c r="L34" s="31"/>
      <c r="M34" s="28"/>
      <c r="N34" s="6"/>
    </row>
    <row r="35" spans="1:14" ht="15.75">
      <c r="A35" s="27"/>
      <c r="B35" s="28" t="s">
        <v>24</v>
      </c>
      <c r="C35" s="28"/>
      <c r="D35" s="45"/>
      <c r="E35" s="28"/>
      <c r="F35" s="45">
        <v>0.04395</v>
      </c>
      <c r="G35" s="46"/>
      <c r="H35" s="45">
        <v>0.04985</v>
      </c>
      <c r="I35" s="46"/>
      <c r="J35" s="45"/>
      <c r="K35" s="31"/>
      <c r="L35" s="46">
        <f>SUMPRODUCT(F35:H35,F32:H32)/L32</f>
        <v>0.04446516858424518</v>
      </c>
      <c r="M35" s="28"/>
      <c r="N35" s="6"/>
    </row>
    <row r="36" spans="1:14" ht="15.75">
      <c r="A36" s="27"/>
      <c r="B36" s="28" t="s">
        <v>25</v>
      </c>
      <c r="C36" s="28"/>
      <c r="D36" s="45"/>
      <c r="E36" s="28"/>
      <c r="F36" s="45">
        <v>0.0447155</v>
      </c>
      <c r="G36" s="46"/>
      <c r="H36" s="45">
        <v>0.0506155</v>
      </c>
      <c r="I36" s="46"/>
      <c r="J36" s="45"/>
      <c r="K36" s="31"/>
      <c r="L36" s="31"/>
      <c r="M36" s="28"/>
      <c r="N36" s="6"/>
    </row>
    <row r="37" spans="1:14" ht="15.75">
      <c r="A37" s="27"/>
      <c r="B37" s="28" t="s">
        <v>26</v>
      </c>
      <c r="C37" s="28"/>
      <c r="D37" s="29"/>
      <c r="E37" s="28"/>
      <c r="F37" s="29" t="s">
        <v>160</v>
      </c>
      <c r="G37" s="29"/>
      <c r="H37" s="29" t="s">
        <v>160</v>
      </c>
      <c r="I37" s="29"/>
      <c r="J37" s="29"/>
      <c r="K37" s="31"/>
      <c r="L37" s="31"/>
      <c r="M37" s="28"/>
      <c r="N37" s="6"/>
    </row>
    <row r="38" spans="1:14" ht="15.75">
      <c r="A38" s="27"/>
      <c r="B38" s="28" t="s">
        <v>27</v>
      </c>
      <c r="C38" s="28"/>
      <c r="D38" s="29"/>
      <c r="E38" s="28"/>
      <c r="F38" s="29" t="s">
        <v>161</v>
      </c>
      <c r="G38" s="29"/>
      <c r="H38" s="29" t="s">
        <v>161</v>
      </c>
      <c r="I38" s="29"/>
      <c r="J38" s="29"/>
      <c r="K38" s="31"/>
      <c r="L38" s="31"/>
      <c r="M38" s="28"/>
      <c r="N38" s="6"/>
    </row>
    <row r="39" spans="1:14" ht="15.75">
      <c r="A39" s="27"/>
      <c r="B39" s="28" t="s">
        <v>28</v>
      </c>
      <c r="C39" s="28"/>
      <c r="D39" s="29"/>
      <c r="E39" s="28"/>
      <c r="F39" s="29" t="s">
        <v>162</v>
      </c>
      <c r="G39" s="29"/>
      <c r="H39" s="29" t="s">
        <v>172</v>
      </c>
      <c r="I39" s="29"/>
      <c r="J39" s="29"/>
      <c r="K39" s="31"/>
      <c r="L39" s="31"/>
      <c r="M39" s="28"/>
      <c r="N39" s="6"/>
    </row>
    <row r="40" spans="1:14" ht="15.75">
      <c r="A40" s="27"/>
      <c r="B40" s="28"/>
      <c r="C40" s="28"/>
      <c r="D40" s="47"/>
      <c r="E40" s="47"/>
      <c r="F40" s="28"/>
      <c r="G40" s="47"/>
      <c r="H40" s="47"/>
      <c r="I40" s="47"/>
      <c r="J40" s="47"/>
      <c r="K40" s="47"/>
      <c r="L40" s="47"/>
      <c r="M40" s="28"/>
      <c r="N40" s="6"/>
    </row>
    <row r="41" spans="1:14" ht="15.75">
      <c r="A41" s="27"/>
      <c r="B41" s="28" t="s">
        <v>29</v>
      </c>
      <c r="C41" s="28"/>
      <c r="D41" s="28"/>
      <c r="E41" s="28"/>
      <c r="F41" s="28"/>
      <c r="G41" s="28"/>
      <c r="H41" s="117"/>
      <c r="I41" s="28"/>
      <c r="J41" s="28"/>
      <c r="K41" s="28"/>
      <c r="L41" s="46">
        <f>H31/F31</f>
        <v>0.09289617486338798</v>
      </c>
      <c r="M41" s="28"/>
      <c r="N41" s="6"/>
    </row>
    <row r="42" spans="1:14" ht="15.75">
      <c r="A42" s="27"/>
      <c r="B42" s="28" t="s">
        <v>30</v>
      </c>
      <c r="C42" s="28"/>
      <c r="D42" s="28"/>
      <c r="E42" s="28"/>
      <c r="F42" s="28"/>
      <c r="G42" s="28"/>
      <c r="H42" s="117"/>
      <c r="I42" s="28"/>
      <c r="J42" s="28"/>
      <c r="K42" s="28"/>
      <c r="L42" s="46">
        <f>H33/F33</f>
        <v>0.09803062698220812</v>
      </c>
      <c r="M42" s="28"/>
      <c r="N42" s="6"/>
    </row>
    <row r="43" spans="1:14" ht="15.75">
      <c r="A43" s="27"/>
      <c r="B43" s="28" t="s">
        <v>31</v>
      </c>
      <c r="C43" s="28"/>
      <c r="D43" s="28"/>
      <c r="E43" s="28"/>
      <c r="F43" s="28"/>
      <c r="G43" s="28"/>
      <c r="H43" s="28"/>
      <c r="I43" s="28"/>
      <c r="J43" s="29" t="s">
        <v>155</v>
      </c>
      <c r="K43" s="29" t="s">
        <v>187</v>
      </c>
      <c r="L43" s="35">
        <v>207500</v>
      </c>
      <c r="M43" s="28"/>
      <c r="N43" s="6"/>
    </row>
    <row r="44" spans="1:14" ht="15.75">
      <c r="A44" s="27"/>
      <c r="B44" s="28"/>
      <c r="C44" s="28"/>
      <c r="D44" s="28"/>
      <c r="E44" s="28"/>
      <c r="F44" s="28"/>
      <c r="G44" s="28"/>
      <c r="H44" s="28"/>
      <c r="I44" s="28"/>
      <c r="J44" s="28" t="s">
        <v>179</v>
      </c>
      <c r="K44" s="28"/>
      <c r="L44" s="48"/>
      <c r="M44" s="28"/>
      <c r="N44" s="6"/>
    </row>
    <row r="45" spans="1:14" ht="15.75">
      <c r="A45" s="27"/>
      <c r="B45" s="28" t="s">
        <v>32</v>
      </c>
      <c r="C45" s="28"/>
      <c r="D45" s="28"/>
      <c r="E45" s="28"/>
      <c r="F45" s="28"/>
      <c r="G45" s="28"/>
      <c r="H45" s="28"/>
      <c r="I45" s="28"/>
      <c r="J45" s="29"/>
      <c r="K45" s="29"/>
      <c r="L45" s="29" t="s">
        <v>190</v>
      </c>
      <c r="M45" s="28"/>
      <c r="N45" s="6"/>
    </row>
    <row r="46" spans="1:14" ht="15.75">
      <c r="A46" s="32"/>
      <c r="B46" s="33" t="s">
        <v>33</v>
      </c>
      <c r="C46" s="33"/>
      <c r="D46" s="33"/>
      <c r="E46" s="33"/>
      <c r="F46" s="33"/>
      <c r="G46" s="33"/>
      <c r="H46" s="33"/>
      <c r="I46" s="33"/>
      <c r="J46" s="49"/>
      <c r="K46" s="49"/>
      <c r="L46" s="50">
        <v>37536</v>
      </c>
      <c r="M46" s="28"/>
      <c r="N46" s="6"/>
    </row>
    <row r="47" spans="1:14" ht="15.75">
      <c r="A47" s="27"/>
      <c r="B47" s="28" t="s">
        <v>34</v>
      </c>
      <c r="C47" s="28"/>
      <c r="D47" s="28"/>
      <c r="E47" s="28"/>
      <c r="F47" s="28"/>
      <c r="G47" s="28"/>
      <c r="H47" s="28"/>
      <c r="I47" s="28">
        <f>L47-J47+1</f>
        <v>103</v>
      </c>
      <c r="J47" s="51">
        <v>37342</v>
      </c>
      <c r="K47" s="52"/>
      <c r="L47" s="51">
        <v>37444</v>
      </c>
      <c r="M47" s="28"/>
      <c r="N47" s="6"/>
    </row>
    <row r="48" spans="1:14" ht="15.75">
      <c r="A48" s="27"/>
      <c r="B48" s="28" t="s">
        <v>35</v>
      </c>
      <c r="C48" s="28"/>
      <c r="D48" s="28"/>
      <c r="E48" s="28"/>
      <c r="F48" s="28"/>
      <c r="G48" s="28"/>
      <c r="H48" s="28"/>
      <c r="I48" s="28">
        <f>L48-J48+1</f>
        <v>91</v>
      </c>
      <c r="J48" s="51">
        <v>37445</v>
      </c>
      <c r="K48" s="52"/>
      <c r="L48" s="51">
        <v>37535</v>
      </c>
      <c r="M48" s="28"/>
      <c r="N48" s="6"/>
    </row>
    <row r="49" spans="1:14" ht="15.75">
      <c r="A49" s="27"/>
      <c r="B49" s="28" t="s">
        <v>36</v>
      </c>
      <c r="C49" s="28"/>
      <c r="D49" s="28"/>
      <c r="E49" s="28"/>
      <c r="F49" s="28"/>
      <c r="G49" s="28"/>
      <c r="H49" s="28"/>
      <c r="I49" s="28"/>
      <c r="J49" s="51"/>
      <c r="K49" s="52"/>
      <c r="L49" s="51" t="s">
        <v>191</v>
      </c>
      <c r="M49" s="28"/>
      <c r="N49" s="6"/>
    </row>
    <row r="50" spans="1:14" ht="15.75">
      <c r="A50" s="27"/>
      <c r="B50" s="28" t="s">
        <v>37</v>
      </c>
      <c r="C50" s="28"/>
      <c r="D50" s="28"/>
      <c r="E50" s="28"/>
      <c r="F50" s="28"/>
      <c r="G50" s="28"/>
      <c r="H50" s="28"/>
      <c r="I50" s="28"/>
      <c r="J50" s="51"/>
      <c r="K50" s="52"/>
      <c r="L50" s="51">
        <v>37533</v>
      </c>
      <c r="M50" s="28"/>
      <c r="N50" s="6"/>
    </row>
    <row r="51" spans="1:14" ht="15.75">
      <c r="A51" s="27"/>
      <c r="B51" s="28"/>
      <c r="C51" s="28"/>
      <c r="D51" s="28"/>
      <c r="E51" s="28"/>
      <c r="F51" s="28"/>
      <c r="G51" s="28"/>
      <c r="H51" s="28"/>
      <c r="I51" s="28"/>
      <c r="J51" s="51"/>
      <c r="K51" s="52"/>
      <c r="L51" s="51"/>
      <c r="M51" s="28"/>
      <c r="N51" s="6"/>
    </row>
    <row r="52" spans="1:14" ht="15.75">
      <c r="A52" s="7"/>
      <c r="B52" s="9"/>
      <c r="C52" s="9"/>
      <c r="D52" s="9"/>
      <c r="E52" s="9"/>
      <c r="F52" s="9"/>
      <c r="G52" s="9"/>
      <c r="H52" s="9"/>
      <c r="I52" s="9"/>
      <c r="J52" s="53"/>
      <c r="K52" s="54"/>
      <c r="L52" s="53"/>
      <c r="M52" s="9"/>
      <c r="N52" s="6"/>
    </row>
    <row r="53" spans="1:14" ht="19.5" thickBot="1">
      <c r="A53" s="118"/>
      <c r="B53" s="119" t="s">
        <v>197</v>
      </c>
      <c r="C53" s="120"/>
      <c r="D53" s="120"/>
      <c r="E53" s="120"/>
      <c r="F53" s="120"/>
      <c r="G53" s="120"/>
      <c r="H53" s="120"/>
      <c r="I53" s="120"/>
      <c r="J53" s="121"/>
      <c r="K53" s="122"/>
      <c r="L53" s="121"/>
      <c r="M53" s="123"/>
      <c r="N53" s="6"/>
    </row>
    <row r="54" spans="1:14" ht="15.75">
      <c r="A54" s="2"/>
      <c r="B54" s="5"/>
      <c r="C54" s="5"/>
      <c r="D54" s="5"/>
      <c r="E54" s="5"/>
      <c r="F54" s="5"/>
      <c r="G54" s="5"/>
      <c r="H54" s="5"/>
      <c r="I54" s="5"/>
      <c r="J54" s="5"/>
      <c r="K54" s="5"/>
      <c r="L54" s="56"/>
      <c r="M54" s="5"/>
      <c r="N54" s="6"/>
    </row>
    <row r="55" spans="1:14" ht="15.75">
      <c r="A55" s="7"/>
      <c r="B55" s="57" t="s">
        <v>39</v>
      </c>
      <c r="C55" s="15"/>
      <c r="D55" s="9"/>
      <c r="E55" s="9"/>
      <c r="F55" s="9"/>
      <c r="G55" s="9"/>
      <c r="H55" s="9"/>
      <c r="I55" s="9"/>
      <c r="J55" s="9"/>
      <c r="K55" s="9"/>
      <c r="L55" s="58"/>
      <c r="M55" s="9"/>
      <c r="N55" s="6"/>
    </row>
    <row r="56" spans="1:14" ht="15.75">
      <c r="A56" s="7"/>
      <c r="B56" s="15"/>
      <c r="C56" s="15"/>
      <c r="D56" s="9"/>
      <c r="E56" s="9"/>
      <c r="F56" s="9"/>
      <c r="G56" s="9"/>
      <c r="H56" s="9"/>
      <c r="I56" s="9"/>
      <c r="J56" s="9"/>
      <c r="K56" s="9"/>
      <c r="L56" s="58"/>
      <c r="M56" s="9"/>
      <c r="N56" s="6"/>
    </row>
    <row r="57" spans="1:14" ht="63">
      <c r="A57" s="7"/>
      <c r="B57" s="134" t="s">
        <v>40</v>
      </c>
      <c r="C57" s="135" t="s">
        <v>149</v>
      </c>
      <c r="D57" s="135" t="s">
        <v>151</v>
      </c>
      <c r="E57" s="135"/>
      <c r="F57" s="135" t="s">
        <v>163</v>
      </c>
      <c r="G57" s="135"/>
      <c r="H57" s="135" t="s">
        <v>173</v>
      </c>
      <c r="I57" s="135"/>
      <c r="J57" s="135" t="s">
        <v>180</v>
      </c>
      <c r="K57" s="135"/>
      <c r="L57" s="136" t="s">
        <v>192</v>
      </c>
      <c r="M57" s="9"/>
      <c r="N57" s="6"/>
    </row>
    <row r="58" spans="1:14" ht="15.75">
      <c r="A58" s="27"/>
      <c r="B58" s="28" t="s">
        <v>41</v>
      </c>
      <c r="C58" s="38">
        <v>421950</v>
      </c>
      <c r="D58" s="38">
        <v>486734</v>
      </c>
      <c r="E58" s="38"/>
      <c r="F58" s="38">
        <f>10696+794+7082-35</f>
        <v>18537</v>
      </c>
      <c r="G58" s="38"/>
      <c r="H58" s="38">
        <f>7082+794-35</f>
        <v>7841</v>
      </c>
      <c r="I58" s="38"/>
      <c r="J58" s="38">
        <v>0</v>
      </c>
      <c r="K58" s="38"/>
      <c r="L58" s="59">
        <f>D58-F58+H58-J58</f>
        <v>476038</v>
      </c>
      <c r="M58" s="28"/>
      <c r="N58" s="6"/>
    </row>
    <row r="59" spans="1:14" ht="15.75">
      <c r="A59" s="27"/>
      <c r="B59" s="28" t="s">
        <v>42</v>
      </c>
      <c r="C59" s="38">
        <v>54</v>
      </c>
      <c r="D59" s="38">
        <v>0</v>
      </c>
      <c r="E59" s="38"/>
      <c r="F59" s="38">
        <v>0</v>
      </c>
      <c r="G59" s="38"/>
      <c r="H59" s="38">
        <v>0</v>
      </c>
      <c r="I59" s="38"/>
      <c r="J59" s="38">
        <v>0</v>
      </c>
      <c r="K59" s="38"/>
      <c r="L59" s="59">
        <f>D59-F59+H59-J59</f>
        <v>0</v>
      </c>
      <c r="M59" s="28"/>
      <c r="N59" s="6"/>
    </row>
    <row r="60" spans="1:14" ht="15.75">
      <c r="A60" s="27"/>
      <c r="B60" s="28"/>
      <c r="C60" s="38"/>
      <c r="D60" s="38"/>
      <c r="E60" s="38"/>
      <c r="F60" s="38"/>
      <c r="G60" s="38"/>
      <c r="H60" s="38"/>
      <c r="I60" s="38"/>
      <c r="J60" s="38"/>
      <c r="K60" s="38"/>
      <c r="L60" s="59"/>
      <c r="M60" s="28"/>
      <c r="N60" s="6"/>
    </row>
    <row r="61" spans="1:14" ht="15.75">
      <c r="A61" s="27"/>
      <c r="B61" s="28" t="s">
        <v>43</v>
      </c>
      <c r="C61" s="38">
        <f>SUM(C58:C60)</f>
        <v>422004</v>
      </c>
      <c r="D61" s="38">
        <f>SUM(D58:D60)</f>
        <v>486734</v>
      </c>
      <c r="E61" s="38"/>
      <c r="F61" s="38">
        <f>SUM(F58:F60)</f>
        <v>18537</v>
      </c>
      <c r="G61" s="38"/>
      <c r="H61" s="38">
        <f>SUM(H58:H60)</f>
        <v>7841</v>
      </c>
      <c r="I61" s="38"/>
      <c r="J61" s="38">
        <f>SUM(J58:J60)</f>
        <v>0</v>
      </c>
      <c r="K61" s="38"/>
      <c r="L61" s="60">
        <f>SUM(L58:L60)</f>
        <v>476038</v>
      </c>
      <c r="M61" s="28"/>
      <c r="N61" s="6"/>
    </row>
    <row r="62" spans="1:14" ht="15.75">
      <c r="A62" s="27"/>
      <c r="B62" s="28"/>
      <c r="C62" s="38"/>
      <c r="D62" s="38"/>
      <c r="E62" s="38"/>
      <c r="F62" s="38"/>
      <c r="G62" s="38"/>
      <c r="H62" s="38"/>
      <c r="I62" s="38"/>
      <c r="J62" s="38"/>
      <c r="K62" s="38"/>
      <c r="L62" s="60"/>
      <c r="M62" s="28"/>
      <c r="N62" s="6"/>
    </row>
    <row r="63" spans="1:14" ht="15.75">
      <c r="A63" s="7"/>
      <c r="B63" s="131" t="s">
        <v>44</v>
      </c>
      <c r="C63" s="61"/>
      <c r="D63" s="61"/>
      <c r="E63" s="61"/>
      <c r="F63" s="61"/>
      <c r="G63" s="61"/>
      <c r="H63" s="61"/>
      <c r="I63" s="61"/>
      <c r="J63" s="61"/>
      <c r="K63" s="61"/>
      <c r="L63" s="62"/>
      <c r="M63" s="9"/>
      <c r="N63" s="6"/>
    </row>
    <row r="64" spans="1:14" ht="15.75">
      <c r="A64" s="7"/>
      <c r="B64" s="9"/>
      <c r="C64" s="61"/>
      <c r="D64" s="61"/>
      <c r="E64" s="61"/>
      <c r="F64" s="61"/>
      <c r="G64" s="61"/>
      <c r="H64" s="61"/>
      <c r="I64" s="61"/>
      <c r="J64" s="61"/>
      <c r="K64" s="61"/>
      <c r="L64" s="62"/>
      <c r="M64" s="9"/>
      <c r="N64" s="6"/>
    </row>
    <row r="65" spans="1:14" ht="15.75">
      <c r="A65" s="27"/>
      <c r="B65" s="28" t="s">
        <v>41</v>
      </c>
      <c r="C65" s="38"/>
      <c r="D65" s="38"/>
      <c r="E65" s="38"/>
      <c r="F65" s="38"/>
      <c r="G65" s="38"/>
      <c r="H65" s="38"/>
      <c r="I65" s="38"/>
      <c r="J65" s="38"/>
      <c r="K65" s="38"/>
      <c r="L65" s="60"/>
      <c r="M65" s="28"/>
      <c r="N65" s="6"/>
    </row>
    <row r="66" spans="1:14" ht="15.75">
      <c r="A66" s="27"/>
      <c r="B66" s="28" t="s">
        <v>42</v>
      </c>
      <c r="C66" s="38"/>
      <c r="D66" s="38"/>
      <c r="E66" s="38"/>
      <c r="F66" s="38"/>
      <c r="G66" s="38"/>
      <c r="H66" s="38"/>
      <c r="I66" s="38"/>
      <c r="J66" s="38"/>
      <c r="K66" s="38"/>
      <c r="L66" s="60"/>
      <c r="M66" s="28"/>
      <c r="N66" s="6"/>
    </row>
    <row r="67" spans="1:14" ht="15.75">
      <c r="A67" s="27"/>
      <c r="B67" s="28"/>
      <c r="C67" s="38"/>
      <c r="D67" s="38"/>
      <c r="E67" s="38"/>
      <c r="F67" s="38"/>
      <c r="G67" s="38"/>
      <c r="H67" s="38"/>
      <c r="I67" s="38"/>
      <c r="J67" s="38"/>
      <c r="K67" s="38"/>
      <c r="L67" s="60"/>
      <c r="M67" s="28"/>
      <c r="N67" s="6"/>
    </row>
    <row r="68" spans="1:14" ht="15.75">
      <c r="A68" s="27"/>
      <c r="B68" s="28" t="s">
        <v>43</v>
      </c>
      <c r="C68" s="38"/>
      <c r="D68" s="38"/>
      <c r="E68" s="38"/>
      <c r="F68" s="38"/>
      <c r="G68" s="38"/>
      <c r="H68" s="38"/>
      <c r="I68" s="38"/>
      <c r="J68" s="38"/>
      <c r="K68" s="38"/>
      <c r="L68" s="38"/>
      <c r="M68" s="28"/>
      <c r="N68" s="6"/>
    </row>
    <row r="69" spans="1:14" ht="15.75">
      <c r="A69" s="27"/>
      <c r="B69" s="28"/>
      <c r="C69" s="38"/>
      <c r="D69" s="38"/>
      <c r="E69" s="38"/>
      <c r="F69" s="38"/>
      <c r="G69" s="38"/>
      <c r="H69" s="38"/>
      <c r="I69" s="38"/>
      <c r="J69" s="38"/>
      <c r="K69" s="38"/>
      <c r="L69" s="38"/>
      <c r="M69" s="28"/>
      <c r="N69" s="6"/>
    </row>
    <row r="70" spans="1:14" ht="15.75">
      <c r="A70" s="27"/>
      <c r="B70" s="28" t="s">
        <v>45</v>
      </c>
      <c r="C70" s="38">
        <v>0</v>
      </c>
      <c r="D70" s="38">
        <v>0</v>
      </c>
      <c r="E70" s="38"/>
      <c r="F70" s="38"/>
      <c r="G70" s="38"/>
      <c r="H70" s="38"/>
      <c r="I70" s="38"/>
      <c r="J70" s="38"/>
      <c r="K70" s="38"/>
      <c r="L70" s="59">
        <f>D70-F70+H70-J70</f>
        <v>0</v>
      </c>
      <c r="M70" s="28"/>
      <c r="N70" s="6"/>
    </row>
    <row r="71" spans="1:14" ht="15.75">
      <c r="A71" s="27"/>
      <c r="B71" s="28" t="s">
        <v>46</v>
      </c>
      <c r="C71" s="38">
        <v>77996</v>
      </c>
      <c r="D71" s="38">
        <v>0</v>
      </c>
      <c r="E71" s="38"/>
      <c r="F71" s="38"/>
      <c r="G71" s="38"/>
      <c r="H71" s="38"/>
      <c r="I71" s="38"/>
      <c r="J71" s="38"/>
      <c r="K71" s="38"/>
      <c r="L71" s="60">
        <v>0</v>
      </c>
      <c r="M71" s="28"/>
      <c r="N71" s="6"/>
    </row>
    <row r="72" spans="1:14" ht="15.75">
      <c r="A72" s="27"/>
      <c r="B72" s="28" t="s">
        <v>47</v>
      </c>
      <c r="C72" s="38">
        <v>0</v>
      </c>
      <c r="D72" s="38">
        <f>L128</f>
        <v>0</v>
      </c>
      <c r="E72" s="38"/>
      <c r="F72" s="38"/>
      <c r="G72" s="38"/>
      <c r="H72" s="38"/>
      <c r="I72" s="38"/>
      <c r="J72" s="38"/>
      <c r="K72" s="38"/>
      <c r="L72" s="60">
        <f>SUM(C72:K72)</f>
        <v>0</v>
      </c>
      <c r="M72" s="28"/>
      <c r="N72" s="6"/>
    </row>
    <row r="73" spans="1:14" ht="15.75">
      <c r="A73" s="27"/>
      <c r="B73" s="28" t="s">
        <v>48</v>
      </c>
      <c r="C73" s="60">
        <f>SUM(C61:C72)</f>
        <v>500000</v>
      </c>
      <c r="D73" s="60">
        <f>SUM(D61:D72)</f>
        <v>486734</v>
      </c>
      <c r="E73" s="38"/>
      <c r="F73" s="60"/>
      <c r="G73" s="38"/>
      <c r="H73" s="60"/>
      <c r="I73" s="38"/>
      <c r="J73" s="60"/>
      <c r="K73" s="38"/>
      <c r="L73" s="60">
        <f>SUM(L61:L72)</f>
        <v>476038</v>
      </c>
      <c r="M73" s="28"/>
      <c r="N73" s="6"/>
    </row>
    <row r="74" spans="1:14" ht="15.75">
      <c r="A74" s="7"/>
      <c r="B74" s="9"/>
      <c r="C74" s="9"/>
      <c r="D74" s="9"/>
      <c r="E74" s="9"/>
      <c r="F74" s="9"/>
      <c r="G74" s="9"/>
      <c r="H74" s="9"/>
      <c r="I74" s="9"/>
      <c r="J74" s="9"/>
      <c r="K74" s="9"/>
      <c r="L74" s="9"/>
      <c r="M74" s="9"/>
      <c r="N74" s="6"/>
    </row>
    <row r="75" spans="1:14" ht="15.75">
      <c r="A75" s="7"/>
      <c r="B75" s="57" t="s">
        <v>49</v>
      </c>
      <c r="C75" s="16"/>
      <c r="D75" s="16"/>
      <c r="E75" s="16"/>
      <c r="F75" s="16"/>
      <c r="G75" s="16"/>
      <c r="H75" s="16"/>
      <c r="I75" s="19"/>
      <c r="J75" s="19" t="s">
        <v>181</v>
      </c>
      <c r="K75" s="19"/>
      <c r="L75" s="19" t="s">
        <v>193</v>
      </c>
      <c r="M75" s="9"/>
      <c r="N75" s="6"/>
    </row>
    <row r="76" spans="1:14" ht="15.75">
      <c r="A76" s="27"/>
      <c r="B76" s="28" t="s">
        <v>50</v>
      </c>
      <c r="C76" s="28"/>
      <c r="D76" s="28"/>
      <c r="E76" s="28"/>
      <c r="F76" s="28"/>
      <c r="G76" s="28"/>
      <c r="H76" s="28"/>
      <c r="I76" s="28"/>
      <c r="J76" s="38">
        <v>0</v>
      </c>
      <c r="K76" s="28"/>
      <c r="L76" s="59">
        <v>0</v>
      </c>
      <c r="M76" s="28"/>
      <c r="N76" s="6"/>
    </row>
    <row r="77" spans="1:14" ht="15.75">
      <c r="A77" s="27"/>
      <c r="B77" s="28" t="s">
        <v>51</v>
      </c>
      <c r="C77" s="47" t="s">
        <v>150</v>
      </c>
      <c r="D77" s="63">
        <f>J158</f>
        <v>37529</v>
      </c>
      <c r="E77" s="28"/>
      <c r="F77" s="28"/>
      <c r="G77" s="28"/>
      <c r="H77" s="28"/>
      <c r="I77" s="28"/>
      <c r="J77" s="38">
        <v>18537</v>
      </c>
      <c r="K77" s="28"/>
      <c r="L77" s="59"/>
      <c r="M77" s="28"/>
      <c r="N77" s="6"/>
    </row>
    <row r="78" spans="1:14" ht="15.75">
      <c r="A78" s="27"/>
      <c r="B78" s="28" t="s">
        <v>52</v>
      </c>
      <c r="C78" s="28"/>
      <c r="D78" s="28"/>
      <c r="E78" s="28"/>
      <c r="F78" s="28"/>
      <c r="G78" s="28"/>
      <c r="H78" s="28"/>
      <c r="I78" s="28"/>
      <c r="J78" s="38"/>
      <c r="K78" s="28"/>
      <c r="L78" s="59">
        <f>7416-8</f>
        <v>7408</v>
      </c>
      <c r="M78" s="28"/>
      <c r="N78" s="6"/>
    </row>
    <row r="79" spans="1:14" ht="15.75">
      <c r="A79" s="27"/>
      <c r="B79" s="28" t="s">
        <v>53</v>
      </c>
      <c r="C79" s="28"/>
      <c r="D79" s="28"/>
      <c r="E79" s="28"/>
      <c r="F79" s="28"/>
      <c r="G79" s="28"/>
      <c r="H79" s="28"/>
      <c r="I79" s="28"/>
      <c r="J79" s="38"/>
      <c r="K79" s="28"/>
      <c r="L79" s="59">
        <v>53</v>
      </c>
      <c r="M79" s="28"/>
      <c r="N79" s="6"/>
    </row>
    <row r="80" spans="1:14" ht="15.75">
      <c r="A80" s="27"/>
      <c r="B80" s="28" t="s">
        <v>54</v>
      </c>
      <c r="C80" s="28"/>
      <c r="D80" s="28"/>
      <c r="E80" s="28"/>
      <c r="F80" s="28"/>
      <c r="G80" s="28"/>
      <c r="H80" s="28"/>
      <c r="I80" s="28"/>
      <c r="J80" s="38">
        <f>SUM(J76:J79)</f>
        <v>18537</v>
      </c>
      <c r="K80" s="28"/>
      <c r="L80" s="60">
        <f>SUM(L76:L79)</f>
        <v>7461</v>
      </c>
      <c r="M80" s="28"/>
      <c r="N80" s="6"/>
    </row>
    <row r="81" spans="1:14" ht="15.75">
      <c r="A81" s="27"/>
      <c r="B81" s="28" t="s">
        <v>55</v>
      </c>
      <c r="C81" s="28"/>
      <c r="D81" s="28"/>
      <c r="E81" s="28"/>
      <c r="F81" s="28"/>
      <c r="G81" s="28"/>
      <c r="H81" s="28"/>
      <c r="I81" s="28"/>
      <c r="J81" s="38">
        <v>0</v>
      </c>
      <c r="K81" s="28"/>
      <c r="L81" s="59">
        <v>0</v>
      </c>
      <c r="M81" s="28"/>
      <c r="N81" s="6"/>
    </row>
    <row r="82" spans="1:14" ht="15.75">
      <c r="A82" s="27"/>
      <c r="B82" s="28" t="s">
        <v>56</v>
      </c>
      <c r="C82" s="28"/>
      <c r="D82" s="28"/>
      <c r="E82" s="28"/>
      <c r="F82" s="28"/>
      <c r="G82" s="28"/>
      <c r="H82" s="28"/>
      <c r="I82" s="28"/>
      <c r="J82" s="38">
        <f>J80+J81</f>
        <v>18537</v>
      </c>
      <c r="K82" s="28"/>
      <c r="L82" s="60">
        <f>L80+L81</f>
        <v>7461</v>
      </c>
      <c r="M82" s="28"/>
      <c r="N82" s="6"/>
    </row>
    <row r="83" spans="1:14" ht="15.75">
      <c r="A83" s="27"/>
      <c r="B83" s="137" t="s">
        <v>57</v>
      </c>
      <c r="C83" s="64"/>
      <c r="D83" s="28"/>
      <c r="E83" s="28"/>
      <c r="F83" s="28"/>
      <c r="G83" s="28"/>
      <c r="H83" s="28"/>
      <c r="I83" s="28"/>
      <c r="J83" s="38"/>
      <c r="K83" s="28"/>
      <c r="L83" s="59"/>
      <c r="M83" s="28"/>
      <c r="N83" s="6"/>
    </row>
    <row r="84" spans="1:14" ht="15.75">
      <c r="A84" s="27">
        <v>1</v>
      </c>
      <c r="B84" s="28" t="s">
        <v>58</v>
      </c>
      <c r="C84" s="28"/>
      <c r="D84" s="28"/>
      <c r="E84" s="28"/>
      <c r="F84" s="28"/>
      <c r="G84" s="28"/>
      <c r="H84" s="28"/>
      <c r="I84" s="28"/>
      <c r="J84" s="28"/>
      <c r="K84" s="28"/>
      <c r="L84" s="59">
        <v>0</v>
      </c>
      <c r="M84" s="28"/>
      <c r="N84" s="6"/>
    </row>
    <row r="85" spans="1:14" ht="15.75">
      <c r="A85" s="27">
        <v>2</v>
      </c>
      <c r="B85" s="28" t="s">
        <v>59</v>
      </c>
      <c r="C85" s="28"/>
      <c r="D85" s="28"/>
      <c r="E85" s="28"/>
      <c r="F85" s="28"/>
      <c r="G85" s="28"/>
      <c r="H85" s="28"/>
      <c r="I85" s="28"/>
      <c r="J85" s="28"/>
      <c r="K85" s="28"/>
      <c r="L85" s="59">
        <v>-5</v>
      </c>
      <c r="M85" s="28"/>
      <c r="N85" s="6"/>
    </row>
    <row r="86" spans="1:14" ht="15.75">
      <c r="A86" s="27">
        <v>3</v>
      </c>
      <c r="B86" s="28" t="s">
        <v>60</v>
      </c>
      <c r="C86" s="28"/>
      <c r="D86" s="28"/>
      <c r="E86" s="28"/>
      <c r="F86" s="28"/>
      <c r="G86" s="28"/>
      <c r="H86" s="28"/>
      <c r="I86" s="28"/>
      <c r="J86" s="28"/>
      <c r="K86" s="28"/>
      <c r="L86" s="59">
        <f>-368-6</f>
        <v>-374</v>
      </c>
      <c r="M86" s="28"/>
      <c r="N86" s="6"/>
    </row>
    <row r="87" spans="1:14" ht="15.75">
      <c r="A87" s="27">
        <v>4</v>
      </c>
      <c r="B87" s="28" t="s">
        <v>61</v>
      </c>
      <c r="C87" s="28"/>
      <c r="D87" s="28"/>
      <c r="E87" s="28"/>
      <c r="F87" s="28"/>
      <c r="G87" s="28"/>
      <c r="H87" s="28"/>
      <c r="I87" s="28"/>
      <c r="J87" s="28"/>
      <c r="K87" s="28"/>
      <c r="L87" s="59">
        <v>-451</v>
      </c>
      <c r="M87" s="28"/>
      <c r="N87" s="6"/>
    </row>
    <row r="88" spans="1:14" ht="15.75">
      <c r="A88" s="27">
        <v>5</v>
      </c>
      <c r="B88" s="28" t="s">
        <v>62</v>
      </c>
      <c r="C88" s="28"/>
      <c r="D88" s="28"/>
      <c r="E88" s="28"/>
      <c r="F88" s="28"/>
      <c r="G88" s="28"/>
      <c r="H88" s="28"/>
      <c r="I88" s="28"/>
      <c r="J88" s="28"/>
      <c r="K88" s="28"/>
      <c r="L88" s="59">
        <v>-4868</v>
      </c>
      <c r="M88" s="28"/>
      <c r="N88" s="6"/>
    </row>
    <row r="89" spans="1:14" ht="15.75">
      <c r="A89" s="27">
        <v>6</v>
      </c>
      <c r="B89" s="28" t="s">
        <v>63</v>
      </c>
      <c r="C89" s="28"/>
      <c r="D89" s="28"/>
      <c r="E89" s="28"/>
      <c r="F89" s="28"/>
      <c r="G89" s="28"/>
      <c r="H89" s="28"/>
      <c r="I89" s="28"/>
      <c r="J89" s="28"/>
      <c r="K89" s="28"/>
      <c r="L89" s="59">
        <v>-528</v>
      </c>
      <c r="M89" s="28"/>
      <c r="N89" s="6"/>
    </row>
    <row r="90" spans="1:14" ht="15.75">
      <c r="A90" s="27">
        <v>7</v>
      </c>
      <c r="B90" s="28" t="s">
        <v>64</v>
      </c>
      <c r="C90" s="28"/>
      <c r="D90" s="28"/>
      <c r="E90" s="28"/>
      <c r="F90" s="28"/>
      <c r="G90" s="28"/>
      <c r="H90" s="28"/>
      <c r="I90" s="28"/>
      <c r="J90" s="28"/>
      <c r="K90" s="28"/>
      <c r="L90" s="59">
        <v>-5</v>
      </c>
      <c r="M90" s="28"/>
      <c r="N90" s="6"/>
    </row>
    <row r="91" spans="1:14" ht="15.75">
      <c r="A91" s="27">
        <v>8</v>
      </c>
      <c r="B91" s="28" t="s">
        <v>65</v>
      </c>
      <c r="C91" s="28"/>
      <c r="D91" s="28"/>
      <c r="E91" s="28"/>
      <c r="F91" s="28"/>
      <c r="G91" s="28"/>
      <c r="H91" s="28"/>
      <c r="I91" s="28"/>
      <c r="J91" s="28"/>
      <c r="K91" s="28"/>
      <c r="L91" s="59">
        <v>0</v>
      </c>
      <c r="M91" s="28"/>
      <c r="N91" s="6"/>
    </row>
    <row r="92" spans="1:14" ht="15.75">
      <c r="A92" s="27">
        <v>9</v>
      </c>
      <c r="B92" s="28" t="s">
        <v>66</v>
      </c>
      <c r="C92" s="28"/>
      <c r="D92" s="28"/>
      <c r="E92" s="28"/>
      <c r="F92" s="28"/>
      <c r="G92" s="28"/>
      <c r="H92" s="28"/>
      <c r="I92" s="28"/>
      <c r="J92" s="28"/>
      <c r="K92" s="28"/>
      <c r="L92" s="59">
        <v>0</v>
      </c>
      <c r="M92" s="28"/>
      <c r="N92" s="6"/>
    </row>
    <row r="93" spans="1:14" ht="15.75">
      <c r="A93" s="27">
        <v>10</v>
      </c>
      <c r="B93" s="28" t="s">
        <v>67</v>
      </c>
      <c r="C93" s="28"/>
      <c r="D93" s="28"/>
      <c r="E93" s="28"/>
      <c r="F93" s="28"/>
      <c r="G93" s="28"/>
      <c r="H93" s="28"/>
      <c r="I93" s="28"/>
      <c r="J93" s="28"/>
      <c r="K93" s="28"/>
      <c r="L93" s="59">
        <v>0</v>
      </c>
      <c r="M93" s="28"/>
      <c r="N93" s="6"/>
    </row>
    <row r="94" spans="1:14" ht="15.75">
      <c r="A94" s="27">
        <v>11</v>
      </c>
      <c r="B94" s="28" t="s">
        <v>68</v>
      </c>
      <c r="C94" s="28"/>
      <c r="D94" s="28"/>
      <c r="E94" s="28"/>
      <c r="F94" s="28"/>
      <c r="G94" s="28"/>
      <c r="H94" s="28"/>
      <c r="I94" s="28"/>
      <c r="J94" s="28"/>
      <c r="K94" s="28"/>
      <c r="L94" s="59">
        <v>0</v>
      </c>
      <c r="M94" s="28"/>
      <c r="N94" s="6"/>
    </row>
    <row r="95" spans="1:14" ht="15.75">
      <c r="A95" s="27">
        <v>12</v>
      </c>
      <c r="B95" s="28" t="s">
        <v>69</v>
      </c>
      <c r="C95" s="28"/>
      <c r="D95" s="28"/>
      <c r="E95" s="28"/>
      <c r="F95" s="28"/>
      <c r="G95" s="28"/>
      <c r="H95" s="28"/>
      <c r="I95" s="28"/>
      <c r="J95" s="28"/>
      <c r="K95" s="28"/>
      <c r="L95" s="59">
        <f>-66-218</f>
        <v>-284</v>
      </c>
      <c r="M95" s="28"/>
      <c r="N95" s="6"/>
    </row>
    <row r="96" spans="1:14" ht="15.75">
      <c r="A96" s="27">
        <v>13</v>
      </c>
      <c r="B96" s="28" t="s">
        <v>70</v>
      </c>
      <c r="C96" s="28"/>
      <c r="D96" s="28"/>
      <c r="E96" s="28"/>
      <c r="F96" s="28"/>
      <c r="G96" s="28"/>
      <c r="H96" s="28"/>
      <c r="I96" s="28"/>
      <c r="J96" s="28"/>
      <c r="K96" s="28"/>
      <c r="L96" s="59">
        <f>-SUM(L82:L95)</f>
        <v>-946</v>
      </c>
      <c r="M96" s="28"/>
      <c r="N96" s="6"/>
    </row>
    <row r="97" spans="1:14" ht="15.75">
      <c r="A97" s="27"/>
      <c r="B97" s="137" t="s">
        <v>71</v>
      </c>
      <c r="C97" s="64"/>
      <c r="D97" s="28"/>
      <c r="E97" s="28"/>
      <c r="F97" s="28"/>
      <c r="G97" s="28"/>
      <c r="H97" s="28"/>
      <c r="I97" s="28"/>
      <c r="J97" s="28"/>
      <c r="K97" s="28"/>
      <c r="L97" s="65"/>
      <c r="M97" s="28"/>
      <c r="N97" s="6"/>
    </row>
    <row r="98" spans="1:14" ht="15.75">
      <c r="A98" s="27"/>
      <c r="B98" s="28" t="s">
        <v>72</v>
      </c>
      <c r="C98" s="64"/>
      <c r="D98" s="28"/>
      <c r="E98" s="28"/>
      <c r="F98" s="28"/>
      <c r="G98" s="28"/>
      <c r="H98" s="28"/>
      <c r="I98" s="28"/>
      <c r="J98" s="38">
        <f>-J144</f>
        <v>-759</v>
      </c>
      <c r="K98" s="38"/>
      <c r="L98" s="59"/>
      <c r="M98" s="28"/>
      <c r="N98" s="6"/>
    </row>
    <row r="99" spans="1:14" ht="15.75">
      <c r="A99" s="27"/>
      <c r="B99" s="28" t="s">
        <v>73</v>
      </c>
      <c r="C99" s="28"/>
      <c r="D99" s="28"/>
      <c r="E99" s="28"/>
      <c r="F99" s="28"/>
      <c r="G99" s="28"/>
      <c r="H99" s="28"/>
      <c r="I99" s="28"/>
      <c r="J99" s="38">
        <f>-H144</f>
        <v>-7082</v>
      </c>
      <c r="K99" s="38"/>
      <c r="L99" s="59"/>
      <c r="M99" s="28"/>
      <c r="N99" s="6"/>
    </row>
    <row r="100" spans="1:14" ht="15.75">
      <c r="A100" s="27"/>
      <c r="B100" s="28" t="s">
        <v>74</v>
      </c>
      <c r="C100" s="28"/>
      <c r="D100" s="28"/>
      <c r="E100" s="28"/>
      <c r="F100" s="28"/>
      <c r="G100" s="28"/>
      <c r="H100" s="28"/>
      <c r="I100" s="28"/>
      <c r="J100" s="38">
        <v>-10696</v>
      </c>
      <c r="K100" s="38"/>
      <c r="L100" s="59"/>
      <c r="M100" s="28"/>
      <c r="N100" s="6"/>
    </row>
    <row r="101" spans="1:14" ht="15.75">
      <c r="A101" s="27"/>
      <c r="B101" s="28" t="s">
        <v>75</v>
      </c>
      <c r="C101" s="28"/>
      <c r="D101" s="28"/>
      <c r="E101" s="28"/>
      <c r="F101" s="28"/>
      <c r="G101" s="28"/>
      <c r="H101" s="28"/>
      <c r="I101" s="28"/>
      <c r="J101" s="38">
        <v>0</v>
      </c>
      <c r="K101" s="38"/>
      <c r="L101" s="59"/>
      <c r="M101" s="28"/>
      <c r="N101" s="6"/>
    </row>
    <row r="102" spans="1:14" ht="15.75">
      <c r="A102" s="27"/>
      <c r="B102" s="28" t="s">
        <v>76</v>
      </c>
      <c r="C102" s="28"/>
      <c r="D102" s="28"/>
      <c r="E102" s="28"/>
      <c r="F102" s="28"/>
      <c r="G102" s="28"/>
      <c r="H102" s="28"/>
      <c r="I102" s="28"/>
      <c r="J102" s="38">
        <f>SUM(J83:J101)</f>
        <v>-18537</v>
      </c>
      <c r="K102" s="38"/>
      <c r="L102" s="38">
        <f>SUM(L83:L101)</f>
        <v>-7461</v>
      </c>
      <c r="M102" s="28"/>
      <c r="N102" s="6"/>
    </row>
    <row r="103" spans="1:14" ht="15.75">
      <c r="A103" s="27"/>
      <c r="B103" s="28" t="s">
        <v>77</v>
      </c>
      <c r="C103" s="28"/>
      <c r="D103" s="28"/>
      <c r="E103" s="28"/>
      <c r="F103" s="28"/>
      <c r="G103" s="28"/>
      <c r="H103" s="28"/>
      <c r="I103" s="28"/>
      <c r="J103" s="38">
        <f>J82+J102</f>
        <v>0</v>
      </c>
      <c r="K103" s="38"/>
      <c r="L103" s="38">
        <f>L82+L102</f>
        <v>0</v>
      </c>
      <c r="M103" s="28"/>
      <c r="N103" s="6"/>
    </row>
    <row r="104" spans="1:14" ht="12" customHeight="1">
      <c r="A104" s="7"/>
      <c r="B104" s="9"/>
      <c r="C104" s="9"/>
      <c r="D104" s="9"/>
      <c r="E104" s="9"/>
      <c r="F104" s="9"/>
      <c r="G104" s="9"/>
      <c r="H104" s="9"/>
      <c r="I104" s="9"/>
      <c r="J104" s="9"/>
      <c r="K104" s="9"/>
      <c r="L104" s="58"/>
      <c r="M104" s="9"/>
      <c r="N104" s="6"/>
    </row>
    <row r="105" spans="1:14" ht="12" customHeight="1">
      <c r="A105" s="7"/>
      <c r="B105" s="9"/>
      <c r="C105" s="9"/>
      <c r="D105" s="9"/>
      <c r="E105" s="9"/>
      <c r="F105" s="9"/>
      <c r="G105" s="9"/>
      <c r="H105" s="9"/>
      <c r="I105" s="9"/>
      <c r="J105" s="9"/>
      <c r="K105" s="9"/>
      <c r="L105" s="58"/>
      <c r="M105" s="9"/>
      <c r="N105" s="6"/>
    </row>
    <row r="106" spans="1:14" ht="15.75" customHeight="1" thickBot="1">
      <c r="A106" s="118"/>
      <c r="B106" s="119" t="str">
        <f>B53</f>
        <v>PM4 INVESTOR REPORT QUARTER ENDING SEPTEMBER 2002</v>
      </c>
      <c r="C106" s="120"/>
      <c r="D106" s="120"/>
      <c r="E106" s="120"/>
      <c r="F106" s="120"/>
      <c r="G106" s="120"/>
      <c r="H106" s="120"/>
      <c r="I106" s="120"/>
      <c r="J106" s="120"/>
      <c r="K106" s="120"/>
      <c r="L106" s="124"/>
      <c r="M106" s="123"/>
      <c r="N106" s="6"/>
    </row>
    <row r="107" spans="1:14" ht="12" customHeight="1">
      <c r="A107" s="2"/>
      <c r="B107" s="5"/>
      <c r="C107" s="5"/>
      <c r="D107" s="5"/>
      <c r="E107" s="5"/>
      <c r="F107" s="5"/>
      <c r="G107" s="5"/>
      <c r="H107" s="5"/>
      <c r="I107" s="5"/>
      <c r="J107" s="5"/>
      <c r="K107" s="5"/>
      <c r="L107" s="66"/>
      <c r="M107" s="5"/>
      <c r="N107" s="6"/>
    </row>
    <row r="108" spans="1:14" ht="15.75">
      <c r="A108" s="7"/>
      <c r="B108" s="57" t="s">
        <v>78</v>
      </c>
      <c r="C108" s="15"/>
      <c r="D108" s="9"/>
      <c r="E108" s="9"/>
      <c r="F108" s="9"/>
      <c r="G108" s="9"/>
      <c r="H108" s="9"/>
      <c r="I108" s="9"/>
      <c r="J108" s="9"/>
      <c r="K108" s="9"/>
      <c r="L108" s="58"/>
      <c r="M108" s="9"/>
      <c r="N108" s="6"/>
    </row>
    <row r="109" spans="1:14" ht="15.75">
      <c r="A109" s="7"/>
      <c r="B109" s="23"/>
      <c r="C109" s="15"/>
      <c r="D109" s="9"/>
      <c r="E109" s="9"/>
      <c r="F109" s="9"/>
      <c r="G109" s="9"/>
      <c r="H109" s="9"/>
      <c r="I109" s="9"/>
      <c r="J109" s="9"/>
      <c r="K109" s="9"/>
      <c r="L109" s="58"/>
      <c r="M109" s="9"/>
      <c r="N109" s="6"/>
    </row>
    <row r="110" spans="1:14" ht="15.75">
      <c r="A110" s="7"/>
      <c r="B110" s="138" t="s">
        <v>79</v>
      </c>
      <c r="C110" s="15"/>
      <c r="D110" s="9"/>
      <c r="E110" s="9"/>
      <c r="F110" s="9"/>
      <c r="G110" s="9"/>
      <c r="H110" s="9"/>
      <c r="I110" s="9"/>
      <c r="J110" s="9"/>
      <c r="K110" s="9"/>
      <c r="L110" s="58"/>
      <c r="M110" s="9"/>
      <c r="N110" s="6"/>
    </row>
    <row r="111" spans="1:14" ht="15.75">
      <c r="A111" s="27"/>
      <c r="B111" s="28" t="s">
        <v>80</v>
      </c>
      <c r="C111" s="28"/>
      <c r="D111" s="28"/>
      <c r="E111" s="28"/>
      <c r="F111" s="28"/>
      <c r="G111" s="28"/>
      <c r="H111" s="28"/>
      <c r="I111" s="28"/>
      <c r="J111" s="28"/>
      <c r="K111" s="28"/>
      <c r="L111" s="59">
        <v>8750</v>
      </c>
      <c r="M111" s="28"/>
      <c r="N111" s="6"/>
    </row>
    <row r="112" spans="1:14" ht="15.75">
      <c r="A112" s="27"/>
      <c r="B112" s="28" t="s">
        <v>81</v>
      </c>
      <c r="C112" s="28"/>
      <c r="D112" s="28"/>
      <c r="E112" s="28"/>
      <c r="F112" s="28"/>
      <c r="G112" s="28"/>
      <c r="H112" s="28"/>
      <c r="I112" s="28"/>
      <c r="J112" s="28"/>
      <c r="K112" s="28"/>
      <c r="L112" s="59">
        <f>L111</f>
        <v>8750</v>
      </c>
      <c r="M112" s="28"/>
      <c r="N112" s="6"/>
    </row>
    <row r="113" spans="1:14" ht="15.75">
      <c r="A113" s="27"/>
      <c r="B113" s="28" t="s">
        <v>82</v>
      </c>
      <c r="C113" s="28"/>
      <c r="D113" s="28"/>
      <c r="E113" s="28"/>
      <c r="F113" s="28"/>
      <c r="G113" s="28"/>
      <c r="H113" s="28"/>
      <c r="I113" s="28"/>
      <c r="J113" s="28"/>
      <c r="K113" s="28"/>
      <c r="L113" s="59">
        <v>0</v>
      </c>
      <c r="M113" s="28"/>
      <c r="N113" s="6"/>
    </row>
    <row r="114" spans="1:14" ht="15.75">
      <c r="A114" s="27"/>
      <c r="B114" s="28" t="s">
        <v>83</v>
      </c>
      <c r="C114" s="28"/>
      <c r="D114" s="28"/>
      <c r="E114" s="28"/>
      <c r="F114" s="28"/>
      <c r="G114" s="28"/>
      <c r="H114" s="28"/>
      <c r="I114" s="28"/>
      <c r="J114" s="28"/>
      <c r="K114" s="28"/>
      <c r="L114" s="59">
        <v>0</v>
      </c>
      <c r="M114" s="28"/>
      <c r="N114" s="6"/>
    </row>
    <row r="115" spans="1:14" ht="15.75">
      <c r="A115" s="27"/>
      <c r="B115" s="28" t="s">
        <v>84</v>
      </c>
      <c r="C115" s="28"/>
      <c r="D115" s="28"/>
      <c r="E115" s="28"/>
      <c r="F115" s="28"/>
      <c r="G115" s="28"/>
      <c r="H115" s="28"/>
      <c r="I115" s="28"/>
      <c r="J115" s="28"/>
      <c r="K115" s="28"/>
      <c r="L115" s="59">
        <v>0</v>
      </c>
      <c r="M115" s="28"/>
      <c r="N115" s="6"/>
    </row>
    <row r="116" spans="1:14" ht="15.75">
      <c r="A116" s="27"/>
      <c r="B116" s="28" t="s">
        <v>62</v>
      </c>
      <c r="C116" s="28"/>
      <c r="D116" s="28"/>
      <c r="E116" s="28"/>
      <c r="F116" s="28"/>
      <c r="G116" s="28"/>
      <c r="H116" s="28"/>
      <c r="I116" s="28"/>
      <c r="J116" s="28"/>
      <c r="K116" s="28"/>
      <c r="L116" s="59">
        <v>0</v>
      </c>
      <c r="M116" s="28"/>
      <c r="N116" s="6"/>
    </row>
    <row r="117" spans="1:14" ht="15.75">
      <c r="A117" s="27"/>
      <c r="B117" s="28" t="s">
        <v>63</v>
      </c>
      <c r="C117" s="28"/>
      <c r="D117" s="28"/>
      <c r="E117" s="28"/>
      <c r="F117" s="28"/>
      <c r="G117" s="28"/>
      <c r="H117" s="28"/>
      <c r="I117" s="28"/>
      <c r="J117" s="28"/>
      <c r="K117" s="28"/>
      <c r="L117" s="59">
        <v>0</v>
      </c>
      <c r="M117" s="28"/>
      <c r="N117" s="6"/>
    </row>
    <row r="118" spans="1:14" ht="15.75">
      <c r="A118" s="27"/>
      <c r="B118" s="28" t="s">
        <v>85</v>
      </c>
      <c r="C118" s="28"/>
      <c r="D118" s="28"/>
      <c r="E118" s="28"/>
      <c r="F118" s="28"/>
      <c r="G118" s="28"/>
      <c r="H118" s="28"/>
      <c r="I118" s="28"/>
      <c r="J118" s="28"/>
      <c r="K118" s="28"/>
      <c r="L118" s="59">
        <v>0</v>
      </c>
      <c r="M118" s="28"/>
      <c r="N118" s="6"/>
    </row>
    <row r="119" spans="1:14" ht="15.75">
      <c r="A119" s="27"/>
      <c r="B119" s="28" t="s">
        <v>86</v>
      </c>
      <c r="C119" s="28"/>
      <c r="D119" s="28"/>
      <c r="E119" s="28"/>
      <c r="F119" s="28"/>
      <c r="G119" s="28"/>
      <c r="H119" s="28"/>
      <c r="I119" s="28"/>
      <c r="J119" s="28"/>
      <c r="K119" s="28"/>
      <c r="L119" s="59">
        <f>SUM(L112:L118)</f>
        <v>8750</v>
      </c>
      <c r="M119" s="28"/>
      <c r="N119" s="6"/>
    </row>
    <row r="120" spans="1:14" ht="15.75">
      <c r="A120" s="27"/>
      <c r="B120" s="28"/>
      <c r="C120" s="28"/>
      <c r="D120" s="28"/>
      <c r="E120" s="28"/>
      <c r="F120" s="28"/>
      <c r="G120" s="28"/>
      <c r="H120" s="28"/>
      <c r="I120" s="28"/>
      <c r="J120" s="28"/>
      <c r="K120" s="28"/>
      <c r="L120" s="67"/>
      <c r="M120" s="28"/>
      <c r="N120" s="6"/>
    </row>
    <row r="121" spans="1:14" ht="15.75">
      <c r="A121" s="7"/>
      <c r="B121" s="138" t="s">
        <v>87</v>
      </c>
      <c r="C121" s="9"/>
      <c r="D121" s="9"/>
      <c r="E121" s="9"/>
      <c r="F121" s="9"/>
      <c r="G121" s="9"/>
      <c r="H121" s="9"/>
      <c r="I121" s="9"/>
      <c r="J121" s="9"/>
      <c r="K121" s="9"/>
      <c r="L121" s="58"/>
      <c r="M121" s="9"/>
      <c r="N121" s="6"/>
    </row>
    <row r="122" spans="1:14" ht="15.75">
      <c r="A122" s="27"/>
      <c r="B122" s="28" t="s">
        <v>88</v>
      </c>
      <c r="C122" s="28"/>
      <c r="D122" s="68"/>
      <c r="E122" s="28"/>
      <c r="F122" s="28"/>
      <c r="G122" s="28"/>
      <c r="H122" s="28"/>
      <c r="I122" s="28"/>
      <c r="J122" s="28"/>
      <c r="K122" s="28"/>
      <c r="L122" s="69" t="s">
        <v>194</v>
      </c>
      <c r="M122" s="28"/>
      <c r="N122" s="6"/>
    </row>
    <row r="123" spans="1:14" ht="15.75">
      <c r="A123" s="27"/>
      <c r="B123" s="28" t="s">
        <v>89</v>
      </c>
      <c r="C123" s="31"/>
      <c r="D123" s="31"/>
      <c r="E123" s="31"/>
      <c r="F123" s="31"/>
      <c r="G123" s="31"/>
      <c r="H123" s="31"/>
      <c r="I123" s="31"/>
      <c r="J123" s="31"/>
      <c r="K123" s="31"/>
      <c r="L123" s="69" t="s">
        <v>194</v>
      </c>
      <c r="M123" s="28"/>
      <c r="N123" s="6"/>
    </row>
    <row r="124" spans="1:14" ht="15.75">
      <c r="A124" s="27"/>
      <c r="B124" s="28" t="s">
        <v>90</v>
      </c>
      <c r="C124" s="28"/>
      <c r="D124" s="28"/>
      <c r="E124" s="28"/>
      <c r="F124" s="28"/>
      <c r="G124" s="28"/>
      <c r="H124" s="28"/>
      <c r="I124" s="28"/>
      <c r="J124" s="28"/>
      <c r="K124" s="28"/>
      <c r="L124" s="69" t="s">
        <v>194</v>
      </c>
      <c r="M124" s="28"/>
      <c r="N124" s="6"/>
    </row>
    <row r="125" spans="1:14" ht="15.75">
      <c r="A125" s="27"/>
      <c r="B125" s="28" t="s">
        <v>91</v>
      </c>
      <c r="C125" s="28"/>
      <c r="D125" s="28"/>
      <c r="E125" s="28"/>
      <c r="F125" s="28"/>
      <c r="G125" s="28"/>
      <c r="H125" s="28"/>
      <c r="I125" s="28"/>
      <c r="J125" s="28"/>
      <c r="K125" s="28"/>
      <c r="L125" s="69" t="s">
        <v>194</v>
      </c>
      <c r="M125" s="28"/>
      <c r="N125" s="6"/>
    </row>
    <row r="126" spans="1:14" ht="15.75">
      <c r="A126" s="27"/>
      <c r="B126" s="28"/>
      <c r="C126" s="28"/>
      <c r="D126" s="28"/>
      <c r="E126" s="28"/>
      <c r="F126" s="28"/>
      <c r="G126" s="28"/>
      <c r="H126" s="28"/>
      <c r="I126" s="28"/>
      <c r="J126" s="28"/>
      <c r="K126" s="28"/>
      <c r="L126" s="67"/>
      <c r="M126" s="28"/>
      <c r="N126" s="6"/>
    </row>
    <row r="127" spans="1:14" ht="15.75">
      <c r="A127" s="7"/>
      <c r="B127" s="138" t="s">
        <v>92</v>
      </c>
      <c r="C127" s="15"/>
      <c r="D127" s="9"/>
      <c r="E127" s="9"/>
      <c r="F127" s="9"/>
      <c r="G127" s="9"/>
      <c r="H127" s="9"/>
      <c r="I127" s="9"/>
      <c r="J127" s="9"/>
      <c r="K127" s="9"/>
      <c r="L127" s="70"/>
      <c r="M127" s="9"/>
      <c r="N127" s="6"/>
    </row>
    <row r="128" spans="1:14" ht="15.75">
      <c r="A128" s="27"/>
      <c r="B128" s="28" t="s">
        <v>93</v>
      </c>
      <c r="C128" s="28"/>
      <c r="D128" s="28"/>
      <c r="E128" s="28"/>
      <c r="F128" s="28"/>
      <c r="G128" s="28"/>
      <c r="H128" s="28"/>
      <c r="I128" s="28"/>
      <c r="J128" s="28"/>
      <c r="K128" s="28"/>
      <c r="L128" s="59">
        <v>0</v>
      </c>
      <c r="M128" s="28"/>
      <c r="N128" s="6"/>
    </row>
    <row r="129" spans="1:14" ht="15.75">
      <c r="A129" s="27"/>
      <c r="B129" s="28" t="s">
        <v>94</v>
      </c>
      <c r="C129" s="28"/>
      <c r="D129" s="28"/>
      <c r="E129" s="28"/>
      <c r="F129" s="28"/>
      <c r="G129" s="28"/>
      <c r="H129" s="28"/>
      <c r="I129" s="28"/>
      <c r="J129" s="28"/>
      <c r="K129" s="28"/>
      <c r="L129" s="59">
        <v>0</v>
      </c>
      <c r="M129" s="28"/>
      <c r="N129" s="6"/>
    </row>
    <row r="130" spans="1:14" ht="15.75">
      <c r="A130" s="27"/>
      <c r="B130" s="28" t="s">
        <v>95</v>
      </c>
      <c r="C130" s="28"/>
      <c r="D130" s="28"/>
      <c r="E130" s="28"/>
      <c r="F130" s="28"/>
      <c r="G130" s="28"/>
      <c r="H130" s="28"/>
      <c r="I130" s="28"/>
      <c r="J130" s="28"/>
      <c r="K130" s="28"/>
      <c r="L130" s="59">
        <f>L129+L128</f>
        <v>0</v>
      </c>
      <c r="M130" s="28"/>
      <c r="N130" s="6"/>
    </row>
    <row r="131" spans="1:14" ht="15.75">
      <c r="A131" s="27"/>
      <c r="B131" s="28" t="s">
        <v>96</v>
      </c>
      <c r="C131" s="28"/>
      <c r="D131" s="28"/>
      <c r="E131" s="28"/>
      <c r="F131" s="28"/>
      <c r="G131" s="28"/>
      <c r="H131" s="71"/>
      <c r="I131" s="28"/>
      <c r="J131" s="28"/>
      <c r="K131" s="28"/>
      <c r="L131" s="59">
        <v>0</v>
      </c>
      <c r="M131" s="28"/>
      <c r="N131" s="6"/>
    </row>
    <row r="132" spans="1:14" ht="15.75">
      <c r="A132" s="27"/>
      <c r="B132" s="28" t="s">
        <v>97</v>
      </c>
      <c r="C132" s="28"/>
      <c r="D132" s="28"/>
      <c r="E132" s="28"/>
      <c r="F132" s="28"/>
      <c r="G132" s="28"/>
      <c r="H132" s="28"/>
      <c r="I132" s="28"/>
      <c r="J132" s="28"/>
      <c r="K132" s="28"/>
      <c r="L132" s="59">
        <f>L130+L131</f>
        <v>0</v>
      </c>
      <c r="M132" s="28"/>
      <c r="N132" s="6"/>
    </row>
    <row r="133" spans="1:14" ht="7.5" customHeight="1">
      <c r="A133" s="27"/>
      <c r="B133" s="28"/>
      <c r="C133" s="28"/>
      <c r="D133" s="28"/>
      <c r="E133" s="28"/>
      <c r="F133" s="28"/>
      <c r="G133" s="28"/>
      <c r="H133" s="28"/>
      <c r="I133" s="28"/>
      <c r="J133" s="28"/>
      <c r="K133" s="28"/>
      <c r="L133" s="67"/>
      <c r="M133" s="28"/>
      <c r="N133" s="6"/>
    </row>
    <row r="134" spans="1:14" ht="6" customHeight="1">
      <c r="A134" s="2"/>
      <c r="B134" s="5"/>
      <c r="C134" s="5"/>
      <c r="D134" s="5"/>
      <c r="E134" s="5"/>
      <c r="F134" s="5"/>
      <c r="G134" s="5"/>
      <c r="H134" s="5"/>
      <c r="I134" s="5"/>
      <c r="J134" s="5"/>
      <c r="K134" s="5"/>
      <c r="L134" s="66"/>
      <c r="M134" s="5"/>
      <c r="N134" s="6"/>
    </row>
    <row r="135" spans="1:14" ht="15.75">
      <c r="A135" s="7"/>
      <c r="B135" s="138" t="s">
        <v>98</v>
      </c>
      <c r="C135" s="15"/>
      <c r="D135" s="9"/>
      <c r="E135" s="9"/>
      <c r="F135" s="9"/>
      <c r="G135" s="9"/>
      <c r="H135" s="9"/>
      <c r="I135" s="9"/>
      <c r="J135" s="9"/>
      <c r="K135" s="9"/>
      <c r="L135" s="58"/>
      <c r="M135" s="9"/>
      <c r="N135" s="6"/>
    </row>
    <row r="136" spans="1:14" ht="15.75">
      <c r="A136" s="7"/>
      <c r="B136" s="23"/>
      <c r="C136" s="15"/>
      <c r="D136" s="9"/>
      <c r="E136" s="9"/>
      <c r="F136" s="9"/>
      <c r="G136" s="9"/>
      <c r="H136" s="9"/>
      <c r="I136" s="9"/>
      <c r="J136" s="9"/>
      <c r="K136" s="9"/>
      <c r="L136" s="58"/>
      <c r="M136" s="9"/>
      <c r="N136" s="6"/>
    </row>
    <row r="137" spans="1:14" ht="15.75">
      <c r="A137" s="27"/>
      <c r="B137" s="28" t="s">
        <v>99</v>
      </c>
      <c r="C137" s="72"/>
      <c r="D137" s="28"/>
      <c r="E137" s="28"/>
      <c r="F137" s="28"/>
      <c r="G137" s="28"/>
      <c r="H137" s="28"/>
      <c r="I137" s="28"/>
      <c r="J137" s="28"/>
      <c r="K137" s="28"/>
      <c r="L137" s="59">
        <f>L61</f>
        <v>476038</v>
      </c>
      <c r="M137" s="28"/>
      <c r="N137" s="6"/>
    </row>
    <row r="138" spans="1:14" ht="15.75">
      <c r="A138" s="27"/>
      <c r="B138" s="28" t="s">
        <v>100</v>
      </c>
      <c r="C138" s="72"/>
      <c r="D138" s="28"/>
      <c r="E138" s="28"/>
      <c r="F138" s="28"/>
      <c r="G138" s="28"/>
      <c r="H138" s="28"/>
      <c r="I138" s="28"/>
      <c r="J138" s="28"/>
      <c r="K138" s="28"/>
      <c r="L138" s="59">
        <f>L33</f>
        <v>476037.98</v>
      </c>
      <c r="M138" s="28"/>
      <c r="N138" s="6"/>
    </row>
    <row r="139" spans="1:14" ht="7.5" customHeight="1">
      <c r="A139" s="27"/>
      <c r="B139" s="28"/>
      <c r="C139" s="28"/>
      <c r="D139" s="28"/>
      <c r="E139" s="28"/>
      <c r="F139" s="28"/>
      <c r="G139" s="28"/>
      <c r="H139" s="28"/>
      <c r="I139" s="28"/>
      <c r="J139" s="28"/>
      <c r="K139" s="28"/>
      <c r="L139" s="67"/>
      <c r="M139" s="28"/>
      <c r="N139" s="6"/>
    </row>
    <row r="140" spans="1:14" ht="15.75">
      <c r="A140" s="2"/>
      <c r="B140" s="5"/>
      <c r="C140" s="5"/>
      <c r="D140" s="5"/>
      <c r="E140" s="5"/>
      <c r="F140" s="5"/>
      <c r="G140" s="5"/>
      <c r="H140" s="5"/>
      <c r="I140" s="5"/>
      <c r="J140" s="5"/>
      <c r="K140" s="5"/>
      <c r="L140" s="66"/>
      <c r="M140" s="5"/>
      <c r="N140" s="6"/>
    </row>
    <row r="141" spans="1:14" ht="15.75">
      <c r="A141" s="7"/>
      <c r="B141" s="138" t="s">
        <v>101</v>
      </c>
      <c r="C141" s="131"/>
      <c r="D141" s="131"/>
      <c r="E141" s="131"/>
      <c r="F141" s="131"/>
      <c r="G141" s="131"/>
      <c r="H141" s="139" t="s">
        <v>174</v>
      </c>
      <c r="I141" s="139"/>
      <c r="J141" s="139" t="s">
        <v>182</v>
      </c>
      <c r="K141" s="131"/>
      <c r="L141" s="140" t="s">
        <v>195</v>
      </c>
      <c r="M141" s="11"/>
      <c r="N141" s="6"/>
    </row>
    <row r="142" spans="1:14" ht="15.75">
      <c r="A142" s="27"/>
      <c r="B142" s="28" t="s">
        <v>102</v>
      </c>
      <c r="C142" s="28"/>
      <c r="D142" s="28"/>
      <c r="E142" s="28"/>
      <c r="F142" s="28"/>
      <c r="G142" s="28"/>
      <c r="H142" s="59">
        <v>70000</v>
      </c>
      <c r="I142" s="28"/>
      <c r="J142" s="47"/>
      <c r="K142" s="28"/>
      <c r="L142" s="59"/>
      <c r="M142" s="28"/>
      <c r="N142" s="6"/>
    </row>
    <row r="143" spans="1:14" ht="15.75">
      <c r="A143" s="27"/>
      <c r="B143" s="28" t="s">
        <v>103</v>
      </c>
      <c r="C143" s="28"/>
      <c r="D143" s="28"/>
      <c r="E143" s="28"/>
      <c r="F143" s="28"/>
      <c r="G143" s="28"/>
      <c r="H143" s="59">
        <v>4115</v>
      </c>
      <c r="I143" s="28"/>
      <c r="J143" s="59">
        <v>832</v>
      </c>
      <c r="K143" s="28"/>
      <c r="L143" s="59">
        <f>J143+H143</f>
        <v>4947</v>
      </c>
      <c r="M143" s="28"/>
      <c r="N143" s="6"/>
    </row>
    <row r="144" spans="1:14" ht="15.75">
      <c r="A144" s="27"/>
      <c r="B144" s="28" t="s">
        <v>104</v>
      </c>
      <c r="C144" s="28"/>
      <c r="D144" s="28"/>
      <c r="E144" s="28"/>
      <c r="F144" s="28"/>
      <c r="G144" s="28"/>
      <c r="H144" s="59">
        <v>7082</v>
      </c>
      <c r="I144" s="28"/>
      <c r="J144" s="59">
        <v>759</v>
      </c>
      <c r="K144" s="28"/>
      <c r="L144" s="59">
        <f>J144+H144</f>
        <v>7841</v>
      </c>
      <c r="M144" s="28"/>
      <c r="N144" s="6"/>
    </row>
    <row r="145" spans="1:14" ht="15.75">
      <c r="A145" s="27"/>
      <c r="B145" s="28" t="s">
        <v>105</v>
      </c>
      <c r="C145" s="28"/>
      <c r="D145" s="28"/>
      <c r="E145" s="28"/>
      <c r="F145" s="28"/>
      <c r="G145" s="28"/>
      <c r="H145" s="59">
        <f>H144+H143</f>
        <v>11197</v>
      </c>
      <c r="I145" s="28"/>
      <c r="J145" s="59">
        <f>J144+J143</f>
        <v>1591</v>
      </c>
      <c r="K145" s="28"/>
      <c r="L145" s="59">
        <f>J145+H145</f>
        <v>12788</v>
      </c>
      <c r="M145" s="28"/>
      <c r="N145" s="6"/>
    </row>
    <row r="146" spans="1:14" ht="15.75">
      <c r="A146" s="27"/>
      <c r="B146" s="28" t="s">
        <v>106</v>
      </c>
      <c r="C146" s="28"/>
      <c r="D146" s="28"/>
      <c r="E146" s="28"/>
      <c r="F146" s="28"/>
      <c r="G146" s="28"/>
      <c r="H146" s="59">
        <f>H142-H145-J145</f>
        <v>57212</v>
      </c>
      <c r="I146" s="28"/>
      <c r="J146" s="47"/>
      <c r="K146" s="28"/>
      <c r="L146" s="59"/>
      <c r="M146" s="28"/>
      <c r="N146" s="6"/>
    </row>
    <row r="147" spans="1:14" ht="7.5" customHeight="1">
      <c r="A147" s="27"/>
      <c r="B147" s="28"/>
      <c r="C147" s="28"/>
      <c r="D147" s="28"/>
      <c r="E147" s="28"/>
      <c r="F147" s="28"/>
      <c r="G147" s="28"/>
      <c r="H147" s="28"/>
      <c r="I147" s="28"/>
      <c r="J147" s="28"/>
      <c r="K147" s="28"/>
      <c r="L147" s="67"/>
      <c r="M147" s="28"/>
      <c r="N147" s="6"/>
    </row>
    <row r="148" spans="1:14" ht="9" customHeight="1">
      <c r="A148" s="2"/>
      <c r="B148" s="142"/>
      <c r="C148" s="5"/>
      <c r="D148" s="5"/>
      <c r="E148" s="5"/>
      <c r="F148" s="5"/>
      <c r="G148" s="5"/>
      <c r="H148" s="5"/>
      <c r="I148" s="5"/>
      <c r="J148" s="5"/>
      <c r="K148" s="5"/>
      <c r="L148" s="66"/>
      <c r="M148" s="5"/>
      <c r="N148" s="6"/>
    </row>
    <row r="149" spans="1:14" ht="15.75">
      <c r="A149" s="7"/>
      <c r="B149" s="138" t="s">
        <v>107</v>
      </c>
      <c r="C149" s="15"/>
      <c r="D149" s="9"/>
      <c r="E149" s="9"/>
      <c r="F149" s="9"/>
      <c r="G149" s="9"/>
      <c r="H149" s="9"/>
      <c r="I149" s="9"/>
      <c r="J149" s="9"/>
      <c r="K149" s="9"/>
      <c r="L149" s="73"/>
      <c r="M149" s="9"/>
      <c r="N149" s="6"/>
    </row>
    <row r="150" spans="1:14" ht="15.75">
      <c r="A150" s="27"/>
      <c r="B150" s="28" t="s">
        <v>108</v>
      </c>
      <c r="C150" s="28"/>
      <c r="D150" s="28"/>
      <c r="E150" s="28"/>
      <c r="F150" s="28"/>
      <c r="G150" s="28"/>
      <c r="H150" s="28"/>
      <c r="I150" s="28"/>
      <c r="J150" s="28"/>
      <c r="K150" s="28"/>
      <c r="L150" s="65">
        <f>(L82+L84+L85+L86+L87)/-L88</f>
        <v>1.3621610517666394</v>
      </c>
      <c r="M150" s="28" t="s">
        <v>196</v>
      </c>
      <c r="N150" s="6"/>
    </row>
    <row r="151" spans="1:14" ht="15.75">
      <c r="A151" s="27"/>
      <c r="B151" s="28" t="s">
        <v>109</v>
      </c>
      <c r="C151" s="28"/>
      <c r="D151" s="28"/>
      <c r="E151" s="28"/>
      <c r="F151" s="28"/>
      <c r="G151" s="28"/>
      <c r="H151" s="28"/>
      <c r="I151" s="28"/>
      <c r="J151" s="28"/>
      <c r="K151" s="28"/>
      <c r="L151" s="65">
        <v>1.28</v>
      </c>
      <c r="M151" s="28" t="s">
        <v>196</v>
      </c>
      <c r="N151" s="6"/>
    </row>
    <row r="152" spans="1:14" ht="15.75">
      <c r="A152" s="27"/>
      <c r="B152" s="28" t="s">
        <v>110</v>
      </c>
      <c r="C152" s="28"/>
      <c r="D152" s="28"/>
      <c r="E152" s="28"/>
      <c r="F152" s="28"/>
      <c r="G152" s="28"/>
      <c r="H152" s="28"/>
      <c r="I152" s="28"/>
      <c r="J152" s="28"/>
      <c r="K152" s="28"/>
      <c r="L152" s="65">
        <f>(L82+SUM(L84:L88))/-L89</f>
        <v>3.3390151515151514</v>
      </c>
      <c r="M152" s="28" t="s">
        <v>196</v>
      </c>
      <c r="N152" s="6"/>
    </row>
    <row r="153" spans="1:14" ht="15.75">
      <c r="A153" s="27"/>
      <c r="B153" s="28" t="s">
        <v>111</v>
      </c>
      <c r="C153" s="28"/>
      <c r="D153" s="28"/>
      <c r="E153" s="28"/>
      <c r="F153" s="28"/>
      <c r="G153" s="28"/>
      <c r="H153" s="28"/>
      <c r="I153" s="28"/>
      <c r="J153" s="28"/>
      <c r="K153" s="28"/>
      <c r="L153" s="74">
        <v>2.59</v>
      </c>
      <c r="M153" s="28" t="s">
        <v>196</v>
      </c>
      <c r="N153" s="6"/>
    </row>
    <row r="154" spans="1:14" ht="12.75" customHeight="1">
      <c r="A154" s="27"/>
      <c r="B154" s="28"/>
      <c r="C154" s="28"/>
      <c r="D154" s="28"/>
      <c r="E154" s="28"/>
      <c r="F154" s="28"/>
      <c r="G154" s="28"/>
      <c r="H154" s="28"/>
      <c r="I154" s="28"/>
      <c r="J154" s="28"/>
      <c r="K154" s="28"/>
      <c r="L154" s="28"/>
      <c r="M154" s="28"/>
      <c r="N154" s="6"/>
    </row>
    <row r="155" spans="1:14" ht="12.75" customHeight="1">
      <c r="A155" s="7"/>
      <c r="B155" s="9"/>
      <c r="C155" s="9"/>
      <c r="D155" s="9"/>
      <c r="E155" s="9"/>
      <c r="F155" s="9"/>
      <c r="G155" s="9"/>
      <c r="H155" s="9"/>
      <c r="I155" s="9"/>
      <c r="J155" s="9"/>
      <c r="K155" s="9"/>
      <c r="L155" s="9"/>
      <c r="M155" s="9"/>
      <c r="N155" s="6"/>
    </row>
    <row r="156" spans="1:14" ht="15" customHeight="1" thickBot="1">
      <c r="A156" s="118"/>
      <c r="B156" s="119" t="str">
        <f>B106</f>
        <v>PM4 INVESTOR REPORT QUARTER ENDING SEPTEMBER 2002</v>
      </c>
      <c r="C156" s="120"/>
      <c r="D156" s="120"/>
      <c r="E156" s="120"/>
      <c r="F156" s="120"/>
      <c r="G156" s="120"/>
      <c r="H156" s="120"/>
      <c r="I156" s="120"/>
      <c r="J156" s="120"/>
      <c r="K156" s="120"/>
      <c r="L156" s="120"/>
      <c r="M156" s="123"/>
      <c r="N156" s="6"/>
    </row>
    <row r="157" spans="1:14" ht="15.75">
      <c r="A157" s="2"/>
      <c r="B157" s="75"/>
      <c r="C157" s="75"/>
      <c r="D157" s="75"/>
      <c r="E157" s="75"/>
      <c r="F157" s="75"/>
      <c r="G157" s="75"/>
      <c r="H157" s="75"/>
      <c r="I157" s="75"/>
      <c r="J157" s="75"/>
      <c r="K157" s="75"/>
      <c r="L157" s="75"/>
      <c r="M157" s="75"/>
      <c r="N157" s="6"/>
    </row>
    <row r="158" spans="1:14" ht="15.75">
      <c r="A158" s="76"/>
      <c r="B158" s="57" t="s">
        <v>112</v>
      </c>
      <c r="C158" s="77"/>
      <c r="D158" s="77"/>
      <c r="E158" s="77"/>
      <c r="F158" s="77"/>
      <c r="G158" s="21"/>
      <c r="H158" s="21"/>
      <c r="I158" s="21"/>
      <c r="J158" s="21">
        <v>37529</v>
      </c>
      <c r="K158" s="17"/>
      <c r="L158" s="17"/>
      <c r="M158" s="9"/>
      <c r="N158" s="6"/>
    </row>
    <row r="159" spans="1:14" ht="15.75">
      <c r="A159" s="78"/>
      <c r="B159" s="79"/>
      <c r="C159" s="80"/>
      <c r="D159" s="80"/>
      <c r="E159" s="80"/>
      <c r="F159" s="80"/>
      <c r="G159" s="81"/>
      <c r="H159" s="81"/>
      <c r="I159" s="81"/>
      <c r="J159" s="81"/>
      <c r="K159" s="9"/>
      <c r="L159" s="9"/>
      <c r="M159" s="9"/>
      <c r="N159" s="6"/>
    </row>
    <row r="160" spans="1:14" ht="15.75">
      <c r="A160" s="82"/>
      <c r="B160" s="83" t="s">
        <v>113</v>
      </c>
      <c r="C160" s="84"/>
      <c r="D160" s="84"/>
      <c r="E160" s="84"/>
      <c r="F160" s="84"/>
      <c r="G160" s="71"/>
      <c r="H160" s="71"/>
      <c r="I160" s="71"/>
      <c r="J160" s="85">
        <v>0.06</v>
      </c>
      <c r="K160" s="28"/>
      <c r="L160" s="28"/>
      <c r="M160" s="28"/>
      <c r="N160" s="6"/>
    </row>
    <row r="161" spans="1:14" ht="15.75">
      <c r="A161" s="82"/>
      <c r="B161" s="83" t="s">
        <v>114</v>
      </c>
      <c r="C161" s="84"/>
      <c r="D161" s="84"/>
      <c r="E161" s="84"/>
      <c r="F161" s="84"/>
      <c r="G161" s="71"/>
      <c r="H161" s="71"/>
      <c r="I161" s="71"/>
      <c r="J161" s="85">
        <v>0.0452</v>
      </c>
      <c r="K161" s="28"/>
      <c r="L161" s="28"/>
      <c r="M161" s="28"/>
      <c r="N161" s="6"/>
    </row>
    <row r="162" spans="1:14" ht="15.75">
      <c r="A162" s="82"/>
      <c r="B162" s="83" t="s">
        <v>115</v>
      </c>
      <c r="C162" s="84"/>
      <c r="D162" s="84"/>
      <c r="E162" s="84"/>
      <c r="F162" s="84"/>
      <c r="G162" s="71"/>
      <c r="H162" s="71"/>
      <c r="I162" s="71"/>
      <c r="J162" s="85">
        <f>J160-J161</f>
        <v>0.0148</v>
      </c>
      <c r="K162" s="28"/>
      <c r="L162" s="28"/>
      <c r="M162" s="28"/>
      <c r="N162" s="6"/>
    </row>
    <row r="163" spans="1:14" ht="15.75">
      <c r="A163" s="82"/>
      <c r="B163" s="83" t="s">
        <v>116</v>
      </c>
      <c r="C163" s="84"/>
      <c r="D163" s="84"/>
      <c r="E163" s="84"/>
      <c r="F163" s="84"/>
      <c r="G163" s="71"/>
      <c r="H163" s="71"/>
      <c r="I163" s="71"/>
      <c r="J163" s="85">
        <v>0.0599</v>
      </c>
      <c r="K163" s="28"/>
      <c r="L163" s="28"/>
      <c r="M163" s="28"/>
      <c r="N163" s="6"/>
    </row>
    <row r="164" spans="1:14" ht="15.75">
      <c r="A164" s="82"/>
      <c r="B164" s="83" t="s">
        <v>117</v>
      </c>
      <c r="C164" s="84"/>
      <c r="D164" s="84"/>
      <c r="E164" s="84"/>
      <c r="F164" s="84"/>
      <c r="G164" s="71"/>
      <c r="H164" s="71"/>
      <c r="I164" s="71"/>
      <c r="J164" s="85">
        <f>L35</f>
        <v>0.04446516858424518</v>
      </c>
      <c r="K164" s="28"/>
      <c r="L164" s="28"/>
      <c r="M164" s="28"/>
      <c r="N164" s="6"/>
    </row>
    <row r="165" spans="1:14" ht="15.75">
      <c r="A165" s="82"/>
      <c r="B165" s="83" t="s">
        <v>118</v>
      </c>
      <c r="C165" s="84"/>
      <c r="D165" s="84"/>
      <c r="E165" s="84"/>
      <c r="F165" s="84"/>
      <c r="G165" s="71"/>
      <c r="H165" s="71"/>
      <c r="I165" s="71"/>
      <c r="J165" s="85">
        <f>J163-J164</f>
        <v>0.015434831415754822</v>
      </c>
      <c r="K165" s="28"/>
      <c r="L165" s="28"/>
      <c r="M165" s="28"/>
      <c r="N165" s="6"/>
    </row>
    <row r="166" spans="1:14" ht="15.75">
      <c r="A166" s="82"/>
      <c r="B166" s="83" t="s">
        <v>119</v>
      </c>
      <c r="C166" s="84"/>
      <c r="D166" s="84"/>
      <c r="E166" s="84"/>
      <c r="F166" s="84"/>
      <c r="G166" s="71"/>
      <c r="H166" s="71"/>
      <c r="I166" s="71"/>
      <c r="J166" s="86" t="s">
        <v>183</v>
      </c>
      <c r="K166" s="28"/>
      <c r="L166" s="28"/>
      <c r="M166" s="28"/>
      <c r="N166" s="6"/>
    </row>
    <row r="167" spans="1:14" ht="15.75">
      <c r="A167" s="82"/>
      <c r="B167" s="83" t="s">
        <v>120</v>
      </c>
      <c r="C167" s="84"/>
      <c r="D167" s="84"/>
      <c r="E167" s="84"/>
      <c r="F167" s="84"/>
      <c r="G167" s="71"/>
      <c r="H167" s="71"/>
      <c r="I167" s="71"/>
      <c r="J167" s="86" t="s">
        <v>184</v>
      </c>
      <c r="K167" s="28"/>
      <c r="L167" s="28"/>
      <c r="M167" s="28"/>
      <c r="N167" s="6"/>
    </row>
    <row r="168" spans="1:14" ht="15.75">
      <c r="A168" s="82"/>
      <c r="B168" s="83" t="s">
        <v>121</v>
      </c>
      <c r="C168" s="84"/>
      <c r="D168" s="84"/>
      <c r="E168" s="84"/>
      <c r="F168" s="84"/>
      <c r="G168" s="71"/>
      <c r="H168" s="71"/>
      <c r="I168" s="71"/>
      <c r="J168" s="87">
        <v>20.2</v>
      </c>
      <c r="K168" s="28" t="s">
        <v>188</v>
      </c>
      <c r="L168" s="28"/>
      <c r="M168" s="28"/>
      <c r="N168" s="6"/>
    </row>
    <row r="169" spans="1:14" ht="15.75">
      <c r="A169" s="82"/>
      <c r="B169" s="83" t="s">
        <v>122</v>
      </c>
      <c r="C169" s="84"/>
      <c r="D169" s="84"/>
      <c r="E169" s="84"/>
      <c r="F169" s="84"/>
      <c r="G169" s="71"/>
      <c r="H169" s="71"/>
      <c r="I169" s="71"/>
      <c r="J169" s="87">
        <v>19.9</v>
      </c>
      <c r="K169" s="28" t="s">
        <v>188</v>
      </c>
      <c r="L169" s="28"/>
      <c r="M169" s="28"/>
      <c r="N169" s="6"/>
    </row>
    <row r="170" spans="1:14" ht="15.75">
      <c r="A170" s="82"/>
      <c r="B170" s="83" t="s">
        <v>123</v>
      </c>
      <c r="C170" s="84"/>
      <c r="D170" s="84"/>
      <c r="E170" s="84"/>
      <c r="F170" s="84"/>
      <c r="G170" s="71"/>
      <c r="H170" s="71"/>
      <c r="I170" s="71"/>
      <c r="J170" s="85">
        <f>F58/'June 02'!L58</f>
        <v>0.03808445680803067</v>
      </c>
      <c r="K170" s="28"/>
      <c r="L170" s="28"/>
      <c r="M170" s="28"/>
      <c r="N170" s="6"/>
    </row>
    <row r="171" spans="1:14" ht="15.75">
      <c r="A171" s="82"/>
      <c r="B171" s="83" t="s">
        <v>124</v>
      </c>
      <c r="C171" s="84"/>
      <c r="D171" s="84"/>
      <c r="E171" s="84"/>
      <c r="F171" s="84"/>
      <c r="G171" s="71"/>
      <c r="H171" s="71"/>
      <c r="I171" s="71"/>
      <c r="J171" s="85">
        <v>0.1409</v>
      </c>
      <c r="K171" s="28"/>
      <c r="L171" s="28"/>
      <c r="M171" s="28"/>
      <c r="N171" s="6"/>
    </row>
    <row r="172" spans="1:14" ht="15.75">
      <c r="A172" s="82"/>
      <c r="B172" s="83"/>
      <c r="C172" s="83"/>
      <c r="D172" s="83"/>
      <c r="E172" s="83"/>
      <c r="F172" s="83"/>
      <c r="G172" s="28"/>
      <c r="H172" s="28"/>
      <c r="I172" s="28"/>
      <c r="J172" s="67"/>
      <c r="K172" s="28"/>
      <c r="L172" s="88"/>
      <c r="M172" s="28"/>
      <c r="N172" s="6"/>
    </row>
    <row r="173" spans="1:14" ht="15.75">
      <c r="A173" s="89"/>
      <c r="B173" s="16" t="s">
        <v>125</v>
      </c>
      <c r="C173" s="90"/>
      <c r="D173" s="91"/>
      <c r="E173" s="90"/>
      <c r="F173" s="91"/>
      <c r="G173" s="90"/>
      <c r="H173" s="91"/>
      <c r="I173" s="19" t="s">
        <v>175</v>
      </c>
      <c r="J173" s="92" t="s">
        <v>185</v>
      </c>
      <c r="K173" s="17"/>
      <c r="L173" s="9"/>
      <c r="M173" s="9"/>
      <c r="N173" s="6"/>
    </row>
    <row r="174" spans="1:14" ht="15.75">
      <c r="A174" s="93"/>
      <c r="B174" s="83" t="s">
        <v>126</v>
      </c>
      <c r="C174" s="60"/>
      <c r="D174" s="60"/>
      <c r="E174" s="60"/>
      <c r="F174" s="28"/>
      <c r="G174" s="28"/>
      <c r="H174" s="28"/>
      <c r="I174" s="29">
        <v>13</v>
      </c>
      <c r="J174" s="94">
        <v>421</v>
      </c>
      <c r="K174" s="28"/>
      <c r="L174" s="88"/>
      <c r="M174" s="95"/>
      <c r="N174" s="6"/>
    </row>
    <row r="175" spans="1:14" ht="15.75">
      <c r="A175" s="93"/>
      <c r="B175" s="83" t="s">
        <v>127</v>
      </c>
      <c r="C175" s="60"/>
      <c r="D175" s="60"/>
      <c r="E175" s="60"/>
      <c r="F175" s="28"/>
      <c r="G175" s="28"/>
      <c r="H175" s="28"/>
      <c r="I175" s="29">
        <v>1</v>
      </c>
      <c r="J175" s="94">
        <v>39</v>
      </c>
      <c r="K175" s="28"/>
      <c r="L175" s="88"/>
      <c r="M175" s="95"/>
      <c r="N175" s="6"/>
    </row>
    <row r="176" spans="1:14" ht="15.75">
      <c r="A176" s="93"/>
      <c r="B176" s="141" t="s">
        <v>128</v>
      </c>
      <c r="C176" s="60"/>
      <c r="D176" s="60"/>
      <c r="E176" s="60"/>
      <c r="F176" s="28"/>
      <c r="G176" s="28"/>
      <c r="H176" s="28"/>
      <c r="I176" s="28"/>
      <c r="J176" s="94">
        <v>0</v>
      </c>
      <c r="K176" s="28"/>
      <c r="L176" s="88"/>
      <c r="M176" s="95"/>
      <c r="N176" s="6"/>
    </row>
    <row r="177" spans="1:14" ht="15.75">
      <c r="A177" s="93"/>
      <c r="B177" s="141" t="s">
        <v>129</v>
      </c>
      <c r="C177" s="60"/>
      <c r="D177" s="60"/>
      <c r="E177" s="60"/>
      <c r="F177" s="28"/>
      <c r="G177" s="28"/>
      <c r="H177" s="28"/>
      <c r="I177" s="28"/>
      <c r="J177" s="94">
        <v>77991</v>
      </c>
      <c r="K177" s="28"/>
      <c r="L177" s="88"/>
      <c r="M177" s="95"/>
      <c r="N177" s="6"/>
    </row>
    <row r="178" spans="1:14" ht="15.75">
      <c r="A178" s="96"/>
      <c r="B178" s="141" t="s">
        <v>130</v>
      </c>
      <c r="C178" s="60"/>
      <c r="D178" s="83"/>
      <c r="E178" s="83"/>
      <c r="F178" s="83"/>
      <c r="G178" s="28"/>
      <c r="H178" s="28"/>
      <c r="I178" s="28"/>
      <c r="J178" s="94">
        <v>0</v>
      </c>
      <c r="K178" s="28"/>
      <c r="L178" s="88"/>
      <c r="M178" s="97"/>
      <c r="N178" s="6"/>
    </row>
    <row r="179" spans="1:14" ht="15.75">
      <c r="A179" s="93"/>
      <c r="B179" s="83" t="s">
        <v>131</v>
      </c>
      <c r="C179" s="60"/>
      <c r="D179" s="60"/>
      <c r="E179" s="60"/>
      <c r="F179" s="60"/>
      <c r="G179" s="28"/>
      <c r="H179" s="28"/>
      <c r="I179" s="28"/>
      <c r="J179" s="94">
        <v>0</v>
      </c>
      <c r="K179" s="28"/>
      <c r="L179" s="88"/>
      <c r="M179" s="97"/>
      <c r="N179" s="6"/>
    </row>
    <row r="180" spans="1:14" ht="15.75">
      <c r="A180" s="93"/>
      <c r="B180" s="83" t="s">
        <v>132</v>
      </c>
      <c r="C180" s="60"/>
      <c r="D180" s="60"/>
      <c r="E180" s="60"/>
      <c r="F180" s="60"/>
      <c r="G180" s="28"/>
      <c r="H180" s="28"/>
      <c r="I180" s="28"/>
      <c r="J180" s="94">
        <v>0</v>
      </c>
      <c r="K180" s="28"/>
      <c r="L180" s="88"/>
      <c r="M180" s="97"/>
      <c r="N180" s="6"/>
    </row>
    <row r="181" spans="1:14" ht="15.75">
      <c r="A181" s="93"/>
      <c r="B181" s="83" t="s">
        <v>133</v>
      </c>
      <c r="C181" s="60"/>
      <c r="D181" s="60"/>
      <c r="E181" s="60"/>
      <c r="F181" s="60"/>
      <c r="G181" s="28"/>
      <c r="H181" s="28"/>
      <c r="I181" s="28"/>
      <c r="J181" s="94">
        <v>0</v>
      </c>
      <c r="K181" s="28"/>
      <c r="L181" s="88"/>
      <c r="M181" s="97"/>
      <c r="N181" s="6"/>
    </row>
    <row r="182" spans="1:14" ht="15.75">
      <c r="A182" s="96"/>
      <c r="B182" s="141" t="s">
        <v>134</v>
      </c>
      <c r="C182" s="60"/>
      <c r="D182" s="83"/>
      <c r="E182" s="83"/>
      <c r="F182" s="83"/>
      <c r="G182" s="28"/>
      <c r="H182" s="28"/>
      <c r="I182" s="28"/>
      <c r="J182" s="94"/>
      <c r="K182" s="28"/>
      <c r="L182" s="88"/>
      <c r="M182" s="97"/>
      <c r="N182" s="6"/>
    </row>
    <row r="183" spans="1:14" ht="15.75">
      <c r="A183" s="96"/>
      <c r="B183" s="83" t="s">
        <v>135</v>
      </c>
      <c r="C183" s="60"/>
      <c r="D183" s="83"/>
      <c r="E183" s="83"/>
      <c r="F183" s="83"/>
      <c r="G183" s="28"/>
      <c r="H183" s="28"/>
      <c r="I183" s="28"/>
      <c r="J183" s="94">
        <v>0</v>
      </c>
      <c r="K183" s="28"/>
      <c r="L183" s="88"/>
      <c r="M183" s="97"/>
      <c r="N183" s="6"/>
    </row>
    <row r="184" spans="1:14" ht="15.75">
      <c r="A184" s="93"/>
      <c r="B184" s="83" t="s">
        <v>136</v>
      </c>
      <c r="C184" s="60"/>
      <c r="D184" s="98"/>
      <c r="E184" s="98"/>
      <c r="F184" s="99"/>
      <c r="G184" s="28"/>
      <c r="H184" s="28"/>
      <c r="I184" s="28"/>
      <c r="J184" s="94">
        <v>0</v>
      </c>
      <c r="K184" s="28"/>
      <c r="L184" s="88"/>
      <c r="M184" s="97"/>
      <c r="N184" s="6"/>
    </row>
    <row r="185" spans="1:14" ht="15.75">
      <c r="A185" s="93"/>
      <c r="B185" s="83" t="s">
        <v>137</v>
      </c>
      <c r="C185" s="60"/>
      <c r="D185" s="98"/>
      <c r="E185" s="98"/>
      <c r="F185" s="99"/>
      <c r="G185" s="28"/>
      <c r="H185" s="28"/>
      <c r="I185" s="28"/>
      <c r="J185" s="94">
        <v>0</v>
      </c>
      <c r="K185" s="28"/>
      <c r="L185" s="88"/>
      <c r="M185" s="97"/>
      <c r="N185" s="6"/>
    </row>
    <row r="186" spans="1:14" ht="15.75">
      <c r="A186" s="93"/>
      <c r="B186" s="83" t="s">
        <v>138</v>
      </c>
      <c r="C186" s="60"/>
      <c r="D186" s="100"/>
      <c r="E186" s="98"/>
      <c r="F186" s="99"/>
      <c r="G186" s="28"/>
      <c r="H186" s="28"/>
      <c r="I186" s="28"/>
      <c r="J186" s="101">
        <v>0</v>
      </c>
      <c r="K186" s="28"/>
      <c r="L186" s="88"/>
      <c r="M186" s="97"/>
      <c r="N186" s="6"/>
    </row>
    <row r="187" spans="1:14" ht="15.75">
      <c r="A187" s="93"/>
      <c r="B187" s="83"/>
      <c r="C187" s="60"/>
      <c r="D187" s="100"/>
      <c r="E187" s="98"/>
      <c r="F187" s="99"/>
      <c r="G187" s="28"/>
      <c r="H187" s="28"/>
      <c r="I187" s="28"/>
      <c r="J187" s="101"/>
      <c r="K187" s="28"/>
      <c r="L187" s="88"/>
      <c r="M187" s="97"/>
      <c r="N187" s="6"/>
    </row>
    <row r="188" spans="1:14" ht="15.75">
      <c r="A188" s="7"/>
      <c r="B188" s="16" t="s">
        <v>139</v>
      </c>
      <c r="C188" s="19"/>
      <c r="D188" s="92"/>
      <c r="E188" s="19"/>
      <c r="F188" s="92"/>
      <c r="G188" s="19"/>
      <c r="H188" s="92" t="s">
        <v>175</v>
      </c>
      <c r="I188" s="19" t="s">
        <v>176</v>
      </c>
      <c r="J188" s="92" t="s">
        <v>186</v>
      </c>
      <c r="K188" s="19" t="s">
        <v>176</v>
      </c>
      <c r="L188" s="17"/>
      <c r="M188" s="102"/>
      <c r="N188" s="6"/>
    </row>
    <row r="189" spans="1:14" ht="15.75">
      <c r="A189" s="27"/>
      <c r="B189" s="60" t="s">
        <v>140</v>
      </c>
      <c r="C189" s="103"/>
      <c r="D189" s="60"/>
      <c r="E189" s="103"/>
      <c r="F189" s="28"/>
      <c r="G189" s="103"/>
      <c r="H189" s="60">
        <v>7074</v>
      </c>
      <c r="I189" s="105">
        <f>H189/H194</f>
        <v>0.9921458625525946</v>
      </c>
      <c r="J189" s="59">
        <v>474076</v>
      </c>
      <c r="K189" s="143">
        <f>J189/J194</f>
        <v>0.9958784802893886</v>
      </c>
      <c r="L189" s="88"/>
      <c r="M189" s="97"/>
      <c r="N189" s="6"/>
    </row>
    <row r="190" spans="1:14" ht="15.75">
      <c r="A190" s="27"/>
      <c r="B190" s="60" t="s">
        <v>141</v>
      </c>
      <c r="C190" s="103"/>
      <c r="D190" s="60"/>
      <c r="E190" s="103"/>
      <c r="F190" s="28"/>
      <c r="G190" s="105"/>
      <c r="H190" s="60">
        <v>25</v>
      </c>
      <c r="I190" s="105">
        <f>H190/H194</f>
        <v>0.0035063113604488078</v>
      </c>
      <c r="J190" s="59">
        <v>1030</v>
      </c>
      <c r="K190" s="143">
        <f>J190/J194</f>
        <v>0.0021636928144391832</v>
      </c>
      <c r="L190" s="88"/>
      <c r="M190" s="97"/>
      <c r="N190" s="6"/>
    </row>
    <row r="191" spans="1:14" ht="15.75">
      <c r="A191" s="27"/>
      <c r="B191" s="60" t="s">
        <v>142</v>
      </c>
      <c r="C191" s="103"/>
      <c r="D191" s="60"/>
      <c r="E191" s="103"/>
      <c r="F191" s="28"/>
      <c r="G191" s="105"/>
      <c r="H191" s="60">
        <v>15</v>
      </c>
      <c r="I191" s="105">
        <f>H191/H194</f>
        <v>0.0021037868162692847</v>
      </c>
      <c r="J191" s="59">
        <v>471</v>
      </c>
      <c r="K191" s="143">
        <f>J191/J194</f>
        <v>0.0009894168112629664</v>
      </c>
      <c r="L191" s="88"/>
      <c r="M191" s="97"/>
      <c r="N191" s="6"/>
    </row>
    <row r="192" spans="1:14" ht="15.75">
      <c r="A192" s="27"/>
      <c r="B192" s="60" t="s">
        <v>143</v>
      </c>
      <c r="C192" s="103"/>
      <c r="D192" s="60"/>
      <c r="E192" s="103"/>
      <c r="F192" s="28"/>
      <c r="G192" s="105"/>
      <c r="H192" s="60">
        <f>2+5+3+6</f>
        <v>16</v>
      </c>
      <c r="I192" s="105">
        <f>H192/H194</f>
        <v>0.002244039270687237</v>
      </c>
      <c r="J192" s="59">
        <f>62+118+80+201</f>
        <v>461</v>
      </c>
      <c r="K192" s="143">
        <f>J192/$J194</f>
        <v>0.0009684100849091879</v>
      </c>
      <c r="L192" s="88"/>
      <c r="M192" s="97"/>
      <c r="N192" s="6"/>
    </row>
    <row r="193" spans="1:14" ht="15.75">
      <c r="A193" s="27"/>
      <c r="B193" s="60"/>
      <c r="C193" s="106"/>
      <c r="D193" s="95"/>
      <c r="E193" s="106"/>
      <c r="F193" s="28"/>
      <c r="G193" s="106"/>
      <c r="H193" s="95"/>
      <c r="I193" s="106"/>
      <c r="J193" s="59"/>
      <c r="K193" s="104"/>
      <c r="L193" s="88"/>
      <c r="M193" s="97"/>
      <c r="N193" s="6"/>
    </row>
    <row r="194" spans="1:14" ht="15.75">
      <c r="A194" s="27"/>
      <c r="B194" s="28"/>
      <c r="C194" s="28"/>
      <c r="D194" s="28"/>
      <c r="E194" s="28"/>
      <c r="F194" s="28"/>
      <c r="G194" s="28"/>
      <c r="H194" s="38">
        <f>SUM(H189:H192)</f>
        <v>7130</v>
      </c>
      <c r="I194" s="107">
        <f>SUM(I189:I193)</f>
        <v>1</v>
      </c>
      <c r="J194" s="59">
        <f>SUM(J189:J193)</f>
        <v>476038</v>
      </c>
      <c r="K194" s="107">
        <f>SUM(K189:K193)</f>
        <v>1</v>
      </c>
      <c r="L194" s="28"/>
      <c r="M194" s="28"/>
      <c r="N194" s="6"/>
    </row>
    <row r="195" spans="1:14" ht="15.75">
      <c r="A195" s="27"/>
      <c r="B195" s="28"/>
      <c r="C195" s="28"/>
      <c r="D195" s="28"/>
      <c r="E195" s="28"/>
      <c r="F195" s="28"/>
      <c r="G195" s="28"/>
      <c r="H195" s="38"/>
      <c r="I195" s="107"/>
      <c r="J195" s="59"/>
      <c r="K195" s="107"/>
      <c r="L195" s="28"/>
      <c r="M195" s="28"/>
      <c r="N195" s="6"/>
    </row>
    <row r="196" spans="1:14" ht="15.75">
      <c r="A196" s="7"/>
      <c r="B196" s="9"/>
      <c r="C196" s="9"/>
      <c r="D196" s="9"/>
      <c r="E196" s="9"/>
      <c r="F196" s="9"/>
      <c r="G196" s="9"/>
      <c r="H196" s="61"/>
      <c r="I196" s="108"/>
      <c r="J196" s="109"/>
      <c r="K196" s="108"/>
      <c r="L196" s="9"/>
      <c r="M196" s="9"/>
      <c r="N196" s="6"/>
    </row>
    <row r="197" spans="1:14" ht="15.75">
      <c r="A197" s="110"/>
      <c r="B197" s="16" t="s">
        <v>144</v>
      </c>
      <c r="C197" s="111"/>
      <c r="D197" s="19" t="s">
        <v>152</v>
      </c>
      <c r="E197" s="17"/>
      <c r="F197" s="16" t="s">
        <v>164</v>
      </c>
      <c r="G197" s="112"/>
      <c r="H197" s="112"/>
      <c r="I197" s="112"/>
      <c r="J197" s="14"/>
      <c r="K197" s="14"/>
      <c r="L197" s="14"/>
      <c r="M197" s="14"/>
      <c r="N197" s="6"/>
    </row>
    <row r="198" spans="1:14" ht="15.75">
      <c r="A198" s="113"/>
      <c r="B198" s="14"/>
      <c r="C198" s="14"/>
      <c r="D198" s="9"/>
      <c r="E198" s="9"/>
      <c r="F198" s="9"/>
      <c r="G198" s="14"/>
      <c r="H198" s="14"/>
      <c r="I198" s="14"/>
      <c r="J198" s="14"/>
      <c r="K198" s="14"/>
      <c r="L198" s="14"/>
      <c r="M198" s="14"/>
      <c r="N198" s="6"/>
    </row>
    <row r="199" spans="1:14" ht="15.75">
      <c r="A199" s="113"/>
      <c r="B199" s="15" t="s">
        <v>145</v>
      </c>
      <c r="C199" s="114"/>
      <c r="D199" s="115" t="s">
        <v>153</v>
      </c>
      <c r="E199" s="15"/>
      <c r="F199" s="15" t="s">
        <v>165</v>
      </c>
      <c r="G199" s="114"/>
      <c r="H199" s="114"/>
      <c r="I199" s="14"/>
      <c r="J199" s="14"/>
      <c r="K199" s="14"/>
      <c r="L199" s="14"/>
      <c r="M199" s="14"/>
      <c r="N199" s="6"/>
    </row>
    <row r="200" spans="1:14" ht="15.75">
      <c r="A200" s="113"/>
      <c r="B200" s="15" t="s">
        <v>146</v>
      </c>
      <c r="C200" s="114"/>
      <c r="D200" s="115" t="s">
        <v>154</v>
      </c>
      <c r="E200" s="15"/>
      <c r="F200" s="15" t="s">
        <v>166</v>
      </c>
      <c r="G200" s="114"/>
      <c r="H200" s="114"/>
      <c r="I200" s="14"/>
      <c r="J200" s="14"/>
      <c r="K200" s="14"/>
      <c r="L200" s="14"/>
      <c r="M200" s="14"/>
      <c r="N200" s="6"/>
    </row>
    <row r="201" spans="1:14" ht="15.75">
      <c r="A201" s="113"/>
      <c r="B201" s="15"/>
      <c r="C201" s="114"/>
      <c r="D201" s="115"/>
      <c r="E201" s="15"/>
      <c r="F201" s="15"/>
      <c r="G201" s="114"/>
      <c r="H201" s="114"/>
      <c r="I201" s="14"/>
      <c r="J201" s="14"/>
      <c r="K201" s="14"/>
      <c r="L201" s="14"/>
      <c r="M201" s="14"/>
      <c r="N201" s="6"/>
    </row>
    <row r="202" spans="1:14" ht="15.75">
      <c r="A202" s="113"/>
      <c r="B202" s="15"/>
      <c r="C202" s="114"/>
      <c r="D202" s="115"/>
      <c r="E202" s="15"/>
      <c r="F202" s="15"/>
      <c r="G202" s="114"/>
      <c r="H202" s="114"/>
      <c r="I202" s="14"/>
      <c r="J202" s="14"/>
      <c r="K202" s="14"/>
      <c r="L202" s="14"/>
      <c r="M202" s="14"/>
      <c r="N202" s="6"/>
    </row>
    <row r="203" spans="1:14" ht="18.75">
      <c r="A203" s="113"/>
      <c r="B203" s="55" t="str">
        <f>B156</f>
        <v>PM4 INVESTOR REPORT QUARTER ENDING SEPTEMBER 2002</v>
      </c>
      <c r="C203" s="114"/>
      <c r="D203" s="115"/>
      <c r="E203" s="15"/>
      <c r="F203" s="15"/>
      <c r="G203" s="114"/>
      <c r="H203" s="114"/>
      <c r="I203" s="14"/>
      <c r="J203" s="14"/>
      <c r="K203" s="14"/>
      <c r="L203" s="14"/>
      <c r="M203" s="14"/>
      <c r="N203" s="6"/>
    </row>
    <row r="204" spans="1:13" ht="15">
      <c r="A204" s="116"/>
      <c r="B204" s="116"/>
      <c r="C204" s="116"/>
      <c r="D204" s="116"/>
      <c r="E204" s="116"/>
      <c r="F204" s="116"/>
      <c r="G204" s="116"/>
      <c r="H204" s="116"/>
      <c r="I204" s="116"/>
      <c r="J204" s="116"/>
      <c r="K204" s="116"/>
      <c r="L204" s="116"/>
      <c r="M204" s="116"/>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3" max="13" man="1"/>
    <brk id="106" max="13" man="1"/>
    <brk id="156" max="13" man="1"/>
  </rowBreaks>
  <drawing r:id="rId1"/>
</worksheet>
</file>

<file path=xl/worksheets/sheet3.xml><?xml version="1.0" encoding="utf-8"?>
<worksheet xmlns="http://schemas.openxmlformats.org/spreadsheetml/2006/main" xmlns:r="http://schemas.openxmlformats.org/officeDocument/2006/relationships">
  <dimension ref="A1:N20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1.664062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4"/>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189</v>
      </c>
      <c r="M14" s="17"/>
      <c r="N14" s="6"/>
    </row>
    <row r="15" spans="1:14" ht="15.75">
      <c r="A15" s="7"/>
      <c r="B15" s="16" t="s">
        <v>8</v>
      </c>
      <c r="C15" s="16"/>
      <c r="D15" s="17"/>
      <c r="E15" s="17"/>
      <c r="F15" s="17"/>
      <c r="G15" s="17"/>
      <c r="H15" s="19"/>
      <c r="I15" s="20"/>
      <c r="J15" s="19" t="s">
        <v>177</v>
      </c>
      <c r="K15" s="20">
        <v>1</v>
      </c>
      <c r="L15" s="18"/>
      <c r="M15" s="17"/>
      <c r="N15" s="6"/>
    </row>
    <row r="16" spans="1:14" ht="15.75">
      <c r="A16" s="7"/>
      <c r="B16" s="16" t="s">
        <v>9</v>
      </c>
      <c r="C16" s="16"/>
      <c r="D16" s="17"/>
      <c r="E16" s="17"/>
      <c r="F16" s="17"/>
      <c r="G16" s="17"/>
      <c r="H16" s="19"/>
      <c r="I16" s="20"/>
      <c r="J16" s="19" t="s">
        <v>177</v>
      </c>
      <c r="K16" s="20">
        <v>1</v>
      </c>
      <c r="L16" s="18"/>
      <c r="M16" s="17"/>
      <c r="N16" s="6"/>
    </row>
    <row r="17" spans="1:14" ht="15.75">
      <c r="A17" s="7"/>
      <c r="B17" s="16" t="s">
        <v>10</v>
      </c>
      <c r="C17" s="16"/>
      <c r="D17" s="17"/>
      <c r="E17" s="17"/>
      <c r="F17" s="17"/>
      <c r="G17" s="17"/>
      <c r="H17" s="17"/>
      <c r="I17" s="17"/>
      <c r="J17" s="17"/>
      <c r="K17" s="17"/>
      <c r="L17" s="21">
        <v>37342</v>
      </c>
      <c r="M17" s="17"/>
      <c r="N17" s="6"/>
    </row>
    <row r="18" spans="1:14" ht="15.75">
      <c r="A18" s="7"/>
      <c r="B18" s="16" t="s">
        <v>11</v>
      </c>
      <c r="C18" s="16"/>
      <c r="D18" s="17"/>
      <c r="E18" s="17"/>
      <c r="F18" s="17"/>
      <c r="G18" s="17"/>
      <c r="H18" s="17"/>
      <c r="I18" s="17"/>
      <c r="J18" s="17"/>
      <c r="K18" s="17"/>
      <c r="L18" s="21">
        <v>37645</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178</v>
      </c>
      <c r="K20" s="9"/>
      <c r="L20" s="14"/>
      <c r="M20" s="9"/>
      <c r="N20" s="6"/>
    </row>
    <row r="21" spans="1:14" ht="15.75">
      <c r="A21" s="7"/>
      <c r="B21" s="9"/>
      <c r="C21" s="9"/>
      <c r="D21" s="9"/>
      <c r="E21" s="9"/>
      <c r="F21" s="9"/>
      <c r="G21" s="9"/>
      <c r="H21" s="9"/>
      <c r="I21" s="9"/>
      <c r="J21" s="9"/>
      <c r="K21" s="9"/>
      <c r="L21" s="24"/>
      <c r="M21" s="9"/>
      <c r="N21" s="6"/>
    </row>
    <row r="22" spans="1:14" ht="15.75">
      <c r="A22" s="7"/>
      <c r="B22" s="9"/>
      <c r="C22" s="132" t="s">
        <v>147</v>
      </c>
      <c r="D22" s="25"/>
      <c r="E22" s="25"/>
      <c r="F22" s="133" t="s">
        <v>155</v>
      </c>
      <c r="G22" s="133"/>
      <c r="H22" s="133" t="s">
        <v>167</v>
      </c>
      <c r="I22" s="133"/>
      <c r="J22" s="25"/>
      <c r="K22" s="14"/>
      <c r="L22" s="14"/>
      <c r="M22" s="9"/>
      <c r="N22" s="6"/>
    </row>
    <row r="23" spans="1:14" ht="15.75">
      <c r="A23" s="7"/>
      <c r="B23" s="9" t="s">
        <v>13</v>
      </c>
      <c r="C23" s="132" t="s">
        <v>148</v>
      </c>
      <c r="D23" s="25"/>
      <c r="E23" s="25"/>
      <c r="F23" s="25" t="s">
        <v>156</v>
      </c>
      <c r="G23" s="25"/>
      <c r="H23" s="25" t="s">
        <v>168</v>
      </c>
      <c r="I23" s="25"/>
      <c r="J23" s="25"/>
      <c r="K23" s="14"/>
      <c r="L23" s="14"/>
      <c r="M23" s="9"/>
      <c r="N23" s="6"/>
    </row>
    <row r="24" spans="1:14" ht="15.75">
      <c r="A24" s="27"/>
      <c r="B24" s="28" t="s">
        <v>14</v>
      </c>
      <c r="C24" s="29"/>
      <c r="D24" s="30"/>
      <c r="E24" s="30"/>
      <c r="F24" s="30" t="s">
        <v>157</v>
      </c>
      <c r="G24" s="30"/>
      <c r="H24" s="30" t="s">
        <v>169</v>
      </c>
      <c r="I24" s="30"/>
      <c r="J24" s="30"/>
      <c r="K24" s="31"/>
      <c r="L24" s="31"/>
      <c r="M24" s="28"/>
      <c r="N24" s="6"/>
    </row>
    <row r="25" spans="1:14" ht="15.75">
      <c r="A25" s="27"/>
      <c r="B25" s="28" t="s">
        <v>15</v>
      </c>
      <c r="C25" s="29"/>
      <c r="D25" s="30"/>
      <c r="E25" s="30"/>
      <c r="F25" s="30" t="s">
        <v>157</v>
      </c>
      <c r="G25" s="30"/>
      <c r="H25" s="30" t="s">
        <v>169</v>
      </c>
      <c r="I25" s="30"/>
      <c r="J25" s="30"/>
      <c r="K25" s="31"/>
      <c r="L25" s="31"/>
      <c r="M25" s="28"/>
      <c r="N25" s="6"/>
    </row>
    <row r="26" spans="1:14" ht="15.75">
      <c r="A26" s="32"/>
      <c r="B26" s="33" t="s">
        <v>16</v>
      </c>
      <c r="C26" s="33"/>
      <c r="D26" s="34"/>
      <c r="E26" s="34"/>
      <c r="F26" s="34" t="s">
        <v>156</v>
      </c>
      <c r="G26" s="34"/>
      <c r="H26" s="34" t="s">
        <v>168</v>
      </c>
      <c r="I26" s="34"/>
      <c r="J26" s="30"/>
      <c r="K26" s="31"/>
      <c r="L26" s="31"/>
      <c r="M26" s="28"/>
      <c r="N26" s="6"/>
    </row>
    <row r="27" spans="1:14" ht="15.75">
      <c r="A27" s="32"/>
      <c r="B27" s="33" t="s">
        <v>17</v>
      </c>
      <c r="C27" s="33"/>
      <c r="D27" s="34"/>
      <c r="E27" s="34"/>
      <c r="F27" s="34" t="s">
        <v>157</v>
      </c>
      <c r="G27" s="34"/>
      <c r="H27" s="34" t="s">
        <v>169</v>
      </c>
      <c r="I27" s="34"/>
      <c r="J27" s="30"/>
      <c r="K27" s="31"/>
      <c r="L27" s="31"/>
      <c r="M27" s="28"/>
      <c r="N27" s="6"/>
    </row>
    <row r="28" spans="1:14" ht="15.75">
      <c r="A28" s="32"/>
      <c r="B28" s="33" t="s">
        <v>18</v>
      </c>
      <c r="C28" s="33"/>
      <c r="D28" s="34"/>
      <c r="E28" s="34"/>
      <c r="F28" s="34" t="s">
        <v>157</v>
      </c>
      <c r="G28" s="34"/>
      <c r="H28" s="34" t="s">
        <v>169</v>
      </c>
      <c r="I28" s="34"/>
      <c r="J28" s="30"/>
      <c r="K28" s="31"/>
      <c r="L28" s="31"/>
      <c r="M28" s="28"/>
      <c r="N28" s="6"/>
    </row>
    <row r="29" spans="1:14" ht="15.75">
      <c r="A29" s="27"/>
      <c r="B29" s="28" t="s">
        <v>19</v>
      </c>
      <c r="C29" s="28"/>
      <c r="D29" s="29"/>
      <c r="E29" s="30"/>
      <c r="F29" s="29" t="s">
        <v>158</v>
      </c>
      <c r="G29" s="30"/>
      <c r="H29" s="29" t="s">
        <v>170</v>
      </c>
      <c r="I29" s="30"/>
      <c r="J29" s="29"/>
      <c r="K29" s="31"/>
      <c r="L29" s="31"/>
      <c r="M29" s="28"/>
      <c r="N29" s="6"/>
    </row>
    <row r="30" spans="1:14" ht="15.75">
      <c r="A30" s="27"/>
      <c r="B30" s="28"/>
      <c r="C30" s="28"/>
      <c r="D30" s="28"/>
      <c r="E30" s="30"/>
      <c r="F30" s="30"/>
      <c r="G30" s="30"/>
      <c r="H30" s="30"/>
      <c r="I30" s="30"/>
      <c r="J30" s="30"/>
      <c r="K30" s="31"/>
      <c r="L30" s="31"/>
      <c r="M30" s="28"/>
      <c r="N30" s="6"/>
    </row>
    <row r="31" spans="1:14" ht="15.75">
      <c r="A31" s="27"/>
      <c r="B31" s="28" t="s">
        <v>20</v>
      </c>
      <c r="C31" s="28"/>
      <c r="D31" s="35"/>
      <c r="E31" s="36"/>
      <c r="F31" s="35">
        <v>457500</v>
      </c>
      <c r="G31" s="35"/>
      <c r="H31" s="35">
        <v>42500</v>
      </c>
      <c r="I31" s="35"/>
      <c r="J31" s="35"/>
      <c r="K31" s="37"/>
      <c r="L31" s="35">
        <f>H31+F31</f>
        <v>500000</v>
      </c>
      <c r="M31" s="38"/>
      <c r="N31" s="6"/>
    </row>
    <row r="32" spans="1:14" ht="15.75">
      <c r="A32" s="27"/>
      <c r="B32" s="28" t="s">
        <v>21</v>
      </c>
      <c r="C32" s="39">
        <v>0.947624</v>
      </c>
      <c r="D32" s="35"/>
      <c r="E32" s="36"/>
      <c r="F32" s="35">
        <f>F31*C32</f>
        <v>433537.98</v>
      </c>
      <c r="G32" s="35"/>
      <c r="H32" s="35">
        <v>42500</v>
      </c>
      <c r="I32" s="35"/>
      <c r="J32" s="35"/>
      <c r="K32" s="37"/>
      <c r="L32" s="35">
        <f>H32+F32</f>
        <v>476037.98</v>
      </c>
      <c r="M32" s="38"/>
      <c r="N32" s="6"/>
    </row>
    <row r="33" spans="1:14" ht="12.75" customHeight="1">
      <c r="A33" s="32"/>
      <c r="B33" s="33" t="s">
        <v>22</v>
      </c>
      <c r="C33" s="40">
        <v>0.91846</v>
      </c>
      <c r="D33" s="41"/>
      <c r="E33" s="42"/>
      <c r="F33" s="41">
        <f>F31*C33</f>
        <v>420195.45</v>
      </c>
      <c r="G33" s="41"/>
      <c r="H33" s="41">
        <f>H31</f>
        <v>42500</v>
      </c>
      <c r="I33" s="41"/>
      <c r="J33" s="41"/>
      <c r="K33" s="43"/>
      <c r="L33" s="41">
        <f>H33+F33+D33</f>
        <v>462695.45</v>
      </c>
      <c r="M33" s="38"/>
      <c r="N33" s="6"/>
    </row>
    <row r="34" spans="1:14" ht="15.75">
      <c r="A34" s="27"/>
      <c r="B34" s="28" t="s">
        <v>23</v>
      </c>
      <c r="C34" s="44"/>
      <c r="D34" s="29"/>
      <c r="E34" s="28"/>
      <c r="F34" s="29" t="s">
        <v>159</v>
      </c>
      <c r="G34" s="29"/>
      <c r="H34" s="29" t="s">
        <v>171</v>
      </c>
      <c r="I34" s="29"/>
      <c r="J34" s="29"/>
      <c r="K34" s="31"/>
      <c r="L34" s="31"/>
      <c r="M34" s="28"/>
      <c r="N34" s="6"/>
    </row>
    <row r="35" spans="1:14" ht="15.75">
      <c r="A35" s="27"/>
      <c r="B35" s="28" t="s">
        <v>24</v>
      </c>
      <c r="C35" s="28"/>
      <c r="D35" s="45"/>
      <c r="E35" s="28"/>
      <c r="F35" s="45">
        <v>0.0419</v>
      </c>
      <c r="G35" s="46"/>
      <c r="H35" s="45">
        <v>0.0478</v>
      </c>
      <c r="I35" s="46"/>
      <c r="J35" s="45"/>
      <c r="K35" s="31"/>
      <c r="L35" s="46">
        <f>SUMPRODUCT(F35:H35,F32:H32)/L32</f>
        <v>0.04242674368545132</v>
      </c>
      <c r="M35" s="28"/>
      <c r="N35" s="6"/>
    </row>
    <row r="36" spans="1:14" ht="15.75">
      <c r="A36" s="27"/>
      <c r="B36" s="28" t="s">
        <v>25</v>
      </c>
      <c r="C36" s="28"/>
      <c r="D36" s="45"/>
      <c r="E36" s="28"/>
      <c r="F36" s="45">
        <v>0.04395</v>
      </c>
      <c r="G36" s="46"/>
      <c r="H36" s="45">
        <v>0.04985</v>
      </c>
      <c r="I36" s="46"/>
      <c r="J36" s="45"/>
      <c r="K36" s="31"/>
      <c r="L36" s="31"/>
      <c r="M36" s="28"/>
      <c r="N36" s="6"/>
    </row>
    <row r="37" spans="1:14" ht="15.75">
      <c r="A37" s="27"/>
      <c r="B37" s="28" t="s">
        <v>26</v>
      </c>
      <c r="C37" s="28"/>
      <c r="D37" s="29"/>
      <c r="E37" s="28"/>
      <c r="F37" s="29" t="s">
        <v>160</v>
      </c>
      <c r="G37" s="29"/>
      <c r="H37" s="29" t="s">
        <v>160</v>
      </c>
      <c r="I37" s="29"/>
      <c r="J37" s="29"/>
      <c r="K37" s="31"/>
      <c r="L37" s="31"/>
      <c r="M37" s="28"/>
      <c r="N37" s="6"/>
    </row>
    <row r="38" spans="1:14" ht="15.75">
      <c r="A38" s="27"/>
      <c r="B38" s="28" t="s">
        <v>27</v>
      </c>
      <c r="C38" s="28"/>
      <c r="D38" s="29"/>
      <c r="E38" s="28"/>
      <c r="F38" s="29" t="s">
        <v>161</v>
      </c>
      <c r="G38" s="29"/>
      <c r="H38" s="29" t="s">
        <v>161</v>
      </c>
      <c r="I38" s="29"/>
      <c r="J38" s="29"/>
      <c r="K38" s="31"/>
      <c r="L38" s="31"/>
      <c r="M38" s="28"/>
      <c r="N38" s="6"/>
    </row>
    <row r="39" spans="1:14" ht="15.75">
      <c r="A39" s="27"/>
      <c r="B39" s="28" t="s">
        <v>28</v>
      </c>
      <c r="C39" s="28"/>
      <c r="D39" s="29"/>
      <c r="E39" s="28"/>
      <c r="F39" s="29" t="s">
        <v>162</v>
      </c>
      <c r="G39" s="29"/>
      <c r="H39" s="29" t="s">
        <v>172</v>
      </c>
      <c r="I39" s="29"/>
      <c r="J39" s="29"/>
      <c r="K39" s="31"/>
      <c r="L39" s="31"/>
      <c r="M39" s="28"/>
      <c r="N39" s="6"/>
    </row>
    <row r="40" spans="1:14" ht="15.75">
      <c r="A40" s="27"/>
      <c r="B40" s="28"/>
      <c r="C40" s="28"/>
      <c r="D40" s="47"/>
      <c r="E40" s="47"/>
      <c r="F40" s="28"/>
      <c r="G40" s="47"/>
      <c r="H40" s="47"/>
      <c r="I40" s="47"/>
      <c r="J40" s="47"/>
      <c r="K40" s="47"/>
      <c r="L40" s="47"/>
      <c r="M40" s="28"/>
      <c r="N40" s="6"/>
    </row>
    <row r="41" spans="1:14" ht="15.75">
      <c r="A41" s="27"/>
      <c r="B41" s="28" t="s">
        <v>29</v>
      </c>
      <c r="C41" s="28"/>
      <c r="D41" s="28"/>
      <c r="E41" s="28"/>
      <c r="F41" s="28"/>
      <c r="G41" s="28"/>
      <c r="H41" s="117"/>
      <c r="I41" s="28"/>
      <c r="J41" s="28"/>
      <c r="K41" s="28"/>
      <c r="L41" s="46">
        <f>H31/F31</f>
        <v>0.09289617486338798</v>
      </c>
      <c r="M41" s="28"/>
      <c r="N41" s="6"/>
    </row>
    <row r="42" spans="1:14" ht="15.75">
      <c r="A42" s="27"/>
      <c r="B42" s="28" t="s">
        <v>30</v>
      </c>
      <c r="C42" s="28"/>
      <c r="D42" s="28"/>
      <c r="E42" s="28"/>
      <c r="F42" s="28"/>
      <c r="G42" s="28"/>
      <c r="H42" s="117"/>
      <c r="I42" s="28"/>
      <c r="J42" s="28"/>
      <c r="K42" s="28"/>
      <c r="L42" s="46">
        <f>H33/F33</f>
        <v>0.10114340838293227</v>
      </c>
      <c r="M42" s="28"/>
      <c r="N42" s="6"/>
    </row>
    <row r="43" spans="1:14" ht="15.75">
      <c r="A43" s="27"/>
      <c r="B43" s="28" t="s">
        <v>31</v>
      </c>
      <c r="C43" s="28"/>
      <c r="D43" s="28"/>
      <c r="E43" s="28"/>
      <c r="F43" s="28"/>
      <c r="G43" s="28"/>
      <c r="H43" s="28"/>
      <c r="I43" s="28"/>
      <c r="J43" s="29" t="s">
        <v>155</v>
      </c>
      <c r="K43" s="29" t="s">
        <v>187</v>
      </c>
      <c r="L43" s="35">
        <v>207500</v>
      </c>
      <c r="M43" s="28"/>
      <c r="N43" s="6"/>
    </row>
    <row r="44" spans="1:14" ht="15.75">
      <c r="A44" s="27"/>
      <c r="B44" s="28"/>
      <c r="C44" s="28"/>
      <c r="D44" s="28"/>
      <c r="E44" s="28"/>
      <c r="F44" s="28"/>
      <c r="G44" s="28"/>
      <c r="H44" s="28"/>
      <c r="I44" s="28"/>
      <c r="J44" s="28" t="s">
        <v>179</v>
      </c>
      <c r="K44" s="28"/>
      <c r="L44" s="48"/>
      <c r="M44" s="28"/>
      <c r="N44" s="6"/>
    </row>
    <row r="45" spans="1:14" ht="15.75">
      <c r="A45" s="27"/>
      <c r="B45" s="28" t="s">
        <v>32</v>
      </c>
      <c r="C45" s="28"/>
      <c r="D45" s="28"/>
      <c r="E45" s="28"/>
      <c r="F45" s="28"/>
      <c r="G45" s="28"/>
      <c r="H45" s="28"/>
      <c r="I45" s="28"/>
      <c r="J45" s="29"/>
      <c r="K45" s="29"/>
      <c r="L45" s="29" t="s">
        <v>190</v>
      </c>
      <c r="M45" s="28"/>
      <c r="N45" s="6"/>
    </row>
    <row r="46" spans="1:14" ht="15.75">
      <c r="A46" s="32"/>
      <c r="B46" s="33" t="s">
        <v>33</v>
      </c>
      <c r="C46" s="33"/>
      <c r="D46" s="33"/>
      <c r="E46" s="33"/>
      <c r="F46" s="33"/>
      <c r="G46" s="33"/>
      <c r="H46" s="33"/>
      <c r="I46" s="33"/>
      <c r="J46" s="49"/>
      <c r="K46" s="49"/>
      <c r="L46" s="50">
        <v>37628</v>
      </c>
      <c r="M46" s="28"/>
      <c r="N46" s="6"/>
    </row>
    <row r="47" spans="1:14" ht="15.75">
      <c r="A47" s="27"/>
      <c r="B47" s="28" t="s">
        <v>34</v>
      </c>
      <c r="C47" s="28"/>
      <c r="D47" s="28"/>
      <c r="E47" s="28"/>
      <c r="F47" s="28"/>
      <c r="G47" s="28"/>
      <c r="H47" s="28"/>
      <c r="I47" s="28">
        <f>L47-J47+1</f>
        <v>91</v>
      </c>
      <c r="J47" s="51">
        <v>37445</v>
      </c>
      <c r="K47" s="52"/>
      <c r="L47" s="51">
        <v>37535</v>
      </c>
      <c r="M47" s="28"/>
      <c r="N47" s="6"/>
    </row>
    <row r="48" spans="1:14" ht="15.75">
      <c r="A48" s="27"/>
      <c r="B48" s="28" t="s">
        <v>35</v>
      </c>
      <c r="C48" s="28"/>
      <c r="D48" s="28"/>
      <c r="E48" s="28"/>
      <c r="F48" s="28"/>
      <c r="G48" s="28"/>
      <c r="H48" s="28"/>
      <c r="I48" s="28">
        <f>L48-J48+1</f>
        <v>92</v>
      </c>
      <c r="J48" s="51">
        <v>37536</v>
      </c>
      <c r="K48" s="52"/>
      <c r="L48" s="51">
        <v>37627</v>
      </c>
      <c r="M48" s="28"/>
      <c r="N48" s="6"/>
    </row>
    <row r="49" spans="1:14" ht="15.75">
      <c r="A49" s="27"/>
      <c r="B49" s="28" t="s">
        <v>36</v>
      </c>
      <c r="C49" s="28"/>
      <c r="D49" s="28"/>
      <c r="E49" s="28"/>
      <c r="F49" s="28"/>
      <c r="G49" s="28"/>
      <c r="H49" s="28"/>
      <c r="I49" s="28"/>
      <c r="J49" s="51"/>
      <c r="K49" s="52"/>
      <c r="L49" s="51" t="s">
        <v>191</v>
      </c>
      <c r="M49" s="28"/>
      <c r="N49" s="6"/>
    </row>
    <row r="50" spans="1:14" ht="15.75">
      <c r="A50" s="27"/>
      <c r="B50" s="28" t="s">
        <v>37</v>
      </c>
      <c r="C50" s="28"/>
      <c r="D50" s="28"/>
      <c r="E50" s="28"/>
      <c r="F50" s="28"/>
      <c r="G50" s="28"/>
      <c r="H50" s="28"/>
      <c r="I50" s="28"/>
      <c r="J50" s="51"/>
      <c r="K50" s="52"/>
      <c r="L50" s="51">
        <v>37625</v>
      </c>
      <c r="M50" s="28"/>
      <c r="N50" s="6"/>
    </row>
    <row r="51" spans="1:14" ht="15.75">
      <c r="A51" s="27"/>
      <c r="B51" s="28"/>
      <c r="C51" s="28"/>
      <c r="D51" s="28"/>
      <c r="E51" s="28"/>
      <c r="F51" s="28"/>
      <c r="G51" s="28"/>
      <c r="H51" s="28"/>
      <c r="I51" s="28"/>
      <c r="J51" s="51"/>
      <c r="K51" s="52"/>
      <c r="L51" s="51"/>
      <c r="M51" s="28"/>
      <c r="N51" s="6"/>
    </row>
    <row r="52" spans="1:14" ht="15.75">
      <c r="A52" s="7"/>
      <c r="B52" s="9"/>
      <c r="C52" s="9"/>
      <c r="D52" s="9"/>
      <c r="E52" s="9"/>
      <c r="F52" s="9"/>
      <c r="G52" s="9"/>
      <c r="H52" s="9"/>
      <c r="I52" s="9"/>
      <c r="J52" s="53"/>
      <c r="K52" s="54"/>
      <c r="L52" s="53"/>
      <c r="M52" s="9"/>
      <c r="N52" s="6"/>
    </row>
    <row r="53" spans="1:14" ht="19.5" thickBot="1">
      <c r="A53" s="118"/>
      <c r="B53" s="119" t="s">
        <v>198</v>
      </c>
      <c r="C53" s="120"/>
      <c r="D53" s="120"/>
      <c r="E53" s="120"/>
      <c r="F53" s="120"/>
      <c r="G53" s="120"/>
      <c r="H53" s="120"/>
      <c r="I53" s="120"/>
      <c r="J53" s="121"/>
      <c r="K53" s="122"/>
      <c r="L53" s="121"/>
      <c r="M53" s="123"/>
      <c r="N53" s="6"/>
    </row>
    <row r="54" spans="1:14" ht="15.75">
      <c r="A54" s="2"/>
      <c r="B54" s="5"/>
      <c r="C54" s="5"/>
      <c r="D54" s="5"/>
      <c r="E54" s="5"/>
      <c r="F54" s="5"/>
      <c r="G54" s="5"/>
      <c r="H54" s="5"/>
      <c r="I54" s="5"/>
      <c r="J54" s="5"/>
      <c r="K54" s="5"/>
      <c r="L54" s="56"/>
      <c r="M54" s="5"/>
      <c r="N54" s="6"/>
    </row>
    <row r="55" spans="1:14" ht="15.75">
      <c r="A55" s="7"/>
      <c r="B55" s="57" t="s">
        <v>39</v>
      </c>
      <c r="C55" s="15"/>
      <c r="D55" s="9"/>
      <c r="E55" s="9"/>
      <c r="F55" s="9"/>
      <c r="G55" s="9"/>
      <c r="H55" s="9"/>
      <c r="I55" s="9"/>
      <c r="J55" s="9"/>
      <c r="K55" s="9"/>
      <c r="L55" s="58"/>
      <c r="M55" s="9"/>
      <c r="N55" s="6"/>
    </row>
    <row r="56" spans="1:14" ht="15.75">
      <c r="A56" s="7"/>
      <c r="B56" s="15"/>
      <c r="C56" s="15"/>
      <c r="D56" s="9"/>
      <c r="E56" s="9"/>
      <c r="F56" s="9"/>
      <c r="G56" s="9"/>
      <c r="H56" s="9"/>
      <c r="I56" s="9"/>
      <c r="J56" s="9"/>
      <c r="K56" s="9"/>
      <c r="L56" s="58"/>
      <c r="M56" s="9"/>
      <c r="N56" s="6"/>
    </row>
    <row r="57" spans="1:14" ht="63">
      <c r="A57" s="7"/>
      <c r="B57" s="134" t="s">
        <v>40</v>
      </c>
      <c r="C57" s="135" t="s">
        <v>149</v>
      </c>
      <c r="D57" s="135" t="s">
        <v>151</v>
      </c>
      <c r="E57" s="135"/>
      <c r="F57" s="135" t="s">
        <v>163</v>
      </c>
      <c r="G57" s="135"/>
      <c r="H57" s="135" t="s">
        <v>173</v>
      </c>
      <c r="I57" s="135"/>
      <c r="J57" s="135" t="s">
        <v>180</v>
      </c>
      <c r="K57" s="135"/>
      <c r="L57" s="136" t="s">
        <v>192</v>
      </c>
      <c r="M57" s="9"/>
      <c r="N57" s="6"/>
    </row>
    <row r="58" spans="1:14" ht="15.75">
      <c r="A58" s="27"/>
      <c r="B58" s="28" t="s">
        <v>41</v>
      </c>
      <c r="C58" s="38">
        <v>421950</v>
      </c>
      <c r="D58" s="38">
        <v>476038</v>
      </c>
      <c r="E58" s="38"/>
      <c r="F58" s="38">
        <f>13343+315+5604</f>
        <v>19262</v>
      </c>
      <c r="G58" s="38"/>
      <c r="H58" s="38">
        <f>5604+315</f>
        <v>5919</v>
      </c>
      <c r="I58" s="38"/>
      <c r="J58" s="38">
        <v>0</v>
      </c>
      <c r="K58" s="38"/>
      <c r="L58" s="59">
        <f>D58-F58+H58-J58</f>
        <v>462695</v>
      </c>
      <c r="M58" s="28"/>
      <c r="N58" s="6"/>
    </row>
    <row r="59" spans="1:14" ht="15.75">
      <c r="A59" s="27"/>
      <c r="B59" s="28" t="s">
        <v>42</v>
      </c>
      <c r="C59" s="38">
        <v>54</v>
      </c>
      <c r="D59" s="38">
        <v>0</v>
      </c>
      <c r="E59" s="38"/>
      <c r="F59" s="38">
        <v>0</v>
      </c>
      <c r="G59" s="38"/>
      <c r="H59" s="38">
        <v>0</v>
      </c>
      <c r="I59" s="38"/>
      <c r="J59" s="38">
        <v>0</v>
      </c>
      <c r="K59" s="38"/>
      <c r="L59" s="59">
        <f>D59-F59+H59-J59</f>
        <v>0</v>
      </c>
      <c r="M59" s="28"/>
      <c r="N59" s="6"/>
    </row>
    <row r="60" spans="1:14" ht="15.75">
      <c r="A60" s="27"/>
      <c r="B60" s="28"/>
      <c r="C60" s="38"/>
      <c r="D60" s="38"/>
      <c r="E60" s="38"/>
      <c r="F60" s="38"/>
      <c r="G60" s="38"/>
      <c r="H60" s="38"/>
      <c r="I60" s="38"/>
      <c r="J60" s="38"/>
      <c r="K60" s="38"/>
      <c r="L60" s="59"/>
      <c r="M60" s="28"/>
      <c r="N60" s="6"/>
    </row>
    <row r="61" spans="1:14" ht="15.75">
      <c r="A61" s="27"/>
      <c r="B61" s="28" t="s">
        <v>43</v>
      </c>
      <c r="C61" s="38">
        <f>SUM(C58:C60)</f>
        <v>422004</v>
      </c>
      <c r="D61" s="38">
        <f>SUM(D58:D60)</f>
        <v>476038</v>
      </c>
      <c r="E61" s="38"/>
      <c r="F61" s="38">
        <f>SUM(F58:F60)</f>
        <v>19262</v>
      </c>
      <c r="G61" s="38"/>
      <c r="H61" s="38">
        <f>SUM(H58:H60)</f>
        <v>5919</v>
      </c>
      <c r="I61" s="38"/>
      <c r="J61" s="38">
        <f>SUM(J58:J60)</f>
        <v>0</v>
      </c>
      <c r="K61" s="38"/>
      <c r="L61" s="60">
        <f>SUM(L58:L60)</f>
        <v>462695</v>
      </c>
      <c r="M61" s="28"/>
      <c r="N61" s="6"/>
    </row>
    <row r="62" spans="1:14" ht="15.75">
      <c r="A62" s="27"/>
      <c r="B62" s="28"/>
      <c r="C62" s="38"/>
      <c r="D62" s="38"/>
      <c r="E62" s="38"/>
      <c r="F62" s="38"/>
      <c r="G62" s="38"/>
      <c r="H62" s="38"/>
      <c r="I62" s="38"/>
      <c r="J62" s="38"/>
      <c r="K62" s="38"/>
      <c r="L62" s="60"/>
      <c r="M62" s="28"/>
      <c r="N62" s="6"/>
    </row>
    <row r="63" spans="1:14" ht="15.75">
      <c r="A63" s="7"/>
      <c r="B63" s="131" t="s">
        <v>44</v>
      </c>
      <c r="C63" s="61"/>
      <c r="D63" s="61"/>
      <c r="E63" s="61"/>
      <c r="F63" s="61"/>
      <c r="G63" s="61"/>
      <c r="H63" s="61"/>
      <c r="I63" s="61"/>
      <c r="J63" s="61"/>
      <c r="K63" s="61"/>
      <c r="L63" s="62"/>
      <c r="M63" s="9"/>
      <c r="N63" s="6"/>
    </row>
    <row r="64" spans="1:14" ht="15.75">
      <c r="A64" s="7"/>
      <c r="B64" s="9"/>
      <c r="C64" s="61"/>
      <c r="D64" s="61"/>
      <c r="E64" s="61"/>
      <c r="F64" s="61"/>
      <c r="G64" s="61"/>
      <c r="H64" s="61"/>
      <c r="I64" s="61"/>
      <c r="J64" s="61"/>
      <c r="K64" s="61"/>
      <c r="L64" s="62"/>
      <c r="M64" s="9"/>
      <c r="N64" s="6"/>
    </row>
    <row r="65" spans="1:14" ht="15.75">
      <c r="A65" s="27"/>
      <c r="B65" s="28" t="s">
        <v>41</v>
      </c>
      <c r="C65" s="38"/>
      <c r="D65" s="38"/>
      <c r="E65" s="38"/>
      <c r="F65" s="38"/>
      <c r="G65" s="38"/>
      <c r="H65" s="38"/>
      <c r="I65" s="38"/>
      <c r="J65" s="38"/>
      <c r="K65" s="38"/>
      <c r="L65" s="60"/>
      <c r="M65" s="28"/>
      <c r="N65" s="6"/>
    </row>
    <row r="66" spans="1:14" ht="15.75">
      <c r="A66" s="27"/>
      <c r="B66" s="28" t="s">
        <v>42</v>
      </c>
      <c r="C66" s="38"/>
      <c r="D66" s="38"/>
      <c r="E66" s="38"/>
      <c r="F66" s="38"/>
      <c r="G66" s="38"/>
      <c r="H66" s="38"/>
      <c r="I66" s="38"/>
      <c r="J66" s="38"/>
      <c r="K66" s="38"/>
      <c r="L66" s="60"/>
      <c r="M66" s="28"/>
      <c r="N66" s="6"/>
    </row>
    <row r="67" spans="1:14" ht="15.75">
      <c r="A67" s="27"/>
      <c r="B67" s="28"/>
      <c r="C67" s="38"/>
      <c r="D67" s="38"/>
      <c r="E67" s="38"/>
      <c r="F67" s="38"/>
      <c r="G67" s="38"/>
      <c r="H67" s="38"/>
      <c r="I67" s="38"/>
      <c r="J67" s="38"/>
      <c r="K67" s="38"/>
      <c r="L67" s="60"/>
      <c r="M67" s="28"/>
      <c r="N67" s="6"/>
    </row>
    <row r="68" spans="1:14" ht="15.75">
      <c r="A68" s="27"/>
      <c r="B68" s="28" t="s">
        <v>43</v>
      </c>
      <c r="C68" s="38"/>
      <c r="D68" s="38"/>
      <c r="E68" s="38"/>
      <c r="F68" s="38"/>
      <c r="G68" s="38"/>
      <c r="H68" s="38"/>
      <c r="I68" s="38"/>
      <c r="J68" s="38"/>
      <c r="K68" s="38"/>
      <c r="L68" s="38"/>
      <c r="M68" s="28"/>
      <c r="N68" s="6"/>
    </row>
    <row r="69" spans="1:14" ht="15.75">
      <c r="A69" s="27"/>
      <c r="B69" s="28"/>
      <c r="C69" s="38"/>
      <c r="D69" s="38"/>
      <c r="E69" s="38"/>
      <c r="F69" s="38"/>
      <c r="G69" s="38"/>
      <c r="H69" s="38"/>
      <c r="I69" s="38"/>
      <c r="J69" s="38"/>
      <c r="K69" s="38"/>
      <c r="L69" s="38"/>
      <c r="M69" s="28"/>
      <c r="N69" s="6"/>
    </row>
    <row r="70" spans="1:14" ht="15.75">
      <c r="A70" s="27"/>
      <c r="B70" s="28" t="s">
        <v>45</v>
      </c>
      <c r="C70" s="38">
        <v>0</v>
      </c>
      <c r="D70" s="38">
        <v>0</v>
      </c>
      <c r="E70" s="38"/>
      <c r="F70" s="38"/>
      <c r="G70" s="38"/>
      <c r="H70" s="38"/>
      <c r="I70" s="38"/>
      <c r="J70" s="38"/>
      <c r="K70" s="38"/>
      <c r="L70" s="59">
        <f>D70-F70+H70-J70</f>
        <v>0</v>
      </c>
      <c r="M70" s="28"/>
      <c r="N70" s="6"/>
    </row>
    <row r="71" spans="1:14" ht="15.75">
      <c r="A71" s="27"/>
      <c r="B71" s="28" t="s">
        <v>46</v>
      </c>
      <c r="C71" s="38">
        <v>77996</v>
      </c>
      <c r="D71" s="38">
        <v>0</v>
      </c>
      <c r="E71" s="38"/>
      <c r="F71" s="38"/>
      <c r="G71" s="38"/>
      <c r="H71" s="38"/>
      <c r="I71" s="38"/>
      <c r="J71" s="38"/>
      <c r="K71" s="38"/>
      <c r="L71" s="60">
        <v>0</v>
      </c>
      <c r="M71" s="28"/>
      <c r="N71" s="6"/>
    </row>
    <row r="72" spans="1:14" ht="15.75">
      <c r="A72" s="27"/>
      <c r="B72" s="28" t="s">
        <v>47</v>
      </c>
      <c r="C72" s="38">
        <v>0</v>
      </c>
      <c r="D72" s="38">
        <f>L128</f>
        <v>0</v>
      </c>
      <c r="E72" s="38"/>
      <c r="F72" s="38"/>
      <c r="G72" s="38"/>
      <c r="H72" s="38"/>
      <c r="I72" s="38"/>
      <c r="J72" s="38"/>
      <c r="K72" s="38"/>
      <c r="L72" s="60">
        <f>SUM(C72:K72)</f>
        <v>0</v>
      </c>
      <c r="M72" s="28"/>
      <c r="N72" s="6"/>
    </row>
    <row r="73" spans="1:14" ht="15.75">
      <c r="A73" s="27"/>
      <c r="B73" s="28" t="s">
        <v>48</v>
      </c>
      <c r="C73" s="60">
        <f>SUM(C61:C72)</f>
        <v>500000</v>
      </c>
      <c r="D73" s="60">
        <f>SUM(D61:D72)</f>
        <v>476038</v>
      </c>
      <c r="E73" s="38"/>
      <c r="F73" s="60"/>
      <c r="G73" s="38"/>
      <c r="H73" s="60"/>
      <c r="I73" s="38"/>
      <c r="J73" s="60"/>
      <c r="K73" s="38"/>
      <c r="L73" s="60">
        <f>SUM(L61:L72)</f>
        <v>462695</v>
      </c>
      <c r="M73" s="28"/>
      <c r="N73" s="6"/>
    </row>
    <row r="74" spans="1:14" ht="15.75">
      <c r="A74" s="7"/>
      <c r="B74" s="9"/>
      <c r="C74" s="9"/>
      <c r="D74" s="9"/>
      <c r="E74" s="9"/>
      <c r="F74" s="9"/>
      <c r="G74" s="9"/>
      <c r="H74" s="9"/>
      <c r="I74" s="9"/>
      <c r="J74" s="9"/>
      <c r="K74" s="9"/>
      <c r="L74" s="9"/>
      <c r="M74" s="9"/>
      <c r="N74" s="6"/>
    </row>
    <row r="75" spans="1:14" ht="15.75">
      <c r="A75" s="7"/>
      <c r="B75" s="57" t="s">
        <v>49</v>
      </c>
      <c r="C75" s="16"/>
      <c r="D75" s="16"/>
      <c r="E75" s="16"/>
      <c r="F75" s="16"/>
      <c r="G75" s="16"/>
      <c r="H75" s="16"/>
      <c r="I75" s="19"/>
      <c r="J75" s="19" t="s">
        <v>181</v>
      </c>
      <c r="K75" s="19"/>
      <c r="L75" s="19" t="s">
        <v>193</v>
      </c>
      <c r="M75" s="9"/>
      <c r="N75" s="6"/>
    </row>
    <row r="76" spans="1:14" ht="15.75">
      <c r="A76" s="27"/>
      <c r="B76" s="28" t="s">
        <v>50</v>
      </c>
      <c r="C76" s="28"/>
      <c r="D76" s="28"/>
      <c r="E76" s="28"/>
      <c r="F76" s="28"/>
      <c r="G76" s="28"/>
      <c r="H76" s="28"/>
      <c r="I76" s="28"/>
      <c r="J76" s="38">
        <v>0</v>
      </c>
      <c r="K76" s="28"/>
      <c r="L76" s="59">
        <v>0</v>
      </c>
      <c r="M76" s="28"/>
      <c r="N76" s="6"/>
    </row>
    <row r="77" spans="1:14" ht="15.75">
      <c r="A77" s="27"/>
      <c r="B77" s="28" t="s">
        <v>51</v>
      </c>
      <c r="C77" s="47" t="s">
        <v>150</v>
      </c>
      <c r="D77" s="63">
        <f>J158</f>
        <v>37621</v>
      </c>
      <c r="E77" s="28"/>
      <c r="F77" s="28"/>
      <c r="G77" s="28"/>
      <c r="H77" s="28"/>
      <c r="I77" s="28"/>
      <c r="J77" s="38">
        <v>19262</v>
      </c>
      <c r="K77" s="28"/>
      <c r="L77" s="59"/>
      <c r="M77" s="28"/>
      <c r="N77" s="6"/>
    </row>
    <row r="78" spans="1:14" ht="15.75">
      <c r="A78" s="27"/>
      <c r="B78" s="28" t="s">
        <v>52</v>
      </c>
      <c r="C78" s="28"/>
      <c r="D78" s="28"/>
      <c r="E78" s="28"/>
      <c r="F78" s="28"/>
      <c r="G78" s="28"/>
      <c r="H78" s="28"/>
      <c r="I78" s="28"/>
      <c r="J78" s="38"/>
      <c r="K78" s="28"/>
      <c r="L78" s="59">
        <f>7377-10</f>
        <v>7367</v>
      </c>
      <c r="M78" s="28"/>
      <c r="N78" s="6"/>
    </row>
    <row r="79" spans="1:14" ht="15.75">
      <c r="A79" s="27"/>
      <c r="B79" s="28" t="s">
        <v>53</v>
      </c>
      <c r="C79" s="28"/>
      <c r="D79" s="28"/>
      <c r="E79" s="28"/>
      <c r="F79" s="28"/>
      <c r="G79" s="28"/>
      <c r="H79" s="28"/>
      <c r="I79" s="28"/>
      <c r="J79" s="38"/>
      <c r="K79" s="28"/>
      <c r="L79" s="59">
        <v>0</v>
      </c>
      <c r="M79" s="28"/>
      <c r="N79" s="6"/>
    </row>
    <row r="80" spans="1:14" ht="15.75">
      <c r="A80" s="27"/>
      <c r="B80" s="28" t="s">
        <v>54</v>
      </c>
      <c r="C80" s="28"/>
      <c r="D80" s="28"/>
      <c r="E80" s="28"/>
      <c r="F80" s="28"/>
      <c r="G80" s="28"/>
      <c r="H80" s="28"/>
      <c r="I80" s="28"/>
      <c r="J80" s="38">
        <f>SUM(J76:J79)</f>
        <v>19262</v>
      </c>
      <c r="K80" s="28"/>
      <c r="L80" s="60">
        <f>SUM(L76:L79)</f>
        <v>7367</v>
      </c>
      <c r="M80" s="28"/>
      <c r="N80" s="6"/>
    </row>
    <row r="81" spans="1:14" ht="15.75">
      <c r="A81" s="27"/>
      <c r="B81" s="28" t="s">
        <v>55</v>
      </c>
      <c r="C81" s="28"/>
      <c r="D81" s="28"/>
      <c r="E81" s="28"/>
      <c r="F81" s="28"/>
      <c r="G81" s="28"/>
      <c r="H81" s="28"/>
      <c r="I81" s="28"/>
      <c r="J81" s="38">
        <v>0</v>
      </c>
      <c r="K81" s="28"/>
      <c r="L81" s="59">
        <v>0</v>
      </c>
      <c r="M81" s="28"/>
      <c r="N81" s="6"/>
    </row>
    <row r="82" spans="1:14" ht="15.75">
      <c r="A82" s="27"/>
      <c r="B82" s="28" t="s">
        <v>56</v>
      </c>
      <c r="C82" s="28"/>
      <c r="D82" s="28"/>
      <c r="E82" s="28"/>
      <c r="F82" s="28"/>
      <c r="G82" s="28"/>
      <c r="H82" s="28"/>
      <c r="I82" s="28"/>
      <c r="J82" s="38">
        <f>J80+J81</f>
        <v>19262</v>
      </c>
      <c r="K82" s="28"/>
      <c r="L82" s="60">
        <f>L80+L81</f>
        <v>7367</v>
      </c>
      <c r="M82" s="28"/>
      <c r="N82" s="6"/>
    </row>
    <row r="83" spans="1:14" ht="15.75">
      <c r="A83" s="27"/>
      <c r="B83" s="137" t="s">
        <v>57</v>
      </c>
      <c r="C83" s="64"/>
      <c r="D83" s="28"/>
      <c r="E83" s="28"/>
      <c r="F83" s="28"/>
      <c r="G83" s="28"/>
      <c r="H83" s="28"/>
      <c r="I83" s="28"/>
      <c r="J83" s="38"/>
      <c r="K83" s="28"/>
      <c r="L83" s="59"/>
      <c r="M83" s="28"/>
      <c r="N83" s="6"/>
    </row>
    <row r="84" spans="1:14" ht="15.75">
      <c r="A84" s="27">
        <v>1</v>
      </c>
      <c r="B84" s="28" t="s">
        <v>58</v>
      </c>
      <c r="C84" s="28"/>
      <c r="D84" s="28"/>
      <c r="E84" s="28"/>
      <c r="F84" s="28"/>
      <c r="G84" s="28"/>
      <c r="H84" s="28"/>
      <c r="I84" s="28"/>
      <c r="J84" s="28"/>
      <c r="K84" s="28"/>
      <c r="L84" s="59">
        <v>0</v>
      </c>
      <c r="M84" s="28"/>
      <c r="N84" s="6"/>
    </row>
    <row r="85" spans="1:14" ht="15.75">
      <c r="A85" s="27">
        <v>2</v>
      </c>
      <c r="B85" s="28" t="s">
        <v>59</v>
      </c>
      <c r="C85" s="28"/>
      <c r="D85" s="28"/>
      <c r="E85" s="28"/>
      <c r="F85" s="28"/>
      <c r="G85" s="28"/>
      <c r="H85" s="28"/>
      <c r="I85" s="28"/>
      <c r="J85" s="28"/>
      <c r="K85" s="28"/>
      <c r="L85" s="59">
        <v>-5</v>
      </c>
      <c r="M85" s="28"/>
      <c r="N85" s="6"/>
    </row>
    <row r="86" spans="1:14" ht="15.75">
      <c r="A86" s="27">
        <v>3</v>
      </c>
      <c r="B86" s="28" t="s">
        <v>60</v>
      </c>
      <c r="C86" s="28"/>
      <c r="D86" s="28"/>
      <c r="E86" s="28"/>
      <c r="F86" s="28"/>
      <c r="G86" s="28"/>
      <c r="H86" s="28"/>
      <c r="I86" s="28"/>
      <c r="J86" s="28"/>
      <c r="K86" s="28"/>
      <c r="L86" s="59">
        <f>-361-6</f>
        <v>-367</v>
      </c>
      <c r="M86" s="28"/>
      <c r="N86" s="6"/>
    </row>
    <row r="87" spans="1:14" ht="15.75">
      <c r="A87" s="27">
        <v>4</v>
      </c>
      <c r="B87" s="28" t="s">
        <v>61</v>
      </c>
      <c r="C87" s="28"/>
      <c r="D87" s="28"/>
      <c r="E87" s="28"/>
      <c r="F87" s="28"/>
      <c r="G87" s="28"/>
      <c r="H87" s="28"/>
      <c r="I87" s="28"/>
      <c r="J87" s="28"/>
      <c r="K87" s="28"/>
      <c r="L87" s="59">
        <v>-500</v>
      </c>
      <c r="M87" s="28"/>
      <c r="N87" s="6"/>
    </row>
    <row r="88" spans="1:14" ht="15.75">
      <c r="A88" s="27">
        <v>5</v>
      </c>
      <c r="B88" s="28" t="s">
        <v>62</v>
      </c>
      <c r="C88" s="28"/>
      <c r="D88" s="28"/>
      <c r="E88" s="28"/>
      <c r="F88" s="28"/>
      <c r="G88" s="28"/>
      <c r="H88" s="28"/>
      <c r="I88" s="28"/>
      <c r="J88" s="28"/>
      <c r="K88" s="28"/>
      <c r="L88" s="59">
        <v>-4578</v>
      </c>
      <c r="M88" s="28"/>
      <c r="N88" s="6"/>
    </row>
    <row r="89" spans="1:14" ht="15.75">
      <c r="A89" s="27">
        <v>6</v>
      </c>
      <c r="B89" s="28" t="s">
        <v>63</v>
      </c>
      <c r="C89" s="28"/>
      <c r="D89" s="28"/>
      <c r="E89" s="28"/>
      <c r="F89" s="28"/>
      <c r="G89" s="28"/>
      <c r="H89" s="28"/>
      <c r="I89" s="28"/>
      <c r="J89" s="28"/>
      <c r="K89" s="28"/>
      <c r="L89" s="59">
        <v>-512</v>
      </c>
      <c r="M89" s="28"/>
      <c r="N89" s="6"/>
    </row>
    <row r="90" spans="1:14" ht="15.75">
      <c r="A90" s="27">
        <v>7</v>
      </c>
      <c r="B90" s="28" t="s">
        <v>64</v>
      </c>
      <c r="C90" s="28"/>
      <c r="D90" s="28"/>
      <c r="E90" s="28"/>
      <c r="F90" s="28"/>
      <c r="G90" s="28"/>
      <c r="H90" s="28"/>
      <c r="I90" s="28"/>
      <c r="J90" s="28"/>
      <c r="K90" s="28"/>
      <c r="L90" s="59">
        <v>-5</v>
      </c>
      <c r="M90" s="28"/>
      <c r="N90" s="6"/>
    </row>
    <row r="91" spans="1:14" ht="15.75">
      <c r="A91" s="27">
        <v>8</v>
      </c>
      <c r="B91" s="28" t="s">
        <v>65</v>
      </c>
      <c r="C91" s="28"/>
      <c r="D91" s="28"/>
      <c r="E91" s="28"/>
      <c r="F91" s="28"/>
      <c r="G91" s="28"/>
      <c r="H91" s="28"/>
      <c r="I91" s="28"/>
      <c r="J91" s="28"/>
      <c r="K91" s="28"/>
      <c r="L91" s="59">
        <v>0</v>
      </c>
      <c r="M91" s="28"/>
      <c r="N91" s="6"/>
    </row>
    <row r="92" spans="1:14" ht="15.75">
      <c r="A92" s="27">
        <v>9</v>
      </c>
      <c r="B92" s="28" t="s">
        <v>66</v>
      </c>
      <c r="C92" s="28"/>
      <c r="D92" s="28"/>
      <c r="E92" s="28"/>
      <c r="F92" s="28"/>
      <c r="G92" s="28"/>
      <c r="H92" s="28"/>
      <c r="I92" s="28"/>
      <c r="J92" s="28"/>
      <c r="K92" s="28"/>
      <c r="L92" s="59">
        <v>0</v>
      </c>
      <c r="M92" s="28"/>
      <c r="N92" s="6"/>
    </row>
    <row r="93" spans="1:14" ht="15.75">
      <c r="A93" s="27">
        <v>10</v>
      </c>
      <c r="B93" s="28" t="s">
        <v>67</v>
      </c>
      <c r="C93" s="28"/>
      <c r="D93" s="28"/>
      <c r="E93" s="28"/>
      <c r="F93" s="28"/>
      <c r="G93" s="28"/>
      <c r="H93" s="28"/>
      <c r="I93" s="28"/>
      <c r="J93" s="28"/>
      <c r="K93" s="28"/>
      <c r="L93" s="59">
        <v>0</v>
      </c>
      <c r="M93" s="28"/>
      <c r="N93" s="6"/>
    </row>
    <row r="94" spans="1:14" ht="15.75">
      <c r="A94" s="27">
        <v>11</v>
      </c>
      <c r="B94" s="28" t="s">
        <v>68</v>
      </c>
      <c r="C94" s="28"/>
      <c r="D94" s="28"/>
      <c r="E94" s="28"/>
      <c r="F94" s="28"/>
      <c r="G94" s="28"/>
      <c r="H94" s="28"/>
      <c r="I94" s="28"/>
      <c r="J94" s="28"/>
      <c r="K94" s="28"/>
      <c r="L94" s="59">
        <v>0</v>
      </c>
      <c r="M94" s="28"/>
      <c r="N94" s="6"/>
    </row>
    <row r="95" spans="1:14" ht="15.75">
      <c r="A95" s="27">
        <v>12</v>
      </c>
      <c r="B95" s="28" t="s">
        <v>69</v>
      </c>
      <c r="C95" s="28"/>
      <c r="D95" s="28"/>
      <c r="E95" s="28"/>
      <c r="F95" s="28"/>
      <c r="G95" s="28"/>
      <c r="H95" s="28"/>
      <c r="I95" s="28"/>
      <c r="J95" s="28"/>
      <c r="K95" s="28"/>
      <c r="L95" s="59">
        <f>-62-220</f>
        <v>-282</v>
      </c>
      <c r="M95" s="28"/>
      <c r="N95" s="6"/>
    </row>
    <row r="96" spans="1:14" ht="15.75">
      <c r="A96" s="27">
        <v>13</v>
      </c>
      <c r="B96" s="28" t="s">
        <v>70</v>
      </c>
      <c r="C96" s="28"/>
      <c r="D96" s="28"/>
      <c r="E96" s="28"/>
      <c r="F96" s="28"/>
      <c r="G96" s="28"/>
      <c r="H96" s="28"/>
      <c r="I96" s="28"/>
      <c r="J96" s="28"/>
      <c r="K96" s="28"/>
      <c r="L96" s="59">
        <f>-SUM(L82:L95)</f>
        <v>-1118</v>
      </c>
      <c r="M96" s="28"/>
      <c r="N96" s="6"/>
    </row>
    <row r="97" spans="1:14" ht="15.75">
      <c r="A97" s="27"/>
      <c r="B97" s="137" t="s">
        <v>71</v>
      </c>
      <c r="C97" s="64"/>
      <c r="D97" s="28"/>
      <c r="E97" s="28"/>
      <c r="F97" s="28"/>
      <c r="G97" s="28"/>
      <c r="H97" s="28"/>
      <c r="I97" s="28"/>
      <c r="J97" s="28"/>
      <c r="K97" s="28"/>
      <c r="L97" s="65"/>
      <c r="M97" s="28"/>
      <c r="N97" s="6"/>
    </row>
    <row r="98" spans="1:14" ht="15.75">
      <c r="A98" s="27"/>
      <c r="B98" s="28" t="s">
        <v>72</v>
      </c>
      <c r="C98" s="64"/>
      <c r="D98" s="28"/>
      <c r="E98" s="28"/>
      <c r="F98" s="28"/>
      <c r="G98" s="28"/>
      <c r="H98" s="28"/>
      <c r="I98" s="28"/>
      <c r="J98" s="38">
        <f>-J144</f>
        <v>-315</v>
      </c>
      <c r="K98" s="38"/>
      <c r="L98" s="59"/>
      <c r="M98" s="28"/>
      <c r="N98" s="6"/>
    </row>
    <row r="99" spans="1:14" ht="15.75">
      <c r="A99" s="27"/>
      <c r="B99" s="28" t="s">
        <v>73</v>
      </c>
      <c r="C99" s="28"/>
      <c r="D99" s="28"/>
      <c r="E99" s="28"/>
      <c r="F99" s="28"/>
      <c r="G99" s="28"/>
      <c r="H99" s="28"/>
      <c r="I99" s="28"/>
      <c r="J99" s="38">
        <f>-H144</f>
        <v>-5604</v>
      </c>
      <c r="K99" s="38"/>
      <c r="L99" s="59"/>
      <c r="M99" s="28"/>
      <c r="N99" s="6"/>
    </row>
    <row r="100" spans="1:14" ht="15.75">
      <c r="A100" s="27"/>
      <c r="B100" s="28" t="s">
        <v>74</v>
      </c>
      <c r="C100" s="28"/>
      <c r="D100" s="28"/>
      <c r="E100" s="28"/>
      <c r="F100" s="28"/>
      <c r="G100" s="28"/>
      <c r="H100" s="28"/>
      <c r="I100" s="28"/>
      <c r="J100" s="38">
        <v>-13343</v>
      </c>
      <c r="K100" s="38"/>
      <c r="L100" s="59"/>
      <c r="M100" s="28"/>
      <c r="N100" s="6"/>
    </row>
    <row r="101" spans="1:14" ht="15.75">
      <c r="A101" s="27"/>
      <c r="B101" s="28" t="s">
        <v>75</v>
      </c>
      <c r="C101" s="28"/>
      <c r="D101" s="28"/>
      <c r="E101" s="28"/>
      <c r="F101" s="28"/>
      <c r="G101" s="28"/>
      <c r="H101" s="28"/>
      <c r="I101" s="28"/>
      <c r="J101" s="38">
        <v>0</v>
      </c>
      <c r="K101" s="38"/>
      <c r="L101" s="59"/>
      <c r="M101" s="28"/>
      <c r="N101" s="6"/>
    </row>
    <row r="102" spans="1:14" ht="15.75">
      <c r="A102" s="27"/>
      <c r="B102" s="28" t="s">
        <v>76</v>
      </c>
      <c r="C102" s="28"/>
      <c r="D102" s="28"/>
      <c r="E102" s="28"/>
      <c r="F102" s="28"/>
      <c r="G102" s="28"/>
      <c r="H102" s="28"/>
      <c r="I102" s="28"/>
      <c r="J102" s="38">
        <f>SUM(J83:J101)</f>
        <v>-19262</v>
      </c>
      <c r="K102" s="38"/>
      <c r="L102" s="38">
        <f>SUM(L83:L101)</f>
        <v>-7367</v>
      </c>
      <c r="M102" s="28"/>
      <c r="N102" s="6"/>
    </row>
    <row r="103" spans="1:14" ht="15.75">
      <c r="A103" s="27"/>
      <c r="B103" s="28" t="s">
        <v>77</v>
      </c>
      <c r="C103" s="28"/>
      <c r="D103" s="28"/>
      <c r="E103" s="28"/>
      <c r="F103" s="28"/>
      <c r="G103" s="28"/>
      <c r="H103" s="28"/>
      <c r="I103" s="28"/>
      <c r="J103" s="38">
        <f>J82+J102</f>
        <v>0</v>
      </c>
      <c r="K103" s="38"/>
      <c r="L103" s="38">
        <f>L82+L102</f>
        <v>0</v>
      </c>
      <c r="M103" s="28"/>
      <c r="N103" s="6"/>
    </row>
    <row r="104" spans="1:14" ht="12" customHeight="1">
      <c r="A104" s="7"/>
      <c r="B104" s="9"/>
      <c r="C104" s="9"/>
      <c r="D104" s="9"/>
      <c r="E104" s="9"/>
      <c r="F104" s="9"/>
      <c r="G104" s="9"/>
      <c r="H104" s="9"/>
      <c r="I104" s="9"/>
      <c r="J104" s="9"/>
      <c r="K104" s="9"/>
      <c r="L104" s="58"/>
      <c r="M104" s="9"/>
      <c r="N104" s="6"/>
    </row>
    <row r="105" spans="1:14" ht="12" customHeight="1">
      <c r="A105" s="7"/>
      <c r="B105" s="9"/>
      <c r="C105" s="9"/>
      <c r="D105" s="9"/>
      <c r="E105" s="9"/>
      <c r="F105" s="9"/>
      <c r="G105" s="9"/>
      <c r="H105" s="9"/>
      <c r="I105" s="9"/>
      <c r="J105" s="9"/>
      <c r="K105" s="9"/>
      <c r="L105" s="58"/>
      <c r="M105" s="9"/>
      <c r="N105" s="6"/>
    </row>
    <row r="106" spans="1:14" ht="15.75" customHeight="1" thickBot="1">
      <c r="A106" s="118"/>
      <c r="B106" s="119" t="str">
        <f>B53</f>
        <v>PM4 INVESTOR REPORT QUARTER ENDING DECEMBER 2002</v>
      </c>
      <c r="C106" s="120"/>
      <c r="D106" s="120"/>
      <c r="E106" s="120"/>
      <c r="F106" s="120"/>
      <c r="G106" s="120"/>
      <c r="H106" s="120"/>
      <c r="I106" s="120"/>
      <c r="J106" s="120"/>
      <c r="K106" s="120"/>
      <c r="L106" s="124"/>
      <c r="M106" s="123"/>
      <c r="N106" s="6"/>
    </row>
    <row r="107" spans="1:14" ht="12" customHeight="1">
      <c r="A107" s="2"/>
      <c r="B107" s="5"/>
      <c r="C107" s="5"/>
      <c r="D107" s="5"/>
      <c r="E107" s="5"/>
      <c r="F107" s="5"/>
      <c r="G107" s="5"/>
      <c r="H107" s="5"/>
      <c r="I107" s="5"/>
      <c r="J107" s="5"/>
      <c r="K107" s="5"/>
      <c r="L107" s="66"/>
      <c r="M107" s="5"/>
      <c r="N107" s="6"/>
    </row>
    <row r="108" spans="1:14" ht="15.75">
      <c r="A108" s="7"/>
      <c r="B108" s="57" t="s">
        <v>78</v>
      </c>
      <c r="C108" s="15"/>
      <c r="D108" s="9"/>
      <c r="E108" s="9"/>
      <c r="F108" s="9"/>
      <c r="G108" s="9"/>
      <c r="H108" s="9"/>
      <c r="I108" s="9"/>
      <c r="J108" s="9"/>
      <c r="K108" s="9"/>
      <c r="L108" s="58"/>
      <c r="M108" s="9"/>
      <c r="N108" s="6"/>
    </row>
    <row r="109" spans="1:14" ht="15.75">
      <c r="A109" s="7"/>
      <c r="B109" s="23"/>
      <c r="C109" s="15"/>
      <c r="D109" s="9"/>
      <c r="E109" s="9"/>
      <c r="F109" s="9"/>
      <c r="G109" s="9"/>
      <c r="H109" s="9"/>
      <c r="I109" s="9"/>
      <c r="J109" s="9"/>
      <c r="K109" s="9"/>
      <c r="L109" s="58"/>
      <c r="M109" s="9"/>
      <c r="N109" s="6"/>
    </row>
    <row r="110" spans="1:14" ht="15.75">
      <c r="A110" s="7"/>
      <c r="B110" s="138" t="s">
        <v>79</v>
      </c>
      <c r="C110" s="15"/>
      <c r="D110" s="9"/>
      <c r="E110" s="9"/>
      <c r="F110" s="9"/>
      <c r="G110" s="9"/>
      <c r="H110" s="9"/>
      <c r="I110" s="9"/>
      <c r="J110" s="9"/>
      <c r="K110" s="9"/>
      <c r="L110" s="58"/>
      <c r="M110" s="9"/>
      <c r="N110" s="6"/>
    </row>
    <row r="111" spans="1:14" ht="15.75">
      <c r="A111" s="27"/>
      <c r="B111" s="28" t="s">
        <v>80</v>
      </c>
      <c r="C111" s="28"/>
      <c r="D111" s="28"/>
      <c r="E111" s="28"/>
      <c r="F111" s="28"/>
      <c r="G111" s="28"/>
      <c r="H111" s="28"/>
      <c r="I111" s="28"/>
      <c r="J111" s="28"/>
      <c r="K111" s="28"/>
      <c r="L111" s="59">
        <v>8750</v>
      </c>
      <c r="M111" s="28"/>
      <c r="N111" s="6"/>
    </row>
    <row r="112" spans="1:14" ht="15.75">
      <c r="A112" s="27"/>
      <c r="B112" s="28" t="s">
        <v>81</v>
      </c>
      <c r="C112" s="28"/>
      <c r="D112" s="28"/>
      <c r="E112" s="28"/>
      <c r="F112" s="28"/>
      <c r="G112" s="28"/>
      <c r="H112" s="28"/>
      <c r="I112" s="28"/>
      <c r="J112" s="28"/>
      <c r="K112" s="28"/>
      <c r="L112" s="59">
        <f>L111</f>
        <v>8750</v>
      </c>
      <c r="M112" s="28"/>
      <c r="N112" s="6"/>
    </row>
    <row r="113" spans="1:14" ht="15.75">
      <c r="A113" s="27"/>
      <c r="B113" s="28" t="s">
        <v>82</v>
      </c>
      <c r="C113" s="28"/>
      <c r="D113" s="28"/>
      <c r="E113" s="28"/>
      <c r="F113" s="28"/>
      <c r="G113" s="28"/>
      <c r="H113" s="28"/>
      <c r="I113" s="28"/>
      <c r="J113" s="28"/>
      <c r="K113" s="28"/>
      <c r="L113" s="59">
        <v>0</v>
      </c>
      <c r="M113" s="28"/>
      <c r="N113" s="6"/>
    </row>
    <row r="114" spans="1:14" ht="15.75">
      <c r="A114" s="27"/>
      <c r="B114" s="28" t="s">
        <v>83</v>
      </c>
      <c r="C114" s="28"/>
      <c r="D114" s="28"/>
      <c r="E114" s="28"/>
      <c r="F114" s="28"/>
      <c r="G114" s="28"/>
      <c r="H114" s="28"/>
      <c r="I114" s="28"/>
      <c r="J114" s="28"/>
      <c r="K114" s="28"/>
      <c r="L114" s="59">
        <v>0</v>
      </c>
      <c r="M114" s="28"/>
      <c r="N114" s="6"/>
    </row>
    <row r="115" spans="1:14" ht="15.75">
      <c r="A115" s="27"/>
      <c r="B115" s="28" t="s">
        <v>84</v>
      </c>
      <c r="C115" s="28"/>
      <c r="D115" s="28"/>
      <c r="E115" s="28"/>
      <c r="F115" s="28"/>
      <c r="G115" s="28"/>
      <c r="H115" s="28"/>
      <c r="I115" s="28"/>
      <c r="J115" s="28"/>
      <c r="K115" s="28"/>
      <c r="L115" s="59">
        <v>0</v>
      </c>
      <c r="M115" s="28"/>
      <c r="N115" s="6"/>
    </row>
    <row r="116" spans="1:14" ht="15.75">
      <c r="A116" s="27"/>
      <c r="B116" s="28" t="s">
        <v>62</v>
      </c>
      <c r="C116" s="28"/>
      <c r="D116" s="28"/>
      <c r="E116" s="28"/>
      <c r="F116" s="28"/>
      <c r="G116" s="28"/>
      <c r="H116" s="28"/>
      <c r="I116" s="28"/>
      <c r="J116" s="28"/>
      <c r="K116" s="28"/>
      <c r="L116" s="59">
        <v>0</v>
      </c>
      <c r="M116" s="28"/>
      <c r="N116" s="6"/>
    </row>
    <row r="117" spans="1:14" ht="15.75">
      <c r="A117" s="27"/>
      <c r="B117" s="28" t="s">
        <v>63</v>
      </c>
      <c r="C117" s="28"/>
      <c r="D117" s="28"/>
      <c r="E117" s="28"/>
      <c r="F117" s="28"/>
      <c r="G117" s="28"/>
      <c r="H117" s="28"/>
      <c r="I117" s="28"/>
      <c r="J117" s="28"/>
      <c r="K117" s="28"/>
      <c r="L117" s="59">
        <v>0</v>
      </c>
      <c r="M117" s="28"/>
      <c r="N117" s="6"/>
    </row>
    <row r="118" spans="1:14" ht="15.75">
      <c r="A118" s="27"/>
      <c r="B118" s="28" t="s">
        <v>85</v>
      </c>
      <c r="C118" s="28"/>
      <c r="D118" s="28"/>
      <c r="E118" s="28"/>
      <c r="F118" s="28"/>
      <c r="G118" s="28"/>
      <c r="H118" s="28"/>
      <c r="I118" s="28"/>
      <c r="J118" s="28"/>
      <c r="K118" s="28"/>
      <c r="L118" s="59">
        <v>0</v>
      </c>
      <c r="M118" s="28"/>
      <c r="N118" s="6"/>
    </row>
    <row r="119" spans="1:14" ht="15.75">
      <c r="A119" s="27"/>
      <c r="B119" s="28" t="s">
        <v>86</v>
      </c>
      <c r="C119" s="28"/>
      <c r="D119" s="28"/>
      <c r="E119" s="28"/>
      <c r="F119" s="28"/>
      <c r="G119" s="28"/>
      <c r="H119" s="28"/>
      <c r="I119" s="28"/>
      <c r="J119" s="28"/>
      <c r="K119" s="28"/>
      <c r="L119" s="59">
        <f>SUM(L112:L118)</f>
        <v>8750</v>
      </c>
      <c r="M119" s="28"/>
      <c r="N119" s="6"/>
    </row>
    <row r="120" spans="1:14" ht="15.75">
      <c r="A120" s="27"/>
      <c r="B120" s="28"/>
      <c r="C120" s="28"/>
      <c r="D120" s="28"/>
      <c r="E120" s="28"/>
      <c r="F120" s="28"/>
      <c r="G120" s="28"/>
      <c r="H120" s="28"/>
      <c r="I120" s="28"/>
      <c r="J120" s="28"/>
      <c r="K120" s="28"/>
      <c r="L120" s="67"/>
      <c r="M120" s="28"/>
      <c r="N120" s="6"/>
    </row>
    <row r="121" spans="1:14" ht="15.75">
      <c r="A121" s="7"/>
      <c r="B121" s="138" t="s">
        <v>87</v>
      </c>
      <c r="C121" s="9"/>
      <c r="D121" s="9"/>
      <c r="E121" s="9"/>
      <c r="F121" s="9"/>
      <c r="G121" s="9"/>
      <c r="H121" s="9"/>
      <c r="I121" s="9"/>
      <c r="J121" s="9"/>
      <c r="K121" s="9"/>
      <c r="L121" s="58"/>
      <c r="M121" s="9"/>
      <c r="N121" s="6"/>
    </row>
    <row r="122" spans="1:14" ht="15.75">
      <c r="A122" s="27"/>
      <c r="B122" s="28" t="s">
        <v>88</v>
      </c>
      <c r="C122" s="28"/>
      <c r="D122" s="68"/>
      <c r="E122" s="28"/>
      <c r="F122" s="28"/>
      <c r="G122" s="28"/>
      <c r="H122" s="28"/>
      <c r="I122" s="28"/>
      <c r="J122" s="28"/>
      <c r="K122" s="28"/>
      <c r="L122" s="69" t="s">
        <v>194</v>
      </c>
      <c r="M122" s="28"/>
      <c r="N122" s="6"/>
    </row>
    <row r="123" spans="1:14" ht="15.75">
      <c r="A123" s="27"/>
      <c r="B123" s="28" t="s">
        <v>89</v>
      </c>
      <c r="C123" s="31"/>
      <c r="D123" s="31"/>
      <c r="E123" s="31"/>
      <c r="F123" s="31"/>
      <c r="G123" s="31"/>
      <c r="H123" s="31"/>
      <c r="I123" s="31"/>
      <c r="J123" s="31"/>
      <c r="K123" s="31"/>
      <c r="L123" s="69" t="s">
        <v>194</v>
      </c>
      <c r="M123" s="28"/>
      <c r="N123" s="6"/>
    </row>
    <row r="124" spans="1:14" ht="15.75">
      <c r="A124" s="27"/>
      <c r="B124" s="28" t="s">
        <v>90</v>
      </c>
      <c r="C124" s="28"/>
      <c r="D124" s="28"/>
      <c r="E124" s="28"/>
      <c r="F124" s="28"/>
      <c r="G124" s="28"/>
      <c r="H124" s="28"/>
      <c r="I124" s="28"/>
      <c r="J124" s="28"/>
      <c r="K124" s="28"/>
      <c r="L124" s="69" t="s">
        <v>194</v>
      </c>
      <c r="M124" s="28"/>
      <c r="N124" s="6"/>
    </row>
    <row r="125" spans="1:14" ht="15.75">
      <c r="A125" s="27"/>
      <c r="B125" s="28" t="s">
        <v>91</v>
      </c>
      <c r="C125" s="28"/>
      <c r="D125" s="28"/>
      <c r="E125" s="28"/>
      <c r="F125" s="28"/>
      <c r="G125" s="28"/>
      <c r="H125" s="28"/>
      <c r="I125" s="28"/>
      <c r="J125" s="28"/>
      <c r="K125" s="28"/>
      <c r="L125" s="69" t="s">
        <v>194</v>
      </c>
      <c r="M125" s="28"/>
      <c r="N125" s="6"/>
    </row>
    <row r="126" spans="1:14" ht="15.75">
      <c r="A126" s="27"/>
      <c r="B126" s="28"/>
      <c r="C126" s="28"/>
      <c r="D126" s="28"/>
      <c r="E126" s="28"/>
      <c r="F126" s="28"/>
      <c r="G126" s="28"/>
      <c r="H126" s="28"/>
      <c r="I126" s="28"/>
      <c r="J126" s="28"/>
      <c r="K126" s="28"/>
      <c r="L126" s="67"/>
      <c r="M126" s="28"/>
      <c r="N126" s="6"/>
    </row>
    <row r="127" spans="1:14" ht="15.75">
      <c r="A127" s="7"/>
      <c r="B127" s="138" t="s">
        <v>92</v>
      </c>
      <c r="C127" s="15"/>
      <c r="D127" s="9"/>
      <c r="E127" s="9"/>
      <c r="F127" s="9"/>
      <c r="G127" s="9"/>
      <c r="H127" s="9"/>
      <c r="I127" s="9"/>
      <c r="J127" s="9"/>
      <c r="K127" s="9"/>
      <c r="L127" s="70"/>
      <c r="M127" s="9"/>
      <c r="N127" s="6"/>
    </row>
    <row r="128" spans="1:14" ht="15.75">
      <c r="A128" s="27"/>
      <c r="B128" s="28" t="s">
        <v>93</v>
      </c>
      <c r="C128" s="28"/>
      <c r="D128" s="28"/>
      <c r="E128" s="28"/>
      <c r="F128" s="28"/>
      <c r="G128" s="28"/>
      <c r="H128" s="28"/>
      <c r="I128" s="28"/>
      <c r="J128" s="28"/>
      <c r="K128" s="28"/>
      <c r="L128" s="59">
        <v>0</v>
      </c>
      <c r="M128" s="28"/>
      <c r="N128" s="6"/>
    </row>
    <row r="129" spans="1:14" ht="15.75">
      <c r="A129" s="27"/>
      <c r="B129" s="28" t="s">
        <v>94</v>
      </c>
      <c r="C129" s="28"/>
      <c r="D129" s="28"/>
      <c r="E129" s="28"/>
      <c r="F129" s="28"/>
      <c r="G129" s="28"/>
      <c r="H129" s="28"/>
      <c r="I129" s="28"/>
      <c r="J129" s="28"/>
      <c r="K129" s="28"/>
      <c r="L129" s="59">
        <v>0</v>
      </c>
      <c r="M129" s="28"/>
      <c r="N129" s="6"/>
    </row>
    <row r="130" spans="1:14" ht="15.75">
      <c r="A130" s="27"/>
      <c r="B130" s="28" t="s">
        <v>95</v>
      </c>
      <c r="C130" s="28"/>
      <c r="D130" s="28"/>
      <c r="E130" s="28"/>
      <c r="F130" s="28"/>
      <c r="G130" s="28"/>
      <c r="H130" s="28"/>
      <c r="I130" s="28"/>
      <c r="J130" s="28"/>
      <c r="K130" s="28"/>
      <c r="L130" s="59">
        <f>L129+L128</f>
        <v>0</v>
      </c>
      <c r="M130" s="28"/>
      <c r="N130" s="6"/>
    </row>
    <row r="131" spans="1:14" ht="15.75">
      <c r="A131" s="27"/>
      <c r="B131" s="28" t="s">
        <v>96</v>
      </c>
      <c r="C131" s="28"/>
      <c r="D131" s="28"/>
      <c r="E131" s="28"/>
      <c r="F131" s="28"/>
      <c r="G131" s="28"/>
      <c r="H131" s="71"/>
      <c r="I131" s="28"/>
      <c r="J131" s="28"/>
      <c r="K131" s="28"/>
      <c r="L131" s="59">
        <v>0</v>
      </c>
      <c r="M131" s="28"/>
      <c r="N131" s="6"/>
    </row>
    <row r="132" spans="1:14" ht="15.75">
      <c r="A132" s="27"/>
      <c r="B132" s="28" t="s">
        <v>97</v>
      </c>
      <c r="C132" s="28"/>
      <c r="D132" s="28"/>
      <c r="E132" s="28"/>
      <c r="F132" s="28"/>
      <c r="G132" s="28"/>
      <c r="H132" s="28"/>
      <c r="I132" s="28"/>
      <c r="J132" s="28"/>
      <c r="K132" s="28"/>
      <c r="L132" s="59">
        <f>L130+L131</f>
        <v>0</v>
      </c>
      <c r="M132" s="28"/>
      <c r="N132" s="6"/>
    </row>
    <row r="133" spans="1:14" ht="7.5" customHeight="1">
      <c r="A133" s="27"/>
      <c r="B133" s="28"/>
      <c r="C133" s="28"/>
      <c r="D133" s="28"/>
      <c r="E133" s="28"/>
      <c r="F133" s="28"/>
      <c r="G133" s="28"/>
      <c r="H133" s="28"/>
      <c r="I133" s="28"/>
      <c r="J133" s="28"/>
      <c r="K133" s="28"/>
      <c r="L133" s="67"/>
      <c r="M133" s="28"/>
      <c r="N133" s="6"/>
    </row>
    <row r="134" spans="1:14" ht="6" customHeight="1">
      <c r="A134" s="2"/>
      <c r="B134" s="5"/>
      <c r="C134" s="5"/>
      <c r="D134" s="5"/>
      <c r="E134" s="5"/>
      <c r="F134" s="5"/>
      <c r="G134" s="5"/>
      <c r="H134" s="5"/>
      <c r="I134" s="5"/>
      <c r="J134" s="5"/>
      <c r="K134" s="5"/>
      <c r="L134" s="66"/>
      <c r="M134" s="5"/>
      <c r="N134" s="6"/>
    </row>
    <row r="135" spans="1:14" ht="15.75">
      <c r="A135" s="7"/>
      <c r="B135" s="138" t="s">
        <v>98</v>
      </c>
      <c r="C135" s="15"/>
      <c r="D135" s="9"/>
      <c r="E135" s="9"/>
      <c r="F135" s="9"/>
      <c r="G135" s="9"/>
      <c r="H135" s="9"/>
      <c r="I135" s="9"/>
      <c r="J135" s="9"/>
      <c r="K135" s="9"/>
      <c r="L135" s="58"/>
      <c r="M135" s="9"/>
      <c r="N135" s="6"/>
    </row>
    <row r="136" spans="1:14" ht="15.75">
      <c r="A136" s="7"/>
      <c r="B136" s="23"/>
      <c r="C136" s="15"/>
      <c r="D136" s="9"/>
      <c r="E136" s="9"/>
      <c r="F136" s="9"/>
      <c r="G136" s="9"/>
      <c r="H136" s="9"/>
      <c r="I136" s="9"/>
      <c r="J136" s="9"/>
      <c r="K136" s="9"/>
      <c r="L136" s="58"/>
      <c r="M136" s="9"/>
      <c r="N136" s="6"/>
    </row>
    <row r="137" spans="1:14" ht="15.75">
      <c r="A137" s="27"/>
      <c r="B137" s="28" t="s">
        <v>99</v>
      </c>
      <c r="C137" s="72"/>
      <c r="D137" s="28"/>
      <c r="E137" s="28"/>
      <c r="F137" s="28"/>
      <c r="G137" s="28"/>
      <c r="H137" s="28"/>
      <c r="I137" s="28"/>
      <c r="J137" s="28"/>
      <c r="K137" s="28"/>
      <c r="L137" s="59">
        <f>L61</f>
        <v>462695</v>
      </c>
      <c r="M137" s="28"/>
      <c r="N137" s="6"/>
    </row>
    <row r="138" spans="1:14" ht="15.75">
      <c r="A138" s="27"/>
      <c r="B138" s="28" t="s">
        <v>100</v>
      </c>
      <c r="C138" s="72"/>
      <c r="D138" s="28"/>
      <c r="E138" s="28"/>
      <c r="F138" s="28"/>
      <c r="G138" s="28"/>
      <c r="H138" s="28"/>
      <c r="I138" s="28"/>
      <c r="J138" s="28"/>
      <c r="K138" s="28"/>
      <c r="L138" s="59">
        <f>L33</f>
        <v>462695.45</v>
      </c>
      <c r="M138" s="28"/>
      <c r="N138" s="6"/>
    </row>
    <row r="139" spans="1:14" ht="7.5" customHeight="1">
      <c r="A139" s="27"/>
      <c r="B139" s="28"/>
      <c r="C139" s="28"/>
      <c r="D139" s="28"/>
      <c r="E139" s="28"/>
      <c r="F139" s="28"/>
      <c r="G139" s="28"/>
      <c r="H139" s="28"/>
      <c r="I139" s="28"/>
      <c r="J139" s="28"/>
      <c r="K139" s="28"/>
      <c r="L139" s="67"/>
      <c r="M139" s="28"/>
      <c r="N139" s="6"/>
    </row>
    <row r="140" spans="1:14" ht="15.75">
      <c r="A140" s="2"/>
      <c r="B140" s="5"/>
      <c r="C140" s="5"/>
      <c r="D140" s="5"/>
      <c r="E140" s="5"/>
      <c r="F140" s="5"/>
      <c r="G140" s="5"/>
      <c r="H140" s="5"/>
      <c r="I140" s="5"/>
      <c r="J140" s="5"/>
      <c r="K140" s="5"/>
      <c r="L140" s="66"/>
      <c r="M140" s="5"/>
      <c r="N140" s="6"/>
    </row>
    <row r="141" spans="1:14" ht="15.75">
      <c r="A141" s="7"/>
      <c r="B141" s="138" t="s">
        <v>101</v>
      </c>
      <c r="C141" s="131"/>
      <c r="D141" s="131"/>
      <c r="E141" s="131"/>
      <c r="F141" s="131"/>
      <c r="G141" s="131"/>
      <c r="H141" s="139" t="s">
        <v>174</v>
      </c>
      <c r="I141" s="139"/>
      <c r="J141" s="139" t="s">
        <v>182</v>
      </c>
      <c r="K141" s="131"/>
      <c r="L141" s="140" t="s">
        <v>195</v>
      </c>
      <c r="M141" s="11"/>
      <c r="N141" s="6"/>
    </row>
    <row r="142" spans="1:14" ht="15.75">
      <c r="A142" s="27"/>
      <c r="B142" s="28" t="s">
        <v>102</v>
      </c>
      <c r="C142" s="28"/>
      <c r="D142" s="28"/>
      <c r="E142" s="28"/>
      <c r="F142" s="28"/>
      <c r="G142" s="28"/>
      <c r="H142" s="59">
        <v>70000</v>
      </c>
      <c r="I142" s="28"/>
      <c r="J142" s="47"/>
      <c r="K142" s="28"/>
      <c r="L142" s="59"/>
      <c r="M142" s="28"/>
      <c r="N142" s="6"/>
    </row>
    <row r="143" spans="1:14" ht="15.75">
      <c r="A143" s="27"/>
      <c r="B143" s="28" t="s">
        <v>103</v>
      </c>
      <c r="C143" s="28"/>
      <c r="D143" s="28"/>
      <c r="E143" s="28"/>
      <c r="F143" s="28"/>
      <c r="G143" s="28"/>
      <c r="H143" s="59">
        <v>11197</v>
      </c>
      <c r="I143" s="28"/>
      <c r="J143" s="59">
        <v>1591</v>
      </c>
      <c r="K143" s="28"/>
      <c r="L143" s="59">
        <f>J143+H143</f>
        <v>12788</v>
      </c>
      <c r="M143" s="28"/>
      <c r="N143" s="6"/>
    </row>
    <row r="144" spans="1:14" ht="15.75">
      <c r="A144" s="27"/>
      <c r="B144" s="28" t="s">
        <v>104</v>
      </c>
      <c r="C144" s="28"/>
      <c r="D144" s="28"/>
      <c r="E144" s="28"/>
      <c r="F144" s="28"/>
      <c r="G144" s="28"/>
      <c r="H144" s="59">
        <v>5604</v>
      </c>
      <c r="I144" s="28"/>
      <c r="J144" s="59">
        <v>315</v>
      </c>
      <c r="K144" s="28"/>
      <c r="L144" s="59">
        <f>J144+H144</f>
        <v>5919</v>
      </c>
      <c r="M144" s="28"/>
      <c r="N144" s="6"/>
    </row>
    <row r="145" spans="1:14" ht="15.75">
      <c r="A145" s="27"/>
      <c r="B145" s="28" t="s">
        <v>105</v>
      </c>
      <c r="C145" s="28"/>
      <c r="D145" s="28"/>
      <c r="E145" s="28"/>
      <c r="F145" s="28"/>
      <c r="G145" s="28"/>
      <c r="H145" s="59">
        <f>H144+H143</f>
        <v>16801</v>
      </c>
      <c r="I145" s="28"/>
      <c r="J145" s="59">
        <f>J144+J143</f>
        <v>1906</v>
      </c>
      <c r="K145" s="28"/>
      <c r="L145" s="59">
        <f>J145+H145</f>
        <v>18707</v>
      </c>
      <c r="M145" s="28"/>
      <c r="N145" s="6"/>
    </row>
    <row r="146" spans="1:14" ht="15.75">
      <c r="A146" s="27"/>
      <c r="B146" s="28" t="s">
        <v>106</v>
      </c>
      <c r="C146" s="28"/>
      <c r="D146" s="28"/>
      <c r="E146" s="28"/>
      <c r="F146" s="28"/>
      <c r="G146" s="28"/>
      <c r="H146" s="59">
        <f>H142-H145-J145</f>
        <v>51293</v>
      </c>
      <c r="I146" s="28"/>
      <c r="J146" s="47"/>
      <c r="K146" s="28"/>
      <c r="L146" s="59"/>
      <c r="M146" s="28"/>
      <c r="N146" s="6"/>
    </row>
    <row r="147" spans="1:14" ht="7.5" customHeight="1">
      <c r="A147" s="27"/>
      <c r="B147" s="28"/>
      <c r="C147" s="28"/>
      <c r="D147" s="28"/>
      <c r="E147" s="28"/>
      <c r="F147" s="28"/>
      <c r="G147" s="28"/>
      <c r="H147" s="28"/>
      <c r="I147" s="28"/>
      <c r="J147" s="28"/>
      <c r="K147" s="28"/>
      <c r="L147" s="67"/>
      <c r="M147" s="28"/>
      <c r="N147" s="6"/>
    </row>
    <row r="148" spans="1:14" ht="9" customHeight="1">
      <c r="A148" s="2"/>
      <c r="B148" s="5"/>
      <c r="C148" s="5"/>
      <c r="D148" s="5"/>
      <c r="E148" s="5"/>
      <c r="F148" s="5"/>
      <c r="G148" s="5"/>
      <c r="H148" s="5"/>
      <c r="I148" s="5"/>
      <c r="J148" s="5"/>
      <c r="K148" s="5"/>
      <c r="L148" s="66"/>
      <c r="M148" s="5"/>
      <c r="N148" s="6"/>
    </row>
    <row r="149" spans="1:14" ht="15.75">
      <c r="A149" s="7"/>
      <c r="B149" s="138" t="s">
        <v>107</v>
      </c>
      <c r="C149" s="15"/>
      <c r="D149" s="9"/>
      <c r="E149" s="9"/>
      <c r="F149" s="9"/>
      <c r="G149" s="9"/>
      <c r="H149" s="9"/>
      <c r="I149" s="9"/>
      <c r="J149" s="9"/>
      <c r="K149" s="9"/>
      <c r="L149" s="73"/>
      <c r="M149" s="9"/>
      <c r="N149" s="6"/>
    </row>
    <row r="150" spans="1:14" ht="15.75">
      <c r="A150" s="27"/>
      <c r="B150" s="28" t="s">
        <v>108</v>
      </c>
      <c r="C150" s="28"/>
      <c r="D150" s="28"/>
      <c r="E150" s="28"/>
      <c r="F150" s="28"/>
      <c r="G150" s="28"/>
      <c r="H150" s="28"/>
      <c r="I150" s="28"/>
      <c r="J150" s="28"/>
      <c r="K150" s="28"/>
      <c r="L150" s="65">
        <f>(L82+L84+L85+L86+L87)/-L88</f>
        <v>1.4187418086500656</v>
      </c>
      <c r="M150" s="28" t="s">
        <v>196</v>
      </c>
      <c r="N150" s="6"/>
    </row>
    <row r="151" spans="1:14" ht="15.75">
      <c r="A151" s="27"/>
      <c r="B151" s="28" t="s">
        <v>109</v>
      </c>
      <c r="C151" s="28"/>
      <c r="D151" s="28"/>
      <c r="E151" s="28"/>
      <c r="F151" s="28"/>
      <c r="G151" s="28"/>
      <c r="H151" s="28"/>
      <c r="I151" s="28"/>
      <c r="J151" s="28"/>
      <c r="K151" s="28"/>
      <c r="L151" s="65">
        <v>1.32</v>
      </c>
      <c r="M151" s="28" t="s">
        <v>196</v>
      </c>
      <c r="N151" s="6"/>
    </row>
    <row r="152" spans="1:14" ht="15.75">
      <c r="A152" s="27"/>
      <c r="B152" s="28" t="s">
        <v>110</v>
      </c>
      <c r="C152" s="28"/>
      <c r="D152" s="28"/>
      <c r="E152" s="28"/>
      <c r="F152" s="28"/>
      <c r="G152" s="28"/>
      <c r="H152" s="28"/>
      <c r="I152" s="28"/>
      <c r="J152" s="28"/>
      <c r="K152" s="28"/>
      <c r="L152" s="65">
        <f>(L82+SUM(L84:L88))/-L89</f>
        <v>3.744140625</v>
      </c>
      <c r="M152" s="28" t="s">
        <v>196</v>
      </c>
      <c r="N152" s="6"/>
    </row>
    <row r="153" spans="1:14" ht="15.75">
      <c r="A153" s="27"/>
      <c r="B153" s="28" t="s">
        <v>111</v>
      </c>
      <c r="C153" s="28"/>
      <c r="D153" s="28"/>
      <c r="E153" s="28"/>
      <c r="F153" s="28"/>
      <c r="G153" s="28"/>
      <c r="H153" s="28"/>
      <c r="I153" s="28"/>
      <c r="J153" s="28"/>
      <c r="K153" s="28"/>
      <c r="L153" s="74">
        <v>2.95</v>
      </c>
      <c r="M153" s="28" t="s">
        <v>196</v>
      </c>
      <c r="N153" s="6"/>
    </row>
    <row r="154" spans="1:14" ht="12.75" customHeight="1">
      <c r="A154" s="27"/>
      <c r="B154" s="28"/>
      <c r="C154" s="28"/>
      <c r="D154" s="28"/>
      <c r="E154" s="28"/>
      <c r="F154" s="28"/>
      <c r="G154" s="28"/>
      <c r="H154" s="28"/>
      <c r="I154" s="28"/>
      <c r="J154" s="28"/>
      <c r="K154" s="28"/>
      <c r="L154" s="28"/>
      <c r="M154" s="28"/>
      <c r="N154" s="6"/>
    </row>
    <row r="155" spans="1:14" ht="12.75" customHeight="1">
      <c r="A155" s="7"/>
      <c r="B155" s="9"/>
      <c r="C155" s="9"/>
      <c r="D155" s="9"/>
      <c r="E155" s="9"/>
      <c r="F155" s="9"/>
      <c r="G155" s="9"/>
      <c r="H155" s="9"/>
      <c r="I155" s="9"/>
      <c r="J155" s="9"/>
      <c r="K155" s="9"/>
      <c r="L155" s="9"/>
      <c r="M155" s="9"/>
      <c r="N155" s="6"/>
    </row>
    <row r="156" spans="1:14" ht="15" customHeight="1" thickBot="1">
      <c r="A156" s="118"/>
      <c r="B156" s="119" t="str">
        <f>B106</f>
        <v>PM4 INVESTOR REPORT QUARTER ENDING DECEMBER 2002</v>
      </c>
      <c r="C156" s="120"/>
      <c r="D156" s="120"/>
      <c r="E156" s="120"/>
      <c r="F156" s="120"/>
      <c r="G156" s="120"/>
      <c r="H156" s="120"/>
      <c r="I156" s="120"/>
      <c r="J156" s="120"/>
      <c r="K156" s="120"/>
      <c r="L156" s="120"/>
      <c r="M156" s="123"/>
      <c r="N156" s="6"/>
    </row>
    <row r="157" spans="1:14" ht="15.75">
      <c r="A157" s="2"/>
      <c r="B157" s="75"/>
      <c r="C157" s="75"/>
      <c r="D157" s="75"/>
      <c r="E157" s="75"/>
      <c r="F157" s="75"/>
      <c r="G157" s="75"/>
      <c r="H157" s="75"/>
      <c r="I157" s="75"/>
      <c r="J157" s="75"/>
      <c r="K157" s="75"/>
      <c r="L157" s="75"/>
      <c r="M157" s="75"/>
      <c r="N157" s="6"/>
    </row>
    <row r="158" spans="1:14" ht="15.75">
      <c r="A158" s="76"/>
      <c r="B158" s="57" t="s">
        <v>112</v>
      </c>
      <c r="C158" s="77"/>
      <c r="D158" s="77"/>
      <c r="E158" s="77"/>
      <c r="F158" s="77"/>
      <c r="G158" s="21"/>
      <c r="H158" s="21"/>
      <c r="I158" s="21"/>
      <c r="J158" s="21">
        <v>37621</v>
      </c>
      <c r="K158" s="17"/>
      <c r="L158" s="17"/>
      <c r="M158" s="9"/>
      <c r="N158" s="6"/>
    </row>
    <row r="159" spans="1:14" ht="15.75">
      <c r="A159" s="78"/>
      <c r="B159" s="79"/>
      <c r="C159" s="80"/>
      <c r="D159" s="80"/>
      <c r="E159" s="80"/>
      <c r="F159" s="80"/>
      <c r="G159" s="81"/>
      <c r="H159" s="81"/>
      <c r="I159" s="81"/>
      <c r="J159" s="81"/>
      <c r="K159" s="9"/>
      <c r="L159" s="9"/>
      <c r="M159" s="9"/>
      <c r="N159" s="6"/>
    </row>
    <row r="160" spans="1:14" ht="15.75">
      <c r="A160" s="82"/>
      <c r="B160" s="83" t="s">
        <v>113</v>
      </c>
      <c r="C160" s="84"/>
      <c r="D160" s="84"/>
      <c r="E160" s="84"/>
      <c r="F160" s="84"/>
      <c r="G160" s="71"/>
      <c r="H160" s="71"/>
      <c r="I160" s="71"/>
      <c r="J160" s="85">
        <v>0.06</v>
      </c>
      <c r="K160" s="28"/>
      <c r="L160" s="28"/>
      <c r="M160" s="28"/>
      <c r="N160" s="6"/>
    </row>
    <row r="161" spans="1:14" ht="15.75">
      <c r="A161" s="82"/>
      <c r="B161" s="83" t="s">
        <v>114</v>
      </c>
      <c r="C161" s="84"/>
      <c r="D161" s="84"/>
      <c r="E161" s="84"/>
      <c r="F161" s="84"/>
      <c r="G161" s="71"/>
      <c r="H161" s="71"/>
      <c r="I161" s="71"/>
      <c r="J161" s="85">
        <v>0.0452</v>
      </c>
      <c r="K161" s="28"/>
      <c r="L161" s="28"/>
      <c r="M161" s="28"/>
      <c r="N161" s="6"/>
    </row>
    <row r="162" spans="1:14" ht="15.75">
      <c r="A162" s="82"/>
      <c r="B162" s="83" t="s">
        <v>115</v>
      </c>
      <c r="C162" s="84"/>
      <c r="D162" s="84"/>
      <c r="E162" s="84"/>
      <c r="F162" s="84"/>
      <c r="G162" s="71"/>
      <c r="H162" s="71"/>
      <c r="I162" s="71"/>
      <c r="J162" s="85">
        <f>J160-J161</f>
        <v>0.0148</v>
      </c>
      <c r="K162" s="28"/>
      <c r="L162" s="28"/>
      <c r="M162" s="28"/>
      <c r="N162" s="6"/>
    </row>
    <row r="163" spans="1:14" ht="15.75">
      <c r="A163" s="82"/>
      <c r="B163" s="83" t="s">
        <v>116</v>
      </c>
      <c r="C163" s="84"/>
      <c r="D163" s="84"/>
      <c r="E163" s="84"/>
      <c r="F163" s="84"/>
      <c r="G163" s="71"/>
      <c r="H163" s="71"/>
      <c r="I163" s="71"/>
      <c r="J163" s="85">
        <v>0.05893</v>
      </c>
      <c r="K163" s="28"/>
      <c r="L163" s="28"/>
      <c r="M163" s="28"/>
      <c r="N163" s="6"/>
    </row>
    <row r="164" spans="1:14" ht="15.75">
      <c r="A164" s="82"/>
      <c r="B164" s="83" t="s">
        <v>117</v>
      </c>
      <c r="C164" s="84"/>
      <c r="D164" s="84"/>
      <c r="E164" s="84"/>
      <c r="F164" s="84"/>
      <c r="G164" s="71"/>
      <c r="H164" s="71"/>
      <c r="I164" s="71"/>
      <c r="J164" s="85">
        <f>L35</f>
        <v>0.04242674368545132</v>
      </c>
      <c r="K164" s="28"/>
      <c r="L164" s="28"/>
      <c r="M164" s="28"/>
      <c r="N164" s="6"/>
    </row>
    <row r="165" spans="1:14" ht="15.75">
      <c r="A165" s="82"/>
      <c r="B165" s="83" t="s">
        <v>118</v>
      </c>
      <c r="C165" s="84"/>
      <c r="D165" s="84"/>
      <c r="E165" s="84"/>
      <c r="F165" s="84"/>
      <c r="G165" s="71"/>
      <c r="H165" s="71"/>
      <c r="I165" s="71"/>
      <c r="J165" s="85">
        <f>J163-J164</f>
        <v>0.016503256314548687</v>
      </c>
      <c r="K165" s="28"/>
      <c r="L165" s="28"/>
      <c r="M165" s="28"/>
      <c r="N165" s="6"/>
    </row>
    <row r="166" spans="1:14" ht="15.75">
      <c r="A166" s="82"/>
      <c r="B166" s="83" t="s">
        <v>119</v>
      </c>
      <c r="C166" s="84"/>
      <c r="D166" s="84"/>
      <c r="E166" s="84"/>
      <c r="F166" s="84"/>
      <c r="G166" s="71"/>
      <c r="H166" s="71"/>
      <c r="I166" s="71"/>
      <c r="J166" s="86" t="s">
        <v>183</v>
      </c>
      <c r="K166" s="28"/>
      <c r="L166" s="28"/>
      <c r="M166" s="28"/>
      <c r="N166" s="6"/>
    </row>
    <row r="167" spans="1:14" ht="15.75">
      <c r="A167" s="82"/>
      <c r="B167" s="83" t="s">
        <v>120</v>
      </c>
      <c r="C167" s="84"/>
      <c r="D167" s="84"/>
      <c r="E167" s="84"/>
      <c r="F167" s="84"/>
      <c r="G167" s="71"/>
      <c r="H167" s="71"/>
      <c r="I167" s="71"/>
      <c r="J167" s="86" t="s">
        <v>184</v>
      </c>
      <c r="K167" s="28"/>
      <c r="L167" s="28"/>
      <c r="M167" s="28"/>
      <c r="N167" s="6"/>
    </row>
    <row r="168" spans="1:14" ht="15.75">
      <c r="A168" s="82"/>
      <c r="B168" s="83" t="s">
        <v>121</v>
      </c>
      <c r="C168" s="84"/>
      <c r="D168" s="84"/>
      <c r="E168" s="84"/>
      <c r="F168" s="84"/>
      <c r="G168" s="71"/>
      <c r="H168" s="71"/>
      <c r="I168" s="71"/>
      <c r="J168" s="87">
        <v>20.2</v>
      </c>
      <c r="K168" s="28" t="s">
        <v>188</v>
      </c>
      <c r="L168" s="28"/>
      <c r="M168" s="28"/>
      <c r="N168" s="6"/>
    </row>
    <row r="169" spans="1:14" ht="15.75">
      <c r="A169" s="82"/>
      <c r="B169" s="83" t="s">
        <v>122</v>
      </c>
      <c r="C169" s="84"/>
      <c r="D169" s="84"/>
      <c r="E169" s="84"/>
      <c r="F169" s="84"/>
      <c r="G169" s="71"/>
      <c r="H169" s="71"/>
      <c r="I169" s="71"/>
      <c r="J169" s="87">
        <v>19.76</v>
      </c>
      <c r="K169" s="28" t="s">
        <v>188</v>
      </c>
      <c r="L169" s="28"/>
      <c r="M169" s="28"/>
      <c r="N169" s="6"/>
    </row>
    <row r="170" spans="1:14" ht="15.75">
      <c r="A170" s="82"/>
      <c r="B170" s="83" t="s">
        <v>123</v>
      </c>
      <c r="C170" s="84"/>
      <c r="D170" s="84"/>
      <c r="E170" s="84"/>
      <c r="F170" s="84"/>
      <c r="G170" s="71"/>
      <c r="H170" s="71"/>
      <c r="I170" s="71"/>
      <c r="J170" s="85">
        <f>F58/'Sept 02'!L58</f>
        <v>0.04046315630264811</v>
      </c>
      <c r="K170" s="28"/>
      <c r="L170" s="28"/>
      <c r="M170" s="28"/>
      <c r="N170" s="6"/>
    </row>
    <row r="171" spans="1:14" ht="15.75">
      <c r="A171" s="82"/>
      <c r="B171" s="83" t="s">
        <v>124</v>
      </c>
      <c r="C171" s="84"/>
      <c r="D171" s="84"/>
      <c r="E171" s="84"/>
      <c r="F171" s="84"/>
      <c r="G171" s="71"/>
      <c r="H171" s="71"/>
      <c r="I171" s="71"/>
      <c r="J171" s="85">
        <v>0.1446</v>
      </c>
      <c r="K171" s="28"/>
      <c r="L171" s="28"/>
      <c r="M171" s="28"/>
      <c r="N171" s="6"/>
    </row>
    <row r="172" spans="1:14" ht="15.75">
      <c r="A172" s="82"/>
      <c r="B172" s="83"/>
      <c r="C172" s="83"/>
      <c r="D172" s="83"/>
      <c r="E172" s="83"/>
      <c r="F172" s="83"/>
      <c r="G172" s="28"/>
      <c r="H172" s="28"/>
      <c r="I172" s="28"/>
      <c r="J172" s="67"/>
      <c r="K172" s="28"/>
      <c r="L172" s="88"/>
      <c r="M172" s="28"/>
      <c r="N172" s="6"/>
    </row>
    <row r="173" spans="1:14" ht="15.75">
      <c r="A173" s="89"/>
      <c r="B173" s="16" t="s">
        <v>125</v>
      </c>
      <c r="C173" s="90"/>
      <c r="D173" s="91"/>
      <c r="E173" s="90"/>
      <c r="F173" s="91"/>
      <c r="G173" s="90"/>
      <c r="H173" s="91"/>
      <c r="I173" s="19" t="s">
        <v>175</v>
      </c>
      <c r="J173" s="92" t="s">
        <v>185</v>
      </c>
      <c r="K173" s="17"/>
      <c r="L173" s="9"/>
      <c r="M173" s="9"/>
      <c r="N173" s="6"/>
    </row>
    <row r="174" spans="1:14" ht="15.75">
      <c r="A174" s="93"/>
      <c r="B174" s="83" t="s">
        <v>126</v>
      </c>
      <c r="C174" s="60"/>
      <c r="D174" s="60"/>
      <c r="E174" s="60"/>
      <c r="F174" s="28"/>
      <c r="G174" s="28"/>
      <c r="H174" s="28"/>
      <c r="I174" s="29">
        <v>11</v>
      </c>
      <c r="J174" s="94">
        <v>360</v>
      </c>
      <c r="K174" s="28"/>
      <c r="L174" s="88"/>
      <c r="M174" s="95"/>
      <c r="N174" s="6"/>
    </row>
    <row r="175" spans="1:14" ht="15.75">
      <c r="A175" s="93"/>
      <c r="B175" s="83" t="s">
        <v>127</v>
      </c>
      <c r="C175" s="60"/>
      <c r="D175" s="60"/>
      <c r="E175" s="60"/>
      <c r="F175" s="28"/>
      <c r="G175" s="28"/>
      <c r="H175" s="28"/>
      <c r="I175" s="29">
        <v>2</v>
      </c>
      <c r="J175" s="94">
        <v>61</v>
      </c>
      <c r="K175" s="28"/>
      <c r="L175" s="88"/>
      <c r="M175" s="95"/>
      <c r="N175" s="6"/>
    </row>
    <row r="176" spans="1:14" ht="15.75">
      <c r="A176" s="93"/>
      <c r="B176" s="141" t="s">
        <v>128</v>
      </c>
      <c r="C176" s="60"/>
      <c r="D176" s="60"/>
      <c r="E176" s="60"/>
      <c r="F176" s="28"/>
      <c r="G176" s="28"/>
      <c r="H176" s="28"/>
      <c r="I176" s="28"/>
      <c r="J176" s="94">
        <v>0</v>
      </c>
      <c r="K176" s="28"/>
      <c r="L176" s="88"/>
      <c r="M176" s="95"/>
      <c r="N176" s="6"/>
    </row>
    <row r="177" spans="1:14" ht="15.75">
      <c r="A177" s="93"/>
      <c r="B177" s="141" t="s">
        <v>129</v>
      </c>
      <c r="C177" s="60"/>
      <c r="D177" s="60"/>
      <c r="E177" s="60"/>
      <c r="F177" s="28"/>
      <c r="G177" s="28"/>
      <c r="H177" s="28"/>
      <c r="I177" s="28"/>
      <c r="J177" s="94">
        <v>77991</v>
      </c>
      <c r="K177" s="28"/>
      <c r="L177" s="88"/>
      <c r="M177" s="95"/>
      <c r="N177" s="6"/>
    </row>
    <row r="178" spans="1:14" ht="15.75">
      <c r="A178" s="96"/>
      <c r="B178" s="141" t="s">
        <v>130</v>
      </c>
      <c r="C178" s="60"/>
      <c r="D178" s="83"/>
      <c r="E178" s="83"/>
      <c r="F178" s="83"/>
      <c r="G178" s="28"/>
      <c r="H178" s="28"/>
      <c r="I178" s="28"/>
      <c r="J178" s="94">
        <v>0</v>
      </c>
      <c r="K178" s="28"/>
      <c r="L178" s="88"/>
      <c r="M178" s="97"/>
      <c r="N178" s="6"/>
    </row>
    <row r="179" spans="1:14" ht="15.75">
      <c r="A179" s="93"/>
      <c r="B179" s="83" t="s">
        <v>131</v>
      </c>
      <c r="C179" s="60"/>
      <c r="D179" s="60"/>
      <c r="E179" s="60"/>
      <c r="F179" s="60"/>
      <c r="G179" s="28"/>
      <c r="H179" s="28"/>
      <c r="I179" s="28"/>
      <c r="J179" s="94">
        <v>0</v>
      </c>
      <c r="K179" s="28"/>
      <c r="L179" s="88"/>
      <c r="M179" s="97"/>
      <c r="N179" s="6"/>
    </row>
    <row r="180" spans="1:14" ht="15.75">
      <c r="A180" s="93"/>
      <c r="B180" s="83" t="s">
        <v>132</v>
      </c>
      <c r="C180" s="60"/>
      <c r="D180" s="60"/>
      <c r="E180" s="60"/>
      <c r="F180" s="60"/>
      <c r="G180" s="28"/>
      <c r="H180" s="28"/>
      <c r="I180" s="28"/>
      <c r="J180" s="94">
        <v>0</v>
      </c>
      <c r="K180" s="28"/>
      <c r="L180" s="88"/>
      <c r="M180" s="97"/>
      <c r="N180" s="6"/>
    </row>
    <row r="181" spans="1:14" ht="15.75">
      <c r="A181" s="93"/>
      <c r="B181" s="83" t="s">
        <v>133</v>
      </c>
      <c r="C181" s="60"/>
      <c r="D181" s="60"/>
      <c r="E181" s="60"/>
      <c r="F181" s="60"/>
      <c r="G181" s="28"/>
      <c r="H181" s="28"/>
      <c r="I181" s="28"/>
      <c r="J181" s="94">
        <v>0</v>
      </c>
      <c r="K181" s="28"/>
      <c r="L181" s="88"/>
      <c r="M181" s="97"/>
      <c r="N181" s="6"/>
    </row>
    <row r="182" spans="1:14" ht="15.75">
      <c r="A182" s="96"/>
      <c r="B182" s="141" t="s">
        <v>134</v>
      </c>
      <c r="C182" s="60"/>
      <c r="D182" s="83"/>
      <c r="E182" s="83"/>
      <c r="F182" s="83"/>
      <c r="G182" s="28"/>
      <c r="H182" s="28"/>
      <c r="I182" s="28"/>
      <c r="J182" s="94"/>
      <c r="K182" s="28"/>
      <c r="L182" s="88"/>
      <c r="M182" s="97"/>
      <c r="N182" s="6"/>
    </row>
    <row r="183" spans="1:14" ht="15.75">
      <c r="A183" s="96"/>
      <c r="B183" s="83" t="s">
        <v>135</v>
      </c>
      <c r="C183" s="60"/>
      <c r="D183" s="83"/>
      <c r="E183" s="83"/>
      <c r="F183" s="83"/>
      <c r="G183" s="28"/>
      <c r="H183" s="28"/>
      <c r="I183" s="28"/>
      <c r="J183" s="94">
        <v>0</v>
      </c>
      <c r="K183" s="28"/>
      <c r="L183" s="88"/>
      <c r="M183" s="97"/>
      <c r="N183" s="6"/>
    </row>
    <row r="184" spans="1:14" ht="15.75">
      <c r="A184" s="93"/>
      <c r="B184" s="83" t="s">
        <v>136</v>
      </c>
      <c r="C184" s="60"/>
      <c r="D184" s="98"/>
      <c r="E184" s="98"/>
      <c r="F184" s="99"/>
      <c r="G184" s="28"/>
      <c r="H184" s="28"/>
      <c r="I184" s="28"/>
      <c r="J184" s="94">
        <v>0</v>
      </c>
      <c r="K184" s="28"/>
      <c r="L184" s="88"/>
      <c r="M184" s="97"/>
      <c r="N184" s="6"/>
    </row>
    <row r="185" spans="1:14" ht="15.75">
      <c r="A185" s="93"/>
      <c r="B185" s="83" t="s">
        <v>137</v>
      </c>
      <c r="C185" s="60"/>
      <c r="D185" s="98"/>
      <c r="E185" s="98"/>
      <c r="F185" s="99"/>
      <c r="G185" s="28"/>
      <c r="H185" s="28"/>
      <c r="I185" s="28"/>
      <c r="J185" s="94">
        <v>0</v>
      </c>
      <c r="K185" s="28"/>
      <c r="L185" s="88"/>
      <c r="M185" s="97"/>
      <c r="N185" s="6"/>
    </row>
    <row r="186" spans="1:14" ht="15.75">
      <c r="A186" s="93"/>
      <c r="B186" s="83" t="s">
        <v>138</v>
      </c>
      <c r="C186" s="60"/>
      <c r="D186" s="100"/>
      <c r="E186" s="98"/>
      <c r="F186" s="99"/>
      <c r="G186" s="28"/>
      <c r="H186" s="28"/>
      <c r="I186" s="28"/>
      <c r="J186" s="101">
        <v>0</v>
      </c>
      <c r="K186" s="28"/>
      <c r="L186" s="88"/>
      <c r="M186" s="97"/>
      <c r="N186" s="6"/>
    </row>
    <row r="187" spans="1:14" ht="15.75">
      <c r="A187" s="93"/>
      <c r="B187" s="83"/>
      <c r="C187" s="60"/>
      <c r="D187" s="100"/>
      <c r="E187" s="98"/>
      <c r="F187" s="99"/>
      <c r="G187" s="28"/>
      <c r="H187" s="28"/>
      <c r="I187" s="28"/>
      <c r="J187" s="101"/>
      <c r="K187" s="28"/>
      <c r="L187" s="88"/>
      <c r="M187" s="97"/>
      <c r="N187" s="6"/>
    </row>
    <row r="188" spans="1:14" ht="15.75">
      <c r="A188" s="7"/>
      <c r="B188" s="16" t="s">
        <v>139</v>
      </c>
      <c r="C188" s="19"/>
      <c r="D188" s="92"/>
      <c r="E188" s="19"/>
      <c r="F188" s="92"/>
      <c r="G188" s="19"/>
      <c r="H188" s="92" t="s">
        <v>175</v>
      </c>
      <c r="I188" s="19" t="s">
        <v>176</v>
      </c>
      <c r="J188" s="92" t="s">
        <v>186</v>
      </c>
      <c r="K188" s="19" t="s">
        <v>176</v>
      </c>
      <c r="L188" s="17"/>
      <c r="M188" s="102"/>
      <c r="N188" s="6"/>
    </row>
    <row r="189" spans="1:14" ht="15.75">
      <c r="A189" s="27"/>
      <c r="B189" s="60" t="s">
        <v>140</v>
      </c>
      <c r="C189" s="103"/>
      <c r="D189" s="60"/>
      <c r="E189" s="103"/>
      <c r="F189" s="28"/>
      <c r="G189" s="103"/>
      <c r="H189" s="60">
        <v>6786</v>
      </c>
      <c r="I189" s="105">
        <f>H189/H194</f>
        <v>0.9938488576449912</v>
      </c>
      <c r="J189" s="59">
        <v>461024</v>
      </c>
      <c r="K189" s="143">
        <f>J189/J194</f>
        <v>0.9963885496925621</v>
      </c>
      <c r="L189" s="88"/>
      <c r="M189" s="97"/>
      <c r="N189" s="6"/>
    </row>
    <row r="190" spans="1:14" ht="15.75">
      <c r="A190" s="27"/>
      <c r="B190" s="60" t="s">
        <v>141</v>
      </c>
      <c r="C190" s="103"/>
      <c r="D190" s="60"/>
      <c r="E190" s="103"/>
      <c r="F190" s="28"/>
      <c r="G190" s="105"/>
      <c r="H190" s="60">
        <v>17</v>
      </c>
      <c r="I190" s="105">
        <f>H190/H194</f>
        <v>0.002489748096074985</v>
      </c>
      <c r="J190" s="59">
        <v>952</v>
      </c>
      <c r="K190" s="143">
        <f>J190/J194</f>
        <v>0.00205751088730157</v>
      </c>
      <c r="L190" s="88"/>
      <c r="M190" s="97"/>
      <c r="N190" s="6"/>
    </row>
    <row r="191" spans="1:14" ht="15.75">
      <c r="A191" s="27"/>
      <c r="B191" s="60" t="s">
        <v>142</v>
      </c>
      <c r="C191" s="103"/>
      <c r="D191" s="60"/>
      <c r="E191" s="103"/>
      <c r="F191" s="28"/>
      <c r="G191" s="105"/>
      <c r="H191" s="60">
        <v>13</v>
      </c>
      <c r="I191" s="105">
        <f>H191/H194</f>
        <v>0.001903925014645577</v>
      </c>
      <c r="J191" s="59">
        <v>377</v>
      </c>
      <c r="K191" s="143">
        <f>J191/J194</f>
        <v>0.000814791601378878</v>
      </c>
      <c r="L191" s="88"/>
      <c r="M191" s="97"/>
      <c r="N191" s="6"/>
    </row>
    <row r="192" spans="1:14" ht="15.75">
      <c r="A192" s="27"/>
      <c r="B192" s="60" t="s">
        <v>143</v>
      </c>
      <c r="C192" s="103"/>
      <c r="D192" s="60"/>
      <c r="E192" s="103"/>
      <c r="F192" s="28"/>
      <c r="G192" s="105"/>
      <c r="H192" s="60">
        <f>3+2+7</f>
        <v>12</v>
      </c>
      <c r="I192" s="105">
        <f>H192/H194</f>
        <v>0.0017574692442882249</v>
      </c>
      <c r="J192" s="59">
        <f>77+34+231</f>
        <v>342</v>
      </c>
      <c r="K192" s="143">
        <f>J192/$J194</f>
        <v>0.0007391478187574968</v>
      </c>
      <c r="L192" s="88"/>
      <c r="M192" s="97"/>
      <c r="N192" s="6"/>
    </row>
    <row r="193" spans="1:14" ht="15.75">
      <c r="A193" s="27"/>
      <c r="B193" s="60"/>
      <c r="C193" s="106"/>
      <c r="D193" s="95"/>
      <c r="E193" s="106"/>
      <c r="F193" s="28"/>
      <c r="G193" s="106"/>
      <c r="H193" s="95"/>
      <c r="I193" s="106"/>
      <c r="J193" s="59"/>
      <c r="K193" s="104"/>
      <c r="L193" s="88"/>
      <c r="M193" s="97"/>
      <c r="N193" s="6"/>
    </row>
    <row r="194" spans="1:14" ht="15.75">
      <c r="A194" s="27"/>
      <c r="B194" s="28"/>
      <c r="C194" s="28"/>
      <c r="D194" s="28"/>
      <c r="E194" s="28"/>
      <c r="F194" s="28"/>
      <c r="G194" s="28"/>
      <c r="H194" s="38">
        <f>SUM(H189:H192)</f>
        <v>6828</v>
      </c>
      <c r="I194" s="107">
        <f>SUM(I189:I193)</f>
        <v>0.9999999999999999</v>
      </c>
      <c r="J194" s="59">
        <f>SUM(J189:J193)</f>
        <v>462695</v>
      </c>
      <c r="K194" s="107">
        <f>SUM(K189:K193)</f>
        <v>1</v>
      </c>
      <c r="L194" s="28"/>
      <c r="M194" s="28"/>
      <c r="N194" s="6"/>
    </row>
    <row r="195" spans="1:14" ht="15.75">
      <c r="A195" s="27"/>
      <c r="B195" s="28"/>
      <c r="C195" s="28"/>
      <c r="D195" s="28"/>
      <c r="E195" s="28"/>
      <c r="F195" s="28"/>
      <c r="G195" s="28"/>
      <c r="H195" s="38"/>
      <c r="I195" s="107"/>
      <c r="J195" s="59"/>
      <c r="K195" s="107"/>
      <c r="L195" s="28"/>
      <c r="M195" s="28"/>
      <c r="N195" s="6"/>
    </row>
    <row r="196" spans="1:14" ht="15.75">
      <c r="A196" s="7"/>
      <c r="B196" s="9"/>
      <c r="C196" s="9"/>
      <c r="D196" s="9"/>
      <c r="E196" s="9"/>
      <c r="F196" s="9"/>
      <c r="G196" s="9"/>
      <c r="H196" s="61"/>
      <c r="I196" s="108"/>
      <c r="J196" s="109"/>
      <c r="K196" s="108"/>
      <c r="L196" s="9"/>
      <c r="M196" s="9"/>
      <c r="N196" s="6"/>
    </row>
    <row r="197" spans="1:14" ht="15.75">
      <c r="A197" s="110"/>
      <c r="B197" s="16" t="s">
        <v>144</v>
      </c>
      <c r="C197" s="111"/>
      <c r="D197" s="19" t="s">
        <v>152</v>
      </c>
      <c r="E197" s="17"/>
      <c r="F197" s="16" t="s">
        <v>164</v>
      </c>
      <c r="G197" s="112"/>
      <c r="H197" s="112"/>
      <c r="I197" s="112"/>
      <c r="J197" s="14"/>
      <c r="K197" s="14"/>
      <c r="L197" s="14"/>
      <c r="M197" s="14"/>
      <c r="N197" s="6"/>
    </row>
    <row r="198" spans="1:14" ht="15.75">
      <c r="A198" s="113"/>
      <c r="B198" s="14"/>
      <c r="C198" s="14"/>
      <c r="D198" s="9"/>
      <c r="E198" s="9"/>
      <c r="F198" s="9"/>
      <c r="G198" s="14"/>
      <c r="H198" s="14"/>
      <c r="I198" s="14"/>
      <c r="J198" s="14"/>
      <c r="K198" s="14"/>
      <c r="L198" s="14"/>
      <c r="M198" s="14"/>
      <c r="N198" s="6"/>
    </row>
    <row r="199" spans="1:14" ht="15.75">
      <c r="A199" s="113"/>
      <c r="B199" s="15" t="s">
        <v>145</v>
      </c>
      <c r="C199" s="114"/>
      <c r="D199" s="115" t="s">
        <v>153</v>
      </c>
      <c r="E199" s="15"/>
      <c r="F199" s="15" t="s">
        <v>165</v>
      </c>
      <c r="G199" s="114"/>
      <c r="H199" s="114"/>
      <c r="I199" s="14"/>
      <c r="J199" s="14"/>
      <c r="K199" s="14"/>
      <c r="L199" s="14"/>
      <c r="M199" s="14"/>
      <c r="N199" s="6"/>
    </row>
    <row r="200" spans="1:14" ht="15.75">
      <c r="A200" s="113"/>
      <c r="B200" s="15" t="s">
        <v>146</v>
      </c>
      <c r="C200" s="114"/>
      <c r="D200" s="115" t="s">
        <v>154</v>
      </c>
      <c r="E200" s="15"/>
      <c r="F200" s="15" t="s">
        <v>166</v>
      </c>
      <c r="G200" s="114"/>
      <c r="H200" s="114"/>
      <c r="I200" s="14"/>
      <c r="J200" s="14"/>
      <c r="K200" s="14"/>
      <c r="L200" s="14"/>
      <c r="M200" s="14"/>
      <c r="N200" s="6"/>
    </row>
    <row r="201" spans="1:14" ht="15.75">
      <c r="A201" s="113"/>
      <c r="B201" s="15"/>
      <c r="C201" s="114"/>
      <c r="D201" s="115"/>
      <c r="E201" s="15"/>
      <c r="F201" s="15"/>
      <c r="G201" s="114"/>
      <c r="H201" s="114"/>
      <c r="I201" s="14"/>
      <c r="J201" s="14"/>
      <c r="K201" s="14"/>
      <c r="L201" s="14"/>
      <c r="M201" s="14"/>
      <c r="N201" s="6"/>
    </row>
    <row r="202" spans="1:14" ht="15.75">
      <c r="A202" s="113"/>
      <c r="B202" s="15"/>
      <c r="C202" s="114"/>
      <c r="D202" s="115"/>
      <c r="E202" s="15"/>
      <c r="F202" s="15"/>
      <c r="G202" s="114"/>
      <c r="H202" s="114"/>
      <c r="I202" s="14"/>
      <c r="J202" s="14"/>
      <c r="K202" s="14"/>
      <c r="L202" s="14"/>
      <c r="M202" s="14"/>
      <c r="N202" s="6"/>
    </row>
    <row r="203" spans="1:14" ht="18.75">
      <c r="A203" s="113"/>
      <c r="B203" s="55" t="str">
        <f>B156</f>
        <v>PM4 INVESTOR REPORT QUARTER ENDING DECEMBER 2002</v>
      </c>
      <c r="C203" s="114"/>
      <c r="D203" s="115"/>
      <c r="E203" s="15"/>
      <c r="F203" s="15"/>
      <c r="G203" s="114"/>
      <c r="H203" s="114"/>
      <c r="I203" s="14"/>
      <c r="J203" s="14"/>
      <c r="K203" s="14"/>
      <c r="L203" s="14"/>
      <c r="M203" s="14"/>
      <c r="N203" s="6"/>
    </row>
    <row r="204" spans="1:13" ht="15">
      <c r="A204" s="116"/>
      <c r="B204" s="116"/>
      <c r="C204" s="116"/>
      <c r="D204" s="116"/>
      <c r="E204" s="116"/>
      <c r="F204" s="116"/>
      <c r="G204" s="116"/>
      <c r="H204" s="116"/>
      <c r="I204" s="116"/>
      <c r="J204" s="116"/>
      <c r="K204" s="116"/>
      <c r="L204" s="116"/>
      <c r="M204" s="116"/>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3" max="13" man="1"/>
    <brk id="106" max="13" man="1"/>
    <brk id="156" max="13" man="1"/>
  </rowBreaks>
  <drawing r:id="rId1"/>
</worksheet>
</file>

<file path=xl/worksheets/sheet4.xml><?xml version="1.0" encoding="utf-8"?>
<worksheet xmlns="http://schemas.openxmlformats.org/spreadsheetml/2006/main" xmlns:r="http://schemas.openxmlformats.org/officeDocument/2006/relationships">
  <dimension ref="A1:N20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3.2148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4"/>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189</v>
      </c>
      <c r="M14" s="17"/>
      <c r="N14" s="6"/>
    </row>
    <row r="15" spans="1:14" ht="15.75">
      <c r="A15" s="7"/>
      <c r="B15" s="16" t="s">
        <v>8</v>
      </c>
      <c r="C15" s="16"/>
      <c r="D15" s="17"/>
      <c r="E15" s="17"/>
      <c r="F15" s="17"/>
      <c r="G15" s="17"/>
      <c r="H15" s="19"/>
      <c r="I15" s="20"/>
      <c r="J15" s="19" t="s">
        <v>177</v>
      </c>
      <c r="K15" s="20">
        <v>1</v>
      </c>
      <c r="L15" s="18"/>
      <c r="M15" s="17"/>
      <c r="N15" s="6"/>
    </row>
    <row r="16" spans="1:14" ht="15.75">
      <c r="A16" s="7"/>
      <c r="B16" s="16" t="s">
        <v>9</v>
      </c>
      <c r="C16" s="16"/>
      <c r="D16" s="17"/>
      <c r="E16" s="17"/>
      <c r="F16" s="17"/>
      <c r="G16" s="17"/>
      <c r="H16" s="19"/>
      <c r="I16" s="20"/>
      <c r="J16" s="19" t="s">
        <v>177</v>
      </c>
      <c r="K16" s="20">
        <v>1</v>
      </c>
      <c r="L16" s="18"/>
      <c r="M16" s="17"/>
      <c r="N16" s="6"/>
    </row>
    <row r="17" spans="1:14" ht="15.75">
      <c r="A17" s="7"/>
      <c r="B17" s="16" t="s">
        <v>10</v>
      </c>
      <c r="C17" s="16"/>
      <c r="D17" s="17"/>
      <c r="E17" s="17"/>
      <c r="F17" s="17"/>
      <c r="G17" s="17"/>
      <c r="H17" s="17"/>
      <c r="I17" s="17"/>
      <c r="J17" s="17"/>
      <c r="K17" s="17"/>
      <c r="L17" s="21">
        <v>37342</v>
      </c>
      <c r="M17" s="17"/>
      <c r="N17" s="6"/>
    </row>
    <row r="18" spans="1:14" ht="15.75">
      <c r="A18" s="7"/>
      <c r="B18" s="16" t="s">
        <v>11</v>
      </c>
      <c r="C18" s="16"/>
      <c r="D18" s="17"/>
      <c r="E18" s="17"/>
      <c r="F18" s="17"/>
      <c r="G18" s="17"/>
      <c r="H18" s="17"/>
      <c r="I18" s="17"/>
      <c r="J18" s="17"/>
      <c r="K18" s="17"/>
      <c r="L18" s="21">
        <v>37733</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178</v>
      </c>
      <c r="K20" s="9"/>
      <c r="L20" s="14"/>
      <c r="M20" s="9"/>
      <c r="N20" s="6"/>
    </row>
    <row r="21" spans="1:14" ht="15.75">
      <c r="A21" s="7"/>
      <c r="B21" s="9"/>
      <c r="C21" s="9"/>
      <c r="D21" s="9"/>
      <c r="E21" s="9"/>
      <c r="F21" s="9"/>
      <c r="G21" s="9"/>
      <c r="H21" s="9"/>
      <c r="I21" s="9"/>
      <c r="J21" s="9"/>
      <c r="K21" s="9"/>
      <c r="L21" s="24"/>
      <c r="M21" s="9"/>
      <c r="N21" s="6"/>
    </row>
    <row r="22" spans="1:14" ht="15.75">
      <c r="A22" s="7"/>
      <c r="B22" s="9"/>
      <c r="C22" s="132" t="s">
        <v>147</v>
      </c>
      <c r="D22" s="25"/>
      <c r="E22" s="25"/>
      <c r="F22" s="133" t="s">
        <v>155</v>
      </c>
      <c r="G22" s="133"/>
      <c r="H22" s="133" t="s">
        <v>167</v>
      </c>
      <c r="I22" s="26"/>
      <c r="J22" s="25"/>
      <c r="K22" s="14"/>
      <c r="L22" s="14"/>
      <c r="M22" s="9"/>
      <c r="N22" s="6"/>
    </row>
    <row r="23" spans="1:14" ht="15.75">
      <c r="A23" s="7"/>
      <c r="B23" s="9" t="s">
        <v>13</v>
      </c>
      <c r="C23" s="132" t="s">
        <v>148</v>
      </c>
      <c r="D23" s="25"/>
      <c r="E23" s="25"/>
      <c r="F23" s="25" t="s">
        <v>156</v>
      </c>
      <c r="G23" s="25"/>
      <c r="H23" s="25" t="s">
        <v>168</v>
      </c>
      <c r="I23" s="25"/>
      <c r="J23" s="25"/>
      <c r="K23" s="14"/>
      <c r="L23" s="14"/>
      <c r="M23" s="9"/>
      <c r="N23" s="6"/>
    </row>
    <row r="24" spans="1:14" ht="15.75">
      <c r="A24" s="27"/>
      <c r="B24" s="28" t="s">
        <v>14</v>
      </c>
      <c r="C24" s="29"/>
      <c r="D24" s="30"/>
      <c r="E24" s="30"/>
      <c r="F24" s="30" t="s">
        <v>157</v>
      </c>
      <c r="G24" s="30"/>
      <c r="H24" s="30" t="s">
        <v>169</v>
      </c>
      <c r="I24" s="30"/>
      <c r="J24" s="30"/>
      <c r="K24" s="31"/>
      <c r="L24" s="31"/>
      <c r="M24" s="28"/>
      <c r="N24" s="6"/>
    </row>
    <row r="25" spans="1:14" ht="15.75">
      <c r="A25" s="27"/>
      <c r="B25" s="28" t="s">
        <v>15</v>
      </c>
      <c r="C25" s="29"/>
      <c r="D25" s="30"/>
      <c r="E25" s="30"/>
      <c r="F25" s="30" t="s">
        <v>157</v>
      </c>
      <c r="G25" s="30"/>
      <c r="H25" s="30" t="s">
        <v>169</v>
      </c>
      <c r="I25" s="30"/>
      <c r="J25" s="30"/>
      <c r="K25" s="31"/>
      <c r="L25" s="31"/>
      <c r="M25" s="28"/>
      <c r="N25" s="6"/>
    </row>
    <row r="26" spans="1:14" ht="15.75">
      <c r="A26" s="32"/>
      <c r="B26" s="33" t="s">
        <v>16</v>
      </c>
      <c r="C26" s="33"/>
      <c r="D26" s="34"/>
      <c r="E26" s="34"/>
      <c r="F26" s="34" t="s">
        <v>156</v>
      </c>
      <c r="G26" s="34"/>
      <c r="H26" s="34" t="s">
        <v>168</v>
      </c>
      <c r="I26" s="34"/>
      <c r="J26" s="30"/>
      <c r="K26" s="31"/>
      <c r="L26" s="31"/>
      <c r="M26" s="28"/>
      <c r="N26" s="6"/>
    </row>
    <row r="27" spans="1:14" ht="15.75">
      <c r="A27" s="32"/>
      <c r="B27" s="33" t="s">
        <v>17</v>
      </c>
      <c r="C27" s="33"/>
      <c r="D27" s="34"/>
      <c r="E27" s="34"/>
      <c r="F27" s="34" t="s">
        <v>157</v>
      </c>
      <c r="G27" s="34"/>
      <c r="H27" s="34" t="s">
        <v>169</v>
      </c>
      <c r="I27" s="34"/>
      <c r="J27" s="30"/>
      <c r="K27" s="31"/>
      <c r="L27" s="31"/>
      <c r="M27" s="28"/>
      <c r="N27" s="6"/>
    </row>
    <row r="28" spans="1:14" ht="15.75">
      <c r="A28" s="32"/>
      <c r="B28" s="33" t="s">
        <v>18</v>
      </c>
      <c r="C28" s="33"/>
      <c r="D28" s="34"/>
      <c r="E28" s="34"/>
      <c r="F28" s="34" t="s">
        <v>157</v>
      </c>
      <c r="G28" s="34"/>
      <c r="H28" s="34" t="s">
        <v>169</v>
      </c>
      <c r="I28" s="34"/>
      <c r="J28" s="30"/>
      <c r="K28" s="31"/>
      <c r="L28" s="31"/>
      <c r="M28" s="28"/>
      <c r="N28" s="6"/>
    </row>
    <row r="29" spans="1:14" ht="15.75">
      <c r="A29" s="27"/>
      <c r="B29" s="28" t="s">
        <v>19</v>
      </c>
      <c r="C29" s="28"/>
      <c r="D29" s="29"/>
      <c r="E29" s="30"/>
      <c r="F29" s="29" t="s">
        <v>158</v>
      </c>
      <c r="G29" s="30"/>
      <c r="H29" s="29" t="s">
        <v>170</v>
      </c>
      <c r="I29" s="30"/>
      <c r="J29" s="29"/>
      <c r="K29" s="31"/>
      <c r="L29" s="31"/>
      <c r="M29" s="28"/>
      <c r="N29" s="6"/>
    </row>
    <row r="30" spans="1:14" ht="15.75">
      <c r="A30" s="27"/>
      <c r="B30" s="28"/>
      <c r="C30" s="28"/>
      <c r="D30" s="28"/>
      <c r="E30" s="30"/>
      <c r="F30" s="30"/>
      <c r="G30" s="30"/>
      <c r="H30" s="30"/>
      <c r="I30" s="30"/>
      <c r="J30" s="30"/>
      <c r="K30" s="31"/>
      <c r="L30" s="31"/>
      <c r="M30" s="28"/>
      <c r="N30" s="6"/>
    </row>
    <row r="31" spans="1:14" ht="15.75">
      <c r="A31" s="27"/>
      <c r="B31" s="28" t="s">
        <v>20</v>
      </c>
      <c r="C31" s="28"/>
      <c r="D31" s="35"/>
      <c r="E31" s="36"/>
      <c r="F31" s="35">
        <v>457500</v>
      </c>
      <c r="G31" s="35"/>
      <c r="H31" s="35">
        <v>42500</v>
      </c>
      <c r="I31" s="35"/>
      <c r="J31" s="35"/>
      <c r="K31" s="37"/>
      <c r="L31" s="35">
        <f>H31+F31</f>
        <v>500000</v>
      </c>
      <c r="M31" s="38"/>
      <c r="N31" s="6"/>
    </row>
    <row r="32" spans="1:14" ht="15.75">
      <c r="A32" s="27"/>
      <c r="B32" s="28" t="s">
        <v>21</v>
      </c>
      <c r="C32" s="39">
        <v>0.91846</v>
      </c>
      <c r="D32" s="35"/>
      <c r="E32" s="36"/>
      <c r="F32" s="35">
        <f>F31*C32</f>
        <v>420195.45</v>
      </c>
      <c r="G32" s="35"/>
      <c r="H32" s="35">
        <v>42500</v>
      </c>
      <c r="I32" s="35"/>
      <c r="J32" s="35"/>
      <c r="K32" s="37"/>
      <c r="L32" s="35">
        <f>H32+F32</f>
        <v>462695.45</v>
      </c>
      <c r="M32" s="38"/>
      <c r="N32" s="6"/>
    </row>
    <row r="33" spans="1:14" ht="12.75" customHeight="1">
      <c r="A33" s="32"/>
      <c r="B33" s="33" t="s">
        <v>22</v>
      </c>
      <c r="C33" s="40">
        <v>0.899805</v>
      </c>
      <c r="D33" s="41"/>
      <c r="E33" s="42"/>
      <c r="F33" s="41">
        <f>F31*C33</f>
        <v>411660.7875</v>
      </c>
      <c r="G33" s="41"/>
      <c r="H33" s="41">
        <f>H31</f>
        <v>42500</v>
      </c>
      <c r="I33" s="41"/>
      <c r="J33" s="41"/>
      <c r="K33" s="43"/>
      <c r="L33" s="41">
        <f>H33+F33+D33</f>
        <v>454160.7875</v>
      </c>
      <c r="M33" s="38"/>
      <c r="N33" s="6"/>
    </row>
    <row r="34" spans="1:14" ht="15.75">
      <c r="A34" s="27"/>
      <c r="B34" s="28" t="s">
        <v>23</v>
      </c>
      <c r="C34" s="44"/>
      <c r="D34" s="29"/>
      <c r="E34" s="28"/>
      <c r="F34" s="29" t="s">
        <v>159</v>
      </c>
      <c r="G34" s="29"/>
      <c r="H34" s="29" t="s">
        <v>171</v>
      </c>
      <c r="I34" s="29"/>
      <c r="J34" s="29"/>
      <c r="K34" s="31"/>
      <c r="L34" s="31"/>
      <c r="M34" s="28"/>
      <c r="N34" s="6"/>
    </row>
    <row r="35" spans="1:14" ht="15.75">
      <c r="A35" s="27"/>
      <c r="B35" s="28" t="s">
        <v>24</v>
      </c>
      <c r="C35" s="28"/>
      <c r="D35" s="45"/>
      <c r="E35" s="28"/>
      <c r="F35" s="45">
        <v>0.042625</v>
      </c>
      <c r="G35" s="46"/>
      <c r="H35" s="45">
        <v>0.048525</v>
      </c>
      <c r="I35" s="46"/>
      <c r="J35" s="45"/>
      <c r="K35" s="31"/>
      <c r="L35" s="46">
        <f>SUMPRODUCT(F35:H35,F32:H32)/L32</f>
        <v>0.04316693314414482</v>
      </c>
      <c r="M35" s="28"/>
      <c r="N35" s="6"/>
    </row>
    <row r="36" spans="1:14" ht="15.75">
      <c r="A36" s="27"/>
      <c r="B36" s="28" t="s">
        <v>25</v>
      </c>
      <c r="C36" s="28"/>
      <c r="D36" s="45"/>
      <c r="E36" s="28"/>
      <c r="F36" s="45">
        <v>0.0419</v>
      </c>
      <c r="G36" s="46"/>
      <c r="H36" s="45">
        <v>0.0478</v>
      </c>
      <c r="I36" s="46"/>
      <c r="J36" s="45"/>
      <c r="K36" s="31"/>
      <c r="L36" s="31"/>
      <c r="M36" s="28"/>
      <c r="N36" s="6"/>
    </row>
    <row r="37" spans="1:14" ht="15.75">
      <c r="A37" s="27"/>
      <c r="B37" s="28" t="s">
        <v>26</v>
      </c>
      <c r="C37" s="28"/>
      <c r="D37" s="29"/>
      <c r="E37" s="28"/>
      <c r="F37" s="29" t="s">
        <v>160</v>
      </c>
      <c r="G37" s="29"/>
      <c r="H37" s="29" t="s">
        <v>160</v>
      </c>
      <c r="I37" s="29"/>
      <c r="J37" s="29"/>
      <c r="K37" s="31"/>
      <c r="L37" s="31"/>
      <c r="M37" s="28"/>
      <c r="N37" s="6"/>
    </row>
    <row r="38" spans="1:14" ht="15.75">
      <c r="A38" s="27"/>
      <c r="B38" s="28" t="s">
        <v>27</v>
      </c>
      <c r="C38" s="28"/>
      <c r="D38" s="29"/>
      <c r="E38" s="28"/>
      <c r="F38" s="29" t="s">
        <v>161</v>
      </c>
      <c r="G38" s="29"/>
      <c r="H38" s="29" t="s">
        <v>161</v>
      </c>
      <c r="I38" s="29"/>
      <c r="J38" s="29"/>
      <c r="K38" s="31"/>
      <c r="L38" s="31"/>
      <c r="M38" s="28"/>
      <c r="N38" s="6"/>
    </row>
    <row r="39" spans="1:14" ht="15.75">
      <c r="A39" s="27"/>
      <c r="B39" s="28" t="s">
        <v>28</v>
      </c>
      <c r="C39" s="28"/>
      <c r="D39" s="29"/>
      <c r="E39" s="28"/>
      <c r="F39" s="29" t="s">
        <v>162</v>
      </c>
      <c r="G39" s="29"/>
      <c r="H39" s="29" t="s">
        <v>172</v>
      </c>
      <c r="I39" s="29"/>
      <c r="J39" s="29"/>
      <c r="K39" s="31"/>
      <c r="L39" s="31"/>
      <c r="M39" s="28"/>
      <c r="N39" s="6"/>
    </row>
    <row r="40" spans="1:14" ht="15.75">
      <c r="A40" s="27"/>
      <c r="B40" s="28"/>
      <c r="C40" s="28"/>
      <c r="D40" s="47"/>
      <c r="E40" s="47"/>
      <c r="F40" s="28"/>
      <c r="G40" s="47"/>
      <c r="H40" s="47"/>
      <c r="I40" s="47"/>
      <c r="J40" s="47"/>
      <c r="K40" s="47"/>
      <c r="L40" s="47"/>
      <c r="M40" s="28"/>
      <c r="N40" s="6"/>
    </row>
    <row r="41" spans="1:14" ht="15.75">
      <c r="A41" s="27"/>
      <c r="B41" s="28" t="s">
        <v>29</v>
      </c>
      <c r="C41" s="28"/>
      <c r="D41" s="28"/>
      <c r="E41" s="28"/>
      <c r="F41" s="28"/>
      <c r="G41" s="28"/>
      <c r="H41" s="117"/>
      <c r="I41" s="28"/>
      <c r="J41" s="28"/>
      <c r="K41" s="28"/>
      <c r="L41" s="46">
        <f>H31/F31</f>
        <v>0.09289617486338798</v>
      </c>
      <c r="M41" s="28"/>
      <c r="N41" s="6"/>
    </row>
    <row r="42" spans="1:14" ht="15.75">
      <c r="A42" s="27"/>
      <c r="B42" s="28" t="s">
        <v>30</v>
      </c>
      <c r="C42" s="28"/>
      <c r="D42" s="28"/>
      <c r="E42" s="28"/>
      <c r="F42" s="28"/>
      <c r="G42" s="28"/>
      <c r="H42" s="117"/>
      <c r="I42" s="28"/>
      <c r="J42" s="28"/>
      <c r="K42" s="28"/>
      <c r="L42" s="46">
        <f>H33/F33</f>
        <v>0.10324034081094013</v>
      </c>
      <c r="M42" s="28"/>
      <c r="N42" s="6"/>
    </row>
    <row r="43" spans="1:14" ht="15.75">
      <c r="A43" s="27"/>
      <c r="B43" s="28" t="s">
        <v>31</v>
      </c>
      <c r="C43" s="28"/>
      <c r="D43" s="28"/>
      <c r="E43" s="28"/>
      <c r="F43" s="28"/>
      <c r="G43" s="28"/>
      <c r="H43" s="28"/>
      <c r="I43" s="28"/>
      <c r="J43" s="29" t="s">
        <v>155</v>
      </c>
      <c r="K43" s="29" t="s">
        <v>187</v>
      </c>
      <c r="L43" s="35">
        <v>207500</v>
      </c>
      <c r="M43" s="28"/>
      <c r="N43" s="6"/>
    </row>
    <row r="44" spans="1:14" ht="15.75">
      <c r="A44" s="27"/>
      <c r="B44" s="28"/>
      <c r="C44" s="28"/>
      <c r="D44" s="28"/>
      <c r="E44" s="28"/>
      <c r="F44" s="28"/>
      <c r="G44" s="28"/>
      <c r="H44" s="28"/>
      <c r="I44" s="28"/>
      <c r="J44" s="28" t="s">
        <v>179</v>
      </c>
      <c r="K44" s="28"/>
      <c r="L44" s="48"/>
      <c r="M44" s="28"/>
      <c r="N44" s="6"/>
    </row>
    <row r="45" spans="1:14" ht="15.75">
      <c r="A45" s="27"/>
      <c r="B45" s="28" t="s">
        <v>32</v>
      </c>
      <c r="C45" s="28"/>
      <c r="D45" s="28"/>
      <c r="E45" s="28"/>
      <c r="F45" s="28"/>
      <c r="G45" s="28"/>
      <c r="H45" s="28"/>
      <c r="I45" s="28"/>
      <c r="J45" s="29"/>
      <c r="K45" s="29"/>
      <c r="L45" s="29" t="s">
        <v>190</v>
      </c>
      <c r="M45" s="28"/>
      <c r="N45" s="6"/>
    </row>
    <row r="46" spans="1:14" ht="15.75">
      <c r="A46" s="32"/>
      <c r="B46" s="33" t="s">
        <v>33</v>
      </c>
      <c r="C46" s="33"/>
      <c r="D46" s="33"/>
      <c r="E46" s="33"/>
      <c r="F46" s="33"/>
      <c r="G46" s="33"/>
      <c r="H46" s="33"/>
      <c r="I46" s="33"/>
      <c r="J46" s="49"/>
      <c r="K46" s="49"/>
      <c r="L46" s="50">
        <v>37718</v>
      </c>
      <c r="M46" s="28"/>
      <c r="N46" s="6"/>
    </row>
    <row r="47" spans="1:14" ht="15.75">
      <c r="A47" s="27"/>
      <c r="B47" s="28" t="s">
        <v>34</v>
      </c>
      <c r="C47" s="28"/>
      <c r="D47" s="28"/>
      <c r="E47" s="28"/>
      <c r="F47" s="28"/>
      <c r="G47" s="28"/>
      <c r="H47" s="28"/>
      <c r="I47" s="28">
        <f>L47-J47+1</f>
        <v>92</v>
      </c>
      <c r="J47" s="51">
        <v>37536</v>
      </c>
      <c r="K47" s="52"/>
      <c r="L47" s="51">
        <v>37627</v>
      </c>
      <c r="M47" s="28"/>
      <c r="N47" s="6"/>
    </row>
    <row r="48" spans="1:14" ht="15.75">
      <c r="A48" s="27"/>
      <c r="B48" s="28" t="s">
        <v>35</v>
      </c>
      <c r="C48" s="28"/>
      <c r="D48" s="28"/>
      <c r="E48" s="28"/>
      <c r="F48" s="28"/>
      <c r="G48" s="28"/>
      <c r="H48" s="28"/>
      <c r="I48" s="28">
        <f>L48-J48+1</f>
        <v>90</v>
      </c>
      <c r="J48" s="51">
        <v>37628</v>
      </c>
      <c r="K48" s="52"/>
      <c r="L48" s="51">
        <v>37717</v>
      </c>
      <c r="M48" s="28"/>
      <c r="N48" s="6"/>
    </row>
    <row r="49" spans="1:14" ht="15.75">
      <c r="A49" s="27"/>
      <c r="B49" s="28" t="s">
        <v>36</v>
      </c>
      <c r="C49" s="28"/>
      <c r="D49" s="28"/>
      <c r="E49" s="28"/>
      <c r="F49" s="28"/>
      <c r="G49" s="28"/>
      <c r="H49" s="28"/>
      <c r="I49" s="28"/>
      <c r="J49" s="51"/>
      <c r="K49" s="52"/>
      <c r="L49" s="51" t="s">
        <v>191</v>
      </c>
      <c r="M49" s="28"/>
      <c r="N49" s="6"/>
    </row>
    <row r="50" spans="1:14" ht="15.75">
      <c r="A50" s="27"/>
      <c r="B50" s="28" t="s">
        <v>37</v>
      </c>
      <c r="C50" s="28"/>
      <c r="D50" s="28"/>
      <c r="E50" s="28"/>
      <c r="F50" s="28"/>
      <c r="G50" s="28"/>
      <c r="H50" s="28"/>
      <c r="I50" s="28"/>
      <c r="J50" s="51"/>
      <c r="K50" s="52"/>
      <c r="L50" s="51">
        <v>37715</v>
      </c>
      <c r="M50" s="28"/>
      <c r="N50" s="6"/>
    </row>
    <row r="51" spans="1:14" ht="15.75">
      <c r="A51" s="27"/>
      <c r="B51" s="28"/>
      <c r="C51" s="28"/>
      <c r="D51" s="28"/>
      <c r="E51" s="28"/>
      <c r="F51" s="28"/>
      <c r="G51" s="28"/>
      <c r="H51" s="28"/>
      <c r="I51" s="28"/>
      <c r="J51" s="51"/>
      <c r="K51" s="52"/>
      <c r="L51" s="51"/>
      <c r="M51" s="28"/>
      <c r="N51" s="6"/>
    </row>
    <row r="52" spans="1:14" ht="15.75">
      <c r="A52" s="7"/>
      <c r="B52" s="9"/>
      <c r="C52" s="9"/>
      <c r="D52" s="9"/>
      <c r="E52" s="9"/>
      <c r="F52" s="9"/>
      <c r="G52" s="9"/>
      <c r="H52" s="9"/>
      <c r="I52" s="9"/>
      <c r="J52" s="53"/>
      <c r="K52" s="54"/>
      <c r="L52" s="53"/>
      <c r="M52" s="9"/>
      <c r="N52" s="6"/>
    </row>
    <row r="53" spans="1:14" ht="19.5" thickBot="1">
      <c r="A53" s="118"/>
      <c r="B53" s="119" t="s">
        <v>199</v>
      </c>
      <c r="C53" s="120"/>
      <c r="D53" s="120"/>
      <c r="E53" s="120"/>
      <c r="F53" s="120"/>
      <c r="G53" s="120"/>
      <c r="H53" s="120"/>
      <c r="I53" s="120"/>
      <c r="J53" s="121"/>
      <c r="K53" s="122"/>
      <c r="L53" s="121"/>
      <c r="M53" s="123"/>
      <c r="N53" s="6"/>
    </row>
    <row r="54" spans="1:14" ht="15.75">
      <c r="A54" s="2"/>
      <c r="B54" s="5"/>
      <c r="C54" s="5"/>
      <c r="D54" s="5"/>
      <c r="E54" s="5"/>
      <c r="F54" s="5"/>
      <c r="G54" s="5"/>
      <c r="H54" s="5"/>
      <c r="I54" s="5"/>
      <c r="J54" s="5"/>
      <c r="K54" s="5"/>
      <c r="L54" s="56"/>
      <c r="M54" s="5"/>
      <c r="N54" s="6"/>
    </row>
    <row r="55" spans="1:14" ht="15.75">
      <c r="A55" s="7"/>
      <c r="B55" s="57" t="s">
        <v>39</v>
      </c>
      <c r="C55" s="15"/>
      <c r="D55" s="9"/>
      <c r="E55" s="9"/>
      <c r="F55" s="9"/>
      <c r="G55" s="9"/>
      <c r="H55" s="9"/>
      <c r="I55" s="9"/>
      <c r="J55" s="9"/>
      <c r="K55" s="9"/>
      <c r="L55" s="58"/>
      <c r="M55" s="9"/>
      <c r="N55" s="6"/>
    </row>
    <row r="56" spans="1:14" ht="15.75">
      <c r="A56" s="7"/>
      <c r="B56" s="15"/>
      <c r="C56" s="15"/>
      <c r="D56" s="9"/>
      <c r="E56" s="9"/>
      <c r="F56" s="9"/>
      <c r="G56" s="9"/>
      <c r="H56" s="9"/>
      <c r="I56" s="9"/>
      <c r="J56" s="9"/>
      <c r="K56" s="9"/>
      <c r="L56" s="58"/>
      <c r="M56" s="9"/>
      <c r="N56" s="6"/>
    </row>
    <row r="57" spans="1:14" ht="63">
      <c r="A57" s="7"/>
      <c r="B57" s="134" t="s">
        <v>40</v>
      </c>
      <c r="C57" s="135" t="s">
        <v>149</v>
      </c>
      <c r="D57" s="135" t="s">
        <v>151</v>
      </c>
      <c r="E57" s="135"/>
      <c r="F57" s="135" t="s">
        <v>163</v>
      </c>
      <c r="G57" s="135"/>
      <c r="H57" s="135" t="s">
        <v>173</v>
      </c>
      <c r="I57" s="135"/>
      <c r="J57" s="135" t="s">
        <v>180</v>
      </c>
      <c r="K57" s="135"/>
      <c r="L57" s="136" t="s">
        <v>192</v>
      </c>
      <c r="M57" s="9"/>
      <c r="N57" s="6"/>
    </row>
    <row r="58" spans="1:14" ht="15.75">
      <c r="A58" s="27"/>
      <c r="B58" s="28" t="s">
        <v>41</v>
      </c>
      <c r="C58" s="38">
        <v>421950</v>
      </c>
      <c r="D58" s="38">
        <v>462695</v>
      </c>
      <c r="E58" s="38"/>
      <c r="F58" s="38">
        <f>8534+127+6776</f>
        <v>15437</v>
      </c>
      <c r="G58" s="38"/>
      <c r="H58" s="38">
        <f>6776+127</f>
        <v>6903</v>
      </c>
      <c r="I58" s="38"/>
      <c r="J58" s="38">
        <v>0</v>
      </c>
      <c r="K58" s="38"/>
      <c r="L58" s="59">
        <f>D58-F58+H58-J58</f>
        <v>454161</v>
      </c>
      <c r="M58" s="28"/>
      <c r="N58" s="6"/>
    </row>
    <row r="59" spans="1:14" ht="15.75">
      <c r="A59" s="27"/>
      <c r="B59" s="28" t="s">
        <v>42</v>
      </c>
      <c r="C59" s="38">
        <v>54</v>
      </c>
      <c r="D59" s="38">
        <v>0</v>
      </c>
      <c r="E59" s="38"/>
      <c r="F59" s="38">
        <v>0</v>
      </c>
      <c r="G59" s="38"/>
      <c r="H59" s="38">
        <v>0</v>
      </c>
      <c r="I59" s="38"/>
      <c r="J59" s="38">
        <v>0</v>
      </c>
      <c r="K59" s="38"/>
      <c r="L59" s="59">
        <f>D59-F59+H59-J59</f>
        <v>0</v>
      </c>
      <c r="M59" s="28"/>
      <c r="N59" s="6"/>
    </row>
    <row r="60" spans="1:14" ht="15.75">
      <c r="A60" s="27"/>
      <c r="B60" s="28"/>
      <c r="C60" s="38"/>
      <c r="D60" s="38"/>
      <c r="E60" s="38"/>
      <c r="F60" s="38"/>
      <c r="G60" s="38"/>
      <c r="H60" s="38"/>
      <c r="I60" s="38"/>
      <c r="J60" s="38"/>
      <c r="K60" s="38"/>
      <c r="L60" s="59"/>
      <c r="M60" s="28"/>
      <c r="N60" s="6"/>
    </row>
    <row r="61" spans="1:14" ht="15.75">
      <c r="A61" s="27"/>
      <c r="B61" s="28" t="s">
        <v>43</v>
      </c>
      <c r="C61" s="38">
        <f>SUM(C58:C60)</f>
        <v>422004</v>
      </c>
      <c r="D61" s="38">
        <f>SUM(D58:D60)</f>
        <v>462695</v>
      </c>
      <c r="E61" s="38"/>
      <c r="F61" s="38">
        <f>SUM(F58:F60)</f>
        <v>15437</v>
      </c>
      <c r="G61" s="38"/>
      <c r="H61" s="38">
        <f>SUM(H58:H60)</f>
        <v>6903</v>
      </c>
      <c r="I61" s="38"/>
      <c r="J61" s="38">
        <f>SUM(J58:J60)</f>
        <v>0</v>
      </c>
      <c r="K61" s="38"/>
      <c r="L61" s="60">
        <f>SUM(L58:L60)</f>
        <v>454161</v>
      </c>
      <c r="M61" s="28"/>
      <c r="N61" s="6"/>
    </row>
    <row r="62" spans="1:14" ht="15.75">
      <c r="A62" s="27"/>
      <c r="B62" s="28"/>
      <c r="C62" s="38"/>
      <c r="D62" s="38"/>
      <c r="E62" s="38"/>
      <c r="F62" s="38"/>
      <c r="G62" s="38"/>
      <c r="H62" s="38"/>
      <c r="I62" s="38"/>
      <c r="J62" s="38"/>
      <c r="K62" s="38"/>
      <c r="L62" s="60"/>
      <c r="M62" s="28"/>
      <c r="N62" s="6"/>
    </row>
    <row r="63" spans="1:14" ht="15.75">
      <c r="A63" s="7"/>
      <c r="B63" s="131" t="s">
        <v>44</v>
      </c>
      <c r="C63" s="61"/>
      <c r="D63" s="61"/>
      <c r="E63" s="61"/>
      <c r="F63" s="61"/>
      <c r="G63" s="61"/>
      <c r="H63" s="61"/>
      <c r="I63" s="61"/>
      <c r="J63" s="61"/>
      <c r="K63" s="61"/>
      <c r="L63" s="62"/>
      <c r="M63" s="9"/>
      <c r="N63" s="6"/>
    </row>
    <row r="64" spans="1:14" ht="15.75">
      <c r="A64" s="7"/>
      <c r="B64" s="9"/>
      <c r="C64" s="61"/>
      <c r="D64" s="61"/>
      <c r="E64" s="61"/>
      <c r="F64" s="61"/>
      <c r="G64" s="61"/>
      <c r="H64" s="61"/>
      <c r="I64" s="61"/>
      <c r="J64" s="61"/>
      <c r="K64" s="61"/>
      <c r="L64" s="62"/>
      <c r="M64" s="9"/>
      <c r="N64" s="6"/>
    </row>
    <row r="65" spans="1:14" ht="15.75">
      <c r="A65" s="27"/>
      <c r="B65" s="28" t="s">
        <v>41</v>
      </c>
      <c r="C65" s="38"/>
      <c r="D65" s="38"/>
      <c r="E65" s="38"/>
      <c r="F65" s="38"/>
      <c r="G65" s="38"/>
      <c r="H65" s="38"/>
      <c r="I65" s="38"/>
      <c r="J65" s="38"/>
      <c r="K65" s="38"/>
      <c r="L65" s="60"/>
      <c r="M65" s="28"/>
      <c r="N65" s="6"/>
    </row>
    <row r="66" spans="1:14" ht="15.75">
      <c r="A66" s="27"/>
      <c r="B66" s="28" t="s">
        <v>42</v>
      </c>
      <c r="C66" s="38"/>
      <c r="D66" s="38"/>
      <c r="E66" s="38"/>
      <c r="F66" s="38"/>
      <c r="G66" s="38"/>
      <c r="H66" s="38"/>
      <c r="I66" s="38"/>
      <c r="J66" s="38"/>
      <c r="K66" s="38"/>
      <c r="L66" s="60"/>
      <c r="M66" s="28"/>
      <c r="N66" s="6"/>
    </row>
    <row r="67" spans="1:14" ht="15.75">
      <c r="A67" s="27"/>
      <c r="B67" s="28"/>
      <c r="C67" s="38"/>
      <c r="D67" s="38"/>
      <c r="E67" s="38"/>
      <c r="F67" s="38"/>
      <c r="G67" s="38"/>
      <c r="H67" s="38"/>
      <c r="I67" s="38"/>
      <c r="J67" s="38"/>
      <c r="K67" s="38"/>
      <c r="L67" s="60"/>
      <c r="M67" s="28"/>
      <c r="N67" s="6"/>
    </row>
    <row r="68" spans="1:14" ht="15.75">
      <c r="A68" s="27"/>
      <c r="B68" s="28" t="s">
        <v>43</v>
      </c>
      <c r="C68" s="38"/>
      <c r="D68" s="38"/>
      <c r="E68" s="38"/>
      <c r="F68" s="38"/>
      <c r="G68" s="38"/>
      <c r="H68" s="38"/>
      <c r="I68" s="38"/>
      <c r="J68" s="38"/>
      <c r="K68" s="38"/>
      <c r="L68" s="38"/>
      <c r="M68" s="28"/>
      <c r="N68" s="6"/>
    </row>
    <row r="69" spans="1:14" ht="15.75">
      <c r="A69" s="27"/>
      <c r="B69" s="28"/>
      <c r="C69" s="38"/>
      <c r="D69" s="38"/>
      <c r="E69" s="38"/>
      <c r="F69" s="38"/>
      <c r="G69" s="38"/>
      <c r="H69" s="38"/>
      <c r="I69" s="38"/>
      <c r="J69" s="38"/>
      <c r="K69" s="38"/>
      <c r="L69" s="38"/>
      <c r="M69" s="28"/>
      <c r="N69" s="6"/>
    </row>
    <row r="70" spans="1:14" ht="15.75">
      <c r="A70" s="27"/>
      <c r="B70" s="28" t="s">
        <v>45</v>
      </c>
      <c r="C70" s="38">
        <v>0</v>
      </c>
      <c r="D70" s="38">
        <v>0</v>
      </c>
      <c r="E70" s="38"/>
      <c r="F70" s="38"/>
      <c r="G70" s="38"/>
      <c r="H70" s="38"/>
      <c r="I70" s="38"/>
      <c r="J70" s="38"/>
      <c r="K70" s="38"/>
      <c r="L70" s="59">
        <f>D70-F70+H70-J70</f>
        <v>0</v>
      </c>
      <c r="M70" s="28"/>
      <c r="N70" s="6"/>
    </row>
    <row r="71" spans="1:14" ht="15.75">
      <c r="A71" s="27"/>
      <c r="B71" s="28" t="s">
        <v>46</v>
      </c>
      <c r="C71" s="38">
        <v>77996</v>
      </c>
      <c r="D71" s="38">
        <v>0</v>
      </c>
      <c r="E71" s="38"/>
      <c r="F71" s="38"/>
      <c r="G71" s="38"/>
      <c r="H71" s="38"/>
      <c r="I71" s="38"/>
      <c r="J71" s="38"/>
      <c r="K71" s="38"/>
      <c r="L71" s="60">
        <v>0</v>
      </c>
      <c r="M71" s="28"/>
      <c r="N71" s="6"/>
    </row>
    <row r="72" spans="1:14" ht="15.75">
      <c r="A72" s="27"/>
      <c r="B72" s="28" t="s">
        <v>47</v>
      </c>
      <c r="C72" s="38">
        <v>0</v>
      </c>
      <c r="D72" s="38">
        <f>L128</f>
        <v>0</v>
      </c>
      <c r="E72" s="38"/>
      <c r="F72" s="38"/>
      <c r="G72" s="38"/>
      <c r="H72" s="38"/>
      <c r="I72" s="38"/>
      <c r="J72" s="38"/>
      <c r="K72" s="38"/>
      <c r="L72" s="60">
        <f>SUM(C72:K72)</f>
        <v>0</v>
      </c>
      <c r="M72" s="28"/>
      <c r="N72" s="6"/>
    </row>
    <row r="73" spans="1:14" ht="15.75">
      <c r="A73" s="27"/>
      <c r="B73" s="28" t="s">
        <v>48</v>
      </c>
      <c r="C73" s="60">
        <f>SUM(C61:C72)</f>
        <v>500000</v>
      </c>
      <c r="D73" s="60">
        <f>SUM(D61:D72)</f>
        <v>462695</v>
      </c>
      <c r="E73" s="38"/>
      <c r="F73" s="60"/>
      <c r="G73" s="38"/>
      <c r="H73" s="60"/>
      <c r="I73" s="38"/>
      <c r="J73" s="60"/>
      <c r="K73" s="38"/>
      <c r="L73" s="60">
        <f>SUM(L61:L72)</f>
        <v>454161</v>
      </c>
      <c r="M73" s="28"/>
      <c r="N73" s="6"/>
    </row>
    <row r="74" spans="1:14" ht="15.75">
      <c r="A74" s="7"/>
      <c r="B74" s="9"/>
      <c r="C74" s="9"/>
      <c r="D74" s="9"/>
      <c r="E74" s="9"/>
      <c r="F74" s="9"/>
      <c r="G74" s="9"/>
      <c r="H74" s="9"/>
      <c r="I74" s="9"/>
      <c r="J74" s="9"/>
      <c r="K74" s="9"/>
      <c r="L74" s="9"/>
      <c r="M74" s="9"/>
      <c r="N74" s="6"/>
    </row>
    <row r="75" spans="1:14" ht="15.75">
      <c r="A75" s="7"/>
      <c r="B75" s="57" t="s">
        <v>49</v>
      </c>
      <c r="C75" s="16"/>
      <c r="D75" s="16"/>
      <c r="E75" s="16"/>
      <c r="F75" s="16"/>
      <c r="G75" s="16"/>
      <c r="H75" s="16"/>
      <c r="I75" s="19"/>
      <c r="J75" s="19" t="s">
        <v>181</v>
      </c>
      <c r="K75" s="19"/>
      <c r="L75" s="19" t="s">
        <v>193</v>
      </c>
      <c r="M75" s="9"/>
      <c r="N75" s="6"/>
    </row>
    <row r="76" spans="1:14" ht="15.75">
      <c r="A76" s="27"/>
      <c r="B76" s="28" t="s">
        <v>50</v>
      </c>
      <c r="C76" s="28"/>
      <c r="D76" s="28"/>
      <c r="E76" s="28"/>
      <c r="F76" s="28"/>
      <c r="G76" s="28"/>
      <c r="H76" s="28"/>
      <c r="I76" s="28"/>
      <c r="J76" s="38">
        <v>0</v>
      </c>
      <c r="K76" s="28"/>
      <c r="L76" s="59">
        <v>0</v>
      </c>
      <c r="M76" s="28"/>
      <c r="N76" s="6"/>
    </row>
    <row r="77" spans="1:14" ht="15.75">
      <c r="A77" s="27"/>
      <c r="B77" s="28" t="s">
        <v>51</v>
      </c>
      <c r="C77" s="47" t="s">
        <v>150</v>
      </c>
      <c r="D77" s="63">
        <f>J158</f>
        <v>37711</v>
      </c>
      <c r="E77" s="28"/>
      <c r="F77" s="28"/>
      <c r="G77" s="28"/>
      <c r="H77" s="28"/>
      <c r="I77" s="28"/>
      <c r="J77" s="38">
        <v>15437</v>
      </c>
      <c r="K77" s="28"/>
      <c r="L77" s="59"/>
      <c r="M77" s="28"/>
      <c r="N77" s="6"/>
    </row>
    <row r="78" spans="1:14" ht="15.75">
      <c r="A78" s="27"/>
      <c r="B78" s="28" t="s">
        <v>52</v>
      </c>
      <c r="C78" s="28"/>
      <c r="D78" s="28"/>
      <c r="E78" s="28"/>
      <c r="F78" s="28"/>
      <c r="G78" s="28"/>
      <c r="H78" s="28"/>
      <c r="I78" s="28"/>
      <c r="J78" s="38"/>
      <c r="K78" s="28"/>
      <c r="L78" s="59">
        <f>7149-12</f>
        <v>7137</v>
      </c>
      <c r="M78" s="28"/>
      <c r="N78" s="6"/>
    </row>
    <row r="79" spans="1:14" ht="15.75">
      <c r="A79" s="27"/>
      <c r="B79" s="28" t="s">
        <v>53</v>
      </c>
      <c r="C79" s="28"/>
      <c r="D79" s="28"/>
      <c r="E79" s="28"/>
      <c r="F79" s="28"/>
      <c r="G79" s="28"/>
      <c r="H79" s="28"/>
      <c r="I79" s="28"/>
      <c r="J79" s="38"/>
      <c r="K79" s="28"/>
      <c r="L79" s="59">
        <v>0</v>
      </c>
      <c r="M79" s="28"/>
      <c r="N79" s="6"/>
    </row>
    <row r="80" spans="1:14" ht="15.75">
      <c r="A80" s="27"/>
      <c r="B80" s="28" t="s">
        <v>54</v>
      </c>
      <c r="C80" s="28"/>
      <c r="D80" s="28"/>
      <c r="E80" s="28"/>
      <c r="F80" s="28"/>
      <c r="G80" s="28"/>
      <c r="H80" s="28"/>
      <c r="I80" s="28"/>
      <c r="J80" s="38">
        <f>SUM(J76:J79)</f>
        <v>15437</v>
      </c>
      <c r="K80" s="28"/>
      <c r="L80" s="60">
        <f>SUM(L76:L79)</f>
        <v>7137</v>
      </c>
      <c r="M80" s="28"/>
      <c r="N80" s="6"/>
    </row>
    <row r="81" spans="1:14" ht="15.75">
      <c r="A81" s="27"/>
      <c r="B81" s="28" t="s">
        <v>55</v>
      </c>
      <c r="C81" s="28"/>
      <c r="D81" s="28"/>
      <c r="E81" s="28"/>
      <c r="F81" s="28"/>
      <c r="G81" s="28"/>
      <c r="H81" s="28"/>
      <c r="I81" s="28"/>
      <c r="J81" s="38">
        <v>0</v>
      </c>
      <c r="K81" s="28"/>
      <c r="L81" s="59">
        <v>0</v>
      </c>
      <c r="M81" s="28"/>
      <c r="N81" s="6"/>
    </row>
    <row r="82" spans="1:14" ht="15.75">
      <c r="A82" s="27"/>
      <c r="B82" s="28" t="s">
        <v>56</v>
      </c>
      <c r="C82" s="28"/>
      <c r="D82" s="28"/>
      <c r="E82" s="28"/>
      <c r="F82" s="28"/>
      <c r="G82" s="28"/>
      <c r="H82" s="28"/>
      <c r="I82" s="28"/>
      <c r="J82" s="38">
        <f>J80+J81</f>
        <v>15437</v>
      </c>
      <c r="K82" s="28"/>
      <c r="L82" s="60">
        <f>L80+L81</f>
        <v>7137</v>
      </c>
      <c r="M82" s="28"/>
      <c r="N82" s="6"/>
    </row>
    <row r="83" spans="1:14" ht="15.75">
      <c r="A83" s="27"/>
      <c r="B83" s="137" t="s">
        <v>57</v>
      </c>
      <c r="C83" s="64"/>
      <c r="D83" s="28"/>
      <c r="E83" s="28"/>
      <c r="F83" s="28"/>
      <c r="G83" s="28"/>
      <c r="H83" s="28"/>
      <c r="I83" s="28"/>
      <c r="J83" s="38"/>
      <c r="K83" s="28"/>
      <c r="L83" s="59"/>
      <c r="M83" s="28"/>
      <c r="N83" s="6"/>
    </row>
    <row r="84" spans="1:14" ht="15.75">
      <c r="A84" s="27">
        <v>1</v>
      </c>
      <c r="B84" s="28" t="s">
        <v>58</v>
      </c>
      <c r="C84" s="28"/>
      <c r="D84" s="28"/>
      <c r="E84" s="28"/>
      <c r="F84" s="28"/>
      <c r="G84" s="28"/>
      <c r="H84" s="28"/>
      <c r="I84" s="28"/>
      <c r="J84" s="28"/>
      <c r="K84" s="28"/>
      <c r="L84" s="59">
        <v>0</v>
      </c>
      <c r="M84" s="28"/>
      <c r="N84" s="6"/>
    </row>
    <row r="85" spans="1:14" ht="15.75">
      <c r="A85" s="27">
        <v>2</v>
      </c>
      <c r="B85" s="28" t="s">
        <v>59</v>
      </c>
      <c r="C85" s="28"/>
      <c r="D85" s="28"/>
      <c r="E85" s="28"/>
      <c r="F85" s="28"/>
      <c r="G85" s="28"/>
      <c r="H85" s="28"/>
      <c r="I85" s="28"/>
      <c r="J85" s="28"/>
      <c r="K85" s="28"/>
      <c r="L85" s="59">
        <v>-5</v>
      </c>
      <c r="M85" s="28"/>
      <c r="N85" s="6"/>
    </row>
    <row r="86" spans="1:14" ht="15.75">
      <c r="A86" s="27">
        <v>3</v>
      </c>
      <c r="B86" s="28" t="s">
        <v>60</v>
      </c>
      <c r="C86" s="28"/>
      <c r="D86" s="28"/>
      <c r="E86" s="28"/>
      <c r="F86" s="28"/>
      <c r="G86" s="28"/>
      <c r="H86" s="28"/>
      <c r="I86" s="28"/>
      <c r="J86" s="28"/>
      <c r="K86" s="28"/>
      <c r="L86" s="59">
        <f>-343-6</f>
        <v>-349</v>
      </c>
      <c r="M86" s="28"/>
      <c r="N86" s="6"/>
    </row>
    <row r="87" spans="1:14" ht="15.75">
      <c r="A87" s="27">
        <v>4</v>
      </c>
      <c r="B87" s="28" t="s">
        <v>61</v>
      </c>
      <c r="C87" s="28"/>
      <c r="D87" s="28"/>
      <c r="E87" s="28"/>
      <c r="F87" s="28"/>
      <c r="G87" s="28"/>
      <c r="H87" s="28"/>
      <c r="I87" s="28"/>
      <c r="J87" s="28"/>
      <c r="K87" s="28"/>
      <c r="L87" s="59">
        <v>-446</v>
      </c>
      <c r="M87" s="28"/>
      <c r="N87" s="6"/>
    </row>
    <row r="88" spans="1:14" ht="15.75">
      <c r="A88" s="27">
        <v>5</v>
      </c>
      <c r="B88" s="28" t="s">
        <v>62</v>
      </c>
      <c r="C88" s="28"/>
      <c r="D88" s="28"/>
      <c r="E88" s="28"/>
      <c r="F88" s="28"/>
      <c r="G88" s="28"/>
      <c r="H88" s="28"/>
      <c r="I88" s="28"/>
      <c r="J88" s="28"/>
      <c r="K88" s="28"/>
      <c r="L88" s="59">
        <v>-4416</v>
      </c>
      <c r="M88" s="28"/>
      <c r="N88" s="6"/>
    </row>
    <row r="89" spans="1:14" ht="15.75">
      <c r="A89" s="27">
        <v>6</v>
      </c>
      <c r="B89" s="28" t="s">
        <v>63</v>
      </c>
      <c r="C89" s="28"/>
      <c r="D89" s="28"/>
      <c r="E89" s="28"/>
      <c r="F89" s="28"/>
      <c r="G89" s="28"/>
      <c r="H89" s="28"/>
      <c r="I89" s="28"/>
      <c r="J89" s="28"/>
      <c r="K89" s="28"/>
      <c r="L89" s="59">
        <v>-509</v>
      </c>
      <c r="M89" s="28"/>
      <c r="N89" s="6"/>
    </row>
    <row r="90" spans="1:14" ht="15.75">
      <c r="A90" s="27">
        <v>7</v>
      </c>
      <c r="B90" s="28" t="s">
        <v>64</v>
      </c>
      <c r="C90" s="28"/>
      <c r="D90" s="28"/>
      <c r="E90" s="28"/>
      <c r="F90" s="28"/>
      <c r="G90" s="28"/>
      <c r="H90" s="28"/>
      <c r="I90" s="28"/>
      <c r="J90" s="28"/>
      <c r="K90" s="28"/>
      <c r="L90" s="59">
        <v>-5</v>
      </c>
      <c r="M90" s="28"/>
      <c r="N90" s="6"/>
    </row>
    <row r="91" spans="1:14" ht="15.75">
      <c r="A91" s="27">
        <v>8</v>
      </c>
      <c r="B91" s="28" t="s">
        <v>65</v>
      </c>
      <c r="C91" s="28"/>
      <c r="D91" s="28"/>
      <c r="E91" s="28"/>
      <c r="F91" s="28"/>
      <c r="G91" s="28"/>
      <c r="H91" s="28"/>
      <c r="I91" s="28"/>
      <c r="J91" s="28"/>
      <c r="K91" s="28"/>
      <c r="L91" s="59">
        <v>0</v>
      </c>
      <c r="M91" s="28"/>
      <c r="N91" s="6"/>
    </row>
    <row r="92" spans="1:14" ht="15.75">
      <c r="A92" s="27">
        <v>9</v>
      </c>
      <c r="B92" s="28" t="s">
        <v>66</v>
      </c>
      <c r="C92" s="28"/>
      <c r="D92" s="28"/>
      <c r="E92" s="28"/>
      <c r="F92" s="28"/>
      <c r="G92" s="28"/>
      <c r="H92" s="28"/>
      <c r="I92" s="28"/>
      <c r="J92" s="28"/>
      <c r="K92" s="28"/>
      <c r="L92" s="59">
        <v>0</v>
      </c>
      <c r="M92" s="28"/>
      <c r="N92" s="6"/>
    </row>
    <row r="93" spans="1:14" ht="15.75">
      <c r="A93" s="27">
        <v>10</v>
      </c>
      <c r="B93" s="28" t="s">
        <v>67</v>
      </c>
      <c r="C93" s="28"/>
      <c r="D93" s="28"/>
      <c r="E93" s="28"/>
      <c r="F93" s="28"/>
      <c r="G93" s="28"/>
      <c r="H93" s="28"/>
      <c r="I93" s="28"/>
      <c r="J93" s="28"/>
      <c r="K93" s="28"/>
      <c r="L93" s="59">
        <v>0</v>
      </c>
      <c r="M93" s="28"/>
      <c r="N93" s="6"/>
    </row>
    <row r="94" spans="1:14" ht="15.75">
      <c r="A94" s="27">
        <v>11</v>
      </c>
      <c r="B94" s="28" t="s">
        <v>68</v>
      </c>
      <c r="C94" s="28"/>
      <c r="D94" s="28"/>
      <c r="E94" s="28"/>
      <c r="F94" s="28"/>
      <c r="G94" s="28"/>
      <c r="H94" s="28"/>
      <c r="I94" s="28"/>
      <c r="J94" s="28"/>
      <c r="K94" s="28"/>
      <c r="L94" s="59">
        <v>0</v>
      </c>
      <c r="M94" s="28"/>
      <c r="N94" s="6"/>
    </row>
    <row r="95" spans="1:14" ht="15.75">
      <c r="A95" s="27">
        <v>12</v>
      </c>
      <c r="B95" s="28" t="s">
        <v>69</v>
      </c>
      <c r="C95" s="28"/>
      <c r="D95" s="28"/>
      <c r="E95" s="28"/>
      <c r="F95" s="28"/>
      <c r="G95" s="28"/>
      <c r="H95" s="28"/>
      <c r="I95" s="28"/>
      <c r="J95" s="28"/>
      <c r="K95" s="28"/>
      <c r="L95" s="59">
        <f>-56-220</f>
        <v>-276</v>
      </c>
      <c r="M95" s="28"/>
      <c r="N95" s="6"/>
    </row>
    <row r="96" spans="1:14" ht="15.75">
      <c r="A96" s="27">
        <v>13</v>
      </c>
      <c r="B96" s="28" t="s">
        <v>70</v>
      </c>
      <c r="C96" s="28"/>
      <c r="D96" s="28"/>
      <c r="E96" s="28"/>
      <c r="F96" s="28"/>
      <c r="G96" s="28"/>
      <c r="H96" s="28"/>
      <c r="I96" s="28"/>
      <c r="J96" s="28"/>
      <c r="K96" s="28"/>
      <c r="L96" s="59">
        <f>-SUM(L82:L95)</f>
        <v>-1131</v>
      </c>
      <c r="M96" s="28"/>
      <c r="N96" s="6"/>
    </row>
    <row r="97" spans="1:14" ht="15.75">
      <c r="A97" s="27"/>
      <c r="B97" s="137" t="s">
        <v>71</v>
      </c>
      <c r="C97" s="64"/>
      <c r="D97" s="28"/>
      <c r="E97" s="28"/>
      <c r="F97" s="28"/>
      <c r="G97" s="28"/>
      <c r="H97" s="28"/>
      <c r="I97" s="28"/>
      <c r="J97" s="28"/>
      <c r="K97" s="28"/>
      <c r="L97" s="65"/>
      <c r="M97" s="28"/>
      <c r="N97" s="6"/>
    </row>
    <row r="98" spans="1:14" ht="15.75">
      <c r="A98" s="27"/>
      <c r="B98" s="28" t="s">
        <v>72</v>
      </c>
      <c r="C98" s="64"/>
      <c r="D98" s="28"/>
      <c r="E98" s="28"/>
      <c r="F98" s="28"/>
      <c r="G98" s="28"/>
      <c r="H98" s="28"/>
      <c r="I98" s="28"/>
      <c r="J98" s="38">
        <f>-J144</f>
        <v>-127</v>
      </c>
      <c r="K98" s="38"/>
      <c r="L98" s="59"/>
      <c r="M98" s="28"/>
      <c r="N98" s="6"/>
    </row>
    <row r="99" spans="1:14" ht="15.75">
      <c r="A99" s="27"/>
      <c r="B99" s="28" t="s">
        <v>73</v>
      </c>
      <c r="C99" s="28"/>
      <c r="D99" s="28"/>
      <c r="E99" s="28"/>
      <c r="F99" s="28"/>
      <c r="G99" s="28"/>
      <c r="H99" s="28"/>
      <c r="I99" s="28"/>
      <c r="J99" s="38">
        <f>-H144</f>
        <v>-6776</v>
      </c>
      <c r="K99" s="38"/>
      <c r="L99" s="59"/>
      <c r="M99" s="28"/>
      <c r="N99" s="6"/>
    </row>
    <row r="100" spans="1:14" ht="15.75">
      <c r="A100" s="27"/>
      <c r="B100" s="28" t="s">
        <v>74</v>
      </c>
      <c r="C100" s="28"/>
      <c r="D100" s="28"/>
      <c r="E100" s="28"/>
      <c r="F100" s="28"/>
      <c r="G100" s="28"/>
      <c r="H100" s="28"/>
      <c r="I100" s="28"/>
      <c r="J100" s="38">
        <v>-8534</v>
      </c>
      <c r="K100" s="38"/>
      <c r="L100" s="59"/>
      <c r="M100" s="28"/>
      <c r="N100" s="6"/>
    </row>
    <row r="101" spans="1:14" ht="15.75">
      <c r="A101" s="27"/>
      <c r="B101" s="28" t="s">
        <v>75</v>
      </c>
      <c r="C101" s="28"/>
      <c r="D101" s="28"/>
      <c r="E101" s="28"/>
      <c r="F101" s="28"/>
      <c r="G101" s="28"/>
      <c r="H101" s="28"/>
      <c r="I101" s="28"/>
      <c r="J101" s="38">
        <v>0</v>
      </c>
      <c r="K101" s="38"/>
      <c r="L101" s="59"/>
      <c r="M101" s="28"/>
      <c r="N101" s="6"/>
    </row>
    <row r="102" spans="1:14" ht="15.75">
      <c r="A102" s="27"/>
      <c r="B102" s="28" t="s">
        <v>76</v>
      </c>
      <c r="C102" s="28"/>
      <c r="D102" s="28"/>
      <c r="E102" s="28"/>
      <c r="F102" s="28"/>
      <c r="G102" s="28"/>
      <c r="H102" s="28"/>
      <c r="I102" s="28"/>
      <c r="J102" s="38">
        <f>SUM(J83:J101)</f>
        <v>-15437</v>
      </c>
      <c r="K102" s="38"/>
      <c r="L102" s="38">
        <f>SUM(L83:L101)</f>
        <v>-7137</v>
      </c>
      <c r="M102" s="28"/>
      <c r="N102" s="6"/>
    </row>
    <row r="103" spans="1:14" ht="15.75">
      <c r="A103" s="27"/>
      <c r="B103" s="28" t="s">
        <v>77</v>
      </c>
      <c r="C103" s="28"/>
      <c r="D103" s="28"/>
      <c r="E103" s="28"/>
      <c r="F103" s="28"/>
      <c r="G103" s="28"/>
      <c r="H103" s="28"/>
      <c r="I103" s="28"/>
      <c r="J103" s="38">
        <f>J82+J102</f>
        <v>0</v>
      </c>
      <c r="K103" s="38"/>
      <c r="L103" s="38">
        <f>L82+L102</f>
        <v>0</v>
      </c>
      <c r="M103" s="28"/>
      <c r="N103" s="6"/>
    </row>
    <row r="104" spans="1:14" ht="12" customHeight="1">
      <c r="A104" s="7"/>
      <c r="B104" s="9"/>
      <c r="C104" s="9"/>
      <c r="D104" s="9"/>
      <c r="E104" s="9"/>
      <c r="F104" s="9"/>
      <c r="G104" s="9"/>
      <c r="H104" s="9"/>
      <c r="I104" s="9"/>
      <c r="J104" s="9"/>
      <c r="K104" s="9"/>
      <c r="L104" s="58"/>
      <c r="M104" s="9"/>
      <c r="N104" s="6"/>
    </row>
    <row r="105" spans="1:14" ht="12" customHeight="1">
      <c r="A105" s="7"/>
      <c r="B105" s="9"/>
      <c r="C105" s="9"/>
      <c r="D105" s="9"/>
      <c r="E105" s="9"/>
      <c r="F105" s="9"/>
      <c r="G105" s="9"/>
      <c r="H105" s="9"/>
      <c r="I105" s="9"/>
      <c r="J105" s="9"/>
      <c r="K105" s="9"/>
      <c r="L105" s="58"/>
      <c r="M105" s="9"/>
      <c r="N105" s="6"/>
    </row>
    <row r="106" spans="1:14" ht="15.75" customHeight="1" thickBot="1">
      <c r="A106" s="118"/>
      <c r="B106" s="119" t="str">
        <f>B53</f>
        <v>PM4 INVESTOR REPORT QUARTER ENDING MARCH 2003</v>
      </c>
      <c r="C106" s="120"/>
      <c r="D106" s="120"/>
      <c r="E106" s="120"/>
      <c r="F106" s="120"/>
      <c r="G106" s="120"/>
      <c r="H106" s="120"/>
      <c r="I106" s="120"/>
      <c r="J106" s="120"/>
      <c r="K106" s="120"/>
      <c r="L106" s="124"/>
      <c r="M106" s="123"/>
      <c r="N106" s="6"/>
    </row>
    <row r="107" spans="1:14" ht="12" customHeight="1">
      <c r="A107" s="2"/>
      <c r="B107" s="5"/>
      <c r="C107" s="5"/>
      <c r="D107" s="5"/>
      <c r="E107" s="5"/>
      <c r="F107" s="5"/>
      <c r="G107" s="5"/>
      <c r="H107" s="5"/>
      <c r="I107" s="5"/>
      <c r="J107" s="5"/>
      <c r="K107" s="5"/>
      <c r="L107" s="66"/>
      <c r="M107" s="5"/>
      <c r="N107" s="6"/>
    </row>
    <row r="108" spans="1:14" ht="15.75">
      <c r="A108" s="7"/>
      <c r="B108" s="57" t="s">
        <v>78</v>
      </c>
      <c r="C108" s="15"/>
      <c r="D108" s="9"/>
      <c r="E108" s="9"/>
      <c r="F108" s="9"/>
      <c r="G108" s="9"/>
      <c r="H108" s="9"/>
      <c r="I108" s="9"/>
      <c r="J108" s="9"/>
      <c r="K108" s="9"/>
      <c r="L108" s="58"/>
      <c r="M108" s="9"/>
      <c r="N108" s="6"/>
    </row>
    <row r="109" spans="1:14" ht="15.75">
      <c r="A109" s="7"/>
      <c r="B109" s="23"/>
      <c r="C109" s="15"/>
      <c r="D109" s="9"/>
      <c r="E109" s="9"/>
      <c r="F109" s="9"/>
      <c r="G109" s="9"/>
      <c r="H109" s="9"/>
      <c r="I109" s="9"/>
      <c r="J109" s="9"/>
      <c r="K109" s="9"/>
      <c r="L109" s="58"/>
      <c r="M109" s="9"/>
      <c r="N109" s="6"/>
    </row>
    <row r="110" spans="1:14" ht="15.75">
      <c r="A110" s="7"/>
      <c r="B110" s="138" t="s">
        <v>79</v>
      </c>
      <c r="C110" s="15"/>
      <c r="D110" s="9"/>
      <c r="E110" s="9"/>
      <c r="F110" s="9"/>
      <c r="G110" s="9"/>
      <c r="H110" s="9"/>
      <c r="I110" s="9"/>
      <c r="J110" s="9"/>
      <c r="K110" s="9"/>
      <c r="L110" s="58"/>
      <c r="M110" s="9"/>
      <c r="N110" s="6"/>
    </row>
    <row r="111" spans="1:14" ht="15.75">
      <c r="A111" s="27"/>
      <c r="B111" s="28" t="s">
        <v>80</v>
      </c>
      <c r="C111" s="28"/>
      <c r="D111" s="28"/>
      <c r="E111" s="28"/>
      <c r="F111" s="28"/>
      <c r="G111" s="28"/>
      <c r="H111" s="28"/>
      <c r="I111" s="28"/>
      <c r="J111" s="28"/>
      <c r="K111" s="28"/>
      <c r="L111" s="59">
        <v>8750</v>
      </c>
      <c r="M111" s="28"/>
      <c r="N111" s="6"/>
    </row>
    <row r="112" spans="1:14" ht="15.75">
      <c r="A112" s="27"/>
      <c r="B112" s="28" t="s">
        <v>81</v>
      </c>
      <c r="C112" s="28"/>
      <c r="D112" s="28"/>
      <c r="E112" s="28"/>
      <c r="F112" s="28"/>
      <c r="G112" s="28"/>
      <c r="H112" s="28"/>
      <c r="I112" s="28"/>
      <c r="J112" s="28"/>
      <c r="K112" s="28"/>
      <c r="L112" s="59">
        <f>L111</f>
        <v>8750</v>
      </c>
      <c r="M112" s="28"/>
      <c r="N112" s="6"/>
    </row>
    <row r="113" spans="1:14" ht="15.75">
      <c r="A113" s="27"/>
      <c r="B113" s="28" t="s">
        <v>82</v>
      </c>
      <c r="C113" s="28"/>
      <c r="D113" s="28"/>
      <c r="E113" s="28"/>
      <c r="F113" s="28"/>
      <c r="G113" s="28"/>
      <c r="H113" s="28"/>
      <c r="I113" s="28"/>
      <c r="J113" s="28"/>
      <c r="K113" s="28"/>
      <c r="L113" s="59">
        <v>0</v>
      </c>
      <c r="M113" s="28"/>
      <c r="N113" s="6"/>
    </row>
    <row r="114" spans="1:14" ht="15.75">
      <c r="A114" s="27"/>
      <c r="B114" s="28" t="s">
        <v>83</v>
      </c>
      <c r="C114" s="28"/>
      <c r="D114" s="28"/>
      <c r="E114" s="28"/>
      <c r="F114" s="28"/>
      <c r="G114" s="28"/>
      <c r="H114" s="28"/>
      <c r="I114" s="28"/>
      <c r="J114" s="28"/>
      <c r="K114" s="28"/>
      <c r="L114" s="59">
        <v>0</v>
      </c>
      <c r="M114" s="28"/>
      <c r="N114" s="6"/>
    </row>
    <row r="115" spans="1:14" ht="15.75">
      <c r="A115" s="27"/>
      <c r="B115" s="28" t="s">
        <v>84</v>
      </c>
      <c r="C115" s="28"/>
      <c r="D115" s="28"/>
      <c r="E115" s="28"/>
      <c r="F115" s="28"/>
      <c r="G115" s="28"/>
      <c r="H115" s="28"/>
      <c r="I115" s="28"/>
      <c r="J115" s="28"/>
      <c r="K115" s="28"/>
      <c r="L115" s="59">
        <v>0</v>
      </c>
      <c r="M115" s="28"/>
      <c r="N115" s="6"/>
    </row>
    <row r="116" spans="1:14" ht="15.75">
      <c r="A116" s="27"/>
      <c r="B116" s="28" t="s">
        <v>62</v>
      </c>
      <c r="C116" s="28"/>
      <c r="D116" s="28"/>
      <c r="E116" s="28"/>
      <c r="F116" s="28"/>
      <c r="G116" s="28"/>
      <c r="H116" s="28"/>
      <c r="I116" s="28"/>
      <c r="J116" s="28"/>
      <c r="K116" s="28"/>
      <c r="L116" s="59">
        <v>0</v>
      </c>
      <c r="M116" s="28"/>
      <c r="N116" s="6"/>
    </row>
    <row r="117" spans="1:14" ht="15.75">
      <c r="A117" s="27"/>
      <c r="B117" s="28" t="s">
        <v>63</v>
      </c>
      <c r="C117" s="28"/>
      <c r="D117" s="28"/>
      <c r="E117" s="28"/>
      <c r="F117" s="28"/>
      <c r="G117" s="28"/>
      <c r="H117" s="28"/>
      <c r="I117" s="28"/>
      <c r="J117" s="28"/>
      <c r="K117" s="28"/>
      <c r="L117" s="59">
        <v>0</v>
      </c>
      <c r="M117" s="28"/>
      <c r="N117" s="6"/>
    </row>
    <row r="118" spans="1:14" ht="15.75">
      <c r="A118" s="27"/>
      <c r="B118" s="28" t="s">
        <v>85</v>
      </c>
      <c r="C118" s="28"/>
      <c r="D118" s="28"/>
      <c r="E118" s="28"/>
      <c r="F118" s="28"/>
      <c r="G118" s="28"/>
      <c r="H118" s="28"/>
      <c r="I118" s="28"/>
      <c r="J118" s="28"/>
      <c r="K118" s="28"/>
      <c r="L118" s="59">
        <v>0</v>
      </c>
      <c r="M118" s="28"/>
      <c r="N118" s="6"/>
    </row>
    <row r="119" spans="1:14" ht="15.75">
      <c r="A119" s="27"/>
      <c r="B119" s="28" t="s">
        <v>86</v>
      </c>
      <c r="C119" s="28"/>
      <c r="D119" s="28"/>
      <c r="E119" s="28"/>
      <c r="F119" s="28"/>
      <c r="G119" s="28"/>
      <c r="H119" s="28"/>
      <c r="I119" s="28"/>
      <c r="J119" s="28"/>
      <c r="K119" s="28"/>
      <c r="L119" s="59">
        <f>SUM(L112:L118)</f>
        <v>8750</v>
      </c>
      <c r="M119" s="28"/>
      <c r="N119" s="6"/>
    </row>
    <row r="120" spans="1:14" ht="15.75">
      <c r="A120" s="27"/>
      <c r="B120" s="28"/>
      <c r="C120" s="28"/>
      <c r="D120" s="28"/>
      <c r="E120" s="28"/>
      <c r="F120" s="28"/>
      <c r="G120" s="28"/>
      <c r="H120" s="28"/>
      <c r="I120" s="28"/>
      <c r="J120" s="28"/>
      <c r="K120" s="28"/>
      <c r="L120" s="67"/>
      <c r="M120" s="28"/>
      <c r="N120" s="6"/>
    </row>
    <row r="121" spans="1:14" ht="15.75">
      <c r="A121" s="7"/>
      <c r="B121" s="138" t="s">
        <v>87</v>
      </c>
      <c r="C121" s="9"/>
      <c r="D121" s="9"/>
      <c r="E121" s="9"/>
      <c r="F121" s="9"/>
      <c r="G121" s="9"/>
      <c r="H121" s="9"/>
      <c r="I121" s="9"/>
      <c r="J121" s="9"/>
      <c r="K121" s="9"/>
      <c r="L121" s="58"/>
      <c r="M121" s="9"/>
      <c r="N121" s="6"/>
    </row>
    <row r="122" spans="1:14" ht="15.75">
      <c r="A122" s="27"/>
      <c r="B122" s="28" t="s">
        <v>88</v>
      </c>
      <c r="C122" s="28"/>
      <c r="D122" s="68"/>
      <c r="E122" s="28"/>
      <c r="F122" s="28"/>
      <c r="G122" s="28"/>
      <c r="H122" s="28"/>
      <c r="I122" s="28"/>
      <c r="J122" s="28"/>
      <c r="K122" s="28"/>
      <c r="L122" s="69" t="s">
        <v>194</v>
      </c>
      <c r="M122" s="28"/>
      <c r="N122" s="6"/>
    </row>
    <row r="123" spans="1:14" ht="15.75">
      <c r="A123" s="27"/>
      <c r="B123" s="28" t="s">
        <v>89</v>
      </c>
      <c r="C123" s="31"/>
      <c r="D123" s="31"/>
      <c r="E123" s="31"/>
      <c r="F123" s="31"/>
      <c r="G123" s="31"/>
      <c r="H123" s="31"/>
      <c r="I123" s="31"/>
      <c r="J123" s="31"/>
      <c r="K123" s="31"/>
      <c r="L123" s="69" t="s">
        <v>194</v>
      </c>
      <c r="M123" s="28"/>
      <c r="N123" s="6"/>
    </row>
    <row r="124" spans="1:14" ht="15.75">
      <c r="A124" s="27"/>
      <c r="B124" s="28" t="s">
        <v>90</v>
      </c>
      <c r="C124" s="28"/>
      <c r="D124" s="28"/>
      <c r="E124" s="28"/>
      <c r="F124" s="28"/>
      <c r="G124" s="28"/>
      <c r="H124" s="28"/>
      <c r="I124" s="28"/>
      <c r="J124" s="28"/>
      <c r="K124" s="28"/>
      <c r="L124" s="69" t="s">
        <v>194</v>
      </c>
      <c r="M124" s="28"/>
      <c r="N124" s="6"/>
    </row>
    <row r="125" spans="1:14" ht="15.75">
      <c r="A125" s="27"/>
      <c r="B125" s="28" t="s">
        <v>91</v>
      </c>
      <c r="C125" s="28"/>
      <c r="D125" s="28"/>
      <c r="E125" s="28"/>
      <c r="F125" s="28"/>
      <c r="G125" s="28"/>
      <c r="H125" s="28"/>
      <c r="I125" s="28"/>
      <c r="J125" s="28"/>
      <c r="K125" s="28"/>
      <c r="L125" s="69" t="s">
        <v>194</v>
      </c>
      <c r="M125" s="28"/>
      <c r="N125" s="6"/>
    </row>
    <row r="126" spans="1:14" ht="15.75">
      <c r="A126" s="27"/>
      <c r="B126" s="28"/>
      <c r="C126" s="28"/>
      <c r="D126" s="28"/>
      <c r="E126" s="28"/>
      <c r="F126" s="28"/>
      <c r="G126" s="28"/>
      <c r="H126" s="28"/>
      <c r="I126" s="28"/>
      <c r="J126" s="28"/>
      <c r="K126" s="28"/>
      <c r="L126" s="67"/>
      <c r="M126" s="28"/>
      <c r="N126" s="6"/>
    </row>
    <row r="127" spans="1:14" ht="15.75">
      <c r="A127" s="7"/>
      <c r="B127" s="138" t="s">
        <v>92</v>
      </c>
      <c r="C127" s="15"/>
      <c r="D127" s="9"/>
      <c r="E127" s="9"/>
      <c r="F127" s="9"/>
      <c r="G127" s="9"/>
      <c r="H127" s="9"/>
      <c r="I127" s="9"/>
      <c r="J127" s="9"/>
      <c r="K127" s="9"/>
      <c r="L127" s="70"/>
      <c r="M127" s="9"/>
      <c r="N127" s="6"/>
    </row>
    <row r="128" spans="1:14" ht="15.75">
      <c r="A128" s="27"/>
      <c r="B128" s="28" t="s">
        <v>93</v>
      </c>
      <c r="C128" s="28"/>
      <c r="D128" s="28"/>
      <c r="E128" s="28"/>
      <c r="F128" s="28"/>
      <c r="G128" s="28"/>
      <c r="H128" s="28"/>
      <c r="I128" s="28"/>
      <c r="J128" s="28"/>
      <c r="K128" s="28"/>
      <c r="L128" s="59">
        <v>0</v>
      </c>
      <c r="M128" s="28"/>
      <c r="N128" s="6"/>
    </row>
    <row r="129" spans="1:14" ht="15.75">
      <c r="A129" s="27"/>
      <c r="B129" s="28" t="s">
        <v>94</v>
      </c>
      <c r="C129" s="28"/>
      <c r="D129" s="28"/>
      <c r="E129" s="28"/>
      <c r="F129" s="28"/>
      <c r="G129" s="28"/>
      <c r="H129" s="28"/>
      <c r="I129" s="28"/>
      <c r="J129" s="28"/>
      <c r="K129" s="28"/>
      <c r="L129" s="59">
        <v>0</v>
      </c>
      <c r="M129" s="28"/>
      <c r="N129" s="6"/>
    </row>
    <row r="130" spans="1:14" ht="15.75">
      <c r="A130" s="27"/>
      <c r="B130" s="28" t="s">
        <v>95</v>
      </c>
      <c r="C130" s="28"/>
      <c r="D130" s="28"/>
      <c r="E130" s="28"/>
      <c r="F130" s="28"/>
      <c r="G130" s="28"/>
      <c r="H130" s="28"/>
      <c r="I130" s="28"/>
      <c r="J130" s="28"/>
      <c r="K130" s="28"/>
      <c r="L130" s="59">
        <f>L129+L128</f>
        <v>0</v>
      </c>
      <c r="M130" s="28"/>
      <c r="N130" s="6"/>
    </row>
    <row r="131" spans="1:14" ht="15.75">
      <c r="A131" s="27"/>
      <c r="B131" s="28" t="s">
        <v>96</v>
      </c>
      <c r="C131" s="28"/>
      <c r="D131" s="28"/>
      <c r="E131" s="28"/>
      <c r="F131" s="28"/>
      <c r="G131" s="28"/>
      <c r="H131" s="71"/>
      <c r="I131" s="28"/>
      <c r="J131" s="28"/>
      <c r="K131" s="28"/>
      <c r="L131" s="59">
        <v>0</v>
      </c>
      <c r="M131" s="28"/>
      <c r="N131" s="6"/>
    </row>
    <row r="132" spans="1:14" ht="15.75">
      <c r="A132" s="27"/>
      <c r="B132" s="28" t="s">
        <v>97</v>
      </c>
      <c r="C132" s="28"/>
      <c r="D132" s="28"/>
      <c r="E132" s="28"/>
      <c r="F132" s="28"/>
      <c r="G132" s="28"/>
      <c r="H132" s="28"/>
      <c r="I132" s="28"/>
      <c r="J132" s="28"/>
      <c r="K132" s="28"/>
      <c r="L132" s="59">
        <f>L130+L131</f>
        <v>0</v>
      </c>
      <c r="M132" s="28"/>
      <c r="N132" s="6"/>
    </row>
    <row r="133" spans="1:14" ht="7.5" customHeight="1">
      <c r="A133" s="27"/>
      <c r="B133" s="28"/>
      <c r="C133" s="28"/>
      <c r="D133" s="28"/>
      <c r="E133" s="28"/>
      <c r="F133" s="28"/>
      <c r="G133" s="28"/>
      <c r="H133" s="28"/>
      <c r="I133" s="28"/>
      <c r="J133" s="28"/>
      <c r="K133" s="28"/>
      <c r="L133" s="67"/>
      <c r="M133" s="28"/>
      <c r="N133" s="6"/>
    </row>
    <row r="134" spans="1:14" ht="6" customHeight="1">
      <c r="A134" s="2"/>
      <c r="B134" s="5"/>
      <c r="C134" s="5"/>
      <c r="D134" s="5"/>
      <c r="E134" s="5"/>
      <c r="F134" s="5"/>
      <c r="G134" s="5"/>
      <c r="H134" s="5"/>
      <c r="I134" s="5"/>
      <c r="J134" s="5"/>
      <c r="K134" s="5"/>
      <c r="L134" s="66"/>
      <c r="M134" s="5"/>
      <c r="N134" s="6"/>
    </row>
    <row r="135" spans="1:14" ht="15.75">
      <c r="A135" s="7"/>
      <c r="B135" s="138" t="s">
        <v>98</v>
      </c>
      <c r="C135" s="15"/>
      <c r="D135" s="9"/>
      <c r="E135" s="9"/>
      <c r="F135" s="9"/>
      <c r="G135" s="9"/>
      <c r="H135" s="9"/>
      <c r="I135" s="9"/>
      <c r="J135" s="9"/>
      <c r="K135" s="9"/>
      <c r="L135" s="58"/>
      <c r="M135" s="9"/>
      <c r="N135" s="6"/>
    </row>
    <row r="136" spans="1:14" ht="15.75">
      <c r="A136" s="7"/>
      <c r="B136" s="23"/>
      <c r="C136" s="15"/>
      <c r="D136" s="9"/>
      <c r="E136" s="9"/>
      <c r="F136" s="9"/>
      <c r="G136" s="9"/>
      <c r="H136" s="9"/>
      <c r="I136" s="9"/>
      <c r="J136" s="9"/>
      <c r="K136" s="9"/>
      <c r="L136" s="58"/>
      <c r="M136" s="9"/>
      <c r="N136" s="6"/>
    </row>
    <row r="137" spans="1:14" ht="15.75">
      <c r="A137" s="27"/>
      <c r="B137" s="28" t="s">
        <v>99</v>
      </c>
      <c r="C137" s="72"/>
      <c r="D137" s="28"/>
      <c r="E137" s="28"/>
      <c r="F137" s="28"/>
      <c r="G137" s="28"/>
      <c r="H137" s="28"/>
      <c r="I137" s="28"/>
      <c r="J137" s="28"/>
      <c r="K137" s="28"/>
      <c r="L137" s="59">
        <f>L61</f>
        <v>454161</v>
      </c>
      <c r="M137" s="28"/>
      <c r="N137" s="6"/>
    </row>
    <row r="138" spans="1:14" ht="15.75">
      <c r="A138" s="27"/>
      <c r="B138" s="28" t="s">
        <v>100</v>
      </c>
      <c r="C138" s="72"/>
      <c r="D138" s="28"/>
      <c r="E138" s="28"/>
      <c r="F138" s="28"/>
      <c r="G138" s="28"/>
      <c r="H138" s="28"/>
      <c r="I138" s="28"/>
      <c r="J138" s="28"/>
      <c r="K138" s="28"/>
      <c r="L138" s="59">
        <f>L33</f>
        <v>454160.7875</v>
      </c>
      <c r="M138" s="28"/>
      <c r="N138" s="6"/>
    </row>
    <row r="139" spans="1:14" ht="7.5" customHeight="1">
      <c r="A139" s="27"/>
      <c r="B139" s="28"/>
      <c r="C139" s="28"/>
      <c r="D139" s="28"/>
      <c r="E139" s="28"/>
      <c r="F139" s="28"/>
      <c r="G139" s="28"/>
      <c r="H139" s="28"/>
      <c r="I139" s="28"/>
      <c r="J139" s="28"/>
      <c r="K139" s="28"/>
      <c r="L139" s="67"/>
      <c r="M139" s="28"/>
      <c r="N139" s="6"/>
    </row>
    <row r="140" spans="1:14" ht="15.75">
      <c r="A140" s="2"/>
      <c r="B140" s="5"/>
      <c r="C140" s="5"/>
      <c r="D140" s="5"/>
      <c r="E140" s="5"/>
      <c r="F140" s="5"/>
      <c r="G140" s="5"/>
      <c r="H140" s="5"/>
      <c r="I140" s="5"/>
      <c r="J140" s="5"/>
      <c r="K140" s="5"/>
      <c r="L140" s="66"/>
      <c r="M140" s="5"/>
      <c r="N140" s="6"/>
    </row>
    <row r="141" spans="1:14" ht="15.75">
      <c r="A141" s="7"/>
      <c r="B141" s="138" t="s">
        <v>101</v>
      </c>
      <c r="C141" s="131"/>
      <c r="D141" s="131"/>
      <c r="E141" s="131"/>
      <c r="F141" s="131"/>
      <c r="G141" s="131"/>
      <c r="H141" s="139" t="s">
        <v>174</v>
      </c>
      <c r="I141" s="139"/>
      <c r="J141" s="139" t="s">
        <v>182</v>
      </c>
      <c r="K141" s="131"/>
      <c r="L141" s="140" t="s">
        <v>195</v>
      </c>
      <c r="M141" s="11"/>
      <c r="N141" s="6"/>
    </row>
    <row r="142" spans="1:14" ht="15.75">
      <c r="A142" s="27"/>
      <c r="B142" s="28" t="s">
        <v>102</v>
      </c>
      <c r="C142" s="28"/>
      <c r="D142" s="28"/>
      <c r="E142" s="28"/>
      <c r="F142" s="28"/>
      <c r="G142" s="28"/>
      <c r="H142" s="59">
        <v>70000</v>
      </c>
      <c r="I142" s="28"/>
      <c r="J142" s="47"/>
      <c r="K142" s="28"/>
      <c r="L142" s="59"/>
      <c r="M142" s="28"/>
      <c r="N142" s="6"/>
    </row>
    <row r="143" spans="1:14" ht="15.75">
      <c r="A143" s="27"/>
      <c r="B143" s="28" t="s">
        <v>103</v>
      </c>
      <c r="C143" s="28"/>
      <c r="D143" s="28"/>
      <c r="E143" s="28"/>
      <c r="F143" s="28"/>
      <c r="G143" s="28"/>
      <c r="H143" s="59">
        <f>'Dec 02'!H145</f>
        <v>16801</v>
      </c>
      <c r="I143" s="28"/>
      <c r="J143" s="59">
        <f>'Dec 02'!J145</f>
        <v>1906</v>
      </c>
      <c r="K143" s="28"/>
      <c r="L143" s="59">
        <f>J143+H143</f>
        <v>18707</v>
      </c>
      <c r="M143" s="28"/>
      <c r="N143" s="6"/>
    </row>
    <row r="144" spans="1:14" ht="15.75">
      <c r="A144" s="27"/>
      <c r="B144" s="28" t="s">
        <v>104</v>
      </c>
      <c r="C144" s="28"/>
      <c r="D144" s="28"/>
      <c r="E144" s="28"/>
      <c r="F144" s="28"/>
      <c r="G144" s="28"/>
      <c r="H144" s="59">
        <v>6776</v>
      </c>
      <c r="I144" s="28"/>
      <c r="J144" s="59">
        <v>127</v>
      </c>
      <c r="K144" s="28"/>
      <c r="L144" s="59">
        <f>J144+H144</f>
        <v>6903</v>
      </c>
      <c r="M144" s="28"/>
      <c r="N144" s="6"/>
    </row>
    <row r="145" spans="1:14" ht="15.75">
      <c r="A145" s="27"/>
      <c r="B145" s="28" t="s">
        <v>105</v>
      </c>
      <c r="C145" s="28"/>
      <c r="D145" s="28"/>
      <c r="E145" s="28"/>
      <c r="F145" s="28"/>
      <c r="G145" s="28"/>
      <c r="H145" s="59">
        <f>H144+H143</f>
        <v>23577</v>
      </c>
      <c r="I145" s="28"/>
      <c r="J145" s="59">
        <f>J144+J143</f>
        <v>2033</v>
      </c>
      <c r="K145" s="28"/>
      <c r="L145" s="59">
        <f>J145+H145</f>
        <v>25610</v>
      </c>
      <c r="M145" s="28"/>
      <c r="N145" s="6"/>
    </row>
    <row r="146" spans="1:14" ht="15.75">
      <c r="A146" s="27"/>
      <c r="B146" s="28" t="s">
        <v>106</v>
      </c>
      <c r="C146" s="28"/>
      <c r="D146" s="28"/>
      <c r="E146" s="28"/>
      <c r="F146" s="28"/>
      <c r="G146" s="28"/>
      <c r="H146" s="59">
        <f>H142-H145-J145</f>
        <v>44390</v>
      </c>
      <c r="I146" s="28"/>
      <c r="J146" s="47"/>
      <c r="K146" s="28"/>
      <c r="L146" s="59"/>
      <c r="M146" s="28"/>
      <c r="N146" s="6"/>
    </row>
    <row r="147" spans="1:14" ht="7.5" customHeight="1">
      <c r="A147" s="27"/>
      <c r="B147" s="28"/>
      <c r="C147" s="28"/>
      <c r="D147" s="28"/>
      <c r="E147" s="28"/>
      <c r="F147" s="28"/>
      <c r="G147" s="28"/>
      <c r="H147" s="28"/>
      <c r="I147" s="28"/>
      <c r="J147" s="28"/>
      <c r="K147" s="28"/>
      <c r="L147" s="67"/>
      <c r="M147" s="28"/>
      <c r="N147" s="6"/>
    </row>
    <row r="148" spans="1:14" ht="9" customHeight="1">
      <c r="A148" s="2"/>
      <c r="B148" s="5"/>
      <c r="C148" s="5"/>
      <c r="D148" s="5"/>
      <c r="E148" s="5"/>
      <c r="F148" s="5"/>
      <c r="G148" s="5"/>
      <c r="H148" s="5"/>
      <c r="I148" s="5"/>
      <c r="J148" s="5"/>
      <c r="K148" s="5"/>
      <c r="L148" s="66"/>
      <c r="M148" s="5"/>
      <c r="N148" s="6"/>
    </row>
    <row r="149" spans="1:14" ht="15.75">
      <c r="A149" s="7"/>
      <c r="B149" s="138" t="s">
        <v>107</v>
      </c>
      <c r="C149" s="15"/>
      <c r="D149" s="9"/>
      <c r="E149" s="9"/>
      <c r="F149" s="9"/>
      <c r="G149" s="9"/>
      <c r="H149" s="9"/>
      <c r="I149" s="9"/>
      <c r="J149" s="9"/>
      <c r="K149" s="9"/>
      <c r="L149" s="73"/>
      <c r="M149" s="9"/>
      <c r="N149" s="6"/>
    </row>
    <row r="150" spans="1:14" ht="15.75">
      <c r="A150" s="27"/>
      <c r="B150" s="28" t="s">
        <v>108</v>
      </c>
      <c r="C150" s="28"/>
      <c r="D150" s="28"/>
      <c r="E150" s="28"/>
      <c r="F150" s="28"/>
      <c r="G150" s="28"/>
      <c r="H150" s="28"/>
      <c r="I150" s="28"/>
      <c r="J150" s="28"/>
      <c r="K150" s="28"/>
      <c r="L150" s="65">
        <f>(L82+L84+L85+L86+L87)/-L88</f>
        <v>1.4350090579710144</v>
      </c>
      <c r="M150" s="28" t="s">
        <v>196</v>
      </c>
      <c r="N150" s="6"/>
    </row>
    <row r="151" spans="1:14" ht="15.75">
      <c r="A151" s="27"/>
      <c r="B151" s="28" t="s">
        <v>109</v>
      </c>
      <c r="C151" s="28"/>
      <c r="D151" s="28"/>
      <c r="E151" s="28"/>
      <c r="F151" s="28"/>
      <c r="G151" s="28"/>
      <c r="H151" s="28"/>
      <c r="I151" s="28"/>
      <c r="J151" s="28"/>
      <c r="K151" s="28"/>
      <c r="L151" s="65">
        <v>1.34</v>
      </c>
      <c r="M151" s="28" t="s">
        <v>196</v>
      </c>
      <c r="N151" s="6"/>
    </row>
    <row r="152" spans="1:14" ht="15.75">
      <c r="A152" s="27"/>
      <c r="B152" s="28" t="s">
        <v>110</v>
      </c>
      <c r="C152" s="28"/>
      <c r="D152" s="28"/>
      <c r="E152" s="28"/>
      <c r="F152" s="28"/>
      <c r="G152" s="28"/>
      <c r="H152" s="28"/>
      <c r="I152" s="28"/>
      <c r="J152" s="28"/>
      <c r="K152" s="28"/>
      <c r="L152" s="65">
        <f>(L82+SUM(L84:L88))/-L89</f>
        <v>3.774066797642436</v>
      </c>
      <c r="M152" s="28" t="s">
        <v>196</v>
      </c>
      <c r="N152" s="6"/>
    </row>
    <row r="153" spans="1:14" ht="15.75">
      <c r="A153" s="27"/>
      <c r="B153" s="28" t="s">
        <v>111</v>
      </c>
      <c r="C153" s="28"/>
      <c r="D153" s="28"/>
      <c r="E153" s="28"/>
      <c r="F153" s="28"/>
      <c r="G153" s="28"/>
      <c r="H153" s="28"/>
      <c r="I153" s="28"/>
      <c r="J153" s="28"/>
      <c r="K153" s="28"/>
      <c r="L153" s="74">
        <v>3.14</v>
      </c>
      <c r="M153" s="28" t="s">
        <v>196</v>
      </c>
      <c r="N153" s="6"/>
    </row>
    <row r="154" spans="1:14" ht="12.75" customHeight="1">
      <c r="A154" s="27"/>
      <c r="B154" s="28"/>
      <c r="C154" s="28"/>
      <c r="D154" s="28"/>
      <c r="E154" s="28"/>
      <c r="F154" s="28"/>
      <c r="G154" s="28"/>
      <c r="H154" s="28"/>
      <c r="I154" s="28"/>
      <c r="J154" s="28"/>
      <c r="K154" s="28"/>
      <c r="L154" s="28"/>
      <c r="M154" s="28"/>
      <c r="N154" s="6"/>
    </row>
    <row r="155" spans="1:14" ht="12.75" customHeight="1">
      <c r="A155" s="7"/>
      <c r="B155" s="9"/>
      <c r="C155" s="9"/>
      <c r="D155" s="9"/>
      <c r="E155" s="9"/>
      <c r="F155" s="9"/>
      <c r="G155" s="9"/>
      <c r="H155" s="9"/>
      <c r="I155" s="9"/>
      <c r="J155" s="9"/>
      <c r="K155" s="9"/>
      <c r="L155" s="9"/>
      <c r="M155" s="9"/>
      <c r="N155" s="6"/>
    </row>
    <row r="156" spans="1:14" ht="15" customHeight="1" thickBot="1">
      <c r="A156" s="118"/>
      <c r="B156" s="119" t="str">
        <f>B106</f>
        <v>PM4 INVESTOR REPORT QUARTER ENDING MARCH 2003</v>
      </c>
      <c r="C156" s="120"/>
      <c r="D156" s="120"/>
      <c r="E156" s="120"/>
      <c r="F156" s="120"/>
      <c r="G156" s="120"/>
      <c r="H156" s="120"/>
      <c r="I156" s="120"/>
      <c r="J156" s="120"/>
      <c r="K156" s="120"/>
      <c r="L156" s="120"/>
      <c r="M156" s="123"/>
      <c r="N156" s="6"/>
    </row>
    <row r="157" spans="1:14" ht="15.75">
      <c r="A157" s="2"/>
      <c r="B157" s="75"/>
      <c r="C157" s="75"/>
      <c r="D157" s="75"/>
      <c r="E157" s="75"/>
      <c r="F157" s="75"/>
      <c r="G157" s="75"/>
      <c r="H157" s="75"/>
      <c r="I157" s="75"/>
      <c r="J157" s="75"/>
      <c r="K157" s="75"/>
      <c r="L157" s="75"/>
      <c r="M157" s="75"/>
      <c r="N157" s="6"/>
    </row>
    <row r="158" spans="1:14" ht="15.75">
      <c r="A158" s="76"/>
      <c r="B158" s="57" t="s">
        <v>112</v>
      </c>
      <c r="C158" s="77"/>
      <c r="D158" s="77"/>
      <c r="E158" s="77"/>
      <c r="F158" s="77"/>
      <c r="G158" s="21"/>
      <c r="H158" s="21"/>
      <c r="I158" s="21"/>
      <c r="J158" s="21">
        <v>37711</v>
      </c>
      <c r="K158" s="17"/>
      <c r="L158" s="17"/>
      <c r="M158" s="9"/>
      <c r="N158" s="6"/>
    </row>
    <row r="159" spans="1:14" ht="15.75">
      <c r="A159" s="78"/>
      <c r="B159" s="79"/>
      <c r="C159" s="80"/>
      <c r="D159" s="80"/>
      <c r="E159" s="80"/>
      <c r="F159" s="80"/>
      <c r="G159" s="81"/>
      <c r="H159" s="81"/>
      <c r="I159" s="81"/>
      <c r="J159" s="81"/>
      <c r="K159" s="9"/>
      <c r="L159" s="9"/>
      <c r="M159" s="9"/>
      <c r="N159" s="6"/>
    </row>
    <row r="160" spans="1:14" ht="15.75">
      <c r="A160" s="82"/>
      <c r="B160" s="83" t="s">
        <v>113</v>
      </c>
      <c r="C160" s="84"/>
      <c r="D160" s="84"/>
      <c r="E160" s="84"/>
      <c r="F160" s="84"/>
      <c r="G160" s="71"/>
      <c r="H160" s="71"/>
      <c r="I160" s="71"/>
      <c r="J160" s="85">
        <v>0.06</v>
      </c>
      <c r="K160" s="28"/>
      <c r="L160" s="28"/>
      <c r="M160" s="28"/>
      <c r="N160" s="6"/>
    </row>
    <row r="161" spans="1:14" ht="15.75">
      <c r="A161" s="82"/>
      <c r="B161" s="83" t="s">
        <v>114</v>
      </c>
      <c r="C161" s="84"/>
      <c r="D161" s="84"/>
      <c r="E161" s="84"/>
      <c r="F161" s="84"/>
      <c r="G161" s="71"/>
      <c r="H161" s="71"/>
      <c r="I161" s="71"/>
      <c r="J161" s="85">
        <v>0.0452</v>
      </c>
      <c r="K161" s="28"/>
      <c r="L161" s="28"/>
      <c r="M161" s="28"/>
      <c r="N161" s="6"/>
    </row>
    <row r="162" spans="1:14" ht="15.75">
      <c r="A162" s="82"/>
      <c r="B162" s="83" t="s">
        <v>115</v>
      </c>
      <c r="C162" s="84"/>
      <c r="D162" s="84"/>
      <c r="E162" s="84"/>
      <c r="F162" s="84"/>
      <c r="G162" s="71"/>
      <c r="H162" s="71"/>
      <c r="I162" s="71"/>
      <c r="J162" s="85">
        <f>J160-J161</f>
        <v>0.0148</v>
      </c>
      <c r="K162" s="28"/>
      <c r="L162" s="28"/>
      <c r="M162" s="28"/>
      <c r="N162" s="6"/>
    </row>
    <row r="163" spans="1:14" ht="15.75">
      <c r="A163" s="82"/>
      <c r="B163" s="83" t="s">
        <v>116</v>
      </c>
      <c r="C163" s="84"/>
      <c r="D163" s="84"/>
      <c r="E163" s="84"/>
      <c r="F163" s="84"/>
      <c r="G163" s="71"/>
      <c r="H163" s="71"/>
      <c r="I163" s="71"/>
      <c r="J163" s="85">
        <v>0.05912</v>
      </c>
      <c r="K163" s="28"/>
      <c r="L163" s="28"/>
      <c r="M163" s="28"/>
      <c r="N163" s="6"/>
    </row>
    <row r="164" spans="1:14" ht="15.75">
      <c r="A164" s="82"/>
      <c r="B164" s="83" t="s">
        <v>117</v>
      </c>
      <c r="C164" s="84"/>
      <c r="D164" s="84"/>
      <c r="E164" s="84"/>
      <c r="F164" s="84"/>
      <c r="G164" s="71"/>
      <c r="H164" s="71"/>
      <c r="I164" s="71"/>
      <c r="J164" s="85">
        <f>L35</f>
        <v>0.04316693314414482</v>
      </c>
      <c r="K164" s="28"/>
      <c r="L164" s="28"/>
      <c r="M164" s="28"/>
      <c r="N164" s="6"/>
    </row>
    <row r="165" spans="1:14" ht="15.75">
      <c r="A165" s="82"/>
      <c r="B165" s="83" t="s">
        <v>118</v>
      </c>
      <c r="C165" s="84"/>
      <c r="D165" s="84"/>
      <c r="E165" s="84"/>
      <c r="F165" s="84"/>
      <c r="G165" s="71"/>
      <c r="H165" s="71"/>
      <c r="I165" s="71"/>
      <c r="J165" s="85">
        <f>J163-J164</f>
        <v>0.01595306685585518</v>
      </c>
      <c r="K165" s="28"/>
      <c r="L165" s="28"/>
      <c r="M165" s="28"/>
      <c r="N165" s="6"/>
    </row>
    <row r="166" spans="1:14" ht="15.75">
      <c r="A166" s="82"/>
      <c r="B166" s="83" t="s">
        <v>119</v>
      </c>
      <c r="C166" s="84"/>
      <c r="D166" s="84"/>
      <c r="E166" s="84"/>
      <c r="F166" s="84"/>
      <c r="G166" s="71"/>
      <c r="H166" s="71"/>
      <c r="I166" s="71"/>
      <c r="J166" s="86" t="s">
        <v>183</v>
      </c>
      <c r="K166" s="28"/>
      <c r="L166" s="28"/>
      <c r="M166" s="28"/>
      <c r="N166" s="6"/>
    </row>
    <row r="167" spans="1:14" ht="15.75">
      <c r="A167" s="82"/>
      <c r="B167" s="83" t="s">
        <v>120</v>
      </c>
      <c r="C167" s="84"/>
      <c r="D167" s="84"/>
      <c r="E167" s="84"/>
      <c r="F167" s="84"/>
      <c r="G167" s="71"/>
      <c r="H167" s="71"/>
      <c r="I167" s="71"/>
      <c r="J167" s="86" t="s">
        <v>184</v>
      </c>
      <c r="K167" s="28"/>
      <c r="L167" s="28"/>
      <c r="M167" s="28"/>
      <c r="N167" s="6"/>
    </row>
    <row r="168" spans="1:14" ht="15.75">
      <c r="A168" s="82"/>
      <c r="B168" s="83" t="s">
        <v>121</v>
      </c>
      <c r="C168" s="84"/>
      <c r="D168" s="84"/>
      <c r="E168" s="84"/>
      <c r="F168" s="84"/>
      <c r="G168" s="71"/>
      <c r="H168" s="71"/>
      <c r="I168" s="71"/>
      <c r="J168" s="87">
        <v>20.2</v>
      </c>
      <c r="K168" s="28" t="s">
        <v>188</v>
      </c>
      <c r="L168" s="28"/>
      <c r="M168" s="28"/>
      <c r="N168" s="6"/>
    </row>
    <row r="169" spans="1:14" ht="15.75">
      <c r="A169" s="82"/>
      <c r="B169" s="83" t="s">
        <v>122</v>
      </c>
      <c r="C169" s="84"/>
      <c r="D169" s="84"/>
      <c r="E169" s="84"/>
      <c r="F169" s="84"/>
      <c r="G169" s="71"/>
      <c r="H169" s="71"/>
      <c r="I169" s="71"/>
      <c r="J169" s="87">
        <v>19.62</v>
      </c>
      <c r="K169" s="28" t="s">
        <v>188</v>
      </c>
      <c r="L169" s="28"/>
      <c r="M169" s="28"/>
      <c r="N169" s="6"/>
    </row>
    <row r="170" spans="1:14" ht="15.75">
      <c r="A170" s="82"/>
      <c r="B170" s="83" t="s">
        <v>123</v>
      </c>
      <c r="C170" s="84"/>
      <c r="D170" s="84"/>
      <c r="E170" s="84"/>
      <c r="F170" s="84"/>
      <c r="G170" s="71"/>
      <c r="H170" s="71"/>
      <c r="I170" s="71"/>
      <c r="J170" s="85">
        <f>F58/'Dec 02'!L58</f>
        <v>0.03336323063789321</v>
      </c>
      <c r="K170" s="28"/>
      <c r="L170" s="28"/>
      <c r="M170" s="28"/>
      <c r="N170" s="6"/>
    </row>
    <row r="171" spans="1:14" ht="15.75">
      <c r="A171" s="82"/>
      <c r="B171" s="83" t="s">
        <v>124</v>
      </c>
      <c r="C171" s="84"/>
      <c r="D171" s="84"/>
      <c r="E171" s="84"/>
      <c r="F171" s="84"/>
      <c r="G171" s="71"/>
      <c r="H171" s="71"/>
      <c r="I171" s="71"/>
      <c r="J171" s="85">
        <v>0.1402</v>
      </c>
      <c r="K171" s="28"/>
      <c r="L171" s="28"/>
      <c r="M171" s="28"/>
      <c r="N171" s="6"/>
    </row>
    <row r="172" spans="1:14" ht="15.75">
      <c r="A172" s="82"/>
      <c r="B172" s="83"/>
      <c r="C172" s="83"/>
      <c r="D172" s="83"/>
      <c r="E172" s="83"/>
      <c r="F172" s="83"/>
      <c r="G172" s="28"/>
      <c r="H172" s="28"/>
      <c r="I172" s="28"/>
      <c r="J172" s="67"/>
      <c r="K172" s="28"/>
      <c r="L172" s="88"/>
      <c r="M172" s="28"/>
      <c r="N172" s="6"/>
    </row>
    <row r="173" spans="1:14" ht="15.75">
      <c r="A173" s="89"/>
      <c r="B173" s="16" t="s">
        <v>125</v>
      </c>
      <c r="C173" s="90"/>
      <c r="D173" s="91"/>
      <c r="E173" s="90"/>
      <c r="F173" s="91"/>
      <c r="G173" s="90"/>
      <c r="H173" s="91"/>
      <c r="I173" s="19" t="s">
        <v>175</v>
      </c>
      <c r="J173" s="92" t="s">
        <v>185</v>
      </c>
      <c r="K173" s="17"/>
      <c r="L173" s="9"/>
      <c r="M173" s="9"/>
      <c r="N173" s="6"/>
    </row>
    <row r="174" spans="1:14" ht="15.75">
      <c r="A174" s="93"/>
      <c r="B174" s="83" t="s">
        <v>126</v>
      </c>
      <c r="C174" s="60"/>
      <c r="D174" s="60"/>
      <c r="E174" s="60"/>
      <c r="F174" s="28"/>
      <c r="G174" s="28"/>
      <c r="H174" s="28"/>
      <c r="I174" s="29">
        <v>17</v>
      </c>
      <c r="J174" s="94">
        <v>520</v>
      </c>
      <c r="K174" s="28"/>
      <c r="L174" s="88"/>
      <c r="M174" s="95"/>
      <c r="N174" s="6"/>
    </row>
    <row r="175" spans="1:14" ht="15.75">
      <c r="A175" s="93"/>
      <c r="B175" s="83" t="s">
        <v>127</v>
      </c>
      <c r="C175" s="60"/>
      <c r="D175" s="60"/>
      <c r="E175" s="60"/>
      <c r="F175" s="28"/>
      <c r="G175" s="28"/>
      <c r="H175" s="28"/>
      <c r="I175" s="29">
        <v>2</v>
      </c>
      <c r="J175" s="94">
        <v>64</v>
      </c>
      <c r="K175" s="28"/>
      <c r="L175" s="88"/>
      <c r="M175" s="95"/>
      <c r="N175" s="6"/>
    </row>
    <row r="176" spans="1:14" ht="15.75">
      <c r="A176" s="93"/>
      <c r="B176" s="141" t="s">
        <v>128</v>
      </c>
      <c r="C176" s="60"/>
      <c r="D176" s="60"/>
      <c r="E176" s="60"/>
      <c r="F176" s="28"/>
      <c r="G176" s="28"/>
      <c r="H176" s="28"/>
      <c r="I176" s="28"/>
      <c r="J176" s="94">
        <v>0</v>
      </c>
      <c r="K176" s="28"/>
      <c r="L176" s="88"/>
      <c r="M176" s="95"/>
      <c r="N176" s="6"/>
    </row>
    <row r="177" spans="1:14" ht="15.75">
      <c r="A177" s="93"/>
      <c r="B177" s="141" t="s">
        <v>129</v>
      </c>
      <c r="C177" s="60"/>
      <c r="D177" s="60"/>
      <c r="E177" s="60"/>
      <c r="F177" s="28"/>
      <c r="G177" s="28"/>
      <c r="H177" s="28"/>
      <c r="I177" s="28"/>
      <c r="J177" s="94">
        <v>77991</v>
      </c>
      <c r="K177" s="28"/>
      <c r="L177" s="88"/>
      <c r="M177" s="95"/>
      <c r="N177" s="6"/>
    </row>
    <row r="178" spans="1:14" ht="15.75">
      <c r="A178" s="96"/>
      <c r="B178" s="141" t="s">
        <v>130</v>
      </c>
      <c r="C178" s="60"/>
      <c r="D178" s="83"/>
      <c r="E178" s="83"/>
      <c r="F178" s="83"/>
      <c r="G178" s="28"/>
      <c r="H178" s="28"/>
      <c r="I178" s="28"/>
      <c r="J178" s="94">
        <v>0</v>
      </c>
      <c r="K178" s="28"/>
      <c r="L178" s="88"/>
      <c r="M178" s="97"/>
      <c r="N178" s="6"/>
    </row>
    <row r="179" spans="1:14" ht="15.75">
      <c r="A179" s="93"/>
      <c r="B179" s="83" t="s">
        <v>131</v>
      </c>
      <c r="C179" s="60"/>
      <c r="D179" s="60"/>
      <c r="E179" s="60"/>
      <c r="F179" s="60"/>
      <c r="G179" s="28"/>
      <c r="H179" s="28"/>
      <c r="I179" s="28"/>
      <c r="J179" s="94">
        <v>0</v>
      </c>
      <c r="K179" s="28"/>
      <c r="L179" s="88"/>
      <c r="M179" s="97"/>
      <c r="N179" s="6"/>
    </row>
    <row r="180" spans="1:14" ht="15.75">
      <c r="A180" s="93"/>
      <c r="B180" s="83" t="s">
        <v>132</v>
      </c>
      <c r="C180" s="60"/>
      <c r="D180" s="60"/>
      <c r="E180" s="60"/>
      <c r="F180" s="60"/>
      <c r="G180" s="28"/>
      <c r="H180" s="28"/>
      <c r="I180" s="28"/>
      <c r="J180" s="94">
        <v>0</v>
      </c>
      <c r="K180" s="28"/>
      <c r="L180" s="88"/>
      <c r="M180" s="97"/>
      <c r="N180" s="6"/>
    </row>
    <row r="181" spans="1:14" ht="15.75">
      <c r="A181" s="93"/>
      <c r="B181" s="83" t="s">
        <v>133</v>
      </c>
      <c r="C181" s="60"/>
      <c r="D181" s="60"/>
      <c r="E181" s="60"/>
      <c r="F181" s="60"/>
      <c r="G181" s="28"/>
      <c r="H181" s="28"/>
      <c r="I181" s="28"/>
      <c r="J181" s="94">
        <v>0</v>
      </c>
      <c r="K181" s="28"/>
      <c r="L181" s="88"/>
      <c r="M181" s="97"/>
      <c r="N181" s="6"/>
    </row>
    <row r="182" spans="1:14" ht="15.75">
      <c r="A182" s="96"/>
      <c r="B182" s="141" t="s">
        <v>134</v>
      </c>
      <c r="C182" s="60"/>
      <c r="D182" s="83"/>
      <c r="E182" s="83"/>
      <c r="F182" s="83"/>
      <c r="G182" s="28"/>
      <c r="H182" s="28"/>
      <c r="I182" s="28"/>
      <c r="J182" s="94"/>
      <c r="K182" s="28"/>
      <c r="L182" s="88"/>
      <c r="M182" s="97"/>
      <c r="N182" s="6"/>
    </row>
    <row r="183" spans="1:14" ht="15.75">
      <c r="A183" s="96"/>
      <c r="B183" s="83" t="s">
        <v>135</v>
      </c>
      <c r="C183" s="60"/>
      <c r="D183" s="83"/>
      <c r="E183" s="83"/>
      <c r="F183" s="83"/>
      <c r="G183" s="28"/>
      <c r="H183" s="28"/>
      <c r="I183" s="28"/>
      <c r="J183" s="94">
        <v>0</v>
      </c>
      <c r="K183" s="28"/>
      <c r="L183" s="88"/>
      <c r="M183" s="97"/>
      <c r="N183" s="6"/>
    </row>
    <row r="184" spans="1:14" ht="15.75">
      <c r="A184" s="93"/>
      <c r="B184" s="83" t="s">
        <v>136</v>
      </c>
      <c r="C184" s="60"/>
      <c r="D184" s="98"/>
      <c r="E184" s="98"/>
      <c r="F184" s="99"/>
      <c r="G184" s="28"/>
      <c r="H184" s="28"/>
      <c r="I184" s="28"/>
      <c r="J184" s="94">
        <v>0</v>
      </c>
      <c r="K184" s="28"/>
      <c r="L184" s="88"/>
      <c r="M184" s="97"/>
      <c r="N184" s="6"/>
    </row>
    <row r="185" spans="1:14" ht="15.75">
      <c r="A185" s="93"/>
      <c r="B185" s="83" t="s">
        <v>137</v>
      </c>
      <c r="C185" s="60"/>
      <c r="D185" s="98"/>
      <c r="E185" s="98"/>
      <c r="F185" s="99"/>
      <c r="G185" s="28"/>
      <c r="H185" s="28"/>
      <c r="I185" s="28"/>
      <c r="J185" s="94">
        <v>0</v>
      </c>
      <c r="K185" s="28"/>
      <c r="L185" s="88"/>
      <c r="M185" s="97"/>
      <c r="N185" s="6"/>
    </row>
    <row r="186" spans="1:14" ht="15.75">
      <c r="A186" s="93"/>
      <c r="B186" s="83" t="s">
        <v>138</v>
      </c>
      <c r="C186" s="60"/>
      <c r="D186" s="100"/>
      <c r="E186" s="98"/>
      <c r="F186" s="99"/>
      <c r="G186" s="28"/>
      <c r="H186" s="28"/>
      <c r="I186" s="28"/>
      <c r="J186" s="101">
        <v>0</v>
      </c>
      <c r="K186" s="28"/>
      <c r="L186" s="88"/>
      <c r="M186" s="97"/>
      <c r="N186" s="6"/>
    </row>
    <row r="187" spans="1:14" ht="15.75">
      <c r="A187" s="93"/>
      <c r="B187" s="83"/>
      <c r="C187" s="60"/>
      <c r="D187" s="100"/>
      <c r="E187" s="98"/>
      <c r="F187" s="99"/>
      <c r="G187" s="28"/>
      <c r="H187" s="28"/>
      <c r="I187" s="28"/>
      <c r="J187" s="101"/>
      <c r="K187" s="28"/>
      <c r="L187" s="88"/>
      <c r="M187" s="97"/>
      <c r="N187" s="6"/>
    </row>
    <row r="188" spans="1:14" ht="15.75">
      <c r="A188" s="7"/>
      <c r="B188" s="16" t="s">
        <v>139</v>
      </c>
      <c r="C188" s="19"/>
      <c r="D188" s="92"/>
      <c r="E188" s="19"/>
      <c r="F188" s="92"/>
      <c r="G188" s="19"/>
      <c r="H188" s="92" t="s">
        <v>175</v>
      </c>
      <c r="I188" s="19" t="s">
        <v>176</v>
      </c>
      <c r="J188" s="92" t="s">
        <v>186</v>
      </c>
      <c r="K188" s="19" t="s">
        <v>176</v>
      </c>
      <c r="L188" s="17"/>
      <c r="M188" s="102"/>
      <c r="N188" s="6"/>
    </row>
    <row r="189" spans="1:14" ht="15.75">
      <c r="A189" s="27"/>
      <c r="B189" s="60" t="s">
        <v>140</v>
      </c>
      <c r="C189" s="103"/>
      <c r="D189" s="60"/>
      <c r="E189" s="103"/>
      <c r="F189" s="28"/>
      <c r="G189" s="103"/>
      <c r="H189" s="60">
        <v>6531</v>
      </c>
      <c r="I189" s="105">
        <f>H189/H194</f>
        <v>0.9904458598726115</v>
      </c>
      <c r="J189" s="59">
        <v>451743</v>
      </c>
      <c r="K189" s="143">
        <f>J189/J194</f>
        <v>0.9946758968735757</v>
      </c>
      <c r="L189" s="88"/>
      <c r="M189" s="97"/>
      <c r="N189" s="6"/>
    </row>
    <row r="190" spans="1:14" ht="15.75">
      <c r="A190" s="27"/>
      <c r="B190" s="60" t="s">
        <v>141</v>
      </c>
      <c r="C190" s="103"/>
      <c r="D190" s="60"/>
      <c r="E190" s="103"/>
      <c r="F190" s="28"/>
      <c r="G190" s="105"/>
      <c r="H190" s="60">
        <v>34</v>
      </c>
      <c r="I190" s="105">
        <f>H190/H194</f>
        <v>0.005156202608431908</v>
      </c>
      <c r="J190" s="59">
        <v>1332</v>
      </c>
      <c r="K190" s="143">
        <f>J190/J194</f>
        <v>0.002932880630437224</v>
      </c>
      <c r="L190" s="88"/>
      <c r="M190" s="97"/>
      <c r="N190" s="6"/>
    </row>
    <row r="191" spans="1:14" ht="15.75">
      <c r="A191" s="27"/>
      <c r="B191" s="60" t="s">
        <v>142</v>
      </c>
      <c r="C191" s="103"/>
      <c r="D191" s="60"/>
      <c r="E191" s="103"/>
      <c r="F191" s="28"/>
      <c r="G191" s="105"/>
      <c r="H191" s="60">
        <v>8</v>
      </c>
      <c r="I191" s="105">
        <f>H191/H194</f>
        <v>0.001213224143160449</v>
      </c>
      <c r="J191" s="59">
        <v>285</v>
      </c>
      <c r="K191" s="143">
        <f>J191/J194</f>
        <v>0.0006275307655214781</v>
      </c>
      <c r="L191" s="88"/>
      <c r="M191" s="97"/>
      <c r="N191" s="6"/>
    </row>
    <row r="192" spans="1:14" ht="15.75">
      <c r="A192" s="27"/>
      <c r="B192" s="60" t="s">
        <v>143</v>
      </c>
      <c r="C192" s="103"/>
      <c r="D192" s="60"/>
      <c r="E192" s="103"/>
      <c r="F192" s="28"/>
      <c r="G192" s="105"/>
      <c r="H192" s="60">
        <f>7+3+4+7</f>
        <v>21</v>
      </c>
      <c r="I192" s="105">
        <f>H192/H194</f>
        <v>0.0031847133757961785</v>
      </c>
      <c r="J192" s="59">
        <f>442+77+100+182</f>
        <v>801</v>
      </c>
      <c r="K192" s="143">
        <f>J192/$J194</f>
        <v>0.0017636917304656278</v>
      </c>
      <c r="L192" s="88"/>
      <c r="M192" s="97"/>
      <c r="N192" s="6"/>
    </row>
    <row r="193" spans="1:14" ht="15.75">
      <c r="A193" s="27"/>
      <c r="B193" s="60"/>
      <c r="C193" s="106"/>
      <c r="D193" s="95"/>
      <c r="E193" s="106"/>
      <c r="F193" s="28"/>
      <c r="G193" s="106"/>
      <c r="H193" s="95"/>
      <c r="I193" s="106"/>
      <c r="J193" s="59"/>
      <c r="K193" s="104"/>
      <c r="L193" s="88"/>
      <c r="M193" s="97"/>
      <c r="N193" s="6"/>
    </row>
    <row r="194" spans="1:14" ht="15.75">
      <c r="A194" s="27"/>
      <c r="B194" s="28"/>
      <c r="C194" s="28"/>
      <c r="D194" s="28"/>
      <c r="E194" s="28"/>
      <c r="F194" s="28"/>
      <c r="G194" s="28"/>
      <c r="H194" s="38">
        <f>SUM(H189:H192)</f>
        <v>6594</v>
      </c>
      <c r="I194" s="107">
        <f>SUM(I189:I193)</f>
        <v>1</v>
      </c>
      <c r="J194" s="59">
        <f>SUM(J189:J193)</f>
        <v>454161</v>
      </c>
      <c r="K194" s="107">
        <f>SUM(K189:K193)</f>
        <v>1</v>
      </c>
      <c r="L194" s="28"/>
      <c r="M194" s="28"/>
      <c r="N194" s="6"/>
    </row>
    <row r="195" spans="1:14" ht="15.75">
      <c r="A195" s="27"/>
      <c r="B195" s="28"/>
      <c r="C195" s="28"/>
      <c r="D195" s="28"/>
      <c r="E195" s="28"/>
      <c r="F195" s="28"/>
      <c r="G195" s="28"/>
      <c r="H195" s="38"/>
      <c r="I195" s="107"/>
      <c r="J195" s="59"/>
      <c r="K195" s="107"/>
      <c r="L195" s="28"/>
      <c r="M195" s="28"/>
      <c r="N195" s="6"/>
    </row>
    <row r="196" spans="1:14" ht="15.75">
      <c r="A196" s="7"/>
      <c r="B196" s="9"/>
      <c r="C196" s="9"/>
      <c r="D196" s="9"/>
      <c r="E196" s="9"/>
      <c r="F196" s="9"/>
      <c r="G196" s="9"/>
      <c r="H196" s="61"/>
      <c r="I196" s="108"/>
      <c r="J196" s="109"/>
      <c r="K196" s="108"/>
      <c r="L196" s="9"/>
      <c r="M196" s="9"/>
      <c r="N196" s="6"/>
    </row>
    <row r="197" spans="1:14" ht="15.75">
      <c r="A197" s="110"/>
      <c r="B197" s="16" t="s">
        <v>144</v>
      </c>
      <c r="C197" s="111"/>
      <c r="D197" s="19" t="s">
        <v>152</v>
      </c>
      <c r="E197" s="17"/>
      <c r="F197" s="16" t="s">
        <v>164</v>
      </c>
      <c r="G197" s="112"/>
      <c r="H197" s="112"/>
      <c r="I197" s="112"/>
      <c r="J197" s="14"/>
      <c r="K197" s="14"/>
      <c r="L197" s="14"/>
      <c r="M197" s="14"/>
      <c r="N197" s="6"/>
    </row>
    <row r="198" spans="1:14" ht="15.75">
      <c r="A198" s="113"/>
      <c r="B198" s="14"/>
      <c r="C198" s="14"/>
      <c r="D198" s="9"/>
      <c r="E198" s="9"/>
      <c r="F198" s="9"/>
      <c r="G198" s="14"/>
      <c r="H198" s="14"/>
      <c r="I198" s="14"/>
      <c r="J198" s="14"/>
      <c r="K198" s="14"/>
      <c r="L198" s="14"/>
      <c r="M198" s="14"/>
      <c r="N198" s="6"/>
    </row>
    <row r="199" spans="1:14" ht="15.75">
      <c r="A199" s="113"/>
      <c r="B199" s="15" t="s">
        <v>145</v>
      </c>
      <c r="C199" s="114"/>
      <c r="D199" s="115" t="s">
        <v>153</v>
      </c>
      <c r="E199" s="15"/>
      <c r="F199" s="15" t="s">
        <v>165</v>
      </c>
      <c r="G199" s="114"/>
      <c r="H199" s="114"/>
      <c r="I199" s="14"/>
      <c r="J199" s="14"/>
      <c r="K199" s="14"/>
      <c r="L199" s="14"/>
      <c r="M199" s="14"/>
      <c r="N199" s="6"/>
    </row>
    <row r="200" spans="1:14" ht="15.75">
      <c r="A200" s="113"/>
      <c r="B200" s="15" t="s">
        <v>146</v>
      </c>
      <c r="C200" s="114"/>
      <c r="D200" s="115" t="s">
        <v>154</v>
      </c>
      <c r="E200" s="15"/>
      <c r="F200" s="15" t="s">
        <v>166</v>
      </c>
      <c r="G200" s="114"/>
      <c r="H200" s="114"/>
      <c r="I200" s="14"/>
      <c r="J200" s="14"/>
      <c r="K200" s="14"/>
      <c r="L200" s="14"/>
      <c r="M200" s="14"/>
      <c r="N200" s="6"/>
    </row>
    <row r="201" spans="1:14" ht="15.75">
      <c r="A201" s="113"/>
      <c r="B201" s="15"/>
      <c r="C201" s="114"/>
      <c r="D201" s="115"/>
      <c r="E201" s="15"/>
      <c r="F201" s="15"/>
      <c r="G201" s="114"/>
      <c r="H201" s="114"/>
      <c r="I201" s="14"/>
      <c r="J201" s="14"/>
      <c r="K201" s="14"/>
      <c r="L201" s="14"/>
      <c r="M201" s="14"/>
      <c r="N201" s="6"/>
    </row>
    <row r="202" spans="1:14" ht="15.75">
      <c r="A202" s="113"/>
      <c r="B202" s="15"/>
      <c r="C202" s="114"/>
      <c r="D202" s="115"/>
      <c r="E202" s="15"/>
      <c r="F202" s="15"/>
      <c r="G202" s="114"/>
      <c r="H202" s="114"/>
      <c r="I202" s="14"/>
      <c r="J202" s="14"/>
      <c r="K202" s="14"/>
      <c r="L202" s="14"/>
      <c r="M202" s="14"/>
      <c r="N202" s="6"/>
    </row>
    <row r="203" spans="1:14" ht="18.75">
      <c r="A203" s="113"/>
      <c r="B203" s="55" t="str">
        <f>B156</f>
        <v>PM4 INVESTOR REPORT QUARTER ENDING MARCH 2003</v>
      </c>
      <c r="C203" s="114"/>
      <c r="D203" s="115"/>
      <c r="E203" s="15"/>
      <c r="F203" s="15"/>
      <c r="G203" s="114"/>
      <c r="H203" s="114"/>
      <c r="I203" s="14"/>
      <c r="J203" s="14"/>
      <c r="K203" s="14"/>
      <c r="L203" s="14"/>
      <c r="M203" s="14"/>
      <c r="N203" s="6"/>
    </row>
    <row r="204" spans="1:13" ht="15">
      <c r="A204" s="116"/>
      <c r="B204" s="116"/>
      <c r="C204" s="116"/>
      <c r="D204" s="116"/>
      <c r="E204" s="116"/>
      <c r="F204" s="116"/>
      <c r="G204" s="116"/>
      <c r="H204" s="116"/>
      <c r="I204" s="116"/>
      <c r="J204" s="116"/>
      <c r="K204" s="116"/>
      <c r="L204" s="116"/>
      <c r="M204" s="116"/>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3" max="255" man="1"/>
    <brk id="106" max="255" man="1"/>
    <brk id="156" max="255" man="1"/>
  </rowBreaks>
  <drawing r:id="rId1"/>
</worksheet>
</file>

<file path=xl/worksheets/sheet5.xml><?xml version="1.0" encoding="utf-8"?>
<worksheet xmlns="http://schemas.openxmlformats.org/spreadsheetml/2006/main" xmlns:r="http://schemas.openxmlformats.org/officeDocument/2006/relationships">
  <dimension ref="A1:N20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0.7773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4"/>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189</v>
      </c>
      <c r="M14" s="17"/>
      <c r="N14" s="6"/>
    </row>
    <row r="15" spans="1:14" ht="15.75">
      <c r="A15" s="7"/>
      <c r="B15" s="16" t="s">
        <v>8</v>
      </c>
      <c r="C15" s="16"/>
      <c r="D15" s="17"/>
      <c r="E15" s="17"/>
      <c r="F15" s="17"/>
      <c r="G15" s="17"/>
      <c r="H15" s="19"/>
      <c r="I15" s="20"/>
      <c r="J15" s="19" t="s">
        <v>177</v>
      </c>
      <c r="K15" s="20">
        <v>1</v>
      </c>
      <c r="L15" s="18"/>
      <c r="M15" s="17"/>
      <c r="N15" s="6"/>
    </row>
    <row r="16" spans="1:14" ht="15.75">
      <c r="A16" s="7"/>
      <c r="B16" s="16" t="s">
        <v>9</v>
      </c>
      <c r="C16" s="16"/>
      <c r="D16" s="17"/>
      <c r="E16" s="17"/>
      <c r="F16" s="17"/>
      <c r="G16" s="17"/>
      <c r="H16" s="19"/>
      <c r="I16" s="20"/>
      <c r="J16" s="19" t="s">
        <v>177</v>
      </c>
      <c r="K16" s="20">
        <v>1</v>
      </c>
      <c r="L16" s="18"/>
      <c r="M16" s="17"/>
      <c r="N16" s="6"/>
    </row>
    <row r="17" spans="1:14" ht="15.75">
      <c r="A17" s="7"/>
      <c r="B17" s="16" t="s">
        <v>10</v>
      </c>
      <c r="C17" s="16"/>
      <c r="D17" s="17"/>
      <c r="E17" s="17"/>
      <c r="F17" s="17"/>
      <c r="G17" s="17"/>
      <c r="H17" s="17"/>
      <c r="I17" s="17"/>
      <c r="J17" s="17"/>
      <c r="K17" s="17"/>
      <c r="L17" s="21">
        <v>37342</v>
      </c>
      <c r="M17" s="17"/>
      <c r="N17" s="6"/>
    </row>
    <row r="18" spans="1:14" ht="15.75">
      <c r="A18" s="7"/>
      <c r="B18" s="16" t="s">
        <v>11</v>
      </c>
      <c r="C18" s="16"/>
      <c r="D18" s="17"/>
      <c r="E18" s="17"/>
      <c r="F18" s="17"/>
      <c r="G18" s="17"/>
      <c r="H18" s="17"/>
      <c r="I18" s="17"/>
      <c r="J18" s="17"/>
      <c r="K18" s="17"/>
      <c r="L18" s="21">
        <v>37824</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178</v>
      </c>
      <c r="K20" s="9"/>
      <c r="L20" s="14"/>
      <c r="M20" s="9"/>
      <c r="N20" s="6"/>
    </row>
    <row r="21" spans="1:14" ht="15.75">
      <c r="A21" s="7"/>
      <c r="B21" s="9"/>
      <c r="C21" s="9"/>
      <c r="D21" s="9"/>
      <c r="E21" s="9"/>
      <c r="F21" s="9"/>
      <c r="G21" s="9"/>
      <c r="H21" s="9"/>
      <c r="I21" s="9"/>
      <c r="J21" s="9"/>
      <c r="K21" s="9"/>
      <c r="L21" s="24"/>
      <c r="M21" s="9"/>
      <c r="N21" s="6"/>
    </row>
    <row r="22" spans="1:14" ht="15.75">
      <c r="A22" s="7"/>
      <c r="B22" s="9"/>
      <c r="C22" s="132" t="s">
        <v>147</v>
      </c>
      <c r="D22" s="25"/>
      <c r="E22" s="25"/>
      <c r="F22" s="133" t="s">
        <v>155</v>
      </c>
      <c r="G22" s="133"/>
      <c r="H22" s="133" t="s">
        <v>167</v>
      </c>
      <c r="I22" s="26"/>
      <c r="J22" s="25"/>
      <c r="K22" s="14"/>
      <c r="L22" s="14"/>
      <c r="M22" s="9"/>
      <c r="N22" s="6"/>
    </row>
    <row r="23" spans="1:14" ht="15.75">
      <c r="A23" s="7"/>
      <c r="B23" s="9" t="s">
        <v>13</v>
      </c>
      <c r="C23" s="132" t="s">
        <v>148</v>
      </c>
      <c r="D23" s="25"/>
      <c r="E23" s="25"/>
      <c r="F23" s="25" t="s">
        <v>156</v>
      </c>
      <c r="G23" s="25"/>
      <c r="H23" s="25" t="s">
        <v>168</v>
      </c>
      <c r="I23" s="25"/>
      <c r="J23" s="25"/>
      <c r="K23" s="14"/>
      <c r="L23" s="14"/>
      <c r="M23" s="9"/>
      <c r="N23" s="6"/>
    </row>
    <row r="24" spans="1:14" ht="15.75">
      <c r="A24" s="27"/>
      <c r="B24" s="28" t="s">
        <v>14</v>
      </c>
      <c r="C24" s="29"/>
      <c r="D24" s="30"/>
      <c r="E24" s="30"/>
      <c r="F24" s="30" t="s">
        <v>157</v>
      </c>
      <c r="G24" s="30"/>
      <c r="H24" s="30" t="s">
        <v>169</v>
      </c>
      <c r="I24" s="30"/>
      <c r="J24" s="30"/>
      <c r="K24" s="31"/>
      <c r="L24" s="31"/>
      <c r="M24" s="28"/>
      <c r="N24" s="6"/>
    </row>
    <row r="25" spans="1:14" ht="15.75">
      <c r="A25" s="27"/>
      <c r="B25" s="28" t="s">
        <v>15</v>
      </c>
      <c r="C25" s="29"/>
      <c r="D25" s="30"/>
      <c r="E25" s="30"/>
      <c r="F25" s="30" t="s">
        <v>157</v>
      </c>
      <c r="G25" s="30"/>
      <c r="H25" s="30" t="s">
        <v>169</v>
      </c>
      <c r="I25" s="30"/>
      <c r="J25" s="30"/>
      <c r="K25" s="31"/>
      <c r="L25" s="31"/>
      <c r="M25" s="28"/>
      <c r="N25" s="6"/>
    </row>
    <row r="26" spans="1:14" ht="15.75">
      <c r="A26" s="32"/>
      <c r="B26" s="33" t="s">
        <v>16</v>
      </c>
      <c r="C26" s="33"/>
      <c r="D26" s="34"/>
      <c r="E26" s="34"/>
      <c r="F26" s="34" t="s">
        <v>156</v>
      </c>
      <c r="G26" s="34"/>
      <c r="H26" s="34" t="s">
        <v>168</v>
      </c>
      <c r="I26" s="34"/>
      <c r="J26" s="30"/>
      <c r="K26" s="31"/>
      <c r="L26" s="31"/>
      <c r="M26" s="28"/>
      <c r="N26" s="6"/>
    </row>
    <row r="27" spans="1:14" ht="15.75">
      <c r="A27" s="32"/>
      <c r="B27" s="33" t="s">
        <v>17</v>
      </c>
      <c r="C27" s="33"/>
      <c r="D27" s="34"/>
      <c r="E27" s="34"/>
      <c r="F27" s="34" t="s">
        <v>157</v>
      </c>
      <c r="G27" s="34"/>
      <c r="H27" s="34" t="s">
        <v>169</v>
      </c>
      <c r="I27" s="34"/>
      <c r="J27" s="30"/>
      <c r="K27" s="31"/>
      <c r="L27" s="31"/>
      <c r="M27" s="28"/>
      <c r="N27" s="6"/>
    </row>
    <row r="28" spans="1:14" ht="15.75">
      <c r="A28" s="32"/>
      <c r="B28" s="33" t="s">
        <v>18</v>
      </c>
      <c r="C28" s="33"/>
      <c r="D28" s="34"/>
      <c r="E28" s="34"/>
      <c r="F28" s="34" t="s">
        <v>157</v>
      </c>
      <c r="G28" s="34"/>
      <c r="H28" s="34" t="s">
        <v>169</v>
      </c>
      <c r="I28" s="34"/>
      <c r="J28" s="30"/>
      <c r="K28" s="31"/>
      <c r="L28" s="31"/>
      <c r="M28" s="28"/>
      <c r="N28" s="6"/>
    </row>
    <row r="29" spans="1:14" ht="15.75">
      <c r="A29" s="27"/>
      <c r="B29" s="28" t="s">
        <v>19</v>
      </c>
      <c r="C29" s="28"/>
      <c r="D29" s="29"/>
      <c r="E29" s="30"/>
      <c r="F29" s="29" t="s">
        <v>158</v>
      </c>
      <c r="G29" s="30"/>
      <c r="H29" s="29" t="s">
        <v>170</v>
      </c>
      <c r="I29" s="30"/>
      <c r="J29" s="29"/>
      <c r="K29" s="31"/>
      <c r="L29" s="31"/>
      <c r="M29" s="28"/>
      <c r="N29" s="6"/>
    </row>
    <row r="30" spans="1:14" ht="15.75">
      <c r="A30" s="27"/>
      <c r="B30" s="28"/>
      <c r="C30" s="28"/>
      <c r="D30" s="28"/>
      <c r="E30" s="30"/>
      <c r="F30" s="30"/>
      <c r="G30" s="30"/>
      <c r="H30" s="30"/>
      <c r="I30" s="30"/>
      <c r="J30" s="30"/>
      <c r="K30" s="31"/>
      <c r="L30" s="31"/>
      <c r="M30" s="28"/>
      <c r="N30" s="6"/>
    </row>
    <row r="31" spans="1:14" ht="15.75">
      <c r="A31" s="27"/>
      <c r="B31" s="28" t="s">
        <v>20</v>
      </c>
      <c r="C31" s="28"/>
      <c r="D31" s="35"/>
      <c r="E31" s="36"/>
      <c r="F31" s="35">
        <v>457500</v>
      </c>
      <c r="G31" s="35"/>
      <c r="H31" s="35">
        <v>42500</v>
      </c>
      <c r="I31" s="35"/>
      <c r="J31" s="35"/>
      <c r="K31" s="37"/>
      <c r="L31" s="35">
        <f>H31+F31</f>
        <v>500000</v>
      </c>
      <c r="M31" s="38"/>
      <c r="N31" s="6"/>
    </row>
    <row r="32" spans="1:14" ht="15.75">
      <c r="A32" s="27"/>
      <c r="B32" s="28" t="s">
        <v>21</v>
      </c>
      <c r="C32" s="39">
        <v>0.899805</v>
      </c>
      <c r="D32" s="35"/>
      <c r="E32" s="36"/>
      <c r="F32" s="35">
        <f>F31*C32</f>
        <v>411660.7875</v>
      </c>
      <c r="G32" s="35"/>
      <c r="H32" s="35">
        <v>42500</v>
      </c>
      <c r="I32" s="35"/>
      <c r="J32" s="35"/>
      <c r="K32" s="37"/>
      <c r="L32" s="35">
        <f>H32+F32</f>
        <v>454160.7875</v>
      </c>
      <c r="M32" s="38"/>
      <c r="N32" s="6"/>
    </row>
    <row r="33" spans="1:14" ht="12.75" customHeight="1">
      <c r="A33" s="32"/>
      <c r="B33" s="33" t="s">
        <v>22</v>
      </c>
      <c r="C33" s="40">
        <v>0.876178</v>
      </c>
      <c r="D33" s="41"/>
      <c r="E33" s="42"/>
      <c r="F33" s="41">
        <f>F31*C33</f>
        <v>400851.435</v>
      </c>
      <c r="G33" s="41"/>
      <c r="H33" s="41">
        <f>H31</f>
        <v>42500</v>
      </c>
      <c r="I33" s="41"/>
      <c r="J33" s="41"/>
      <c r="K33" s="43"/>
      <c r="L33" s="41">
        <f>H33+F33+D33</f>
        <v>443351.435</v>
      </c>
      <c r="M33" s="38"/>
      <c r="N33" s="6"/>
    </row>
    <row r="34" spans="1:14" ht="15.75">
      <c r="A34" s="27"/>
      <c r="B34" s="28" t="s">
        <v>23</v>
      </c>
      <c r="C34" s="44"/>
      <c r="D34" s="29"/>
      <c r="E34" s="28"/>
      <c r="F34" s="29" t="s">
        <v>159</v>
      </c>
      <c r="G34" s="29"/>
      <c r="H34" s="29" t="s">
        <v>171</v>
      </c>
      <c r="I34" s="29"/>
      <c r="J34" s="29"/>
      <c r="K34" s="31"/>
      <c r="L34" s="31"/>
      <c r="M34" s="28"/>
      <c r="N34" s="6"/>
    </row>
    <row r="35" spans="1:14" ht="15.75">
      <c r="A35" s="27"/>
      <c r="B35" s="28" t="s">
        <v>24</v>
      </c>
      <c r="C35" s="28"/>
      <c r="D35" s="45"/>
      <c r="E35" s="28"/>
      <c r="F35" s="45">
        <v>0.0389188</v>
      </c>
      <c r="G35" s="46"/>
      <c r="H35" s="45">
        <v>0.0448188</v>
      </c>
      <c r="I35" s="46"/>
      <c r="J35" s="45"/>
      <c r="K35" s="31"/>
      <c r="L35" s="46">
        <f>SUMPRODUCT(F35:H35,F32:H32)/L32</f>
        <v>0.039470917238875455</v>
      </c>
      <c r="M35" s="28"/>
      <c r="N35" s="6"/>
    </row>
    <row r="36" spans="1:14" ht="15.75">
      <c r="A36" s="27"/>
      <c r="B36" s="28" t="s">
        <v>25</v>
      </c>
      <c r="C36" s="28"/>
      <c r="D36" s="45"/>
      <c r="E36" s="28"/>
      <c r="F36" s="45">
        <v>0.042625</v>
      </c>
      <c r="G36" s="46"/>
      <c r="H36" s="45">
        <v>0.048525</v>
      </c>
      <c r="I36" s="46"/>
      <c r="J36" s="45"/>
      <c r="K36" s="31"/>
      <c r="L36" s="31"/>
      <c r="M36" s="28"/>
      <c r="N36" s="6"/>
    </row>
    <row r="37" spans="1:14" ht="15.75">
      <c r="A37" s="27"/>
      <c r="B37" s="28" t="s">
        <v>26</v>
      </c>
      <c r="C37" s="28"/>
      <c r="D37" s="29"/>
      <c r="E37" s="28"/>
      <c r="F37" s="29" t="s">
        <v>160</v>
      </c>
      <c r="G37" s="29"/>
      <c r="H37" s="29" t="s">
        <v>160</v>
      </c>
      <c r="I37" s="29"/>
      <c r="J37" s="29"/>
      <c r="K37" s="31"/>
      <c r="L37" s="31"/>
      <c r="M37" s="28"/>
      <c r="N37" s="6"/>
    </row>
    <row r="38" spans="1:14" ht="15.75">
      <c r="A38" s="27"/>
      <c r="B38" s="28" t="s">
        <v>27</v>
      </c>
      <c r="C38" s="28"/>
      <c r="D38" s="29"/>
      <c r="E38" s="28"/>
      <c r="F38" s="29" t="s">
        <v>161</v>
      </c>
      <c r="G38" s="29"/>
      <c r="H38" s="29" t="s">
        <v>161</v>
      </c>
      <c r="I38" s="29"/>
      <c r="J38" s="29"/>
      <c r="K38" s="31"/>
      <c r="L38" s="31"/>
      <c r="M38" s="28"/>
      <c r="N38" s="6"/>
    </row>
    <row r="39" spans="1:14" ht="15.75">
      <c r="A39" s="27"/>
      <c r="B39" s="28" t="s">
        <v>28</v>
      </c>
      <c r="C39" s="28"/>
      <c r="D39" s="29"/>
      <c r="E39" s="28"/>
      <c r="F39" s="29" t="s">
        <v>162</v>
      </c>
      <c r="G39" s="29"/>
      <c r="H39" s="29" t="s">
        <v>172</v>
      </c>
      <c r="I39" s="29"/>
      <c r="J39" s="29"/>
      <c r="K39" s="31"/>
      <c r="L39" s="31"/>
      <c r="M39" s="28"/>
      <c r="N39" s="6"/>
    </row>
    <row r="40" spans="1:14" ht="15.75">
      <c r="A40" s="27"/>
      <c r="B40" s="28"/>
      <c r="C40" s="28"/>
      <c r="D40" s="47"/>
      <c r="E40" s="47"/>
      <c r="F40" s="28"/>
      <c r="G40" s="47"/>
      <c r="H40" s="47"/>
      <c r="I40" s="47"/>
      <c r="J40" s="47"/>
      <c r="K40" s="47"/>
      <c r="L40" s="47"/>
      <c r="M40" s="28"/>
      <c r="N40" s="6"/>
    </row>
    <row r="41" spans="1:14" ht="15.75">
      <c r="A41" s="27"/>
      <c r="B41" s="28" t="s">
        <v>29</v>
      </c>
      <c r="C41" s="28"/>
      <c r="D41" s="28"/>
      <c r="E41" s="28"/>
      <c r="F41" s="28"/>
      <c r="G41" s="28"/>
      <c r="H41" s="117"/>
      <c r="I41" s="28"/>
      <c r="J41" s="28"/>
      <c r="K41" s="28"/>
      <c r="L41" s="46">
        <f>H31/F31</f>
        <v>0.09289617486338798</v>
      </c>
      <c r="M41" s="28"/>
      <c r="N41" s="6"/>
    </row>
    <row r="42" spans="1:14" ht="15.75">
      <c r="A42" s="27"/>
      <c r="B42" s="28" t="s">
        <v>30</v>
      </c>
      <c r="C42" s="28"/>
      <c r="D42" s="28"/>
      <c r="E42" s="28"/>
      <c r="F42" s="28"/>
      <c r="G42" s="28"/>
      <c r="H42" s="117"/>
      <c r="I42" s="28"/>
      <c r="J42" s="28"/>
      <c r="K42" s="28"/>
      <c r="L42" s="46">
        <f>H33/F33</f>
        <v>0.10602431796208987</v>
      </c>
      <c r="M42" s="28"/>
      <c r="N42" s="6"/>
    </row>
    <row r="43" spans="1:14" ht="15.75">
      <c r="A43" s="27"/>
      <c r="B43" s="28" t="s">
        <v>31</v>
      </c>
      <c r="C43" s="28"/>
      <c r="D43" s="28"/>
      <c r="E43" s="28"/>
      <c r="F43" s="117"/>
      <c r="G43" s="28"/>
      <c r="H43" s="117"/>
      <c r="I43" s="28"/>
      <c r="J43" s="29" t="s">
        <v>155</v>
      </c>
      <c r="K43" s="29" t="s">
        <v>187</v>
      </c>
      <c r="L43" s="35">
        <v>207500</v>
      </c>
      <c r="M43" s="28"/>
      <c r="N43" s="6"/>
    </row>
    <row r="44" spans="1:14" ht="15.75">
      <c r="A44" s="27"/>
      <c r="B44" s="28"/>
      <c r="C44" s="28"/>
      <c r="D44" s="28"/>
      <c r="E44" s="28"/>
      <c r="F44" s="28"/>
      <c r="G44" s="28"/>
      <c r="H44" s="28"/>
      <c r="I44" s="28"/>
      <c r="J44" s="28" t="s">
        <v>179</v>
      </c>
      <c r="K44" s="28"/>
      <c r="L44" s="48"/>
      <c r="M44" s="28"/>
      <c r="N44" s="6"/>
    </row>
    <row r="45" spans="1:14" ht="15.75">
      <c r="A45" s="27"/>
      <c r="B45" s="28" t="s">
        <v>32</v>
      </c>
      <c r="C45" s="28"/>
      <c r="D45" s="28"/>
      <c r="E45" s="28"/>
      <c r="F45" s="28"/>
      <c r="G45" s="28"/>
      <c r="H45" s="28"/>
      <c r="I45" s="28"/>
      <c r="J45" s="29"/>
      <c r="K45" s="29"/>
      <c r="L45" s="29" t="s">
        <v>190</v>
      </c>
      <c r="M45" s="28"/>
      <c r="N45" s="6"/>
    </row>
    <row r="46" spans="1:14" ht="15.75">
      <c r="A46" s="32"/>
      <c r="B46" s="33" t="s">
        <v>33</v>
      </c>
      <c r="C46" s="33"/>
      <c r="D46" s="33"/>
      <c r="E46" s="33"/>
      <c r="F46" s="33"/>
      <c r="G46" s="33"/>
      <c r="H46" s="33"/>
      <c r="I46" s="33"/>
      <c r="J46" s="49"/>
      <c r="K46" s="49"/>
      <c r="L46" s="50">
        <v>37809</v>
      </c>
      <c r="M46" s="28"/>
      <c r="N46" s="6"/>
    </row>
    <row r="47" spans="1:14" ht="15.75">
      <c r="A47" s="27"/>
      <c r="B47" s="28" t="s">
        <v>34</v>
      </c>
      <c r="C47" s="28"/>
      <c r="D47" s="28"/>
      <c r="E47" s="28"/>
      <c r="F47" s="28"/>
      <c r="G47" s="28"/>
      <c r="H47" s="28"/>
      <c r="I47" s="28">
        <f>L47-J47+1</f>
        <v>90</v>
      </c>
      <c r="J47" s="51">
        <v>37628</v>
      </c>
      <c r="K47" s="52"/>
      <c r="L47" s="51">
        <v>37717</v>
      </c>
      <c r="M47" s="28"/>
      <c r="N47" s="6"/>
    </row>
    <row r="48" spans="1:14" ht="15.75">
      <c r="A48" s="27"/>
      <c r="B48" s="28" t="s">
        <v>35</v>
      </c>
      <c r="C48" s="28"/>
      <c r="D48" s="28"/>
      <c r="E48" s="28"/>
      <c r="F48" s="28"/>
      <c r="G48" s="28"/>
      <c r="H48" s="28"/>
      <c r="I48" s="28">
        <f>L48-J48+1</f>
        <v>91</v>
      </c>
      <c r="J48" s="51">
        <v>37718</v>
      </c>
      <c r="K48" s="52"/>
      <c r="L48" s="51">
        <v>37808</v>
      </c>
      <c r="M48" s="28"/>
      <c r="N48" s="6"/>
    </row>
    <row r="49" spans="1:14" ht="15.75">
      <c r="A49" s="27"/>
      <c r="B49" s="28" t="s">
        <v>36</v>
      </c>
      <c r="C49" s="28"/>
      <c r="D49" s="28"/>
      <c r="E49" s="28"/>
      <c r="F49" s="28"/>
      <c r="G49" s="28"/>
      <c r="H49" s="28"/>
      <c r="I49" s="28"/>
      <c r="J49" s="51"/>
      <c r="K49" s="52"/>
      <c r="L49" s="51" t="s">
        <v>191</v>
      </c>
      <c r="M49" s="28"/>
      <c r="N49" s="6"/>
    </row>
    <row r="50" spans="1:14" ht="15.75">
      <c r="A50" s="27"/>
      <c r="B50" s="28" t="s">
        <v>37</v>
      </c>
      <c r="C50" s="28"/>
      <c r="D50" s="28"/>
      <c r="E50" s="28"/>
      <c r="F50" s="28"/>
      <c r="G50" s="28"/>
      <c r="H50" s="28"/>
      <c r="I50" s="28"/>
      <c r="J50" s="51"/>
      <c r="K50" s="52"/>
      <c r="L50" s="51">
        <v>37805</v>
      </c>
      <c r="M50" s="28"/>
      <c r="N50" s="6"/>
    </row>
    <row r="51" spans="1:14" ht="15.75">
      <c r="A51" s="27"/>
      <c r="B51" s="28"/>
      <c r="C51" s="28"/>
      <c r="D51" s="28"/>
      <c r="E51" s="28"/>
      <c r="F51" s="28"/>
      <c r="G51" s="28"/>
      <c r="H51" s="28"/>
      <c r="I51" s="28"/>
      <c r="J51" s="51"/>
      <c r="K51" s="52"/>
      <c r="L51" s="51"/>
      <c r="M51" s="28"/>
      <c r="N51" s="6"/>
    </row>
    <row r="52" spans="1:14" ht="15.75">
      <c r="A52" s="7"/>
      <c r="B52" s="9"/>
      <c r="C52" s="9"/>
      <c r="D52" s="9"/>
      <c r="E52" s="9"/>
      <c r="F52" s="9"/>
      <c r="G52" s="9"/>
      <c r="H52" s="9"/>
      <c r="I52" s="9"/>
      <c r="J52" s="53"/>
      <c r="K52" s="54"/>
      <c r="L52" s="53"/>
      <c r="M52" s="9"/>
      <c r="N52" s="6"/>
    </row>
    <row r="53" spans="1:14" ht="19.5" thickBot="1">
      <c r="A53" s="118"/>
      <c r="B53" s="119" t="s">
        <v>200</v>
      </c>
      <c r="C53" s="120"/>
      <c r="D53" s="120"/>
      <c r="E53" s="120"/>
      <c r="F53" s="120"/>
      <c r="G53" s="120"/>
      <c r="H53" s="120"/>
      <c r="I53" s="120"/>
      <c r="J53" s="121"/>
      <c r="K53" s="122"/>
      <c r="L53" s="121"/>
      <c r="M53" s="123"/>
      <c r="N53" s="6"/>
    </row>
    <row r="54" spans="1:14" ht="15.75">
      <c r="A54" s="2"/>
      <c r="B54" s="5"/>
      <c r="C54" s="5"/>
      <c r="D54" s="5"/>
      <c r="E54" s="5"/>
      <c r="F54" s="5"/>
      <c r="G54" s="5"/>
      <c r="H54" s="5"/>
      <c r="I54" s="5"/>
      <c r="J54" s="5"/>
      <c r="K54" s="5"/>
      <c r="L54" s="56"/>
      <c r="M54" s="5"/>
      <c r="N54" s="6"/>
    </row>
    <row r="55" spans="1:14" ht="15.75">
      <c r="A55" s="7"/>
      <c r="B55" s="57" t="s">
        <v>39</v>
      </c>
      <c r="C55" s="15"/>
      <c r="D55" s="9"/>
      <c r="E55" s="9"/>
      <c r="F55" s="9"/>
      <c r="G55" s="9"/>
      <c r="H55" s="9"/>
      <c r="I55" s="9"/>
      <c r="J55" s="9"/>
      <c r="K55" s="9"/>
      <c r="L55" s="58"/>
      <c r="M55" s="9"/>
      <c r="N55" s="6"/>
    </row>
    <row r="56" spans="1:14" ht="15.75">
      <c r="A56" s="7"/>
      <c r="B56" s="15"/>
      <c r="C56" s="15"/>
      <c r="D56" s="9"/>
      <c r="E56" s="9"/>
      <c r="F56" s="9"/>
      <c r="G56" s="9"/>
      <c r="H56" s="9"/>
      <c r="I56" s="9"/>
      <c r="J56" s="9"/>
      <c r="K56" s="9"/>
      <c r="L56" s="58"/>
      <c r="M56" s="9"/>
      <c r="N56" s="6"/>
    </row>
    <row r="57" spans="1:14" ht="63">
      <c r="A57" s="7"/>
      <c r="B57" s="134" t="s">
        <v>40</v>
      </c>
      <c r="C57" s="135" t="s">
        <v>149</v>
      </c>
      <c r="D57" s="135" t="s">
        <v>151</v>
      </c>
      <c r="E57" s="135"/>
      <c r="F57" s="135" t="s">
        <v>163</v>
      </c>
      <c r="G57" s="135"/>
      <c r="H57" s="135" t="s">
        <v>173</v>
      </c>
      <c r="I57" s="135"/>
      <c r="J57" s="135" t="s">
        <v>180</v>
      </c>
      <c r="K57" s="135"/>
      <c r="L57" s="136" t="s">
        <v>192</v>
      </c>
      <c r="M57" s="9"/>
      <c r="N57" s="6"/>
    </row>
    <row r="58" spans="1:14" ht="15.75">
      <c r="A58" s="27"/>
      <c r="B58" s="28" t="s">
        <v>41</v>
      </c>
      <c r="C58" s="38">
        <v>421950</v>
      </c>
      <c r="D58" s="38">
        <v>454161</v>
      </c>
      <c r="E58" s="38"/>
      <c r="F58" s="38">
        <f>10809+233+6106+1</f>
        <v>17149</v>
      </c>
      <c r="G58" s="38"/>
      <c r="H58" s="38">
        <f>6106+233</f>
        <v>6339</v>
      </c>
      <c r="I58" s="38"/>
      <c r="J58" s="38">
        <v>0</v>
      </c>
      <c r="K58" s="38"/>
      <c r="L58" s="59">
        <f>D58-F58+H58-J58</f>
        <v>443351</v>
      </c>
      <c r="M58" s="28"/>
      <c r="N58" s="6"/>
    </row>
    <row r="59" spans="1:14" ht="15.75">
      <c r="A59" s="27"/>
      <c r="B59" s="28" t="s">
        <v>42</v>
      </c>
      <c r="C59" s="38">
        <v>54</v>
      </c>
      <c r="D59" s="38">
        <v>0</v>
      </c>
      <c r="E59" s="38"/>
      <c r="F59" s="38">
        <v>0</v>
      </c>
      <c r="G59" s="38"/>
      <c r="H59" s="38">
        <v>0</v>
      </c>
      <c r="I59" s="38"/>
      <c r="J59" s="38">
        <v>0</v>
      </c>
      <c r="K59" s="38"/>
      <c r="L59" s="59">
        <f>D59-F59+H59-J59</f>
        <v>0</v>
      </c>
      <c r="M59" s="28"/>
      <c r="N59" s="6"/>
    </row>
    <row r="60" spans="1:14" ht="15.75">
      <c r="A60" s="27"/>
      <c r="B60" s="28"/>
      <c r="C60" s="38"/>
      <c r="D60" s="38"/>
      <c r="E60" s="38"/>
      <c r="F60" s="38"/>
      <c r="G60" s="38"/>
      <c r="H60" s="38"/>
      <c r="I60" s="38"/>
      <c r="J60" s="38"/>
      <c r="K60" s="38"/>
      <c r="L60" s="59"/>
      <c r="M60" s="28"/>
      <c r="N60" s="6"/>
    </row>
    <row r="61" spans="1:14" ht="15.75">
      <c r="A61" s="27"/>
      <c r="B61" s="28" t="s">
        <v>43</v>
      </c>
      <c r="C61" s="38">
        <f>SUM(C58:C60)</f>
        <v>422004</v>
      </c>
      <c r="D61" s="38">
        <f>SUM(D58:D60)</f>
        <v>454161</v>
      </c>
      <c r="E61" s="38"/>
      <c r="F61" s="38">
        <f>SUM(F58:F60)</f>
        <v>17149</v>
      </c>
      <c r="G61" s="38"/>
      <c r="H61" s="38">
        <f>SUM(H58:H60)</f>
        <v>6339</v>
      </c>
      <c r="I61" s="38"/>
      <c r="J61" s="38">
        <f>SUM(J58:J60)</f>
        <v>0</v>
      </c>
      <c r="K61" s="38"/>
      <c r="L61" s="60">
        <f>SUM(L58:L60)</f>
        <v>443351</v>
      </c>
      <c r="M61" s="28"/>
      <c r="N61" s="6"/>
    </row>
    <row r="62" spans="1:14" ht="15.75">
      <c r="A62" s="27"/>
      <c r="B62" s="28"/>
      <c r="C62" s="38"/>
      <c r="D62" s="38"/>
      <c r="E62" s="38"/>
      <c r="F62" s="38"/>
      <c r="G62" s="38"/>
      <c r="H62" s="38"/>
      <c r="I62" s="38"/>
      <c r="J62" s="38"/>
      <c r="K62" s="38"/>
      <c r="L62" s="60"/>
      <c r="M62" s="28"/>
      <c r="N62" s="6"/>
    </row>
    <row r="63" spans="1:14" ht="15.75">
      <c r="A63" s="7"/>
      <c r="B63" s="131" t="s">
        <v>44</v>
      </c>
      <c r="C63" s="61"/>
      <c r="D63" s="61"/>
      <c r="E63" s="61"/>
      <c r="F63" s="61"/>
      <c r="G63" s="61"/>
      <c r="H63" s="61"/>
      <c r="I63" s="61"/>
      <c r="J63" s="61"/>
      <c r="K63" s="61"/>
      <c r="L63" s="62"/>
      <c r="M63" s="9"/>
      <c r="N63" s="6"/>
    </row>
    <row r="64" spans="1:14" ht="15.75">
      <c r="A64" s="7"/>
      <c r="B64" s="9"/>
      <c r="C64" s="61"/>
      <c r="D64" s="61"/>
      <c r="E64" s="61"/>
      <c r="F64" s="61"/>
      <c r="G64" s="61"/>
      <c r="H64" s="61"/>
      <c r="I64" s="61"/>
      <c r="J64" s="61"/>
      <c r="K64" s="61"/>
      <c r="L64" s="62"/>
      <c r="M64" s="9"/>
      <c r="N64" s="6"/>
    </row>
    <row r="65" spans="1:14" ht="15.75">
      <c r="A65" s="27"/>
      <c r="B65" s="28" t="s">
        <v>41</v>
      </c>
      <c r="C65" s="38"/>
      <c r="D65" s="38"/>
      <c r="E65" s="38"/>
      <c r="F65" s="38"/>
      <c r="G65" s="38"/>
      <c r="H65" s="38"/>
      <c r="I65" s="38"/>
      <c r="J65" s="38"/>
      <c r="K65" s="38"/>
      <c r="L65" s="60"/>
      <c r="M65" s="28"/>
      <c r="N65" s="6"/>
    </row>
    <row r="66" spans="1:14" ht="15.75">
      <c r="A66" s="27"/>
      <c r="B66" s="28" t="s">
        <v>42</v>
      </c>
      <c r="C66" s="38"/>
      <c r="D66" s="38"/>
      <c r="E66" s="38"/>
      <c r="F66" s="38"/>
      <c r="G66" s="38"/>
      <c r="H66" s="38"/>
      <c r="I66" s="38"/>
      <c r="J66" s="38"/>
      <c r="K66" s="38"/>
      <c r="L66" s="60"/>
      <c r="M66" s="28"/>
      <c r="N66" s="6"/>
    </row>
    <row r="67" spans="1:14" ht="15.75">
      <c r="A67" s="27"/>
      <c r="B67" s="28"/>
      <c r="C67" s="38"/>
      <c r="D67" s="38"/>
      <c r="E67" s="38"/>
      <c r="F67" s="38"/>
      <c r="G67" s="38"/>
      <c r="H67" s="38"/>
      <c r="I67" s="38"/>
      <c r="J67" s="38"/>
      <c r="K67" s="38"/>
      <c r="L67" s="60"/>
      <c r="M67" s="28"/>
      <c r="N67" s="6"/>
    </row>
    <row r="68" spans="1:14" ht="15.75">
      <c r="A68" s="27"/>
      <c r="B68" s="28" t="s">
        <v>43</v>
      </c>
      <c r="C68" s="38"/>
      <c r="D68" s="38"/>
      <c r="E68" s="38"/>
      <c r="F68" s="38"/>
      <c r="G68" s="38"/>
      <c r="H68" s="38"/>
      <c r="I68" s="38"/>
      <c r="J68" s="38"/>
      <c r="K68" s="38"/>
      <c r="L68" s="38"/>
      <c r="M68" s="28"/>
      <c r="N68" s="6"/>
    </row>
    <row r="69" spans="1:14" ht="15.75">
      <c r="A69" s="27"/>
      <c r="B69" s="28"/>
      <c r="C69" s="38"/>
      <c r="D69" s="38"/>
      <c r="E69" s="38"/>
      <c r="F69" s="38"/>
      <c r="G69" s="38"/>
      <c r="H69" s="38"/>
      <c r="I69" s="38"/>
      <c r="J69" s="38"/>
      <c r="K69" s="38"/>
      <c r="L69" s="38"/>
      <c r="M69" s="28"/>
      <c r="N69" s="6"/>
    </row>
    <row r="70" spans="1:14" ht="15.75">
      <c r="A70" s="27"/>
      <c r="B70" s="28" t="s">
        <v>45</v>
      </c>
      <c r="C70" s="38">
        <v>0</v>
      </c>
      <c r="D70" s="38">
        <v>0</v>
      </c>
      <c r="E70" s="38"/>
      <c r="F70" s="38"/>
      <c r="G70" s="38"/>
      <c r="H70" s="38"/>
      <c r="I70" s="38"/>
      <c r="J70" s="38"/>
      <c r="K70" s="38"/>
      <c r="L70" s="59">
        <f>D70-F70+H70-J70</f>
        <v>0</v>
      </c>
      <c r="M70" s="28"/>
      <c r="N70" s="6"/>
    </row>
    <row r="71" spans="1:14" ht="15.75">
      <c r="A71" s="27"/>
      <c r="B71" s="28" t="s">
        <v>46</v>
      </c>
      <c r="C71" s="38">
        <v>77996</v>
      </c>
      <c r="D71" s="38">
        <v>0</v>
      </c>
      <c r="E71" s="38"/>
      <c r="F71" s="38"/>
      <c r="G71" s="38"/>
      <c r="H71" s="38"/>
      <c r="I71" s="38"/>
      <c r="J71" s="38"/>
      <c r="K71" s="38"/>
      <c r="L71" s="60">
        <v>0</v>
      </c>
      <c r="M71" s="28"/>
      <c r="N71" s="6"/>
    </row>
    <row r="72" spans="1:14" ht="15.75">
      <c r="A72" s="27"/>
      <c r="B72" s="28" t="s">
        <v>47</v>
      </c>
      <c r="C72" s="38">
        <v>0</v>
      </c>
      <c r="D72" s="38">
        <f>L128</f>
        <v>0</v>
      </c>
      <c r="E72" s="38"/>
      <c r="F72" s="38"/>
      <c r="G72" s="38"/>
      <c r="H72" s="38"/>
      <c r="I72" s="38"/>
      <c r="J72" s="38"/>
      <c r="K72" s="38"/>
      <c r="L72" s="60">
        <f>SUM(C72:K72)</f>
        <v>0</v>
      </c>
      <c r="M72" s="28"/>
      <c r="N72" s="6"/>
    </row>
    <row r="73" spans="1:14" ht="15.75">
      <c r="A73" s="27"/>
      <c r="B73" s="28" t="s">
        <v>48</v>
      </c>
      <c r="C73" s="60">
        <f>SUM(C61:C72)</f>
        <v>500000</v>
      </c>
      <c r="D73" s="60">
        <f>SUM(D61:D72)</f>
        <v>454161</v>
      </c>
      <c r="E73" s="38"/>
      <c r="F73" s="60"/>
      <c r="G73" s="38"/>
      <c r="H73" s="60"/>
      <c r="I73" s="38"/>
      <c r="J73" s="60"/>
      <c r="K73" s="38"/>
      <c r="L73" s="60">
        <f>SUM(L61:L72)</f>
        <v>443351</v>
      </c>
      <c r="M73" s="28"/>
      <c r="N73" s="6"/>
    </row>
    <row r="74" spans="1:14" ht="15.75">
      <c r="A74" s="7"/>
      <c r="B74" s="9"/>
      <c r="C74" s="9"/>
      <c r="D74" s="9"/>
      <c r="E74" s="9"/>
      <c r="F74" s="9"/>
      <c r="G74" s="9"/>
      <c r="H74" s="9"/>
      <c r="I74" s="9"/>
      <c r="J74" s="9"/>
      <c r="K74" s="9"/>
      <c r="L74" s="9"/>
      <c r="M74" s="9"/>
      <c r="N74" s="6"/>
    </row>
    <row r="75" spans="1:14" ht="15.75">
      <c r="A75" s="7"/>
      <c r="B75" s="57" t="s">
        <v>49</v>
      </c>
      <c r="C75" s="16"/>
      <c r="D75" s="16"/>
      <c r="E75" s="16"/>
      <c r="F75" s="16"/>
      <c r="G75" s="16"/>
      <c r="H75" s="16"/>
      <c r="I75" s="19"/>
      <c r="J75" s="19" t="s">
        <v>181</v>
      </c>
      <c r="K75" s="19"/>
      <c r="L75" s="19" t="s">
        <v>193</v>
      </c>
      <c r="M75" s="9"/>
      <c r="N75" s="6"/>
    </row>
    <row r="76" spans="1:14" ht="15.75">
      <c r="A76" s="27"/>
      <c r="B76" s="28" t="s">
        <v>50</v>
      </c>
      <c r="C76" s="28"/>
      <c r="D76" s="28"/>
      <c r="E76" s="28"/>
      <c r="F76" s="28"/>
      <c r="G76" s="28"/>
      <c r="H76" s="28"/>
      <c r="I76" s="28"/>
      <c r="J76" s="38">
        <v>0</v>
      </c>
      <c r="K76" s="28"/>
      <c r="L76" s="59">
        <v>0</v>
      </c>
      <c r="M76" s="28"/>
      <c r="N76" s="6"/>
    </row>
    <row r="77" spans="1:14" ht="15.75">
      <c r="A77" s="27"/>
      <c r="B77" s="28" t="s">
        <v>51</v>
      </c>
      <c r="C77" s="47" t="s">
        <v>150</v>
      </c>
      <c r="D77" s="63">
        <f>J158</f>
        <v>37802</v>
      </c>
      <c r="E77" s="28"/>
      <c r="F77" s="28"/>
      <c r="G77" s="28"/>
      <c r="H77" s="28"/>
      <c r="I77" s="28"/>
      <c r="J77" s="38">
        <v>17149</v>
      </c>
      <c r="K77" s="28"/>
      <c r="L77" s="59"/>
      <c r="M77" s="28"/>
      <c r="N77" s="6"/>
    </row>
    <row r="78" spans="1:14" ht="15.75">
      <c r="A78" s="27"/>
      <c r="B78" s="28" t="s">
        <v>52</v>
      </c>
      <c r="C78" s="28"/>
      <c r="D78" s="28"/>
      <c r="E78" s="28"/>
      <c r="F78" s="28"/>
      <c r="G78" s="28"/>
      <c r="H78" s="28"/>
      <c r="I78" s="28"/>
      <c r="J78" s="38"/>
      <c r="K78" s="28"/>
      <c r="L78" s="59">
        <f>6818-7</f>
        <v>6811</v>
      </c>
      <c r="M78" s="28"/>
      <c r="N78" s="6"/>
    </row>
    <row r="79" spans="1:14" ht="15.75">
      <c r="A79" s="27"/>
      <c r="B79" s="28" t="s">
        <v>53</v>
      </c>
      <c r="C79" s="28"/>
      <c r="D79" s="28"/>
      <c r="E79" s="28"/>
      <c r="F79" s="28"/>
      <c r="G79" s="28"/>
      <c r="H79" s="28"/>
      <c r="I79" s="28"/>
      <c r="J79" s="38"/>
      <c r="K79" s="28"/>
      <c r="L79" s="59">
        <v>0</v>
      </c>
      <c r="M79" s="28"/>
      <c r="N79" s="6"/>
    </row>
    <row r="80" spans="1:14" ht="15.75">
      <c r="A80" s="27"/>
      <c r="B80" s="28" t="s">
        <v>54</v>
      </c>
      <c r="C80" s="28"/>
      <c r="D80" s="28"/>
      <c r="E80" s="28"/>
      <c r="F80" s="28"/>
      <c r="G80" s="28"/>
      <c r="H80" s="28"/>
      <c r="I80" s="28"/>
      <c r="J80" s="38">
        <f>SUM(J76:J79)</f>
        <v>17149</v>
      </c>
      <c r="K80" s="28"/>
      <c r="L80" s="60">
        <f>SUM(L76:L79)</f>
        <v>6811</v>
      </c>
      <c r="M80" s="28"/>
      <c r="N80" s="6"/>
    </row>
    <row r="81" spans="1:14" ht="15.75">
      <c r="A81" s="27"/>
      <c r="B81" s="28" t="s">
        <v>55</v>
      </c>
      <c r="C81" s="28"/>
      <c r="D81" s="28"/>
      <c r="E81" s="28"/>
      <c r="F81" s="28"/>
      <c r="G81" s="28"/>
      <c r="H81" s="28"/>
      <c r="I81" s="28"/>
      <c r="J81" s="38">
        <v>0</v>
      </c>
      <c r="K81" s="28"/>
      <c r="L81" s="59">
        <v>0</v>
      </c>
      <c r="M81" s="28"/>
      <c r="N81" s="6"/>
    </row>
    <row r="82" spans="1:14" ht="15.75">
      <c r="A82" s="27"/>
      <c r="B82" s="28" t="s">
        <v>56</v>
      </c>
      <c r="C82" s="28"/>
      <c r="D82" s="28"/>
      <c r="E82" s="28"/>
      <c r="F82" s="28"/>
      <c r="G82" s="28"/>
      <c r="H82" s="28"/>
      <c r="I82" s="28"/>
      <c r="J82" s="38">
        <f>J80+J81</f>
        <v>17149</v>
      </c>
      <c r="K82" s="28"/>
      <c r="L82" s="60">
        <f>L80+L81</f>
        <v>6811</v>
      </c>
      <c r="M82" s="28"/>
      <c r="N82" s="6"/>
    </row>
    <row r="83" spans="1:14" ht="15.75">
      <c r="A83" s="27"/>
      <c r="B83" s="137" t="s">
        <v>57</v>
      </c>
      <c r="C83" s="64"/>
      <c r="D83" s="28"/>
      <c r="E83" s="28"/>
      <c r="F83" s="28"/>
      <c r="G83" s="28"/>
      <c r="H83" s="28"/>
      <c r="I83" s="28"/>
      <c r="J83" s="38"/>
      <c r="K83" s="28"/>
      <c r="L83" s="59"/>
      <c r="M83" s="28"/>
      <c r="N83" s="6"/>
    </row>
    <row r="84" spans="1:14" ht="15.75">
      <c r="A84" s="27">
        <v>1</v>
      </c>
      <c r="B84" s="28" t="s">
        <v>58</v>
      </c>
      <c r="C84" s="28"/>
      <c r="D84" s="28"/>
      <c r="E84" s="28"/>
      <c r="F84" s="28"/>
      <c r="G84" s="28"/>
      <c r="H84" s="28"/>
      <c r="I84" s="28"/>
      <c r="J84" s="28"/>
      <c r="K84" s="28"/>
      <c r="L84" s="59">
        <v>0</v>
      </c>
      <c r="M84" s="28"/>
      <c r="N84" s="6"/>
    </row>
    <row r="85" spans="1:14" ht="15.75">
      <c r="A85" s="27">
        <v>2</v>
      </c>
      <c r="B85" s="28" t="s">
        <v>59</v>
      </c>
      <c r="C85" s="28"/>
      <c r="D85" s="28"/>
      <c r="E85" s="28"/>
      <c r="F85" s="28"/>
      <c r="G85" s="28"/>
      <c r="H85" s="28"/>
      <c r="I85" s="28"/>
      <c r="J85" s="28"/>
      <c r="K85" s="28"/>
      <c r="L85" s="59">
        <v>-5</v>
      </c>
      <c r="M85" s="28"/>
      <c r="N85" s="6"/>
    </row>
    <row r="86" spans="1:14" ht="15.75">
      <c r="A86" s="27">
        <v>3</v>
      </c>
      <c r="B86" s="28" t="s">
        <v>60</v>
      </c>
      <c r="C86" s="28"/>
      <c r="D86" s="28"/>
      <c r="E86" s="28"/>
      <c r="F86" s="28"/>
      <c r="G86" s="28"/>
      <c r="H86" s="28"/>
      <c r="I86" s="28"/>
      <c r="J86" s="28"/>
      <c r="K86" s="28"/>
      <c r="L86" s="59">
        <f>-341-6</f>
        <v>-347</v>
      </c>
      <c r="M86" s="28"/>
      <c r="N86" s="6"/>
    </row>
    <row r="87" spans="1:14" ht="15.75">
      <c r="A87" s="27">
        <v>4</v>
      </c>
      <c r="B87" s="28" t="s">
        <v>61</v>
      </c>
      <c r="C87" s="28"/>
      <c r="D87" s="28"/>
      <c r="E87" s="28"/>
      <c r="F87" s="28"/>
      <c r="G87" s="28"/>
      <c r="H87" s="28"/>
      <c r="I87" s="28"/>
      <c r="J87" s="28"/>
      <c r="K87" s="28"/>
      <c r="L87" s="59">
        <v>-602</v>
      </c>
      <c r="M87" s="28"/>
      <c r="N87" s="6"/>
    </row>
    <row r="88" spans="1:14" ht="15.75">
      <c r="A88" s="27">
        <v>5</v>
      </c>
      <c r="B88" s="28" t="s">
        <v>62</v>
      </c>
      <c r="C88" s="28"/>
      <c r="D88" s="28"/>
      <c r="E88" s="28"/>
      <c r="F88" s="28"/>
      <c r="G88" s="28"/>
      <c r="H88" s="28"/>
      <c r="I88" s="28"/>
      <c r="J88" s="28"/>
      <c r="K88" s="28"/>
      <c r="L88" s="59">
        <v>-3994</v>
      </c>
      <c r="M88" s="28"/>
      <c r="N88" s="6"/>
    </row>
    <row r="89" spans="1:14" ht="15.75">
      <c r="A89" s="27">
        <v>6</v>
      </c>
      <c r="B89" s="28" t="s">
        <v>63</v>
      </c>
      <c r="C89" s="28"/>
      <c r="D89" s="28"/>
      <c r="E89" s="28"/>
      <c r="F89" s="28"/>
      <c r="G89" s="28"/>
      <c r="H89" s="28"/>
      <c r="I89" s="28"/>
      <c r="J89" s="28"/>
      <c r="K89" s="28"/>
      <c r="L89" s="59">
        <v>-475</v>
      </c>
      <c r="M89" s="28"/>
      <c r="N89" s="6"/>
    </row>
    <row r="90" spans="1:14" ht="15.75">
      <c r="A90" s="27">
        <v>7</v>
      </c>
      <c r="B90" s="28" t="s">
        <v>64</v>
      </c>
      <c r="C90" s="28"/>
      <c r="D90" s="28"/>
      <c r="E90" s="28"/>
      <c r="F90" s="28"/>
      <c r="G90" s="28"/>
      <c r="H90" s="28"/>
      <c r="I90" s="28"/>
      <c r="J90" s="28"/>
      <c r="K90" s="28"/>
      <c r="L90" s="59">
        <v>-5</v>
      </c>
      <c r="M90" s="28"/>
      <c r="N90" s="6"/>
    </row>
    <row r="91" spans="1:14" ht="15.75">
      <c r="A91" s="27">
        <v>8</v>
      </c>
      <c r="B91" s="28" t="s">
        <v>65</v>
      </c>
      <c r="C91" s="28"/>
      <c r="D91" s="28"/>
      <c r="E91" s="28"/>
      <c r="F91" s="28"/>
      <c r="G91" s="28"/>
      <c r="H91" s="28"/>
      <c r="I91" s="28"/>
      <c r="J91" s="28"/>
      <c r="K91" s="28"/>
      <c r="L91" s="59">
        <v>0</v>
      </c>
      <c r="M91" s="28"/>
      <c r="N91" s="6"/>
    </row>
    <row r="92" spans="1:14" ht="15.75">
      <c r="A92" s="27">
        <v>9</v>
      </c>
      <c r="B92" s="28" t="s">
        <v>66</v>
      </c>
      <c r="C92" s="28"/>
      <c r="D92" s="28"/>
      <c r="E92" s="28"/>
      <c r="F92" s="28"/>
      <c r="G92" s="28"/>
      <c r="H92" s="28"/>
      <c r="I92" s="28"/>
      <c r="J92" s="28"/>
      <c r="K92" s="28"/>
      <c r="L92" s="59">
        <v>0</v>
      </c>
      <c r="M92" s="28"/>
      <c r="N92" s="6"/>
    </row>
    <row r="93" spans="1:14" ht="15.75">
      <c r="A93" s="27">
        <v>10</v>
      </c>
      <c r="B93" s="28" t="s">
        <v>67</v>
      </c>
      <c r="C93" s="28"/>
      <c r="D93" s="28"/>
      <c r="E93" s="28"/>
      <c r="F93" s="28"/>
      <c r="G93" s="28"/>
      <c r="H93" s="28"/>
      <c r="I93" s="28"/>
      <c r="J93" s="28"/>
      <c r="K93" s="28"/>
      <c r="L93" s="59">
        <v>0</v>
      </c>
      <c r="M93" s="28"/>
      <c r="N93" s="6"/>
    </row>
    <row r="94" spans="1:14" ht="15.75">
      <c r="A94" s="27">
        <v>11</v>
      </c>
      <c r="B94" s="28" t="s">
        <v>68</v>
      </c>
      <c r="C94" s="28"/>
      <c r="D94" s="28"/>
      <c r="E94" s="28"/>
      <c r="F94" s="28"/>
      <c r="G94" s="28"/>
      <c r="H94" s="28"/>
      <c r="I94" s="28"/>
      <c r="J94" s="28"/>
      <c r="K94" s="28"/>
      <c r="L94" s="59">
        <v>0</v>
      </c>
      <c r="M94" s="28"/>
      <c r="N94" s="6"/>
    </row>
    <row r="95" spans="1:14" ht="15.75">
      <c r="A95" s="27">
        <v>12</v>
      </c>
      <c r="B95" s="28" t="s">
        <v>69</v>
      </c>
      <c r="C95" s="28"/>
      <c r="D95" s="28"/>
      <c r="E95" s="28"/>
      <c r="F95" s="28"/>
      <c r="G95" s="28"/>
      <c r="H95" s="28"/>
      <c r="I95" s="28"/>
      <c r="J95" s="28"/>
      <c r="K95" s="28"/>
      <c r="L95" s="59">
        <f>-50-220</f>
        <v>-270</v>
      </c>
      <c r="M95" s="28"/>
      <c r="N95" s="6"/>
    </row>
    <row r="96" spans="1:14" ht="15.75">
      <c r="A96" s="27">
        <v>13</v>
      </c>
      <c r="B96" s="28" t="s">
        <v>70</v>
      </c>
      <c r="C96" s="28"/>
      <c r="D96" s="28"/>
      <c r="E96" s="28"/>
      <c r="F96" s="28"/>
      <c r="G96" s="28"/>
      <c r="H96" s="28"/>
      <c r="I96" s="28"/>
      <c r="J96" s="28"/>
      <c r="K96" s="28"/>
      <c r="L96" s="59">
        <f>-SUM(L82:L95)</f>
        <v>-1113</v>
      </c>
      <c r="M96" s="28"/>
      <c r="N96" s="6"/>
    </row>
    <row r="97" spans="1:14" ht="15.75">
      <c r="A97" s="27"/>
      <c r="B97" s="137" t="s">
        <v>71</v>
      </c>
      <c r="C97" s="64"/>
      <c r="D97" s="28"/>
      <c r="E97" s="28"/>
      <c r="F97" s="28"/>
      <c r="G97" s="28"/>
      <c r="H97" s="28"/>
      <c r="I97" s="28"/>
      <c r="J97" s="28"/>
      <c r="K97" s="28"/>
      <c r="L97" s="65"/>
      <c r="M97" s="28"/>
      <c r="N97" s="6"/>
    </row>
    <row r="98" spans="1:14" ht="15.75">
      <c r="A98" s="27"/>
      <c r="B98" s="28" t="s">
        <v>72</v>
      </c>
      <c r="C98" s="64"/>
      <c r="D98" s="28"/>
      <c r="E98" s="28"/>
      <c r="F98" s="28"/>
      <c r="G98" s="28"/>
      <c r="H98" s="28"/>
      <c r="I98" s="28"/>
      <c r="J98" s="38">
        <f>-J144</f>
        <v>-233</v>
      </c>
      <c r="K98" s="38"/>
      <c r="L98" s="59"/>
      <c r="M98" s="28"/>
      <c r="N98" s="6"/>
    </row>
    <row r="99" spans="1:14" ht="15.75">
      <c r="A99" s="27"/>
      <c r="B99" s="28" t="s">
        <v>73</v>
      </c>
      <c r="C99" s="28"/>
      <c r="D99" s="28"/>
      <c r="E99" s="28"/>
      <c r="F99" s="28"/>
      <c r="G99" s="28"/>
      <c r="H99" s="28"/>
      <c r="I99" s="28"/>
      <c r="J99" s="38">
        <f>-H144</f>
        <v>-6106</v>
      </c>
      <c r="K99" s="38"/>
      <c r="L99" s="59"/>
      <c r="M99" s="28"/>
      <c r="N99" s="6"/>
    </row>
    <row r="100" spans="1:14" ht="15.75">
      <c r="A100" s="27"/>
      <c r="B100" s="28" t="s">
        <v>74</v>
      </c>
      <c r="C100" s="28"/>
      <c r="D100" s="28"/>
      <c r="E100" s="28"/>
      <c r="F100" s="28"/>
      <c r="G100" s="28"/>
      <c r="H100" s="28"/>
      <c r="I100" s="28"/>
      <c r="J100" s="38">
        <v>-10810</v>
      </c>
      <c r="K100" s="38"/>
      <c r="L100" s="59"/>
      <c r="M100" s="28"/>
      <c r="N100" s="6"/>
    </row>
    <row r="101" spans="1:14" ht="15.75">
      <c r="A101" s="27"/>
      <c r="B101" s="28" t="s">
        <v>75</v>
      </c>
      <c r="C101" s="28"/>
      <c r="D101" s="28"/>
      <c r="E101" s="28"/>
      <c r="F101" s="28"/>
      <c r="G101" s="28"/>
      <c r="H101" s="28"/>
      <c r="I101" s="28"/>
      <c r="J101" s="38">
        <v>0</v>
      </c>
      <c r="K101" s="38"/>
      <c r="L101" s="59"/>
      <c r="M101" s="28"/>
      <c r="N101" s="6"/>
    </row>
    <row r="102" spans="1:14" ht="15.75">
      <c r="A102" s="27"/>
      <c r="B102" s="28" t="s">
        <v>76</v>
      </c>
      <c r="C102" s="28"/>
      <c r="D102" s="28"/>
      <c r="E102" s="28"/>
      <c r="F102" s="28"/>
      <c r="G102" s="28"/>
      <c r="H102" s="28"/>
      <c r="I102" s="28"/>
      <c r="J102" s="38">
        <f>SUM(J83:J101)</f>
        <v>-17149</v>
      </c>
      <c r="K102" s="38"/>
      <c r="L102" s="38">
        <f>SUM(L83:L101)</f>
        <v>-6811</v>
      </c>
      <c r="M102" s="28"/>
      <c r="N102" s="6"/>
    </row>
    <row r="103" spans="1:14" ht="15.75">
      <c r="A103" s="27"/>
      <c r="B103" s="28" t="s">
        <v>77</v>
      </c>
      <c r="C103" s="28"/>
      <c r="D103" s="28"/>
      <c r="E103" s="28"/>
      <c r="F103" s="28"/>
      <c r="G103" s="28"/>
      <c r="H103" s="28"/>
      <c r="I103" s="28"/>
      <c r="J103" s="38">
        <f>J82+J102</f>
        <v>0</v>
      </c>
      <c r="K103" s="38"/>
      <c r="L103" s="38">
        <f>L82+L102</f>
        <v>0</v>
      </c>
      <c r="M103" s="28"/>
      <c r="N103" s="6"/>
    </row>
    <row r="104" spans="1:14" ht="12" customHeight="1">
      <c r="A104" s="7"/>
      <c r="B104" s="9"/>
      <c r="C104" s="9"/>
      <c r="D104" s="9"/>
      <c r="E104" s="9"/>
      <c r="F104" s="9"/>
      <c r="G104" s="9"/>
      <c r="H104" s="9"/>
      <c r="I104" s="9"/>
      <c r="J104" s="9"/>
      <c r="K104" s="9"/>
      <c r="L104" s="58"/>
      <c r="M104" s="9"/>
      <c r="N104" s="6"/>
    </row>
    <row r="105" spans="1:14" ht="12" customHeight="1">
      <c r="A105" s="7"/>
      <c r="B105" s="9"/>
      <c r="C105" s="9"/>
      <c r="D105" s="9"/>
      <c r="E105" s="9"/>
      <c r="F105" s="9"/>
      <c r="G105" s="9"/>
      <c r="H105" s="9"/>
      <c r="I105" s="9"/>
      <c r="J105" s="9"/>
      <c r="K105" s="9"/>
      <c r="L105" s="58"/>
      <c r="M105" s="9"/>
      <c r="N105" s="6"/>
    </row>
    <row r="106" spans="1:14" ht="15.75" customHeight="1" thickBot="1">
      <c r="A106" s="118"/>
      <c r="B106" s="119" t="str">
        <f>B53</f>
        <v>PM4 INVESTOR REPORT QUARTER ENDING JUNE 2003</v>
      </c>
      <c r="C106" s="120"/>
      <c r="D106" s="120"/>
      <c r="E106" s="120"/>
      <c r="F106" s="120"/>
      <c r="G106" s="120"/>
      <c r="H106" s="120"/>
      <c r="I106" s="120"/>
      <c r="J106" s="120"/>
      <c r="K106" s="120"/>
      <c r="L106" s="124"/>
      <c r="M106" s="123"/>
      <c r="N106" s="6"/>
    </row>
    <row r="107" spans="1:14" ht="12" customHeight="1">
      <c r="A107" s="2"/>
      <c r="B107" s="5"/>
      <c r="C107" s="5"/>
      <c r="D107" s="5"/>
      <c r="E107" s="5"/>
      <c r="F107" s="5"/>
      <c r="G107" s="5"/>
      <c r="H107" s="5"/>
      <c r="I107" s="5"/>
      <c r="J107" s="5"/>
      <c r="K107" s="5"/>
      <c r="L107" s="66"/>
      <c r="M107" s="5"/>
      <c r="N107" s="6"/>
    </row>
    <row r="108" spans="1:14" ht="15.75">
      <c r="A108" s="7"/>
      <c r="B108" s="57" t="s">
        <v>78</v>
      </c>
      <c r="C108" s="15"/>
      <c r="D108" s="9"/>
      <c r="E108" s="9"/>
      <c r="F108" s="9"/>
      <c r="G108" s="9"/>
      <c r="H108" s="9"/>
      <c r="I108" s="9"/>
      <c r="J108" s="9"/>
      <c r="K108" s="9"/>
      <c r="L108" s="58"/>
      <c r="M108" s="9"/>
      <c r="N108" s="6"/>
    </row>
    <row r="109" spans="1:14" ht="15.75">
      <c r="A109" s="7"/>
      <c r="B109" s="23"/>
      <c r="C109" s="15"/>
      <c r="D109" s="9"/>
      <c r="E109" s="9"/>
      <c r="F109" s="9"/>
      <c r="G109" s="9"/>
      <c r="H109" s="9"/>
      <c r="I109" s="9"/>
      <c r="J109" s="9"/>
      <c r="K109" s="9"/>
      <c r="L109" s="58"/>
      <c r="M109" s="9"/>
      <c r="N109" s="6"/>
    </row>
    <row r="110" spans="1:14" ht="15.75">
      <c r="A110" s="7"/>
      <c r="B110" s="138" t="s">
        <v>79</v>
      </c>
      <c r="C110" s="15"/>
      <c r="D110" s="9"/>
      <c r="E110" s="9"/>
      <c r="F110" s="9"/>
      <c r="G110" s="9"/>
      <c r="H110" s="9"/>
      <c r="I110" s="9"/>
      <c r="J110" s="9"/>
      <c r="K110" s="9"/>
      <c r="L110" s="58"/>
      <c r="M110" s="9"/>
      <c r="N110" s="6"/>
    </row>
    <row r="111" spans="1:14" ht="15.75">
      <c r="A111" s="27"/>
      <c r="B111" s="28" t="s">
        <v>80</v>
      </c>
      <c r="C111" s="28"/>
      <c r="D111" s="28"/>
      <c r="E111" s="28"/>
      <c r="F111" s="28"/>
      <c r="G111" s="28"/>
      <c r="H111" s="28"/>
      <c r="I111" s="28"/>
      <c r="J111" s="28"/>
      <c r="K111" s="28"/>
      <c r="L111" s="59">
        <v>8750</v>
      </c>
      <c r="M111" s="28"/>
      <c r="N111" s="6"/>
    </row>
    <row r="112" spans="1:14" ht="15.75">
      <c r="A112" s="27"/>
      <c r="B112" s="28" t="s">
        <v>81</v>
      </c>
      <c r="C112" s="28"/>
      <c r="D112" s="28"/>
      <c r="E112" s="28"/>
      <c r="F112" s="28"/>
      <c r="G112" s="28"/>
      <c r="H112" s="28"/>
      <c r="I112" s="28"/>
      <c r="J112" s="28"/>
      <c r="K112" s="28"/>
      <c r="L112" s="59">
        <f>L111</f>
        <v>8750</v>
      </c>
      <c r="M112" s="28"/>
      <c r="N112" s="6"/>
    </row>
    <row r="113" spans="1:14" ht="15.75">
      <c r="A113" s="27"/>
      <c r="B113" s="28" t="s">
        <v>82</v>
      </c>
      <c r="C113" s="28"/>
      <c r="D113" s="28"/>
      <c r="E113" s="28"/>
      <c r="F113" s="28"/>
      <c r="G113" s="28"/>
      <c r="H113" s="28"/>
      <c r="I113" s="28"/>
      <c r="J113" s="28"/>
      <c r="K113" s="28"/>
      <c r="L113" s="59">
        <v>0</v>
      </c>
      <c r="M113" s="28"/>
      <c r="N113" s="6"/>
    </row>
    <row r="114" spans="1:14" ht="15.75">
      <c r="A114" s="27"/>
      <c r="B114" s="28" t="s">
        <v>83</v>
      </c>
      <c r="C114" s="28"/>
      <c r="D114" s="28"/>
      <c r="E114" s="28"/>
      <c r="F114" s="28"/>
      <c r="G114" s="28"/>
      <c r="H114" s="28"/>
      <c r="I114" s="28"/>
      <c r="J114" s="28"/>
      <c r="K114" s="28"/>
      <c r="L114" s="59">
        <v>0</v>
      </c>
      <c r="M114" s="28"/>
      <c r="N114" s="6"/>
    </row>
    <row r="115" spans="1:14" ht="15.75">
      <c r="A115" s="27"/>
      <c r="B115" s="28" t="s">
        <v>84</v>
      </c>
      <c r="C115" s="28"/>
      <c r="D115" s="28"/>
      <c r="E115" s="28"/>
      <c r="F115" s="28"/>
      <c r="G115" s="28"/>
      <c r="H115" s="28"/>
      <c r="I115" s="28"/>
      <c r="J115" s="28"/>
      <c r="K115" s="28"/>
      <c r="L115" s="59">
        <v>0</v>
      </c>
      <c r="M115" s="28"/>
      <c r="N115" s="6"/>
    </row>
    <row r="116" spans="1:14" ht="15.75">
      <c r="A116" s="27"/>
      <c r="B116" s="28" t="s">
        <v>62</v>
      </c>
      <c r="C116" s="28"/>
      <c r="D116" s="28"/>
      <c r="E116" s="28"/>
      <c r="F116" s="28"/>
      <c r="G116" s="28"/>
      <c r="H116" s="28"/>
      <c r="I116" s="28"/>
      <c r="J116" s="28"/>
      <c r="K116" s="28"/>
      <c r="L116" s="59">
        <v>0</v>
      </c>
      <c r="M116" s="28"/>
      <c r="N116" s="6"/>
    </row>
    <row r="117" spans="1:14" ht="15.75">
      <c r="A117" s="27"/>
      <c r="B117" s="28" t="s">
        <v>63</v>
      </c>
      <c r="C117" s="28"/>
      <c r="D117" s="28"/>
      <c r="E117" s="28"/>
      <c r="F117" s="28"/>
      <c r="G117" s="28"/>
      <c r="H117" s="28"/>
      <c r="I117" s="28"/>
      <c r="J117" s="28"/>
      <c r="K117" s="28"/>
      <c r="L117" s="59">
        <v>0</v>
      </c>
      <c r="M117" s="28"/>
      <c r="N117" s="6"/>
    </row>
    <row r="118" spans="1:14" ht="15.75">
      <c r="A118" s="27"/>
      <c r="B118" s="28" t="s">
        <v>85</v>
      </c>
      <c r="C118" s="28"/>
      <c r="D118" s="28"/>
      <c r="E118" s="28"/>
      <c r="F118" s="28"/>
      <c r="G118" s="28"/>
      <c r="H118" s="28"/>
      <c r="I118" s="28"/>
      <c r="J118" s="28"/>
      <c r="K118" s="28"/>
      <c r="L118" s="59">
        <v>0</v>
      </c>
      <c r="M118" s="28"/>
      <c r="N118" s="6"/>
    </row>
    <row r="119" spans="1:14" ht="15.75">
      <c r="A119" s="27"/>
      <c r="B119" s="28" t="s">
        <v>86</v>
      </c>
      <c r="C119" s="28"/>
      <c r="D119" s="28"/>
      <c r="E119" s="28"/>
      <c r="F119" s="28"/>
      <c r="G119" s="28"/>
      <c r="H119" s="28"/>
      <c r="I119" s="28"/>
      <c r="J119" s="28"/>
      <c r="K119" s="28"/>
      <c r="L119" s="59">
        <f>SUM(L112:L118)</f>
        <v>8750</v>
      </c>
      <c r="M119" s="28"/>
      <c r="N119" s="6"/>
    </row>
    <row r="120" spans="1:14" ht="15.75">
      <c r="A120" s="27"/>
      <c r="B120" s="28"/>
      <c r="C120" s="28"/>
      <c r="D120" s="28"/>
      <c r="E120" s="28"/>
      <c r="F120" s="28"/>
      <c r="G120" s="28"/>
      <c r="H120" s="28"/>
      <c r="I120" s="28"/>
      <c r="J120" s="28"/>
      <c r="K120" s="28"/>
      <c r="L120" s="67"/>
      <c r="M120" s="28"/>
      <c r="N120" s="6"/>
    </row>
    <row r="121" spans="1:14" ht="15.75">
      <c r="A121" s="7"/>
      <c r="B121" s="138" t="s">
        <v>87</v>
      </c>
      <c r="C121" s="9"/>
      <c r="D121" s="9"/>
      <c r="E121" s="9"/>
      <c r="F121" s="9"/>
      <c r="G121" s="9"/>
      <c r="H121" s="9"/>
      <c r="I121" s="9"/>
      <c r="J121" s="9"/>
      <c r="K121" s="9"/>
      <c r="L121" s="58"/>
      <c r="M121" s="9"/>
      <c r="N121" s="6"/>
    </row>
    <row r="122" spans="1:14" ht="15.75">
      <c r="A122" s="27"/>
      <c r="B122" s="28" t="s">
        <v>88</v>
      </c>
      <c r="C122" s="28"/>
      <c r="D122" s="68"/>
      <c r="E122" s="28"/>
      <c r="F122" s="28"/>
      <c r="G122" s="28"/>
      <c r="H122" s="28"/>
      <c r="I122" s="28"/>
      <c r="J122" s="28"/>
      <c r="K122" s="28"/>
      <c r="L122" s="69" t="s">
        <v>194</v>
      </c>
      <c r="M122" s="28"/>
      <c r="N122" s="6"/>
    </row>
    <row r="123" spans="1:14" ht="15.75">
      <c r="A123" s="27"/>
      <c r="B123" s="28" t="s">
        <v>89</v>
      </c>
      <c r="C123" s="31"/>
      <c r="D123" s="31"/>
      <c r="E123" s="31"/>
      <c r="F123" s="31"/>
      <c r="G123" s="31"/>
      <c r="H123" s="31"/>
      <c r="I123" s="31"/>
      <c r="J123" s="31"/>
      <c r="K123" s="31"/>
      <c r="L123" s="69" t="s">
        <v>194</v>
      </c>
      <c r="M123" s="28"/>
      <c r="N123" s="6"/>
    </row>
    <row r="124" spans="1:14" ht="15.75">
      <c r="A124" s="27"/>
      <c r="B124" s="28" t="s">
        <v>90</v>
      </c>
      <c r="C124" s="28"/>
      <c r="D124" s="28"/>
      <c r="E124" s="28"/>
      <c r="F124" s="28"/>
      <c r="G124" s="28"/>
      <c r="H124" s="28"/>
      <c r="I124" s="28"/>
      <c r="J124" s="28"/>
      <c r="K124" s="28"/>
      <c r="L124" s="69" t="s">
        <v>194</v>
      </c>
      <c r="M124" s="28"/>
      <c r="N124" s="6"/>
    </row>
    <row r="125" spans="1:14" ht="15.75">
      <c r="A125" s="27"/>
      <c r="B125" s="28" t="s">
        <v>91</v>
      </c>
      <c r="C125" s="28"/>
      <c r="D125" s="28"/>
      <c r="E125" s="28"/>
      <c r="F125" s="28"/>
      <c r="G125" s="28"/>
      <c r="H125" s="28"/>
      <c r="I125" s="28"/>
      <c r="J125" s="28"/>
      <c r="K125" s="28"/>
      <c r="L125" s="69" t="s">
        <v>194</v>
      </c>
      <c r="M125" s="28"/>
      <c r="N125" s="6"/>
    </row>
    <row r="126" spans="1:14" ht="15.75">
      <c r="A126" s="27"/>
      <c r="B126" s="28"/>
      <c r="C126" s="28"/>
      <c r="D126" s="28"/>
      <c r="E126" s="28"/>
      <c r="F126" s="28"/>
      <c r="G126" s="28"/>
      <c r="H126" s="28"/>
      <c r="I126" s="28"/>
      <c r="J126" s="28"/>
      <c r="K126" s="28"/>
      <c r="L126" s="67"/>
      <c r="M126" s="28"/>
      <c r="N126" s="6"/>
    </row>
    <row r="127" spans="1:14" ht="15.75">
      <c r="A127" s="7"/>
      <c r="B127" s="138" t="s">
        <v>92</v>
      </c>
      <c r="C127" s="15"/>
      <c r="D127" s="9"/>
      <c r="E127" s="9"/>
      <c r="F127" s="9"/>
      <c r="G127" s="9"/>
      <c r="H127" s="9"/>
      <c r="I127" s="9"/>
      <c r="J127" s="9"/>
      <c r="K127" s="9"/>
      <c r="L127" s="70"/>
      <c r="M127" s="9"/>
      <c r="N127" s="6"/>
    </row>
    <row r="128" spans="1:14" ht="15.75">
      <c r="A128" s="27"/>
      <c r="B128" s="28" t="s">
        <v>93</v>
      </c>
      <c r="C128" s="28"/>
      <c r="D128" s="28"/>
      <c r="E128" s="28"/>
      <c r="F128" s="28"/>
      <c r="G128" s="28"/>
      <c r="H128" s="28"/>
      <c r="I128" s="28"/>
      <c r="J128" s="28"/>
      <c r="K128" s="28"/>
      <c r="L128" s="59">
        <v>0</v>
      </c>
      <c r="M128" s="28"/>
      <c r="N128" s="6"/>
    </row>
    <row r="129" spans="1:14" ht="15.75">
      <c r="A129" s="27"/>
      <c r="B129" s="28" t="s">
        <v>94</v>
      </c>
      <c r="C129" s="28"/>
      <c r="D129" s="28"/>
      <c r="E129" s="28"/>
      <c r="F129" s="28"/>
      <c r="G129" s="28"/>
      <c r="H129" s="28"/>
      <c r="I129" s="28"/>
      <c r="J129" s="28"/>
      <c r="K129" s="28"/>
      <c r="L129" s="59">
        <v>0</v>
      </c>
      <c r="M129" s="28"/>
      <c r="N129" s="6"/>
    </row>
    <row r="130" spans="1:14" ht="15.75">
      <c r="A130" s="27"/>
      <c r="B130" s="28" t="s">
        <v>95</v>
      </c>
      <c r="C130" s="28"/>
      <c r="D130" s="28"/>
      <c r="E130" s="28"/>
      <c r="F130" s="28"/>
      <c r="G130" s="28"/>
      <c r="H130" s="28"/>
      <c r="I130" s="28"/>
      <c r="J130" s="28"/>
      <c r="K130" s="28"/>
      <c r="L130" s="59">
        <f>L129+L128</f>
        <v>0</v>
      </c>
      <c r="M130" s="28"/>
      <c r="N130" s="6"/>
    </row>
    <row r="131" spans="1:14" ht="15.75">
      <c r="A131" s="27"/>
      <c r="B131" s="28" t="s">
        <v>96</v>
      </c>
      <c r="C131" s="28"/>
      <c r="D131" s="28"/>
      <c r="E131" s="28"/>
      <c r="F131" s="28"/>
      <c r="G131" s="28"/>
      <c r="H131" s="71"/>
      <c r="I131" s="28"/>
      <c r="J131" s="28"/>
      <c r="K131" s="28"/>
      <c r="L131" s="59">
        <v>0</v>
      </c>
      <c r="M131" s="28"/>
      <c r="N131" s="6"/>
    </row>
    <row r="132" spans="1:14" ht="15.75">
      <c r="A132" s="27"/>
      <c r="B132" s="28" t="s">
        <v>97</v>
      </c>
      <c r="C132" s="28"/>
      <c r="D132" s="28"/>
      <c r="E132" s="28"/>
      <c r="F132" s="28"/>
      <c r="G132" s="28"/>
      <c r="H132" s="28"/>
      <c r="I132" s="28"/>
      <c r="J132" s="28"/>
      <c r="K132" s="28"/>
      <c r="L132" s="59">
        <f>L130+L131</f>
        <v>0</v>
      </c>
      <c r="M132" s="28"/>
      <c r="N132" s="6"/>
    </row>
    <row r="133" spans="1:14" ht="7.5" customHeight="1">
      <c r="A133" s="27"/>
      <c r="B133" s="28"/>
      <c r="C133" s="28"/>
      <c r="D133" s="28"/>
      <c r="E133" s="28"/>
      <c r="F133" s="28"/>
      <c r="G133" s="28"/>
      <c r="H133" s="28"/>
      <c r="I133" s="28"/>
      <c r="J133" s="28"/>
      <c r="K133" s="28"/>
      <c r="L133" s="67"/>
      <c r="M133" s="28"/>
      <c r="N133" s="6"/>
    </row>
    <row r="134" spans="1:14" ht="6" customHeight="1">
      <c r="A134" s="2"/>
      <c r="B134" s="5"/>
      <c r="C134" s="5"/>
      <c r="D134" s="5"/>
      <c r="E134" s="5"/>
      <c r="F134" s="5"/>
      <c r="G134" s="5"/>
      <c r="H134" s="5"/>
      <c r="I134" s="5"/>
      <c r="J134" s="5"/>
      <c r="K134" s="5"/>
      <c r="L134" s="66"/>
      <c r="M134" s="5"/>
      <c r="N134" s="6"/>
    </row>
    <row r="135" spans="1:14" ht="15.75">
      <c r="A135" s="7"/>
      <c r="B135" s="138" t="s">
        <v>98</v>
      </c>
      <c r="C135" s="15"/>
      <c r="D135" s="9"/>
      <c r="E135" s="9"/>
      <c r="F135" s="9"/>
      <c r="G135" s="9"/>
      <c r="H135" s="9"/>
      <c r="I135" s="9"/>
      <c r="J135" s="9"/>
      <c r="K135" s="9"/>
      <c r="L135" s="58"/>
      <c r="M135" s="9"/>
      <c r="N135" s="6"/>
    </row>
    <row r="136" spans="1:14" ht="15.75">
      <c r="A136" s="7"/>
      <c r="B136" s="23"/>
      <c r="C136" s="15"/>
      <c r="D136" s="9"/>
      <c r="E136" s="9"/>
      <c r="F136" s="9"/>
      <c r="G136" s="9"/>
      <c r="H136" s="9"/>
      <c r="I136" s="9"/>
      <c r="J136" s="9"/>
      <c r="K136" s="9"/>
      <c r="L136" s="58"/>
      <c r="M136" s="9"/>
      <c r="N136" s="6"/>
    </row>
    <row r="137" spans="1:14" ht="15.75">
      <c r="A137" s="27"/>
      <c r="B137" s="28" t="s">
        <v>99</v>
      </c>
      <c r="C137" s="72"/>
      <c r="D137" s="28"/>
      <c r="E137" s="28"/>
      <c r="F137" s="28"/>
      <c r="G137" s="28"/>
      <c r="H137" s="28"/>
      <c r="I137" s="28"/>
      <c r="J137" s="28"/>
      <c r="K137" s="28"/>
      <c r="L137" s="59">
        <f>L61</f>
        <v>443351</v>
      </c>
      <c r="M137" s="28"/>
      <c r="N137" s="6"/>
    </row>
    <row r="138" spans="1:14" ht="15.75">
      <c r="A138" s="27"/>
      <c r="B138" s="28" t="s">
        <v>100</v>
      </c>
      <c r="C138" s="72"/>
      <c r="D138" s="28"/>
      <c r="E138" s="28"/>
      <c r="F138" s="28"/>
      <c r="G138" s="28"/>
      <c r="H138" s="28"/>
      <c r="I138" s="28"/>
      <c r="J138" s="28"/>
      <c r="K138" s="28"/>
      <c r="L138" s="59">
        <f>L33</f>
        <v>443351.435</v>
      </c>
      <c r="M138" s="28"/>
      <c r="N138" s="6"/>
    </row>
    <row r="139" spans="1:14" ht="7.5" customHeight="1">
      <c r="A139" s="27"/>
      <c r="B139" s="28"/>
      <c r="C139" s="28"/>
      <c r="D139" s="28"/>
      <c r="E139" s="28"/>
      <c r="F139" s="28"/>
      <c r="G139" s="28"/>
      <c r="H139" s="28"/>
      <c r="I139" s="28"/>
      <c r="J139" s="28"/>
      <c r="K139" s="28"/>
      <c r="L139" s="67"/>
      <c r="M139" s="28"/>
      <c r="N139" s="6"/>
    </row>
    <row r="140" spans="1:14" ht="15.75">
      <c r="A140" s="2"/>
      <c r="B140" s="5"/>
      <c r="C140" s="5"/>
      <c r="D140" s="5"/>
      <c r="E140" s="5"/>
      <c r="F140" s="5"/>
      <c r="G140" s="5"/>
      <c r="H140" s="5"/>
      <c r="I140" s="5"/>
      <c r="J140" s="5"/>
      <c r="K140" s="5"/>
      <c r="L140" s="66"/>
      <c r="M140" s="5"/>
      <c r="N140" s="6"/>
    </row>
    <row r="141" spans="1:14" ht="15.75">
      <c r="A141" s="7"/>
      <c r="B141" s="138" t="s">
        <v>101</v>
      </c>
      <c r="C141" s="131"/>
      <c r="D141" s="131"/>
      <c r="E141" s="131"/>
      <c r="F141" s="131"/>
      <c r="G141" s="131"/>
      <c r="H141" s="139" t="s">
        <v>174</v>
      </c>
      <c r="I141" s="139"/>
      <c r="J141" s="139" t="s">
        <v>182</v>
      </c>
      <c r="K141" s="131"/>
      <c r="L141" s="140" t="s">
        <v>195</v>
      </c>
      <c r="M141" s="11"/>
      <c r="N141" s="6"/>
    </row>
    <row r="142" spans="1:14" ht="15.75">
      <c r="A142" s="27"/>
      <c r="B142" s="28" t="s">
        <v>102</v>
      </c>
      <c r="C142" s="28"/>
      <c r="D142" s="28"/>
      <c r="E142" s="28"/>
      <c r="F142" s="28"/>
      <c r="G142" s="28"/>
      <c r="H142" s="59">
        <v>70000</v>
      </c>
      <c r="I142" s="28"/>
      <c r="J142" s="47"/>
      <c r="K142" s="28"/>
      <c r="L142" s="59"/>
      <c r="M142" s="28"/>
      <c r="N142" s="6"/>
    </row>
    <row r="143" spans="1:14" ht="15.75">
      <c r="A143" s="27"/>
      <c r="B143" s="28" t="s">
        <v>103</v>
      </c>
      <c r="C143" s="28"/>
      <c r="D143" s="28"/>
      <c r="E143" s="28"/>
      <c r="F143" s="28"/>
      <c r="G143" s="28"/>
      <c r="H143" s="59">
        <f>'Mar 03'!H145</f>
        <v>23577</v>
      </c>
      <c r="I143" s="28"/>
      <c r="J143" s="59">
        <f>'Mar 03'!J145</f>
        <v>2033</v>
      </c>
      <c r="K143" s="28"/>
      <c r="L143" s="59">
        <f>J143+H143</f>
        <v>25610</v>
      </c>
      <c r="M143" s="28"/>
      <c r="N143" s="6"/>
    </row>
    <row r="144" spans="1:14" ht="15.75">
      <c r="A144" s="27"/>
      <c r="B144" s="28" t="s">
        <v>104</v>
      </c>
      <c r="C144" s="28"/>
      <c r="D144" s="28"/>
      <c r="E144" s="28"/>
      <c r="F144" s="28"/>
      <c r="G144" s="28"/>
      <c r="H144" s="59">
        <v>6106</v>
      </c>
      <c r="I144" s="28"/>
      <c r="J144" s="59">
        <v>233</v>
      </c>
      <c r="K144" s="28"/>
      <c r="L144" s="59">
        <f>J144+H144</f>
        <v>6339</v>
      </c>
      <c r="M144" s="28"/>
      <c r="N144" s="6"/>
    </row>
    <row r="145" spans="1:14" ht="15.75">
      <c r="A145" s="27"/>
      <c r="B145" s="28" t="s">
        <v>105</v>
      </c>
      <c r="C145" s="28"/>
      <c r="D145" s="28"/>
      <c r="E145" s="28"/>
      <c r="F145" s="28"/>
      <c r="G145" s="28"/>
      <c r="H145" s="59">
        <f>H144+H143</f>
        <v>29683</v>
      </c>
      <c r="I145" s="28"/>
      <c r="J145" s="59">
        <f>J144+J143</f>
        <v>2266</v>
      </c>
      <c r="K145" s="28"/>
      <c r="L145" s="59">
        <f>J145+H145</f>
        <v>31949</v>
      </c>
      <c r="M145" s="28"/>
      <c r="N145" s="6"/>
    </row>
    <row r="146" spans="1:14" ht="15.75">
      <c r="A146" s="27"/>
      <c r="B146" s="28" t="s">
        <v>106</v>
      </c>
      <c r="C146" s="28"/>
      <c r="D146" s="28"/>
      <c r="E146" s="28"/>
      <c r="F146" s="28"/>
      <c r="G146" s="28"/>
      <c r="H146" s="59">
        <f>H142-H145-J145</f>
        <v>38051</v>
      </c>
      <c r="I146" s="28"/>
      <c r="J146" s="47"/>
      <c r="K146" s="28"/>
      <c r="L146" s="59"/>
      <c r="M146" s="28"/>
      <c r="N146" s="6"/>
    </row>
    <row r="147" spans="1:14" ht="7.5" customHeight="1">
      <c r="A147" s="27"/>
      <c r="B147" s="28"/>
      <c r="C147" s="28"/>
      <c r="D147" s="28"/>
      <c r="E147" s="28"/>
      <c r="F147" s="28"/>
      <c r="G147" s="28"/>
      <c r="H147" s="28"/>
      <c r="I147" s="28"/>
      <c r="J147" s="28"/>
      <c r="K147" s="28"/>
      <c r="L147" s="67"/>
      <c r="M147" s="28"/>
      <c r="N147" s="6"/>
    </row>
    <row r="148" spans="1:14" ht="9" customHeight="1">
      <c r="A148" s="2"/>
      <c r="B148" s="5"/>
      <c r="C148" s="5"/>
      <c r="D148" s="5"/>
      <c r="E148" s="5"/>
      <c r="F148" s="5"/>
      <c r="G148" s="5"/>
      <c r="H148" s="5"/>
      <c r="I148" s="5"/>
      <c r="J148" s="5"/>
      <c r="K148" s="5"/>
      <c r="L148" s="66"/>
      <c r="M148" s="5"/>
      <c r="N148" s="6"/>
    </row>
    <row r="149" spans="1:14" ht="15.75">
      <c r="A149" s="7"/>
      <c r="B149" s="138" t="s">
        <v>107</v>
      </c>
      <c r="C149" s="15"/>
      <c r="D149" s="9"/>
      <c r="E149" s="9"/>
      <c r="F149" s="9"/>
      <c r="G149" s="9"/>
      <c r="H149" s="9"/>
      <c r="I149" s="9"/>
      <c r="J149" s="9"/>
      <c r="K149" s="9"/>
      <c r="L149" s="73"/>
      <c r="M149" s="9"/>
      <c r="N149" s="6"/>
    </row>
    <row r="150" spans="1:14" ht="15.75">
      <c r="A150" s="27"/>
      <c r="B150" s="28" t="s">
        <v>108</v>
      </c>
      <c r="C150" s="28"/>
      <c r="D150" s="28"/>
      <c r="E150" s="28"/>
      <c r="F150" s="28"/>
      <c r="G150" s="28"/>
      <c r="H150" s="28"/>
      <c r="I150" s="28"/>
      <c r="J150" s="28"/>
      <c r="K150" s="28"/>
      <c r="L150" s="65">
        <f>(L82+L84+L85+L86+L87)/-L88</f>
        <v>1.4664496745117677</v>
      </c>
      <c r="M150" s="28" t="s">
        <v>196</v>
      </c>
      <c r="N150" s="6"/>
    </row>
    <row r="151" spans="1:14" ht="15.75">
      <c r="A151" s="27"/>
      <c r="B151" s="28" t="s">
        <v>109</v>
      </c>
      <c r="C151" s="28"/>
      <c r="D151" s="28"/>
      <c r="E151" s="28"/>
      <c r="F151" s="28"/>
      <c r="G151" s="28"/>
      <c r="H151" s="28"/>
      <c r="I151" s="28"/>
      <c r="J151" s="28"/>
      <c r="K151" s="28"/>
      <c r="L151" s="65">
        <v>1.37</v>
      </c>
      <c r="M151" s="28" t="s">
        <v>196</v>
      </c>
      <c r="N151" s="6"/>
    </row>
    <row r="152" spans="1:14" ht="15.75">
      <c r="A152" s="27"/>
      <c r="B152" s="28" t="s">
        <v>110</v>
      </c>
      <c r="C152" s="28"/>
      <c r="D152" s="28"/>
      <c r="E152" s="28"/>
      <c r="F152" s="28"/>
      <c r="G152" s="28"/>
      <c r="H152" s="28"/>
      <c r="I152" s="28"/>
      <c r="J152" s="28"/>
      <c r="K152" s="28"/>
      <c r="L152" s="65">
        <f>(L82+SUM(L84:L88))/-L89</f>
        <v>3.9221052631578948</v>
      </c>
      <c r="M152" s="28" t="s">
        <v>196</v>
      </c>
      <c r="N152" s="6"/>
    </row>
    <row r="153" spans="1:14" ht="15.75">
      <c r="A153" s="27"/>
      <c r="B153" s="28" t="s">
        <v>111</v>
      </c>
      <c r="C153" s="28"/>
      <c r="D153" s="28"/>
      <c r="E153" s="28"/>
      <c r="F153" s="28"/>
      <c r="G153" s="28"/>
      <c r="H153" s="28"/>
      <c r="I153" s="28"/>
      <c r="J153" s="28"/>
      <c r="K153" s="28"/>
      <c r="L153" s="74">
        <v>3.28</v>
      </c>
      <c r="M153" s="28" t="s">
        <v>196</v>
      </c>
      <c r="N153" s="6"/>
    </row>
    <row r="154" spans="1:14" ht="12.75" customHeight="1">
      <c r="A154" s="27"/>
      <c r="B154" s="28"/>
      <c r="C154" s="28"/>
      <c r="D154" s="28"/>
      <c r="E154" s="28"/>
      <c r="F154" s="28"/>
      <c r="G154" s="28"/>
      <c r="H154" s="28"/>
      <c r="I154" s="28"/>
      <c r="J154" s="28"/>
      <c r="K154" s="28"/>
      <c r="L154" s="28"/>
      <c r="M154" s="28"/>
      <c r="N154" s="6"/>
    </row>
    <row r="155" spans="1:14" ht="12.75" customHeight="1">
      <c r="A155" s="7"/>
      <c r="B155" s="9"/>
      <c r="C155" s="9"/>
      <c r="D155" s="9"/>
      <c r="E155" s="9"/>
      <c r="F155" s="9"/>
      <c r="G155" s="9"/>
      <c r="H155" s="9"/>
      <c r="I155" s="9"/>
      <c r="J155" s="9"/>
      <c r="K155" s="9"/>
      <c r="L155" s="9"/>
      <c r="M155" s="9"/>
      <c r="N155" s="6"/>
    </row>
    <row r="156" spans="1:14" ht="15" customHeight="1" thickBot="1">
      <c r="A156" s="118"/>
      <c r="B156" s="119" t="str">
        <f>B106</f>
        <v>PM4 INVESTOR REPORT QUARTER ENDING JUNE 2003</v>
      </c>
      <c r="C156" s="120"/>
      <c r="D156" s="120"/>
      <c r="E156" s="120"/>
      <c r="F156" s="120"/>
      <c r="G156" s="120"/>
      <c r="H156" s="120"/>
      <c r="I156" s="120"/>
      <c r="J156" s="120"/>
      <c r="K156" s="120"/>
      <c r="L156" s="120"/>
      <c r="M156" s="123"/>
      <c r="N156" s="6"/>
    </row>
    <row r="157" spans="1:14" ht="15.75">
      <c r="A157" s="2"/>
      <c r="B157" s="75"/>
      <c r="C157" s="75"/>
      <c r="D157" s="75"/>
      <c r="E157" s="75"/>
      <c r="F157" s="75"/>
      <c r="G157" s="75"/>
      <c r="H157" s="75"/>
      <c r="I157" s="75"/>
      <c r="J157" s="75"/>
      <c r="K157" s="75"/>
      <c r="L157" s="75"/>
      <c r="M157" s="75"/>
      <c r="N157" s="6"/>
    </row>
    <row r="158" spans="1:14" ht="15.75">
      <c r="A158" s="76"/>
      <c r="B158" s="57" t="s">
        <v>112</v>
      </c>
      <c r="C158" s="77"/>
      <c r="D158" s="77"/>
      <c r="E158" s="77"/>
      <c r="F158" s="77"/>
      <c r="G158" s="21"/>
      <c r="H158" s="21"/>
      <c r="I158" s="21"/>
      <c r="J158" s="21">
        <v>37802</v>
      </c>
      <c r="K158" s="17"/>
      <c r="L158" s="17"/>
      <c r="M158" s="9"/>
      <c r="N158" s="6"/>
    </row>
    <row r="159" spans="1:14" ht="15.75">
      <c r="A159" s="78"/>
      <c r="B159" s="79"/>
      <c r="C159" s="80"/>
      <c r="D159" s="80"/>
      <c r="E159" s="80"/>
      <c r="F159" s="80"/>
      <c r="G159" s="81"/>
      <c r="H159" s="81"/>
      <c r="I159" s="81"/>
      <c r="J159" s="81"/>
      <c r="K159" s="9"/>
      <c r="L159" s="9"/>
      <c r="M159" s="9"/>
      <c r="N159" s="6"/>
    </row>
    <row r="160" spans="1:14" ht="15.75">
      <c r="A160" s="82"/>
      <c r="B160" s="83" t="s">
        <v>113</v>
      </c>
      <c r="C160" s="84"/>
      <c r="D160" s="84"/>
      <c r="E160" s="84"/>
      <c r="F160" s="84"/>
      <c r="G160" s="71"/>
      <c r="H160" s="71"/>
      <c r="I160" s="71"/>
      <c r="J160" s="85">
        <v>0.06</v>
      </c>
      <c r="K160" s="28"/>
      <c r="L160" s="28"/>
      <c r="M160" s="28"/>
      <c r="N160" s="6"/>
    </row>
    <row r="161" spans="1:14" ht="15.75">
      <c r="A161" s="82"/>
      <c r="B161" s="83" t="s">
        <v>114</v>
      </c>
      <c r="C161" s="84"/>
      <c r="D161" s="84"/>
      <c r="E161" s="84"/>
      <c r="F161" s="84"/>
      <c r="G161" s="71"/>
      <c r="H161" s="71"/>
      <c r="I161" s="71"/>
      <c r="J161" s="85">
        <v>0.0452</v>
      </c>
      <c r="K161" s="28"/>
      <c r="L161" s="28"/>
      <c r="M161" s="28"/>
      <c r="N161" s="6"/>
    </row>
    <row r="162" spans="1:14" ht="15.75">
      <c r="A162" s="82"/>
      <c r="B162" s="83" t="s">
        <v>115</v>
      </c>
      <c r="C162" s="84"/>
      <c r="D162" s="84"/>
      <c r="E162" s="84"/>
      <c r="F162" s="84"/>
      <c r="G162" s="71"/>
      <c r="H162" s="71"/>
      <c r="I162" s="71"/>
      <c r="J162" s="85">
        <f>J160-J161</f>
        <v>0.0148</v>
      </c>
      <c r="K162" s="28"/>
      <c r="L162" s="28"/>
      <c r="M162" s="28"/>
      <c r="N162" s="6"/>
    </row>
    <row r="163" spans="1:14" ht="15.75">
      <c r="A163" s="82"/>
      <c r="B163" s="83" t="s">
        <v>116</v>
      </c>
      <c r="C163" s="84"/>
      <c r="D163" s="84"/>
      <c r="E163" s="84"/>
      <c r="F163" s="84"/>
      <c r="G163" s="71"/>
      <c r="H163" s="71"/>
      <c r="I163" s="71"/>
      <c r="J163" s="85">
        <v>0.05726</v>
      </c>
      <c r="K163" s="28"/>
      <c r="L163" s="28"/>
      <c r="M163" s="28"/>
      <c r="N163" s="6"/>
    </row>
    <row r="164" spans="1:14" ht="15.75">
      <c r="A164" s="82"/>
      <c r="B164" s="83" t="s">
        <v>117</v>
      </c>
      <c r="C164" s="84"/>
      <c r="D164" s="84"/>
      <c r="E164" s="84"/>
      <c r="F164" s="84"/>
      <c r="G164" s="71"/>
      <c r="H164" s="71"/>
      <c r="I164" s="71"/>
      <c r="J164" s="85">
        <f>L35</f>
        <v>0.039470917238875455</v>
      </c>
      <c r="K164" s="28"/>
      <c r="L164" s="28"/>
      <c r="M164" s="28"/>
      <c r="N164" s="6"/>
    </row>
    <row r="165" spans="1:14" ht="15.75">
      <c r="A165" s="82"/>
      <c r="B165" s="83" t="s">
        <v>118</v>
      </c>
      <c r="C165" s="84"/>
      <c r="D165" s="84"/>
      <c r="E165" s="84"/>
      <c r="F165" s="84"/>
      <c r="G165" s="71"/>
      <c r="H165" s="71"/>
      <c r="I165" s="71"/>
      <c r="J165" s="85">
        <f>J163-J164</f>
        <v>0.017789082761124543</v>
      </c>
      <c r="K165" s="28"/>
      <c r="L165" s="28"/>
      <c r="M165" s="28"/>
      <c r="N165" s="6"/>
    </row>
    <row r="166" spans="1:14" ht="15.75">
      <c r="A166" s="82"/>
      <c r="B166" s="83" t="s">
        <v>119</v>
      </c>
      <c r="C166" s="84"/>
      <c r="D166" s="84"/>
      <c r="E166" s="84"/>
      <c r="F166" s="84"/>
      <c r="G166" s="71"/>
      <c r="H166" s="71"/>
      <c r="I166" s="71"/>
      <c r="J166" s="86" t="s">
        <v>183</v>
      </c>
      <c r="K166" s="28"/>
      <c r="L166" s="28"/>
      <c r="M166" s="28"/>
      <c r="N166" s="6"/>
    </row>
    <row r="167" spans="1:14" ht="15.75">
      <c r="A167" s="82"/>
      <c r="B167" s="83" t="s">
        <v>120</v>
      </c>
      <c r="C167" s="84"/>
      <c r="D167" s="84"/>
      <c r="E167" s="84"/>
      <c r="F167" s="84"/>
      <c r="G167" s="71"/>
      <c r="H167" s="71"/>
      <c r="I167" s="71"/>
      <c r="J167" s="86" t="s">
        <v>184</v>
      </c>
      <c r="K167" s="28"/>
      <c r="L167" s="28"/>
      <c r="M167" s="28"/>
      <c r="N167" s="6"/>
    </row>
    <row r="168" spans="1:14" ht="15.75">
      <c r="A168" s="82"/>
      <c r="B168" s="83" t="s">
        <v>121</v>
      </c>
      <c r="C168" s="84"/>
      <c r="D168" s="84"/>
      <c r="E168" s="84"/>
      <c r="F168" s="84"/>
      <c r="G168" s="71"/>
      <c r="H168" s="71"/>
      <c r="I168" s="71"/>
      <c r="J168" s="87">
        <v>20.2</v>
      </c>
      <c r="K168" s="28" t="s">
        <v>188</v>
      </c>
      <c r="L168" s="28"/>
      <c r="M168" s="28"/>
      <c r="N168" s="6"/>
    </row>
    <row r="169" spans="1:14" ht="15.75">
      <c r="A169" s="82"/>
      <c r="B169" s="83" t="s">
        <v>122</v>
      </c>
      <c r="C169" s="84"/>
      <c r="D169" s="84"/>
      <c r="E169" s="84"/>
      <c r="F169" s="84"/>
      <c r="G169" s="71"/>
      <c r="H169" s="71"/>
      <c r="I169" s="71"/>
      <c r="J169" s="87">
        <v>19.44</v>
      </c>
      <c r="K169" s="28" t="s">
        <v>188</v>
      </c>
      <c r="L169" s="28"/>
      <c r="M169" s="28"/>
      <c r="N169" s="6"/>
    </row>
    <row r="170" spans="1:14" ht="15.75">
      <c r="A170" s="82"/>
      <c r="B170" s="83" t="s">
        <v>123</v>
      </c>
      <c r="C170" s="84"/>
      <c r="D170" s="84"/>
      <c r="E170" s="84"/>
      <c r="F170" s="84"/>
      <c r="G170" s="71"/>
      <c r="H170" s="71"/>
      <c r="I170" s="71"/>
      <c r="J170" s="85">
        <f>F58/'Mar 03'!L58</f>
        <v>0.03775973718571168</v>
      </c>
      <c r="K170" s="28"/>
      <c r="L170" s="28"/>
      <c r="M170" s="28"/>
      <c r="N170" s="6"/>
    </row>
    <row r="171" spans="1:14" ht="15.75">
      <c r="A171" s="82"/>
      <c r="B171" s="83" t="s">
        <v>124</v>
      </c>
      <c r="C171" s="84"/>
      <c r="D171" s="84"/>
      <c r="E171" s="84"/>
      <c r="F171" s="84"/>
      <c r="G171" s="71"/>
      <c r="H171" s="71"/>
      <c r="I171" s="71"/>
      <c r="J171" s="85">
        <v>0.1406</v>
      </c>
      <c r="K171" s="28"/>
      <c r="L171" s="28"/>
      <c r="M171" s="28"/>
      <c r="N171" s="6"/>
    </row>
    <row r="172" spans="1:14" ht="15.75">
      <c r="A172" s="82"/>
      <c r="B172" s="83"/>
      <c r="C172" s="83"/>
      <c r="D172" s="83"/>
      <c r="E172" s="83"/>
      <c r="F172" s="83"/>
      <c r="G172" s="28"/>
      <c r="H172" s="28"/>
      <c r="I172" s="28"/>
      <c r="J172" s="67"/>
      <c r="K172" s="28"/>
      <c r="L172" s="88"/>
      <c r="M172" s="28"/>
      <c r="N172" s="6"/>
    </row>
    <row r="173" spans="1:14" ht="15.75">
      <c r="A173" s="89"/>
      <c r="B173" s="16" t="s">
        <v>125</v>
      </c>
      <c r="C173" s="90"/>
      <c r="D173" s="91"/>
      <c r="E173" s="90"/>
      <c r="F173" s="91"/>
      <c r="G173" s="90"/>
      <c r="H173" s="91"/>
      <c r="I173" s="19" t="s">
        <v>175</v>
      </c>
      <c r="J173" s="92" t="s">
        <v>185</v>
      </c>
      <c r="K173" s="17"/>
      <c r="L173" s="9"/>
      <c r="M173" s="9"/>
      <c r="N173" s="6"/>
    </row>
    <row r="174" spans="1:14" ht="15.75">
      <c r="A174" s="93"/>
      <c r="B174" s="83" t="s">
        <v>126</v>
      </c>
      <c r="C174" s="60"/>
      <c r="D174" s="60"/>
      <c r="E174" s="60"/>
      <c r="F174" s="28"/>
      <c r="G174" s="28"/>
      <c r="H174" s="28"/>
      <c r="I174" s="29">
        <v>18</v>
      </c>
      <c r="J174" s="94">
        <v>563</v>
      </c>
      <c r="K174" s="28"/>
      <c r="L174" s="88"/>
      <c r="M174" s="95"/>
      <c r="N174" s="6"/>
    </row>
    <row r="175" spans="1:14" ht="15.75">
      <c r="A175" s="93"/>
      <c r="B175" s="83" t="s">
        <v>127</v>
      </c>
      <c r="C175" s="60"/>
      <c r="D175" s="60"/>
      <c r="E175" s="60"/>
      <c r="F175" s="28"/>
      <c r="G175" s="28"/>
      <c r="H175" s="28"/>
      <c r="I175" s="29">
        <v>2</v>
      </c>
      <c r="J175" s="94">
        <v>66</v>
      </c>
      <c r="K175" s="28"/>
      <c r="L175" s="88"/>
      <c r="M175" s="95"/>
      <c r="N175" s="6"/>
    </row>
    <row r="176" spans="1:14" ht="15.75">
      <c r="A176" s="93"/>
      <c r="B176" s="141" t="s">
        <v>128</v>
      </c>
      <c r="C176" s="60"/>
      <c r="D176" s="60"/>
      <c r="E176" s="60"/>
      <c r="F176" s="28"/>
      <c r="G176" s="28"/>
      <c r="H176" s="28"/>
      <c r="I176" s="28"/>
      <c r="J176" s="94">
        <v>0</v>
      </c>
      <c r="K176" s="28"/>
      <c r="L176" s="88"/>
      <c r="M176" s="95"/>
      <c r="N176" s="6"/>
    </row>
    <row r="177" spans="1:14" ht="15.75">
      <c r="A177" s="93"/>
      <c r="B177" s="141" t="s">
        <v>129</v>
      </c>
      <c r="C177" s="60"/>
      <c r="D177" s="60"/>
      <c r="E177" s="60"/>
      <c r="F177" s="28"/>
      <c r="G177" s="28"/>
      <c r="H177" s="28"/>
      <c r="I177" s="28"/>
      <c r="J177" s="94">
        <v>77991</v>
      </c>
      <c r="K177" s="28"/>
      <c r="L177" s="88"/>
      <c r="M177" s="95"/>
      <c r="N177" s="6"/>
    </row>
    <row r="178" spans="1:14" ht="15.75">
      <c r="A178" s="96"/>
      <c r="B178" s="141" t="s">
        <v>130</v>
      </c>
      <c r="C178" s="60"/>
      <c r="D178" s="83"/>
      <c r="E178" s="83"/>
      <c r="F178" s="83"/>
      <c r="G178" s="28"/>
      <c r="H178" s="28"/>
      <c r="I178" s="28"/>
      <c r="J178" s="94">
        <v>0</v>
      </c>
      <c r="K178" s="28"/>
      <c r="L178" s="88"/>
      <c r="M178" s="97"/>
      <c r="N178" s="6"/>
    </row>
    <row r="179" spans="1:14" ht="15.75">
      <c r="A179" s="93"/>
      <c r="B179" s="83" t="s">
        <v>131</v>
      </c>
      <c r="C179" s="60"/>
      <c r="D179" s="60"/>
      <c r="E179" s="60"/>
      <c r="F179" s="60"/>
      <c r="G179" s="28"/>
      <c r="H179" s="28"/>
      <c r="I179" s="28"/>
      <c r="J179" s="94">
        <v>0</v>
      </c>
      <c r="K179" s="28"/>
      <c r="L179" s="88"/>
      <c r="M179" s="97"/>
      <c r="N179" s="6"/>
    </row>
    <row r="180" spans="1:14" ht="15.75">
      <c r="A180" s="93"/>
      <c r="B180" s="83" t="s">
        <v>132</v>
      </c>
      <c r="C180" s="60"/>
      <c r="D180" s="60"/>
      <c r="E180" s="60"/>
      <c r="F180" s="60"/>
      <c r="G180" s="28"/>
      <c r="H180" s="28"/>
      <c r="I180" s="28"/>
      <c r="J180" s="94">
        <v>0</v>
      </c>
      <c r="K180" s="28"/>
      <c r="L180" s="88"/>
      <c r="M180" s="97"/>
      <c r="N180" s="6"/>
    </row>
    <row r="181" spans="1:14" ht="15.75">
      <c r="A181" s="93"/>
      <c r="B181" s="83" t="s">
        <v>133</v>
      </c>
      <c r="C181" s="60"/>
      <c r="D181" s="60"/>
      <c r="E181" s="60"/>
      <c r="F181" s="60"/>
      <c r="G181" s="28"/>
      <c r="H181" s="28"/>
      <c r="I181" s="28"/>
      <c r="J181" s="94">
        <v>0</v>
      </c>
      <c r="K181" s="28"/>
      <c r="L181" s="88"/>
      <c r="M181" s="97"/>
      <c r="N181" s="6"/>
    </row>
    <row r="182" spans="1:14" ht="15.75">
      <c r="A182" s="96"/>
      <c r="B182" s="141" t="s">
        <v>134</v>
      </c>
      <c r="C182" s="60"/>
      <c r="D182" s="83"/>
      <c r="E182" s="83"/>
      <c r="F182" s="83"/>
      <c r="G182" s="28"/>
      <c r="H182" s="28"/>
      <c r="I182" s="28"/>
      <c r="J182" s="94"/>
      <c r="K182" s="28"/>
      <c r="L182" s="88"/>
      <c r="M182" s="97"/>
      <c r="N182" s="6"/>
    </row>
    <row r="183" spans="1:14" ht="15.75">
      <c r="A183" s="96"/>
      <c r="B183" s="83" t="s">
        <v>135</v>
      </c>
      <c r="C183" s="60"/>
      <c r="D183" s="83"/>
      <c r="E183" s="83"/>
      <c r="F183" s="83"/>
      <c r="G183" s="28"/>
      <c r="H183" s="28"/>
      <c r="I183" s="28"/>
      <c r="J183" s="94">
        <v>0</v>
      </c>
      <c r="K183" s="28"/>
      <c r="L183" s="88"/>
      <c r="M183" s="97"/>
      <c r="N183" s="6"/>
    </row>
    <row r="184" spans="1:14" ht="15.75">
      <c r="A184" s="93"/>
      <c r="B184" s="83" t="s">
        <v>136</v>
      </c>
      <c r="C184" s="60"/>
      <c r="D184" s="98"/>
      <c r="E184" s="98"/>
      <c r="F184" s="99"/>
      <c r="G184" s="28"/>
      <c r="H184" s="28"/>
      <c r="I184" s="28"/>
      <c r="J184" s="94">
        <v>0</v>
      </c>
      <c r="K184" s="28"/>
      <c r="L184" s="88"/>
      <c r="M184" s="97"/>
      <c r="N184" s="6"/>
    </row>
    <row r="185" spans="1:14" ht="15.75">
      <c r="A185" s="93"/>
      <c r="B185" s="83" t="s">
        <v>137</v>
      </c>
      <c r="C185" s="60"/>
      <c r="D185" s="98"/>
      <c r="E185" s="98"/>
      <c r="F185" s="99"/>
      <c r="G185" s="28"/>
      <c r="H185" s="28"/>
      <c r="I185" s="28"/>
      <c r="J185" s="94">
        <v>0</v>
      </c>
      <c r="K185" s="28"/>
      <c r="L185" s="88"/>
      <c r="M185" s="97"/>
      <c r="N185" s="6"/>
    </row>
    <row r="186" spans="1:14" ht="15.75">
      <c r="A186" s="93"/>
      <c r="B186" s="83" t="s">
        <v>138</v>
      </c>
      <c r="C186" s="60"/>
      <c r="D186" s="100"/>
      <c r="E186" s="98"/>
      <c r="F186" s="99"/>
      <c r="G186" s="28"/>
      <c r="H186" s="28"/>
      <c r="I186" s="28"/>
      <c r="J186" s="101">
        <v>0</v>
      </c>
      <c r="K186" s="28"/>
      <c r="L186" s="88"/>
      <c r="M186" s="97"/>
      <c r="N186" s="6"/>
    </row>
    <row r="187" spans="1:14" ht="15.75">
      <c r="A187" s="93"/>
      <c r="B187" s="83"/>
      <c r="C187" s="60"/>
      <c r="D187" s="100"/>
      <c r="E187" s="98"/>
      <c r="F187" s="99"/>
      <c r="G187" s="28"/>
      <c r="H187" s="28"/>
      <c r="I187" s="28"/>
      <c r="J187" s="101"/>
      <c r="K187" s="28"/>
      <c r="L187" s="88"/>
      <c r="M187" s="97"/>
      <c r="N187" s="6"/>
    </row>
    <row r="188" spans="1:14" ht="15.75">
      <c r="A188" s="7"/>
      <c r="B188" s="16" t="s">
        <v>139</v>
      </c>
      <c r="C188" s="19"/>
      <c r="D188" s="92"/>
      <c r="E188" s="19"/>
      <c r="F188" s="92"/>
      <c r="G188" s="19"/>
      <c r="H188" s="92" t="s">
        <v>175</v>
      </c>
      <c r="I188" s="19" t="s">
        <v>176</v>
      </c>
      <c r="J188" s="92" t="s">
        <v>186</v>
      </c>
      <c r="K188" s="19" t="s">
        <v>176</v>
      </c>
      <c r="L188" s="17"/>
      <c r="M188" s="102"/>
      <c r="N188" s="6"/>
    </row>
    <row r="189" spans="1:14" ht="15.75">
      <c r="A189" s="27"/>
      <c r="B189" s="60" t="s">
        <v>140</v>
      </c>
      <c r="C189" s="103"/>
      <c r="D189" s="60"/>
      <c r="E189" s="103"/>
      <c r="F189" s="28"/>
      <c r="G189" s="103"/>
      <c r="H189" s="60">
        <v>6283</v>
      </c>
      <c r="I189" s="105">
        <f>H189/H194</f>
        <v>0.9924182593587111</v>
      </c>
      <c r="J189" s="59">
        <v>441247</v>
      </c>
      <c r="K189" s="143">
        <f>J189/J194</f>
        <v>0.9952543244517323</v>
      </c>
      <c r="L189" s="88"/>
      <c r="M189" s="97"/>
      <c r="N189" s="6"/>
    </row>
    <row r="190" spans="1:14" ht="15.75">
      <c r="A190" s="27"/>
      <c r="B190" s="60" t="s">
        <v>141</v>
      </c>
      <c r="C190" s="103"/>
      <c r="D190" s="60"/>
      <c r="E190" s="103"/>
      <c r="F190" s="28"/>
      <c r="G190" s="105"/>
      <c r="H190" s="60">
        <v>19</v>
      </c>
      <c r="I190" s="105">
        <f>H190/H194</f>
        <v>0.003001105670510188</v>
      </c>
      <c r="J190" s="59">
        <v>919</v>
      </c>
      <c r="K190" s="143">
        <f>J190/J194</f>
        <v>0.002072849728544652</v>
      </c>
      <c r="L190" s="88"/>
      <c r="M190" s="97"/>
      <c r="N190" s="6"/>
    </row>
    <row r="191" spans="1:14" ht="15.75">
      <c r="A191" s="27"/>
      <c r="B191" s="60" t="s">
        <v>142</v>
      </c>
      <c r="C191" s="103"/>
      <c r="D191" s="60"/>
      <c r="E191" s="103"/>
      <c r="F191" s="28"/>
      <c r="G191" s="105"/>
      <c r="H191" s="60">
        <v>11</v>
      </c>
      <c r="I191" s="105">
        <f>H191/H194</f>
        <v>0.001737482230295372</v>
      </c>
      <c r="J191" s="59">
        <v>391</v>
      </c>
      <c r="K191" s="143">
        <f>J191/J194</f>
        <v>0.0008819197430478334</v>
      </c>
      <c r="L191" s="88"/>
      <c r="M191" s="97"/>
      <c r="N191" s="6"/>
    </row>
    <row r="192" spans="1:14" ht="15.75">
      <c r="A192" s="27"/>
      <c r="B192" s="60" t="s">
        <v>143</v>
      </c>
      <c r="C192" s="103"/>
      <c r="D192" s="60"/>
      <c r="E192" s="103"/>
      <c r="F192" s="28"/>
      <c r="G192" s="105"/>
      <c r="H192" s="60">
        <f>2+3+2+11</f>
        <v>18</v>
      </c>
      <c r="I192" s="105">
        <f>H192/H194</f>
        <v>0.002843152740483336</v>
      </c>
      <c r="J192" s="59">
        <f>56+152+76+510</f>
        <v>794</v>
      </c>
      <c r="K192" s="143">
        <f>J192/$J194</f>
        <v>0.00179090607667514</v>
      </c>
      <c r="L192" s="88"/>
      <c r="M192" s="97"/>
      <c r="N192" s="6"/>
    </row>
    <row r="193" spans="1:14" ht="15.75">
      <c r="A193" s="27"/>
      <c r="B193" s="60"/>
      <c r="C193" s="106"/>
      <c r="D193" s="95"/>
      <c r="E193" s="106"/>
      <c r="F193" s="28"/>
      <c r="G193" s="106"/>
      <c r="H193" s="95"/>
      <c r="I193" s="106"/>
      <c r="J193" s="59"/>
      <c r="K193" s="104"/>
      <c r="L193" s="88"/>
      <c r="M193" s="97"/>
      <c r="N193" s="6"/>
    </row>
    <row r="194" spans="1:14" ht="15.75">
      <c r="A194" s="27"/>
      <c r="B194" s="28"/>
      <c r="C194" s="28"/>
      <c r="D194" s="28"/>
      <c r="E194" s="28"/>
      <c r="F194" s="28"/>
      <c r="G194" s="28"/>
      <c r="H194" s="38">
        <f>SUM(H189:H192)</f>
        <v>6331</v>
      </c>
      <c r="I194" s="107">
        <f>SUM(I189:I193)</f>
        <v>0.9999999999999999</v>
      </c>
      <c r="J194" s="59">
        <f>SUM(J189:J193)</f>
        <v>443351</v>
      </c>
      <c r="K194" s="107">
        <f>SUM(K189:K193)</f>
        <v>0.9999999999999999</v>
      </c>
      <c r="L194" s="28"/>
      <c r="M194" s="28"/>
      <c r="N194" s="6"/>
    </row>
    <row r="195" spans="1:14" ht="15.75">
      <c r="A195" s="27"/>
      <c r="B195" s="28"/>
      <c r="C195" s="28"/>
      <c r="D195" s="28"/>
      <c r="E195" s="28"/>
      <c r="F195" s="28"/>
      <c r="G195" s="28"/>
      <c r="H195" s="38"/>
      <c r="I195" s="107"/>
      <c r="J195" s="59"/>
      <c r="K195" s="107"/>
      <c r="L195" s="28"/>
      <c r="M195" s="28"/>
      <c r="N195" s="6"/>
    </row>
    <row r="196" spans="1:14" ht="15.75">
      <c r="A196" s="7"/>
      <c r="B196" s="9"/>
      <c r="C196" s="9"/>
      <c r="D196" s="9"/>
      <c r="E196" s="9"/>
      <c r="F196" s="9"/>
      <c r="G196" s="9"/>
      <c r="H196" s="61"/>
      <c r="I196" s="108"/>
      <c r="J196" s="109"/>
      <c r="K196" s="108"/>
      <c r="L196" s="9"/>
      <c r="M196" s="9"/>
      <c r="N196" s="6"/>
    </row>
    <row r="197" spans="1:14" ht="15.75">
      <c r="A197" s="110"/>
      <c r="B197" s="16" t="s">
        <v>144</v>
      </c>
      <c r="C197" s="111"/>
      <c r="D197" s="19" t="s">
        <v>152</v>
      </c>
      <c r="E197" s="17"/>
      <c r="F197" s="16" t="s">
        <v>164</v>
      </c>
      <c r="G197" s="112"/>
      <c r="H197" s="112"/>
      <c r="I197" s="112"/>
      <c r="J197" s="14"/>
      <c r="K197" s="14"/>
      <c r="L197" s="14"/>
      <c r="M197" s="14"/>
      <c r="N197" s="6"/>
    </row>
    <row r="198" spans="1:14" ht="15.75">
      <c r="A198" s="113"/>
      <c r="B198" s="14"/>
      <c r="C198" s="14"/>
      <c r="D198" s="9"/>
      <c r="E198" s="9"/>
      <c r="F198" s="9"/>
      <c r="G198" s="14"/>
      <c r="H198" s="14"/>
      <c r="I198" s="14"/>
      <c r="J198" s="14"/>
      <c r="K198" s="14"/>
      <c r="L198" s="14"/>
      <c r="M198" s="14"/>
      <c r="N198" s="6"/>
    </row>
    <row r="199" spans="1:14" ht="15.75">
      <c r="A199" s="113"/>
      <c r="B199" s="15" t="s">
        <v>145</v>
      </c>
      <c r="C199" s="114"/>
      <c r="D199" s="115" t="s">
        <v>153</v>
      </c>
      <c r="E199" s="15"/>
      <c r="F199" s="15" t="s">
        <v>165</v>
      </c>
      <c r="G199" s="114"/>
      <c r="H199" s="114"/>
      <c r="I199" s="14"/>
      <c r="J199" s="14"/>
      <c r="K199" s="14"/>
      <c r="L199" s="14"/>
      <c r="M199" s="14"/>
      <c r="N199" s="6"/>
    </row>
    <row r="200" spans="1:14" ht="15.75">
      <c r="A200" s="113"/>
      <c r="B200" s="15" t="s">
        <v>146</v>
      </c>
      <c r="C200" s="114"/>
      <c r="D200" s="115" t="s">
        <v>154</v>
      </c>
      <c r="E200" s="15"/>
      <c r="F200" s="15" t="s">
        <v>166</v>
      </c>
      <c r="G200" s="114"/>
      <c r="H200" s="114"/>
      <c r="I200" s="14"/>
      <c r="J200" s="14"/>
      <c r="K200" s="14"/>
      <c r="L200" s="14"/>
      <c r="M200" s="14"/>
      <c r="N200" s="6"/>
    </row>
    <row r="201" spans="1:14" ht="15.75">
      <c r="A201" s="113"/>
      <c r="B201" s="15"/>
      <c r="C201" s="114"/>
      <c r="D201" s="115"/>
      <c r="E201" s="15"/>
      <c r="F201" s="15"/>
      <c r="G201" s="114"/>
      <c r="H201" s="114"/>
      <c r="I201" s="14"/>
      <c r="J201" s="14"/>
      <c r="K201" s="14"/>
      <c r="L201" s="14"/>
      <c r="M201" s="14"/>
      <c r="N201" s="6"/>
    </row>
    <row r="202" spans="1:14" ht="15.75">
      <c r="A202" s="113"/>
      <c r="B202" s="15"/>
      <c r="C202" s="114"/>
      <c r="D202" s="115"/>
      <c r="E202" s="15"/>
      <c r="F202" s="15"/>
      <c r="G202" s="114"/>
      <c r="H202" s="114"/>
      <c r="I202" s="14"/>
      <c r="J202" s="14"/>
      <c r="K202" s="14"/>
      <c r="L202" s="14"/>
      <c r="M202" s="14"/>
      <c r="N202" s="6"/>
    </row>
    <row r="203" spans="1:14" ht="18.75">
      <c r="A203" s="113"/>
      <c r="B203" s="55" t="str">
        <f>B156</f>
        <v>PM4 INVESTOR REPORT QUARTER ENDING JUNE 2003</v>
      </c>
      <c r="C203" s="114"/>
      <c r="D203" s="115"/>
      <c r="E203" s="15"/>
      <c r="F203" s="15"/>
      <c r="G203" s="114"/>
      <c r="H203" s="114"/>
      <c r="I203" s="14"/>
      <c r="J203" s="14"/>
      <c r="K203" s="14"/>
      <c r="L203" s="14"/>
      <c r="M203" s="14"/>
      <c r="N203" s="6"/>
    </row>
    <row r="204" spans="1:13" ht="15">
      <c r="A204" s="116"/>
      <c r="B204" s="116"/>
      <c r="C204" s="116"/>
      <c r="D204" s="116"/>
      <c r="E204" s="116"/>
      <c r="F204" s="116"/>
      <c r="G204" s="116"/>
      <c r="H204" s="116"/>
      <c r="I204" s="116"/>
      <c r="J204" s="116"/>
      <c r="K204" s="116"/>
      <c r="L204" s="116"/>
      <c r="M204" s="116"/>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3" max="13" man="1"/>
    <brk id="106" max="13" man="1"/>
    <brk id="156" max="13" man="1"/>
  </rowBreaks>
  <drawing r:id="rId1"/>
</worksheet>
</file>

<file path=xl/worksheets/sheet6.xml><?xml version="1.0" encoding="utf-8"?>
<worksheet xmlns="http://schemas.openxmlformats.org/spreadsheetml/2006/main" xmlns:r="http://schemas.openxmlformats.org/officeDocument/2006/relationships">
  <dimension ref="A1:N20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0.7773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25"/>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189</v>
      </c>
      <c r="M14" s="17"/>
      <c r="N14" s="6"/>
    </row>
    <row r="15" spans="1:14" ht="15.75">
      <c r="A15" s="7"/>
      <c r="B15" s="16" t="s">
        <v>8</v>
      </c>
      <c r="C15" s="16"/>
      <c r="D15" s="17"/>
      <c r="E15" s="17"/>
      <c r="F15" s="17"/>
      <c r="G15" s="17"/>
      <c r="H15" s="19"/>
      <c r="I15" s="20"/>
      <c r="J15" s="19" t="s">
        <v>177</v>
      </c>
      <c r="K15" s="20">
        <v>1</v>
      </c>
      <c r="L15" s="18"/>
      <c r="M15" s="17"/>
      <c r="N15" s="6"/>
    </row>
    <row r="16" spans="1:14" ht="15.75">
      <c r="A16" s="7"/>
      <c r="B16" s="16" t="s">
        <v>9</v>
      </c>
      <c r="C16" s="16"/>
      <c r="D16" s="17"/>
      <c r="E16" s="17"/>
      <c r="F16" s="17"/>
      <c r="G16" s="17"/>
      <c r="H16" s="19"/>
      <c r="I16" s="20"/>
      <c r="J16" s="19" t="s">
        <v>177</v>
      </c>
      <c r="K16" s="20">
        <v>1</v>
      </c>
      <c r="L16" s="18"/>
      <c r="M16" s="17"/>
      <c r="N16" s="6"/>
    </row>
    <row r="17" spans="1:14" ht="15.75">
      <c r="A17" s="7"/>
      <c r="B17" s="16" t="s">
        <v>10</v>
      </c>
      <c r="C17" s="16"/>
      <c r="D17" s="17"/>
      <c r="E17" s="17"/>
      <c r="F17" s="17"/>
      <c r="G17" s="17"/>
      <c r="H17" s="17"/>
      <c r="I17" s="17"/>
      <c r="J17" s="17"/>
      <c r="K17" s="17"/>
      <c r="L17" s="21">
        <v>37342</v>
      </c>
      <c r="M17" s="17"/>
      <c r="N17" s="6"/>
    </row>
    <row r="18" spans="1:14" ht="15.75">
      <c r="A18" s="7"/>
      <c r="B18" s="16" t="s">
        <v>11</v>
      </c>
      <c r="C18" s="16"/>
      <c r="D18" s="17"/>
      <c r="E18" s="17"/>
      <c r="F18" s="17"/>
      <c r="G18" s="17"/>
      <c r="H18" s="17"/>
      <c r="I18" s="17"/>
      <c r="J18" s="17"/>
      <c r="K18" s="17"/>
      <c r="L18" s="21">
        <v>37917</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178</v>
      </c>
      <c r="K20" s="9"/>
      <c r="L20" s="125"/>
      <c r="M20" s="9"/>
      <c r="N20" s="6"/>
    </row>
    <row r="21" spans="1:14" ht="15.75">
      <c r="A21" s="7"/>
      <c r="B21" s="9"/>
      <c r="C21" s="9"/>
      <c r="D21" s="9"/>
      <c r="E21" s="9"/>
      <c r="F21" s="9"/>
      <c r="G21" s="9"/>
      <c r="H21" s="9"/>
      <c r="I21" s="9"/>
      <c r="J21" s="9"/>
      <c r="K21" s="9"/>
      <c r="L21" s="24"/>
      <c r="M21" s="9"/>
      <c r="N21" s="6"/>
    </row>
    <row r="22" spans="1:14" ht="15.75">
      <c r="A22" s="7"/>
      <c r="B22" s="9"/>
      <c r="C22" s="132" t="s">
        <v>147</v>
      </c>
      <c r="D22" s="25"/>
      <c r="E22" s="25"/>
      <c r="F22" s="133" t="s">
        <v>155</v>
      </c>
      <c r="G22" s="133"/>
      <c r="H22" s="133" t="s">
        <v>167</v>
      </c>
      <c r="I22" s="26"/>
      <c r="J22" s="25"/>
      <c r="K22" s="125"/>
      <c r="L22" s="125"/>
      <c r="M22" s="9"/>
      <c r="N22" s="6"/>
    </row>
    <row r="23" spans="1:14" ht="15.75">
      <c r="A23" s="7"/>
      <c r="B23" s="9" t="s">
        <v>13</v>
      </c>
      <c r="C23" s="132" t="s">
        <v>148</v>
      </c>
      <c r="D23" s="25"/>
      <c r="E23" s="25"/>
      <c r="F23" s="25" t="s">
        <v>156</v>
      </c>
      <c r="G23" s="25"/>
      <c r="H23" s="25" t="s">
        <v>168</v>
      </c>
      <c r="I23" s="25"/>
      <c r="J23" s="25"/>
      <c r="K23" s="125"/>
      <c r="L23" s="125"/>
      <c r="M23" s="9"/>
      <c r="N23" s="6"/>
    </row>
    <row r="24" spans="1:14" ht="15.75">
      <c r="A24" s="27"/>
      <c r="B24" s="28" t="s">
        <v>14</v>
      </c>
      <c r="C24" s="29"/>
      <c r="D24" s="30"/>
      <c r="E24" s="30"/>
      <c r="F24" s="30" t="s">
        <v>157</v>
      </c>
      <c r="G24" s="30"/>
      <c r="H24" s="30" t="s">
        <v>169</v>
      </c>
      <c r="I24" s="30"/>
      <c r="J24" s="30"/>
      <c r="K24" s="126"/>
      <c r="L24" s="126"/>
      <c r="M24" s="28"/>
      <c r="N24" s="6"/>
    </row>
    <row r="25" spans="1:14" ht="15.75">
      <c r="A25" s="27"/>
      <c r="B25" s="28" t="s">
        <v>15</v>
      </c>
      <c r="C25" s="29"/>
      <c r="D25" s="30"/>
      <c r="E25" s="30"/>
      <c r="F25" s="30" t="s">
        <v>157</v>
      </c>
      <c r="G25" s="30"/>
      <c r="H25" s="30" t="s">
        <v>169</v>
      </c>
      <c r="I25" s="30"/>
      <c r="J25" s="30"/>
      <c r="K25" s="126"/>
      <c r="L25" s="126"/>
      <c r="M25" s="28"/>
      <c r="N25" s="6"/>
    </row>
    <row r="26" spans="1:14" ht="15.75">
      <c r="A26" s="32"/>
      <c r="B26" s="33" t="s">
        <v>16</v>
      </c>
      <c r="C26" s="33"/>
      <c r="D26" s="34"/>
      <c r="E26" s="34"/>
      <c r="F26" s="34" t="s">
        <v>156</v>
      </c>
      <c r="G26" s="34"/>
      <c r="H26" s="34" t="s">
        <v>168</v>
      </c>
      <c r="I26" s="34"/>
      <c r="J26" s="30"/>
      <c r="K26" s="126"/>
      <c r="L26" s="126"/>
      <c r="M26" s="28"/>
      <c r="N26" s="6"/>
    </row>
    <row r="27" spans="1:14" ht="15.75">
      <c r="A27" s="32"/>
      <c r="B27" s="33" t="s">
        <v>17</v>
      </c>
      <c r="C27" s="33"/>
      <c r="D27" s="34"/>
      <c r="E27" s="34"/>
      <c r="F27" s="34" t="s">
        <v>157</v>
      </c>
      <c r="G27" s="34"/>
      <c r="H27" s="34" t="s">
        <v>169</v>
      </c>
      <c r="I27" s="34"/>
      <c r="J27" s="30"/>
      <c r="K27" s="126"/>
      <c r="L27" s="126"/>
      <c r="M27" s="28"/>
      <c r="N27" s="6"/>
    </row>
    <row r="28" spans="1:14" ht="15.75">
      <c r="A28" s="32"/>
      <c r="B28" s="33" t="s">
        <v>18</v>
      </c>
      <c r="C28" s="33"/>
      <c r="D28" s="34"/>
      <c r="E28" s="34"/>
      <c r="F28" s="34" t="s">
        <v>157</v>
      </c>
      <c r="G28" s="34"/>
      <c r="H28" s="34" t="s">
        <v>169</v>
      </c>
      <c r="I28" s="34"/>
      <c r="J28" s="30"/>
      <c r="K28" s="126"/>
      <c r="L28" s="126"/>
      <c r="M28" s="28"/>
      <c r="N28" s="6"/>
    </row>
    <row r="29" spans="1:14" ht="15.75">
      <c r="A29" s="27"/>
      <c r="B29" s="28" t="s">
        <v>19</v>
      </c>
      <c r="C29" s="28"/>
      <c r="D29" s="29"/>
      <c r="E29" s="30"/>
      <c r="F29" s="29" t="s">
        <v>158</v>
      </c>
      <c r="G29" s="30"/>
      <c r="H29" s="29" t="s">
        <v>170</v>
      </c>
      <c r="I29" s="30"/>
      <c r="J29" s="29"/>
      <c r="K29" s="126"/>
      <c r="L29" s="126"/>
      <c r="M29" s="28"/>
      <c r="N29" s="6"/>
    </row>
    <row r="30" spans="1:14" ht="15.75">
      <c r="A30" s="27"/>
      <c r="B30" s="28"/>
      <c r="C30" s="28"/>
      <c r="D30" s="28"/>
      <c r="E30" s="30"/>
      <c r="F30" s="30"/>
      <c r="G30" s="30"/>
      <c r="H30" s="30"/>
      <c r="I30" s="30"/>
      <c r="J30" s="30"/>
      <c r="K30" s="126"/>
      <c r="L30" s="126"/>
      <c r="M30" s="28"/>
      <c r="N30" s="6"/>
    </row>
    <row r="31" spans="1:14" ht="15.75">
      <c r="A31" s="27"/>
      <c r="B31" s="28" t="s">
        <v>20</v>
      </c>
      <c r="C31" s="28"/>
      <c r="D31" s="35"/>
      <c r="E31" s="36"/>
      <c r="F31" s="35">
        <v>457500</v>
      </c>
      <c r="G31" s="35"/>
      <c r="H31" s="35">
        <v>42500</v>
      </c>
      <c r="I31" s="35"/>
      <c r="J31" s="35"/>
      <c r="K31" s="127"/>
      <c r="L31" s="35">
        <f>H31+F31</f>
        <v>500000</v>
      </c>
      <c r="M31" s="38"/>
      <c r="N31" s="6"/>
    </row>
    <row r="32" spans="1:14" ht="15.75">
      <c r="A32" s="27"/>
      <c r="B32" s="28" t="s">
        <v>21</v>
      </c>
      <c r="C32" s="39">
        <v>0.876178</v>
      </c>
      <c r="D32" s="35"/>
      <c r="E32" s="36"/>
      <c r="F32" s="35">
        <f>F31*C32</f>
        <v>400851.435</v>
      </c>
      <c r="G32" s="35"/>
      <c r="H32" s="35">
        <v>42500</v>
      </c>
      <c r="I32" s="35"/>
      <c r="J32" s="35"/>
      <c r="K32" s="127"/>
      <c r="L32" s="35">
        <f>H32+F32</f>
        <v>443351.435</v>
      </c>
      <c r="M32" s="38"/>
      <c r="N32" s="6"/>
    </row>
    <row r="33" spans="1:14" ht="12.75" customHeight="1">
      <c r="A33" s="32"/>
      <c r="B33" s="33" t="s">
        <v>22</v>
      </c>
      <c r="C33" s="40">
        <v>0.850482</v>
      </c>
      <c r="D33" s="41"/>
      <c r="E33" s="42"/>
      <c r="F33" s="41">
        <f>F31*C33</f>
        <v>389095.51499999996</v>
      </c>
      <c r="G33" s="41"/>
      <c r="H33" s="41">
        <f>H31</f>
        <v>42500</v>
      </c>
      <c r="I33" s="41"/>
      <c r="J33" s="41"/>
      <c r="K33" s="43"/>
      <c r="L33" s="41">
        <f>H33+F33+D33</f>
        <v>431595.51499999996</v>
      </c>
      <c r="M33" s="38"/>
      <c r="N33" s="6"/>
    </row>
    <row r="34" spans="1:14" ht="15.75">
      <c r="A34" s="27"/>
      <c r="B34" s="28" t="s">
        <v>23</v>
      </c>
      <c r="C34" s="44"/>
      <c r="D34" s="29"/>
      <c r="E34" s="28"/>
      <c r="F34" s="29" t="s">
        <v>159</v>
      </c>
      <c r="G34" s="29"/>
      <c r="H34" s="29" t="s">
        <v>171</v>
      </c>
      <c r="I34" s="29"/>
      <c r="J34" s="29"/>
      <c r="K34" s="126"/>
      <c r="L34" s="126"/>
      <c r="M34" s="28"/>
      <c r="N34" s="6"/>
    </row>
    <row r="35" spans="1:14" ht="15.75">
      <c r="A35" s="27"/>
      <c r="B35" s="28" t="s">
        <v>24</v>
      </c>
      <c r="C35" s="28"/>
      <c r="D35" s="45"/>
      <c r="E35" s="28"/>
      <c r="F35" s="45">
        <v>0.038525</v>
      </c>
      <c r="G35" s="46"/>
      <c r="H35" s="45">
        <v>0.044425</v>
      </c>
      <c r="I35" s="46"/>
      <c r="J35" s="45"/>
      <c r="K35" s="126"/>
      <c r="L35" s="46">
        <f>SUMPRODUCT(F35:H35,F32:H32)/L32</f>
        <v>0.03909057841072512</v>
      </c>
      <c r="M35" s="28"/>
      <c r="N35" s="6"/>
    </row>
    <row r="36" spans="1:14" ht="15.75">
      <c r="A36" s="27"/>
      <c r="B36" s="28" t="s">
        <v>25</v>
      </c>
      <c r="C36" s="28"/>
      <c r="D36" s="45"/>
      <c r="E36" s="28"/>
      <c r="F36" s="45">
        <v>0.0389188</v>
      </c>
      <c r="G36" s="46"/>
      <c r="H36" s="45">
        <v>0.0448188</v>
      </c>
      <c r="I36" s="46"/>
      <c r="J36" s="45"/>
      <c r="K36" s="126"/>
      <c r="L36" s="126"/>
      <c r="M36" s="28"/>
      <c r="N36" s="6"/>
    </row>
    <row r="37" spans="1:14" ht="15.75">
      <c r="A37" s="27"/>
      <c r="B37" s="28" t="s">
        <v>26</v>
      </c>
      <c r="C37" s="28"/>
      <c r="D37" s="29"/>
      <c r="E37" s="28"/>
      <c r="F37" s="29" t="s">
        <v>160</v>
      </c>
      <c r="G37" s="29"/>
      <c r="H37" s="29" t="s">
        <v>160</v>
      </c>
      <c r="I37" s="29"/>
      <c r="J37" s="29"/>
      <c r="K37" s="126"/>
      <c r="L37" s="126"/>
      <c r="M37" s="28"/>
      <c r="N37" s="6"/>
    </row>
    <row r="38" spans="1:14" ht="15.75">
      <c r="A38" s="27"/>
      <c r="B38" s="28" t="s">
        <v>27</v>
      </c>
      <c r="C38" s="28"/>
      <c r="D38" s="29"/>
      <c r="E38" s="28"/>
      <c r="F38" s="29" t="s">
        <v>161</v>
      </c>
      <c r="G38" s="29"/>
      <c r="H38" s="29" t="s">
        <v>161</v>
      </c>
      <c r="I38" s="29"/>
      <c r="J38" s="29"/>
      <c r="K38" s="126"/>
      <c r="L38" s="126"/>
      <c r="M38" s="28"/>
      <c r="N38" s="6"/>
    </row>
    <row r="39" spans="1:14" ht="15.75">
      <c r="A39" s="27"/>
      <c r="B39" s="28" t="s">
        <v>28</v>
      </c>
      <c r="C39" s="28"/>
      <c r="D39" s="29"/>
      <c r="E39" s="28"/>
      <c r="F39" s="29" t="s">
        <v>162</v>
      </c>
      <c r="G39" s="29"/>
      <c r="H39" s="29" t="s">
        <v>172</v>
      </c>
      <c r="I39" s="29"/>
      <c r="J39" s="29"/>
      <c r="K39" s="126"/>
      <c r="L39" s="126"/>
      <c r="M39" s="28"/>
      <c r="N39" s="6"/>
    </row>
    <row r="40" spans="1:14" ht="15.75">
      <c r="A40" s="27"/>
      <c r="B40" s="28"/>
      <c r="C40" s="28"/>
      <c r="D40" s="47"/>
      <c r="E40" s="47"/>
      <c r="F40" s="28"/>
      <c r="G40" s="47"/>
      <c r="H40" s="130"/>
      <c r="I40" s="47"/>
      <c r="J40" s="47"/>
      <c r="K40" s="47"/>
      <c r="L40" s="47"/>
      <c r="M40" s="28"/>
      <c r="N40" s="6"/>
    </row>
    <row r="41" spans="1:14" ht="15.75">
      <c r="A41" s="27"/>
      <c r="B41" s="28" t="s">
        <v>29</v>
      </c>
      <c r="C41" s="28"/>
      <c r="D41" s="28"/>
      <c r="E41" s="28"/>
      <c r="F41" s="28"/>
      <c r="G41" s="28"/>
      <c r="H41" s="117"/>
      <c r="I41" s="28"/>
      <c r="J41" s="28"/>
      <c r="K41" s="28"/>
      <c r="L41" s="46">
        <f>H31/F31</f>
        <v>0.09289617486338798</v>
      </c>
      <c r="M41" s="28"/>
      <c r="N41" s="6"/>
    </row>
    <row r="42" spans="1:14" ht="15.75">
      <c r="A42" s="27"/>
      <c r="B42" s="28" t="s">
        <v>30</v>
      </c>
      <c r="C42" s="28"/>
      <c r="D42" s="28"/>
      <c r="E42" s="28"/>
      <c r="F42" s="28"/>
      <c r="G42" s="28"/>
      <c r="H42" s="117"/>
      <c r="I42" s="28"/>
      <c r="J42" s="28"/>
      <c r="K42" s="28"/>
      <c r="L42" s="46">
        <f>H33/F33</f>
        <v>0.10922767896720682</v>
      </c>
      <c r="M42" s="28"/>
      <c r="N42" s="6"/>
    </row>
    <row r="43" spans="1:14" ht="15.75">
      <c r="A43" s="27"/>
      <c r="B43" s="28" t="s">
        <v>31</v>
      </c>
      <c r="C43" s="28"/>
      <c r="D43" s="28"/>
      <c r="E43" s="28"/>
      <c r="F43" s="117"/>
      <c r="G43" s="28"/>
      <c r="H43" s="117"/>
      <c r="I43" s="28"/>
      <c r="J43" s="29" t="s">
        <v>155</v>
      </c>
      <c r="K43" s="29" t="s">
        <v>187</v>
      </c>
      <c r="L43" s="35">
        <v>207500</v>
      </c>
      <c r="M43" s="28"/>
      <c r="N43" s="6"/>
    </row>
    <row r="44" spans="1:14" ht="15.75">
      <c r="A44" s="27"/>
      <c r="B44" s="28"/>
      <c r="C44" s="28"/>
      <c r="D44" s="28"/>
      <c r="E44" s="28"/>
      <c r="F44" s="28"/>
      <c r="G44" s="28"/>
      <c r="H44" s="28"/>
      <c r="I44" s="28"/>
      <c r="J44" s="28" t="s">
        <v>179</v>
      </c>
      <c r="K44" s="28"/>
      <c r="L44" s="48"/>
      <c r="M44" s="28"/>
      <c r="N44" s="6"/>
    </row>
    <row r="45" spans="1:14" ht="15.75">
      <c r="A45" s="27"/>
      <c r="B45" s="28" t="s">
        <v>32</v>
      </c>
      <c r="C45" s="28"/>
      <c r="D45" s="28"/>
      <c r="E45" s="28"/>
      <c r="F45" s="28"/>
      <c r="G45" s="28"/>
      <c r="H45" s="28"/>
      <c r="I45" s="28"/>
      <c r="J45" s="29"/>
      <c r="K45" s="29"/>
      <c r="L45" s="29" t="s">
        <v>190</v>
      </c>
      <c r="M45" s="28"/>
      <c r="N45" s="6"/>
    </row>
    <row r="46" spans="1:14" ht="15.75">
      <c r="A46" s="32"/>
      <c r="B46" s="33" t="s">
        <v>33</v>
      </c>
      <c r="C46" s="33"/>
      <c r="D46" s="33"/>
      <c r="E46" s="33"/>
      <c r="F46" s="33"/>
      <c r="G46" s="33"/>
      <c r="H46" s="33"/>
      <c r="I46" s="33"/>
      <c r="J46" s="49"/>
      <c r="K46" s="49"/>
      <c r="L46" s="50">
        <v>37901</v>
      </c>
      <c r="M46" s="28"/>
      <c r="N46" s="6"/>
    </row>
    <row r="47" spans="1:14" ht="15.75">
      <c r="A47" s="27"/>
      <c r="B47" s="28" t="s">
        <v>34</v>
      </c>
      <c r="C47" s="28"/>
      <c r="D47" s="28"/>
      <c r="E47" s="28"/>
      <c r="F47" s="28"/>
      <c r="G47" s="28"/>
      <c r="H47" s="28"/>
      <c r="I47" s="28">
        <f>L47-J47+1</f>
        <v>91</v>
      </c>
      <c r="J47" s="51">
        <v>37718</v>
      </c>
      <c r="K47" s="52"/>
      <c r="L47" s="51">
        <v>37808</v>
      </c>
      <c r="M47" s="28"/>
      <c r="N47" s="6"/>
    </row>
    <row r="48" spans="1:14" ht="15.75">
      <c r="A48" s="27"/>
      <c r="B48" s="28" t="s">
        <v>35</v>
      </c>
      <c r="C48" s="28"/>
      <c r="D48" s="28"/>
      <c r="E48" s="28"/>
      <c r="F48" s="28"/>
      <c r="G48" s="28"/>
      <c r="H48" s="28"/>
      <c r="I48" s="28">
        <f>L48-J48+1</f>
        <v>92</v>
      </c>
      <c r="J48" s="51">
        <v>37809</v>
      </c>
      <c r="K48" s="52"/>
      <c r="L48" s="51">
        <v>37900</v>
      </c>
      <c r="M48" s="28"/>
      <c r="N48" s="6"/>
    </row>
    <row r="49" spans="1:14" ht="15.75">
      <c r="A49" s="27"/>
      <c r="B49" s="28" t="s">
        <v>36</v>
      </c>
      <c r="C49" s="28"/>
      <c r="D49" s="28"/>
      <c r="E49" s="28"/>
      <c r="F49" s="28"/>
      <c r="G49" s="28"/>
      <c r="H49" s="28"/>
      <c r="I49" s="28"/>
      <c r="J49" s="51"/>
      <c r="K49" s="52"/>
      <c r="L49" s="51" t="s">
        <v>191</v>
      </c>
      <c r="M49" s="28"/>
      <c r="N49" s="6"/>
    </row>
    <row r="50" spans="1:14" ht="15.75">
      <c r="A50" s="27"/>
      <c r="B50" s="28" t="s">
        <v>37</v>
      </c>
      <c r="C50" s="28"/>
      <c r="D50" s="28"/>
      <c r="E50" s="28"/>
      <c r="F50" s="28"/>
      <c r="G50" s="28"/>
      <c r="H50" s="28"/>
      <c r="I50" s="28"/>
      <c r="J50" s="51"/>
      <c r="K50" s="52"/>
      <c r="L50" s="51">
        <v>37897</v>
      </c>
      <c r="M50" s="28"/>
      <c r="N50" s="6"/>
    </row>
    <row r="51" spans="1:14" ht="15.75">
      <c r="A51" s="27"/>
      <c r="B51" s="28"/>
      <c r="C51" s="28"/>
      <c r="D51" s="28"/>
      <c r="E51" s="28"/>
      <c r="F51" s="28"/>
      <c r="G51" s="28"/>
      <c r="H51" s="28"/>
      <c r="I51" s="28"/>
      <c r="J51" s="51"/>
      <c r="K51" s="52"/>
      <c r="L51" s="51"/>
      <c r="M51" s="28"/>
      <c r="N51" s="6"/>
    </row>
    <row r="52" spans="1:14" ht="15.75">
      <c r="A52" s="7"/>
      <c r="B52" s="9"/>
      <c r="C52" s="9"/>
      <c r="D52" s="9"/>
      <c r="E52" s="9"/>
      <c r="F52" s="9"/>
      <c r="G52" s="9"/>
      <c r="H52" s="9"/>
      <c r="I52" s="9"/>
      <c r="J52" s="53"/>
      <c r="K52" s="54"/>
      <c r="L52" s="53"/>
      <c r="M52" s="9"/>
      <c r="N52" s="6"/>
    </row>
    <row r="53" spans="1:14" ht="19.5" thickBot="1">
      <c r="A53" s="118"/>
      <c r="B53" s="119" t="s">
        <v>201</v>
      </c>
      <c r="C53" s="120"/>
      <c r="D53" s="120"/>
      <c r="E53" s="120"/>
      <c r="F53" s="120"/>
      <c r="G53" s="120"/>
      <c r="H53" s="120"/>
      <c r="I53" s="120"/>
      <c r="J53" s="121"/>
      <c r="K53" s="122"/>
      <c r="L53" s="121"/>
      <c r="M53" s="123"/>
      <c r="N53" s="6"/>
    </row>
    <row r="54" spans="1:14" ht="15.75">
      <c r="A54" s="2"/>
      <c r="B54" s="5"/>
      <c r="C54" s="5"/>
      <c r="D54" s="5"/>
      <c r="E54" s="5"/>
      <c r="F54" s="5"/>
      <c r="G54" s="5"/>
      <c r="H54" s="5"/>
      <c r="I54" s="5"/>
      <c r="J54" s="5"/>
      <c r="K54" s="5"/>
      <c r="L54" s="56"/>
      <c r="M54" s="5"/>
      <c r="N54" s="6"/>
    </row>
    <row r="55" spans="1:14" ht="15.75">
      <c r="A55" s="7"/>
      <c r="B55" s="57" t="s">
        <v>39</v>
      </c>
      <c r="C55" s="15"/>
      <c r="D55" s="9"/>
      <c r="E55" s="9"/>
      <c r="F55" s="9"/>
      <c r="G55" s="9"/>
      <c r="H55" s="9"/>
      <c r="I55" s="9"/>
      <c r="J55" s="9"/>
      <c r="K55" s="9"/>
      <c r="L55" s="58"/>
      <c r="M55" s="9"/>
      <c r="N55" s="6"/>
    </row>
    <row r="56" spans="1:14" ht="15.75">
      <c r="A56" s="7"/>
      <c r="B56" s="15"/>
      <c r="C56" s="15"/>
      <c r="D56" s="9"/>
      <c r="E56" s="9"/>
      <c r="F56" s="9"/>
      <c r="G56" s="9"/>
      <c r="H56" s="9"/>
      <c r="I56" s="9"/>
      <c r="J56" s="9"/>
      <c r="K56" s="9"/>
      <c r="L56" s="58"/>
      <c r="M56" s="9"/>
      <c r="N56" s="6"/>
    </row>
    <row r="57" spans="1:14" ht="63">
      <c r="A57" s="7"/>
      <c r="B57" s="134" t="s">
        <v>40</v>
      </c>
      <c r="C57" s="135" t="s">
        <v>149</v>
      </c>
      <c r="D57" s="135" t="s">
        <v>151</v>
      </c>
      <c r="E57" s="135"/>
      <c r="F57" s="135" t="s">
        <v>163</v>
      </c>
      <c r="G57" s="135"/>
      <c r="H57" s="135" t="s">
        <v>173</v>
      </c>
      <c r="I57" s="135"/>
      <c r="J57" s="135" t="s">
        <v>180</v>
      </c>
      <c r="K57" s="135"/>
      <c r="L57" s="136" t="s">
        <v>192</v>
      </c>
      <c r="M57" s="9"/>
      <c r="N57" s="6"/>
    </row>
    <row r="58" spans="1:14" ht="15.75">
      <c r="A58" s="27"/>
      <c r="B58" s="28" t="s">
        <v>41</v>
      </c>
      <c r="C58" s="38">
        <v>421950</v>
      </c>
      <c r="D58" s="38">
        <v>443351</v>
      </c>
      <c r="E58" s="38"/>
      <c r="F58" s="38">
        <f>11756+102+7857-1</f>
        <v>19714</v>
      </c>
      <c r="G58" s="38"/>
      <c r="H58" s="38">
        <f>7857+102</f>
        <v>7959</v>
      </c>
      <c r="I58" s="38"/>
      <c r="J58" s="38">
        <v>0</v>
      </c>
      <c r="K58" s="38"/>
      <c r="L58" s="59">
        <f>D58-F58+H58-J58</f>
        <v>431596</v>
      </c>
      <c r="M58" s="28"/>
      <c r="N58" s="6"/>
    </row>
    <row r="59" spans="1:14" ht="15.75">
      <c r="A59" s="27"/>
      <c r="B59" s="28" t="s">
        <v>42</v>
      </c>
      <c r="C59" s="38">
        <v>54</v>
      </c>
      <c r="D59" s="38">
        <v>0</v>
      </c>
      <c r="E59" s="38"/>
      <c r="F59" s="38">
        <v>0</v>
      </c>
      <c r="G59" s="38"/>
      <c r="H59" s="38">
        <v>0</v>
      </c>
      <c r="I59" s="38"/>
      <c r="J59" s="38">
        <v>0</v>
      </c>
      <c r="K59" s="38"/>
      <c r="L59" s="59">
        <f>D59-F59+H59-J59</f>
        <v>0</v>
      </c>
      <c r="M59" s="28"/>
      <c r="N59" s="6"/>
    </row>
    <row r="60" spans="1:14" ht="15.75">
      <c r="A60" s="27"/>
      <c r="B60" s="28"/>
      <c r="C60" s="38"/>
      <c r="D60" s="38"/>
      <c r="E60" s="38"/>
      <c r="F60" s="38"/>
      <c r="G60" s="38"/>
      <c r="H60" s="38"/>
      <c r="I60" s="38"/>
      <c r="J60" s="38"/>
      <c r="K60" s="38"/>
      <c r="L60" s="59"/>
      <c r="M60" s="28"/>
      <c r="N60" s="6"/>
    </row>
    <row r="61" spans="1:14" ht="15.75">
      <c r="A61" s="27"/>
      <c r="B61" s="28" t="s">
        <v>43</v>
      </c>
      <c r="C61" s="38">
        <f>SUM(C58:C60)</f>
        <v>422004</v>
      </c>
      <c r="D61" s="38">
        <f>SUM(D58:D60)</f>
        <v>443351</v>
      </c>
      <c r="E61" s="38"/>
      <c r="F61" s="38">
        <f>SUM(F58:F60)</f>
        <v>19714</v>
      </c>
      <c r="G61" s="38"/>
      <c r="H61" s="38">
        <f>SUM(H58:H60)</f>
        <v>7959</v>
      </c>
      <c r="I61" s="38"/>
      <c r="J61" s="38">
        <f>SUM(J58:J60)</f>
        <v>0</v>
      </c>
      <c r="K61" s="38"/>
      <c r="L61" s="60">
        <f>SUM(L58:L60)</f>
        <v>431596</v>
      </c>
      <c r="M61" s="28"/>
      <c r="N61" s="6"/>
    </row>
    <row r="62" spans="1:14" ht="15.75">
      <c r="A62" s="27"/>
      <c r="B62" s="28"/>
      <c r="C62" s="38"/>
      <c r="D62" s="38"/>
      <c r="E62" s="38"/>
      <c r="F62" s="38"/>
      <c r="G62" s="38"/>
      <c r="H62" s="38"/>
      <c r="I62" s="38"/>
      <c r="J62" s="38"/>
      <c r="K62" s="38"/>
      <c r="L62" s="60"/>
      <c r="M62" s="28"/>
      <c r="N62" s="6"/>
    </row>
    <row r="63" spans="1:14" ht="15.75">
      <c r="A63" s="7"/>
      <c r="B63" s="131" t="s">
        <v>44</v>
      </c>
      <c r="C63" s="61"/>
      <c r="D63" s="61"/>
      <c r="E63" s="61"/>
      <c r="F63" s="61"/>
      <c r="G63" s="61"/>
      <c r="H63" s="61"/>
      <c r="I63" s="61"/>
      <c r="J63" s="61"/>
      <c r="K63" s="61"/>
      <c r="L63" s="62"/>
      <c r="M63" s="9"/>
      <c r="N63" s="6"/>
    </row>
    <row r="64" spans="1:14" ht="15.75">
      <c r="A64" s="7"/>
      <c r="B64" s="9"/>
      <c r="C64" s="61"/>
      <c r="D64" s="61"/>
      <c r="E64" s="61"/>
      <c r="F64" s="61"/>
      <c r="G64" s="61"/>
      <c r="H64" s="61"/>
      <c r="I64" s="61"/>
      <c r="J64" s="61"/>
      <c r="K64" s="61"/>
      <c r="L64" s="62"/>
      <c r="M64" s="9"/>
      <c r="N64" s="6"/>
    </row>
    <row r="65" spans="1:14" ht="15.75">
      <c r="A65" s="27"/>
      <c r="B65" s="28" t="s">
        <v>41</v>
      </c>
      <c r="C65" s="38"/>
      <c r="D65" s="38"/>
      <c r="E65" s="38"/>
      <c r="F65" s="38"/>
      <c r="G65" s="38"/>
      <c r="H65" s="38"/>
      <c r="I65" s="38"/>
      <c r="J65" s="38"/>
      <c r="K65" s="38"/>
      <c r="L65" s="60"/>
      <c r="M65" s="28"/>
      <c r="N65" s="6"/>
    </row>
    <row r="66" spans="1:14" ht="15.75">
      <c r="A66" s="27"/>
      <c r="B66" s="28" t="s">
        <v>42</v>
      </c>
      <c r="C66" s="38"/>
      <c r="D66" s="38"/>
      <c r="E66" s="38"/>
      <c r="F66" s="38"/>
      <c r="G66" s="38"/>
      <c r="H66" s="38"/>
      <c r="I66" s="38"/>
      <c r="J66" s="38"/>
      <c r="K66" s="38"/>
      <c r="L66" s="60"/>
      <c r="M66" s="28"/>
      <c r="N66" s="6"/>
    </row>
    <row r="67" spans="1:14" ht="15.75">
      <c r="A67" s="27"/>
      <c r="B67" s="28"/>
      <c r="C67" s="38"/>
      <c r="D67" s="38"/>
      <c r="E67" s="38"/>
      <c r="F67" s="38"/>
      <c r="G67" s="38"/>
      <c r="H67" s="38"/>
      <c r="I67" s="38"/>
      <c r="J67" s="38"/>
      <c r="K67" s="38"/>
      <c r="L67" s="60"/>
      <c r="M67" s="28"/>
      <c r="N67" s="6"/>
    </row>
    <row r="68" spans="1:14" ht="15.75">
      <c r="A68" s="27"/>
      <c r="B68" s="28" t="s">
        <v>43</v>
      </c>
      <c r="C68" s="38"/>
      <c r="D68" s="38"/>
      <c r="E68" s="38"/>
      <c r="F68" s="38"/>
      <c r="G68" s="38"/>
      <c r="H68" s="38"/>
      <c r="I68" s="38"/>
      <c r="J68" s="38"/>
      <c r="K68" s="38"/>
      <c r="L68" s="38"/>
      <c r="M68" s="28"/>
      <c r="N68" s="6"/>
    </row>
    <row r="69" spans="1:14" ht="15.75">
      <c r="A69" s="27"/>
      <c r="B69" s="28"/>
      <c r="C69" s="38"/>
      <c r="D69" s="38"/>
      <c r="E69" s="38"/>
      <c r="F69" s="38"/>
      <c r="G69" s="38"/>
      <c r="H69" s="38"/>
      <c r="I69" s="38"/>
      <c r="J69" s="38"/>
      <c r="K69" s="38"/>
      <c r="L69" s="38"/>
      <c r="M69" s="28"/>
      <c r="N69" s="6"/>
    </row>
    <row r="70" spans="1:14" ht="15.75">
      <c r="A70" s="27"/>
      <c r="B70" s="28" t="s">
        <v>45</v>
      </c>
      <c r="C70" s="38">
        <v>0</v>
      </c>
      <c r="D70" s="38">
        <v>0</v>
      </c>
      <c r="E70" s="38"/>
      <c r="F70" s="38"/>
      <c r="G70" s="38"/>
      <c r="H70" s="38"/>
      <c r="I70" s="38"/>
      <c r="J70" s="38"/>
      <c r="K70" s="38"/>
      <c r="L70" s="59">
        <f>D70-F70+H70-J70</f>
        <v>0</v>
      </c>
      <c r="M70" s="28"/>
      <c r="N70" s="6"/>
    </row>
    <row r="71" spans="1:14" ht="15.75">
      <c r="A71" s="27"/>
      <c r="B71" s="28" t="s">
        <v>46</v>
      </c>
      <c r="C71" s="38">
        <v>77996</v>
      </c>
      <c r="D71" s="38">
        <v>0</v>
      </c>
      <c r="E71" s="38"/>
      <c r="F71" s="38"/>
      <c r="G71" s="38"/>
      <c r="H71" s="38"/>
      <c r="I71" s="38"/>
      <c r="J71" s="38"/>
      <c r="K71" s="38"/>
      <c r="L71" s="60">
        <v>0</v>
      </c>
      <c r="M71" s="28"/>
      <c r="N71" s="6"/>
    </row>
    <row r="72" spans="1:14" ht="15.75">
      <c r="A72" s="27"/>
      <c r="B72" s="28" t="s">
        <v>47</v>
      </c>
      <c r="C72" s="38">
        <v>0</v>
      </c>
      <c r="D72" s="38">
        <f>L128</f>
        <v>0</v>
      </c>
      <c r="E72" s="38"/>
      <c r="F72" s="38"/>
      <c r="G72" s="38"/>
      <c r="H72" s="38"/>
      <c r="I72" s="38"/>
      <c r="J72" s="38"/>
      <c r="K72" s="38"/>
      <c r="L72" s="60">
        <f>SUM(C72:K72)</f>
        <v>0</v>
      </c>
      <c r="M72" s="28"/>
      <c r="N72" s="6"/>
    </row>
    <row r="73" spans="1:14" ht="15.75">
      <c r="A73" s="27"/>
      <c r="B73" s="28" t="s">
        <v>48</v>
      </c>
      <c r="C73" s="60">
        <f>SUM(C61:C72)</f>
        <v>500000</v>
      </c>
      <c r="D73" s="60">
        <f>SUM(D61:D72)</f>
        <v>443351</v>
      </c>
      <c r="E73" s="38"/>
      <c r="F73" s="60"/>
      <c r="G73" s="38"/>
      <c r="H73" s="60"/>
      <c r="I73" s="38"/>
      <c r="J73" s="60"/>
      <c r="K73" s="38"/>
      <c r="L73" s="60">
        <f>SUM(L61:L72)</f>
        <v>431596</v>
      </c>
      <c r="M73" s="28"/>
      <c r="N73" s="6"/>
    </row>
    <row r="74" spans="1:14" ht="15.75">
      <c r="A74" s="7"/>
      <c r="B74" s="9"/>
      <c r="C74" s="9"/>
      <c r="D74" s="9"/>
      <c r="E74" s="9"/>
      <c r="F74" s="9"/>
      <c r="G74" s="9"/>
      <c r="H74" s="9"/>
      <c r="I74" s="9"/>
      <c r="J74" s="9"/>
      <c r="K74" s="9"/>
      <c r="L74" s="9"/>
      <c r="M74" s="9"/>
      <c r="N74" s="6"/>
    </row>
    <row r="75" spans="1:14" ht="15.75">
      <c r="A75" s="7"/>
      <c r="B75" s="57" t="s">
        <v>49</v>
      </c>
      <c r="C75" s="16"/>
      <c r="D75" s="16"/>
      <c r="E75" s="16"/>
      <c r="F75" s="16"/>
      <c r="G75" s="16"/>
      <c r="H75" s="16"/>
      <c r="I75" s="19"/>
      <c r="J75" s="19" t="s">
        <v>181</v>
      </c>
      <c r="K75" s="19"/>
      <c r="L75" s="19" t="s">
        <v>193</v>
      </c>
      <c r="M75" s="9"/>
      <c r="N75" s="6"/>
    </row>
    <row r="76" spans="1:14" ht="15.75">
      <c r="A76" s="27"/>
      <c r="B76" s="28" t="s">
        <v>50</v>
      </c>
      <c r="C76" s="28"/>
      <c r="D76" s="28"/>
      <c r="E76" s="28"/>
      <c r="F76" s="28"/>
      <c r="G76" s="28"/>
      <c r="H76" s="28"/>
      <c r="I76" s="28"/>
      <c r="J76" s="38">
        <v>0</v>
      </c>
      <c r="K76" s="28"/>
      <c r="L76" s="59">
        <v>0</v>
      </c>
      <c r="M76" s="28"/>
      <c r="N76" s="6"/>
    </row>
    <row r="77" spans="1:14" ht="15.75">
      <c r="A77" s="27"/>
      <c r="B77" s="28" t="s">
        <v>51</v>
      </c>
      <c r="C77" s="47" t="s">
        <v>150</v>
      </c>
      <c r="D77" s="63">
        <f>J158</f>
        <v>37894</v>
      </c>
      <c r="E77" s="28"/>
      <c r="F77" s="28"/>
      <c r="G77" s="28"/>
      <c r="H77" s="28"/>
      <c r="I77" s="28"/>
      <c r="J77" s="38">
        <v>19715</v>
      </c>
      <c r="K77" s="28"/>
      <c r="L77" s="59"/>
      <c r="M77" s="28"/>
      <c r="N77" s="6"/>
    </row>
    <row r="78" spans="1:14" ht="15.75">
      <c r="A78" s="27"/>
      <c r="B78" s="28" t="s">
        <v>52</v>
      </c>
      <c r="C78" s="28"/>
      <c r="D78" s="28"/>
      <c r="E78" s="28"/>
      <c r="F78" s="28"/>
      <c r="G78" s="28"/>
      <c r="H78" s="28"/>
      <c r="I78" s="28"/>
      <c r="J78" s="38"/>
      <c r="K78" s="28"/>
      <c r="L78" s="59">
        <f>6567-13</f>
        <v>6554</v>
      </c>
      <c r="M78" s="28"/>
      <c r="N78" s="6"/>
    </row>
    <row r="79" spans="1:14" ht="15.75">
      <c r="A79" s="27"/>
      <c r="B79" s="28" t="s">
        <v>53</v>
      </c>
      <c r="C79" s="28"/>
      <c r="D79" s="28"/>
      <c r="E79" s="28"/>
      <c r="F79" s="28"/>
      <c r="G79" s="28"/>
      <c r="H79" s="28"/>
      <c r="I79" s="28"/>
      <c r="J79" s="38"/>
      <c r="K79" s="28"/>
      <c r="L79" s="59">
        <v>0</v>
      </c>
      <c r="M79" s="28"/>
      <c r="N79" s="6"/>
    </row>
    <row r="80" spans="1:14" ht="15.75">
      <c r="A80" s="27"/>
      <c r="B80" s="28" t="s">
        <v>54</v>
      </c>
      <c r="C80" s="28"/>
      <c r="D80" s="28"/>
      <c r="E80" s="28"/>
      <c r="F80" s="28"/>
      <c r="G80" s="28"/>
      <c r="H80" s="28"/>
      <c r="I80" s="28"/>
      <c r="J80" s="38">
        <f>SUM(J76:J79)</f>
        <v>19715</v>
      </c>
      <c r="K80" s="28"/>
      <c r="L80" s="60">
        <f>SUM(L76:L79)</f>
        <v>6554</v>
      </c>
      <c r="M80" s="28"/>
      <c r="N80" s="6"/>
    </row>
    <row r="81" spans="1:14" ht="15.75">
      <c r="A81" s="27"/>
      <c r="B81" s="28" t="s">
        <v>55</v>
      </c>
      <c r="C81" s="28"/>
      <c r="D81" s="28"/>
      <c r="E81" s="28"/>
      <c r="F81" s="28"/>
      <c r="G81" s="28"/>
      <c r="H81" s="28"/>
      <c r="I81" s="28"/>
      <c r="J81" s="38">
        <v>0</v>
      </c>
      <c r="K81" s="28"/>
      <c r="L81" s="59">
        <v>0</v>
      </c>
      <c r="M81" s="28"/>
      <c r="N81" s="6"/>
    </row>
    <row r="82" spans="1:14" ht="15.75">
      <c r="A82" s="27"/>
      <c r="B82" s="28" t="s">
        <v>56</v>
      </c>
      <c r="C82" s="28"/>
      <c r="D82" s="28"/>
      <c r="E82" s="28"/>
      <c r="F82" s="28"/>
      <c r="G82" s="28"/>
      <c r="H82" s="28"/>
      <c r="I82" s="28"/>
      <c r="J82" s="38">
        <f>J80+J81</f>
        <v>19715</v>
      </c>
      <c r="K82" s="28"/>
      <c r="L82" s="60">
        <f>L80+L81</f>
        <v>6554</v>
      </c>
      <c r="M82" s="28"/>
      <c r="N82" s="6"/>
    </row>
    <row r="83" spans="1:14" ht="15.75">
      <c r="A83" s="27"/>
      <c r="B83" s="137" t="s">
        <v>57</v>
      </c>
      <c r="C83" s="64"/>
      <c r="D83" s="28"/>
      <c r="E83" s="28"/>
      <c r="F83" s="28"/>
      <c r="G83" s="28"/>
      <c r="H83" s="28"/>
      <c r="I83" s="28"/>
      <c r="J83" s="38"/>
      <c r="K83" s="28"/>
      <c r="L83" s="59"/>
      <c r="M83" s="28"/>
      <c r="N83" s="6"/>
    </row>
    <row r="84" spans="1:14" ht="15.75">
      <c r="A84" s="27">
        <v>1</v>
      </c>
      <c r="B84" s="28" t="s">
        <v>58</v>
      </c>
      <c r="C84" s="28"/>
      <c r="D84" s="28"/>
      <c r="E84" s="28"/>
      <c r="F84" s="28"/>
      <c r="G84" s="28"/>
      <c r="H84" s="28"/>
      <c r="I84" s="28"/>
      <c r="J84" s="28"/>
      <c r="K84" s="28"/>
      <c r="L84" s="59">
        <v>0</v>
      </c>
      <c r="M84" s="28"/>
      <c r="N84" s="6"/>
    </row>
    <row r="85" spans="1:14" ht="15.75">
      <c r="A85" s="27">
        <v>2</v>
      </c>
      <c r="B85" s="28" t="s">
        <v>59</v>
      </c>
      <c r="C85" s="28"/>
      <c r="D85" s="28"/>
      <c r="E85" s="28"/>
      <c r="F85" s="28"/>
      <c r="G85" s="28"/>
      <c r="H85" s="28"/>
      <c r="I85" s="28"/>
      <c r="J85" s="28"/>
      <c r="K85" s="28"/>
      <c r="L85" s="59">
        <v>-5</v>
      </c>
      <c r="M85" s="28"/>
      <c r="N85" s="6"/>
    </row>
    <row r="86" spans="1:14" ht="15.75">
      <c r="A86" s="27">
        <v>3</v>
      </c>
      <c r="B86" s="28" t="s">
        <v>60</v>
      </c>
      <c r="C86" s="28"/>
      <c r="D86" s="28"/>
      <c r="E86" s="28"/>
      <c r="F86" s="28"/>
      <c r="G86" s="28"/>
      <c r="H86" s="28"/>
      <c r="I86" s="28"/>
      <c r="J86" s="28"/>
      <c r="K86" s="28"/>
      <c r="L86" s="59">
        <f>-336-6</f>
        <v>-342</v>
      </c>
      <c r="M86" s="28"/>
      <c r="N86" s="6"/>
    </row>
    <row r="87" spans="1:14" ht="15.75">
      <c r="A87" s="27">
        <v>4</v>
      </c>
      <c r="B87" s="28" t="s">
        <v>61</v>
      </c>
      <c r="C87" s="28"/>
      <c r="D87" s="28"/>
      <c r="E87" s="28"/>
      <c r="F87" s="28"/>
      <c r="G87" s="28"/>
      <c r="H87" s="28"/>
      <c r="I87" s="28"/>
      <c r="J87" s="28"/>
      <c r="K87" s="28"/>
      <c r="L87" s="59">
        <v>-518</v>
      </c>
      <c r="M87" s="28"/>
      <c r="N87" s="6"/>
    </row>
    <row r="88" spans="1:14" ht="15.75">
      <c r="A88" s="27">
        <v>5</v>
      </c>
      <c r="B88" s="28" t="s">
        <v>62</v>
      </c>
      <c r="C88" s="28"/>
      <c r="D88" s="28"/>
      <c r="E88" s="28"/>
      <c r="F88" s="28"/>
      <c r="G88" s="28"/>
      <c r="H88" s="28"/>
      <c r="I88" s="28"/>
      <c r="J88" s="28"/>
      <c r="K88" s="28"/>
      <c r="L88" s="59">
        <v>-3892</v>
      </c>
      <c r="M88" s="28"/>
      <c r="N88" s="6"/>
    </row>
    <row r="89" spans="1:14" ht="15.75">
      <c r="A89" s="27">
        <v>6</v>
      </c>
      <c r="B89" s="28" t="s">
        <v>63</v>
      </c>
      <c r="C89" s="28"/>
      <c r="D89" s="28"/>
      <c r="E89" s="28"/>
      <c r="F89" s="28"/>
      <c r="G89" s="28"/>
      <c r="H89" s="28"/>
      <c r="I89" s="28"/>
      <c r="J89" s="28"/>
      <c r="K89" s="28"/>
      <c r="L89" s="59">
        <v>-476</v>
      </c>
      <c r="M89" s="28"/>
      <c r="N89" s="6"/>
    </row>
    <row r="90" spans="1:14" ht="15.75">
      <c r="A90" s="27">
        <v>7</v>
      </c>
      <c r="B90" s="28" t="s">
        <v>64</v>
      </c>
      <c r="C90" s="28"/>
      <c r="D90" s="28"/>
      <c r="E90" s="28"/>
      <c r="F90" s="28"/>
      <c r="G90" s="28"/>
      <c r="H90" s="28"/>
      <c r="I90" s="28"/>
      <c r="J90" s="28"/>
      <c r="K90" s="28"/>
      <c r="L90" s="59">
        <v>-5</v>
      </c>
      <c r="M90" s="28"/>
      <c r="N90" s="6"/>
    </row>
    <row r="91" spans="1:14" ht="15.75">
      <c r="A91" s="27">
        <v>8</v>
      </c>
      <c r="B91" s="28" t="s">
        <v>65</v>
      </c>
      <c r="C91" s="28"/>
      <c r="D91" s="28"/>
      <c r="E91" s="28"/>
      <c r="F91" s="28"/>
      <c r="G91" s="28"/>
      <c r="H91" s="28"/>
      <c r="I91" s="28"/>
      <c r="J91" s="28"/>
      <c r="K91" s="28"/>
      <c r="L91" s="59">
        <v>0</v>
      </c>
      <c r="M91" s="28"/>
      <c r="N91" s="6"/>
    </row>
    <row r="92" spans="1:14" ht="15.75">
      <c r="A92" s="27">
        <v>9</v>
      </c>
      <c r="B92" s="28" t="s">
        <v>66</v>
      </c>
      <c r="C92" s="28"/>
      <c r="D92" s="28"/>
      <c r="E92" s="28"/>
      <c r="F92" s="28"/>
      <c r="G92" s="28"/>
      <c r="H92" s="28"/>
      <c r="I92" s="28"/>
      <c r="J92" s="28"/>
      <c r="K92" s="28"/>
      <c r="L92" s="59">
        <v>0</v>
      </c>
      <c r="M92" s="28"/>
      <c r="N92" s="6"/>
    </row>
    <row r="93" spans="1:14" ht="15.75">
      <c r="A93" s="27">
        <v>10</v>
      </c>
      <c r="B93" s="28" t="s">
        <v>67</v>
      </c>
      <c r="C93" s="28"/>
      <c r="D93" s="28"/>
      <c r="E93" s="28"/>
      <c r="F93" s="28"/>
      <c r="G93" s="28"/>
      <c r="H93" s="28"/>
      <c r="I93" s="28"/>
      <c r="J93" s="28"/>
      <c r="K93" s="28"/>
      <c r="L93" s="59">
        <v>0</v>
      </c>
      <c r="M93" s="28"/>
      <c r="N93" s="6"/>
    </row>
    <row r="94" spans="1:14" ht="15.75">
      <c r="A94" s="27">
        <v>11</v>
      </c>
      <c r="B94" s="28" t="s">
        <v>68</v>
      </c>
      <c r="C94" s="28"/>
      <c r="D94" s="28"/>
      <c r="E94" s="28"/>
      <c r="F94" s="28"/>
      <c r="G94" s="28"/>
      <c r="H94" s="28"/>
      <c r="I94" s="28"/>
      <c r="J94" s="28"/>
      <c r="K94" s="28"/>
      <c r="L94" s="59">
        <v>0</v>
      </c>
      <c r="M94" s="28"/>
      <c r="N94" s="6"/>
    </row>
    <row r="95" spans="1:14" ht="15.75">
      <c r="A95" s="27">
        <v>12</v>
      </c>
      <c r="B95" s="28" t="s">
        <v>69</v>
      </c>
      <c r="C95" s="28"/>
      <c r="D95" s="28"/>
      <c r="E95" s="28"/>
      <c r="F95" s="28"/>
      <c r="G95" s="28"/>
      <c r="H95" s="28"/>
      <c r="I95" s="28"/>
      <c r="J95" s="28"/>
      <c r="K95" s="28"/>
      <c r="L95" s="59">
        <f>-47-220</f>
        <v>-267</v>
      </c>
      <c r="M95" s="28"/>
      <c r="N95" s="6"/>
    </row>
    <row r="96" spans="1:14" ht="15.75">
      <c r="A96" s="27">
        <v>13</v>
      </c>
      <c r="B96" s="28" t="s">
        <v>70</v>
      </c>
      <c r="C96" s="28"/>
      <c r="D96" s="28"/>
      <c r="E96" s="28"/>
      <c r="F96" s="28"/>
      <c r="G96" s="28"/>
      <c r="H96" s="28"/>
      <c r="I96" s="28"/>
      <c r="J96" s="28"/>
      <c r="K96" s="28"/>
      <c r="L96" s="59">
        <f>-SUM(L82:L95)</f>
        <v>-1049</v>
      </c>
      <c r="M96" s="28"/>
      <c r="N96" s="6"/>
    </row>
    <row r="97" spans="1:14" ht="15.75">
      <c r="A97" s="27"/>
      <c r="B97" s="137" t="s">
        <v>71</v>
      </c>
      <c r="C97" s="64"/>
      <c r="D97" s="28"/>
      <c r="E97" s="28"/>
      <c r="F97" s="28"/>
      <c r="G97" s="28"/>
      <c r="H97" s="28"/>
      <c r="I97" s="28"/>
      <c r="J97" s="28"/>
      <c r="K97" s="28"/>
      <c r="L97" s="65"/>
      <c r="M97" s="28"/>
      <c r="N97" s="6"/>
    </row>
    <row r="98" spans="1:14" ht="15.75">
      <c r="A98" s="27"/>
      <c r="B98" s="28" t="s">
        <v>72</v>
      </c>
      <c r="C98" s="64"/>
      <c r="D98" s="28"/>
      <c r="E98" s="28"/>
      <c r="F98" s="28"/>
      <c r="G98" s="28"/>
      <c r="H98" s="28"/>
      <c r="I98" s="28"/>
      <c r="J98" s="38">
        <f>-J144</f>
        <v>-103</v>
      </c>
      <c r="K98" s="38"/>
      <c r="L98" s="59"/>
      <c r="M98" s="28"/>
      <c r="N98" s="6"/>
    </row>
    <row r="99" spans="1:14" ht="15.75">
      <c r="A99" s="27"/>
      <c r="B99" s="28" t="s">
        <v>73</v>
      </c>
      <c r="C99" s="28"/>
      <c r="D99" s="28"/>
      <c r="E99" s="28"/>
      <c r="F99" s="28"/>
      <c r="G99" s="28"/>
      <c r="H99" s="28"/>
      <c r="I99" s="28"/>
      <c r="J99" s="38">
        <f>-H144</f>
        <v>-7856</v>
      </c>
      <c r="K99" s="38"/>
      <c r="L99" s="59"/>
      <c r="M99" s="28"/>
      <c r="N99" s="6"/>
    </row>
    <row r="100" spans="1:14" ht="15.75">
      <c r="A100" s="27"/>
      <c r="B100" s="28" t="s">
        <v>74</v>
      </c>
      <c r="C100" s="28"/>
      <c r="D100" s="28"/>
      <c r="E100" s="28"/>
      <c r="F100" s="28"/>
      <c r="G100" s="28"/>
      <c r="H100" s="28"/>
      <c r="I100" s="28"/>
      <c r="J100" s="38">
        <v>-11756</v>
      </c>
      <c r="K100" s="38"/>
      <c r="L100" s="59"/>
      <c r="M100" s="28"/>
      <c r="N100" s="6"/>
    </row>
    <row r="101" spans="1:14" ht="15.75">
      <c r="A101" s="27"/>
      <c r="B101" s="28" t="s">
        <v>75</v>
      </c>
      <c r="C101" s="28"/>
      <c r="D101" s="28"/>
      <c r="E101" s="28"/>
      <c r="F101" s="28"/>
      <c r="G101" s="28"/>
      <c r="H101" s="28"/>
      <c r="I101" s="28"/>
      <c r="J101" s="38">
        <v>0</v>
      </c>
      <c r="K101" s="38"/>
      <c r="L101" s="59"/>
      <c r="M101" s="28"/>
      <c r="N101" s="6"/>
    </row>
    <row r="102" spans="1:14" ht="15.75">
      <c r="A102" s="27"/>
      <c r="B102" s="28" t="s">
        <v>76</v>
      </c>
      <c r="C102" s="28"/>
      <c r="D102" s="28"/>
      <c r="E102" s="28"/>
      <c r="F102" s="28"/>
      <c r="G102" s="28"/>
      <c r="H102" s="28"/>
      <c r="I102" s="28"/>
      <c r="J102" s="38">
        <f>SUM(J83:J101)</f>
        <v>-19715</v>
      </c>
      <c r="K102" s="38"/>
      <c r="L102" s="38">
        <f>SUM(L83:L101)</f>
        <v>-6554</v>
      </c>
      <c r="M102" s="28"/>
      <c r="N102" s="6"/>
    </row>
    <row r="103" spans="1:14" ht="15.75">
      <c r="A103" s="27"/>
      <c r="B103" s="28" t="s">
        <v>77</v>
      </c>
      <c r="C103" s="28"/>
      <c r="D103" s="28"/>
      <c r="E103" s="28"/>
      <c r="F103" s="28"/>
      <c r="G103" s="28"/>
      <c r="H103" s="28"/>
      <c r="I103" s="28"/>
      <c r="J103" s="38">
        <f>J82+J102</f>
        <v>0</v>
      </c>
      <c r="K103" s="38"/>
      <c r="L103" s="38">
        <f>L82+L102</f>
        <v>0</v>
      </c>
      <c r="M103" s="28"/>
      <c r="N103" s="6"/>
    </row>
    <row r="104" spans="1:14" ht="12" customHeight="1">
      <c r="A104" s="7"/>
      <c r="B104" s="9"/>
      <c r="C104" s="9"/>
      <c r="D104" s="9"/>
      <c r="E104" s="9"/>
      <c r="F104" s="9"/>
      <c r="G104" s="9"/>
      <c r="H104" s="9"/>
      <c r="I104" s="9"/>
      <c r="J104" s="9"/>
      <c r="K104" s="9"/>
      <c r="L104" s="58"/>
      <c r="M104" s="9"/>
      <c r="N104" s="6"/>
    </row>
    <row r="105" spans="1:14" ht="12" customHeight="1">
      <c r="A105" s="7"/>
      <c r="B105" s="9"/>
      <c r="C105" s="9"/>
      <c r="D105" s="9"/>
      <c r="E105" s="9"/>
      <c r="F105" s="9"/>
      <c r="G105" s="9"/>
      <c r="H105" s="9"/>
      <c r="I105" s="9"/>
      <c r="J105" s="9"/>
      <c r="K105" s="9"/>
      <c r="L105" s="58"/>
      <c r="M105" s="9"/>
      <c r="N105" s="6"/>
    </row>
    <row r="106" spans="1:14" ht="15.75" customHeight="1" thickBot="1">
      <c r="A106" s="118"/>
      <c r="B106" s="119" t="str">
        <f>B53</f>
        <v>PM4 INVESTOR REPORT QUARTER ENDING SEPTEMBER 2003</v>
      </c>
      <c r="C106" s="120"/>
      <c r="D106" s="120"/>
      <c r="E106" s="120"/>
      <c r="F106" s="120"/>
      <c r="G106" s="120"/>
      <c r="H106" s="120"/>
      <c r="I106" s="120"/>
      <c r="J106" s="120"/>
      <c r="K106" s="120"/>
      <c r="L106" s="124"/>
      <c r="M106" s="123"/>
      <c r="N106" s="6"/>
    </row>
    <row r="107" spans="1:14" ht="12" customHeight="1">
      <c r="A107" s="2"/>
      <c r="B107" s="5"/>
      <c r="C107" s="5"/>
      <c r="D107" s="5"/>
      <c r="E107" s="5"/>
      <c r="F107" s="5"/>
      <c r="G107" s="5"/>
      <c r="H107" s="5"/>
      <c r="I107" s="5"/>
      <c r="J107" s="5"/>
      <c r="K107" s="5"/>
      <c r="L107" s="66"/>
      <c r="M107" s="5"/>
      <c r="N107" s="6"/>
    </row>
    <row r="108" spans="1:14" ht="15.75">
      <c r="A108" s="7"/>
      <c r="B108" s="57" t="s">
        <v>78</v>
      </c>
      <c r="C108" s="15"/>
      <c r="D108" s="9"/>
      <c r="E108" s="9"/>
      <c r="F108" s="9"/>
      <c r="G108" s="9"/>
      <c r="H108" s="9"/>
      <c r="I108" s="9"/>
      <c r="J108" s="9"/>
      <c r="K108" s="9"/>
      <c r="L108" s="58"/>
      <c r="M108" s="9"/>
      <c r="N108" s="6"/>
    </row>
    <row r="109" spans="1:14" ht="15.75">
      <c r="A109" s="7"/>
      <c r="B109" s="23"/>
      <c r="C109" s="15"/>
      <c r="D109" s="9"/>
      <c r="E109" s="9"/>
      <c r="F109" s="9"/>
      <c r="G109" s="9"/>
      <c r="H109" s="9"/>
      <c r="I109" s="9"/>
      <c r="J109" s="9"/>
      <c r="K109" s="9"/>
      <c r="L109" s="58"/>
      <c r="M109" s="9"/>
      <c r="N109" s="6"/>
    </row>
    <row r="110" spans="1:14" ht="15.75">
      <c r="A110" s="7"/>
      <c r="B110" s="138" t="s">
        <v>79</v>
      </c>
      <c r="C110" s="15"/>
      <c r="D110" s="9"/>
      <c r="E110" s="9"/>
      <c r="F110" s="9"/>
      <c r="G110" s="9"/>
      <c r="H110" s="9"/>
      <c r="I110" s="9"/>
      <c r="J110" s="9"/>
      <c r="K110" s="9"/>
      <c r="L110" s="58"/>
      <c r="M110" s="9"/>
      <c r="N110" s="6"/>
    </row>
    <row r="111" spans="1:14" ht="15.75">
      <c r="A111" s="27"/>
      <c r="B111" s="28" t="s">
        <v>80</v>
      </c>
      <c r="C111" s="28"/>
      <c r="D111" s="28"/>
      <c r="E111" s="28"/>
      <c r="F111" s="28"/>
      <c r="G111" s="28"/>
      <c r="H111" s="28"/>
      <c r="I111" s="28"/>
      <c r="J111" s="28"/>
      <c r="K111" s="28"/>
      <c r="L111" s="59">
        <v>8750</v>
      </c>
      <c r="M111" s="28"/>
      <c r="N111" s="6"/>
    </row>
    <row r="112" spans="1:14" ht="15.75">
      <c r="A112" s="27"/>
      <c r="B112" s="28" t="s">
        <v>81</v>
      </c>
      <c r="C112" s="28"/>
      <c r="D112" s="28"/>
      <c r="E112" s="28"/>
      <c r="F112" s="28"/>
      <c r="G112" s="28"/>
      <c r="H112" s="28"/>
      <c r="I112" s="28"/>
      <c r="J112" s="28"/>
      <c r="K112" s="28"/>
      <c r="L112" s="59">
        <f>L111</f>
        <v>8750</v>
      </c>
      <c r="M112" s="28"/>
      <c r="N112" s="6"/>
    </row>
    <row r="113" spans="1:14" ht="15.75">
      <c r="A113" s="27"/>
      <c r="B113" s="28" t="s">
        <v>82</v>
      </c>
      <c r="C113" s="28"/>
      <c r="D113" s="28"/>
      <c r="E113" s="28"/>
      <c r="F113" s="28"/>
      <c r="G113" s="28"/>
      <c r="H113" s="28"/>
      <c r="I113" s="28"/>
      <c r="J113" s="28"/>
      <c r="K113" s="28"/>
      <c r="L113" s="59">
        <v>0</v>
      </c>
      <c r="M113" s="28"/>
      <c r="N113" s="6"/>
    </row>
    <row r="114" spans="1:14" ht="15.75">
      <c r="A114" s="27"/>
      <c r="B114" s="28" t="s">
        <v>83</v>
      </c>
      <c r="C114" s="28"/>
      <c r="D114" s="28"/>
      <c r="E114" s="28"/>
      <c r="F114" s="28"/>
      <c r="G114" s="28"/>
      <c r="H114" s="28"/>
      <c r="I114" s="28"/>
      <c r="J114" s="28"/>
      <c r="K114" s="28"/>
      <c r="L114" s="59">
        <v>0</v>
      </c>
      <c r="M114" s="28"/>
      <c r="N114" s="6"/>
    </row>
    <row r="115" spans="1:14" ht="15.75">
      <c r="A115" s="27"/>
      <c r="B115" s="28" t="s">
        <v>84</v>
      </c>
      <c r="C115" s="28"/>
      <c r="D115" s="28"/>
      <c r="E115" s="28"/>
      <c r="F115" s="28"/>
      <c r="G115" s="28"/>
      <c r="H115" s="28"/>
      <c r="I115" s="28"/>
      <c r="J115" s="28"/>
      <c r="K115" s="28"/>
      <c r="L115" s="59">
        <v>0</v>
      </c>
      <c r="M115" s="28"/>
      <c r="N115" s="6"/>
    </row>
    <row r="116" spans="1:14" ht="15.75">
      <c r="A116" s="27"/>
      <c r="B116" s="28" t="s">
        <v>62</v>
      </c>
      <c r="C116" s="28"/>
      <c r="D116" s="28"/>
      <c r="E116" s="28"/>
      <c r="F116" s="28"/>
      <c r="G116" s="28"/>
      <c r="H116" s="28"/>
      <c r="I116" s="28"/>
      <c r="J116" s="28"/>
      <c r="K116" s="28"/>
      <c r="L116" s="59">
        <v>0</v>
      </c>
      <c r="M116" s="28"/>
      <c r="N116" s="6"/>
    </row>
    <row r="117" spans="1:14" ht="15.75">
      <c r="A117" s="27"/>
      <c r="B117" s="28" t="s">
        <v>63</v>
      </c>
      <c r="C117" s="28"/>
      <c r="D117" s="28"/>
      <c r="E117" s="28"/>
      <c r="F117" s="28"/>
      <c r="G117" s="28"/>
      <c r="H117" s="28"/>
      <c r="I117" s="28"/>
      <c r="J117" s="28"/>
      <c r="K117" s="28"/>
      <c r="L117" s="59">
        <v>0</v>
      </c>
      <c r="M117" s="28"/>
      <c r="N117" s="6"/>
    </row>
    <row r="118" spans="1:14" ht="15.75">
      <c r="A118" s="27"/>
      <c r="B118" s="28" t="s">
        <v>85</v>
      </c>
      <c r="C118" s="28"/>
      <c r="D118" s="28"/>
      <c r="E118" s="28"/>
      <c r="F118" s="28"/>
      <c r="G118" s="28"/>
      <c r="H118" s="28"/>
      <c r="I118" s="28"/>
      <c r="J118" s="28"/>
      <c r="K118" s="28"/>
      <c r="L118" s="59">
        <v>0</v>
      </c>
      <c r="M118" s="28"/>
      <c r="N118" s="6"/>
    </row>
    <row r="119" spans="1:14" ht="15.75">
      <c r="A119" s="27"/>
      <c r="B119" s="28" t="s">
        <v>86</v>
      </c>
      <c r="C119" s="28"/>
      <c r="D119" s="28"/>
      <c r="E119" s="28"/>
      <c r="F119" s="28"/>
      <c r="G119" s="28"/>
      <c r="H119" s="28"/>
      <c r="I119" s="28"/>
      <c r="J119" s="28"/>
      <c r="K119" s="28"/>
      <c r="L119" s="59">
        <f>SUM(L112:L118)</f>
        <v>8750</v>
      </c>
      <c r="M119" s="28"/>
      <c r="N119" s="6"/>
    </row>
    <row r="120" spans="1:14" ht="15.75">
      <c r="A120" s="27"/>
      <c r="B120" s="28"/>
      <c r="C120" s="28"/>
      <c r="D120" s="28"/>
      <c r="E120" s="28"/>
      <c r="F120" s="28"/>
      <c r="G120" s="28"/>
      <c r="H120" s="28"/>
      <c r="I120" s="28"/>
      <c r="J120" s="28"/>
      <c r="K120" s="28"/>
      <c r="L120" s="67"/>
      <c r="M120" s="28"/>
      <c r="N120" s="6"/>
    </row>
    <row r="121" spans="1:14" ht="15.75">
      <c r="A121" s="7"/>
      <c r="B121" s="138" t="s">
        <v>87</v>
      </c>
      <c r="C121" s="9"/>
      <c r="D121" s="9"/>
      <c r="E121" s="9"/>
      <c r="F121" s="9"/>
      <c r="G121" s="9"/>
      <c r="H121" s="9"/>
      <c r="I121" s="9"/>
      <c r="J121" s="9"/>
      <c r="K121" s="9"/>
      <c r="L121" s="58"/>
      <c r="M121" s="9"/>
      <c r="N121" s="6"/>
    </row>
    <row r="122" spans="1:14" ht="15.75">
      <c r="A122" s="27"/>
      <c r="B122" s="28" t="s">
        <v>88</v>
      </c>
      <c r="C122" s="28"/>
      <c r="D122" s="68"/>
      <c r="E122" s="28"/>
      <c r="F122" s="28"/>
      <c r="G122" s="28"/>
      <c r="H122" s="28"/>
      <c r="I122" s="28"/>
      <c r="J122" s="28"/>
      <c r="K122" s="28"/>
      <c r="L122" s="69" t="s">
        <v>194</v>
      </c>
      <c r="M122" s="28"/>
      <c r="N122" s="6"/>
    </row>
    <row r="123" spans="1:14" ht="15.75">
      <c r="A123" s="27"/>
      <c r="B123" s="28" t="s">
        <v>89</v>
      </c>
      <c r="C123" s="126"/>
      <c r="D123" s="126"/>
      <c r="E123" s="126"/>
      <c r="F123" s="126"/>
      <c r="G123" s="126"/>
      <c r="H123" s="126"/>
      <c r="I123" s="126"/>
      <c r="J123" s="126"/>
      <c r="K123" s="126"/>
      <c r="L123" s="69" t="s">
        <v>194</v>
      </c>
      <c r="M123" s="28"/>
      <c r="N123" s="6"/>
    </row>
    <row r="124" spans="1:14" ht="15.75">
      <c r="A124" s="27"/>
      <c r="B124" s="28" t="s">
        <v>90</v>
      </c>
      <c r="C124" s="28"/>
      <c r="D124" s="28"/>
      <c r="E124" s="28"/>
      <c r="F124" s="28"/>
      <c r="G124" s="28"/>
      <c r="H124" s="28"/>
      <c r="I124" s="28"/>
      <c r="J124" s="28"/>
      <c r="K124" s="28"/>
      <c r="L124" s="69" t="s">
        <v>194</v>
      </c>
      <c r="M124" s="28"/>
      <c r="N124" s="6"/>
    </row>
    <row r="125" spans="1:14" ht="15.75">
      <c r="A125" s="27"/>
      <c r="B125" s="28" t="s">
        <v>91</v>
      </c>
      <c r="C125" s="28"/>
      <c r="D125" s="28"/>
      <c r="E125" s="28"/>
      <c r="F125" s="28"/>
      <c r="G125" s="28"/>
      <c r="H125" s="28"/>
      <c r="I125" s="28"/>
      <c r="J125" s="28"/>
      <c r="K125" s="28"/>
      <c r="L125" s="69" t="s">
        <v>194</v>
      </c>
      <c r="M125" s="28"/>
      <c r="N125" s="6"/>
    </row>
    <row r="126" spans="1:14" ht="15.75">
      <c r="A126" s="27"/>
      <c r="B126" s="28"/>
      <c r="C126" s="28"/>
      <c r="D126" s="28"/>
      <c r="E126" s="28"/>
      <c r="F126" s="28"/>
      <c r="G126" s="28"/>
      <c r="H126" s="28"/>
      <c r="I126" s="28"/>
      <c r="J126" s="28"/>
      <c r="K126" s="28"/>
      <c r="L126" s="67"/>
      <c r="M126" s="28"/>
      <c r="N126" s="6"/>
    </row>
    <row r="127" spans="1:14" ht="15.75">
      <c r="A127" s="7"/>
      <c r="B127" s="138" t="s">
        <v>92</v>
      </c>
      <c r="C127" s="15"/>
      <c r="D127" s="9"/>
      <c r="E127" s="9"/>
      <c r="F127" s="9"/>
      <c r="G127" s="9"/>
      <c r="H127" s="9"/>
      <c r="I127" s="9"/>
      <c r="J127" s="9"/>
      <c r="K127" s="9"/>
      <c r="L127" s="70"/>
      <c r="M127" s="9"/>
      <c r="N127" s="6"/>
    </row>
    <row r="128" spans="1:14" ht="15.75">
      <c r="A128" s="27"/>
      <c r="B128" s="28" t="s">
        <v>93</v>
      </c>
      <c r="C128" s="28"/>
      <c r="D128" s="28"/>
      <c r="E128" s="28"/>
      <c r="F128" s="28"/>
      <c r="G128" s="28"/>
      <c r="H128" s="28"/>
      <c r="I128" s="28"/>
      <c r="J128" s="28"/>
      <c r="K128" s="28"/>
      <c r="L128" s="59">
        <v>0</v>
      </c>
      <c r="M128" s="28"/>
      <c r="N128" s="6"/>
    </row>
    <row r="129" spans="1:14" ht="15.75">
      <c r="A129" s="27"/>
      <c r="B129" s="28" t="s">
        <v>94</v>
      </c>
      <c r="C129" s="28"/>
      <c r="D129" s="28"/>
      <c r="E129" s="28"/>
      <c r="F129" s="28"/>
      <c r="G129" s="28"/>
      <c r="H129" s="28"/>
      <c r="I129" s="28"/>
      <c r="J129" s="28"/>
      <c r="K129" s="28"/>
      <c r="L129" s="59">
        <v>0</v>
      </c>
      <c r="M129" s="28"/>
      <c r="N129" s="6"/>
    </row>
    <row r="130" spans="1:14" ht="15.75">
      <c r="A130" s="27"/>
      <c r="B130" s="28" t="s">
        <v>95</v>
      </c>
      <c r="C130" s="28"/>
      <c r="D130" s="28"/>
      <c r="E130" s="28"/>
      <c r="F130" s="28"/>
      <c r="G130" s="28"/>
      <c r="H130" s="28"/>
      <c r="I130" s="28"/>
      <c r="J130" s="28"/>
      <c r="K130" s="28"/>
      <c r="L130" s="59">
        <f>L129+L128</f>
        <v>0</v>
      </c>
      <c r="M130" s="28"/>
      <c r="N130" s="6"/>
    </row>
    <row r="131" spans="1:14" ht="15.75">
      <c r="A131" s="27"/>
      <c r="B131" s="28" t="s">
        <v>96</v>
      </c>
      <c r="C131" s="28"/>
      <c r="D131" s="28"/>
      <c r="E131" s="28"/>
      <c r="F131" s="28"/>
      <c r="G131" s="28"/>
      <c r="H131" s="71"/>
      <c r="I131" s="28"/>
      <c r="J131" s="28"/>
      <c r="K131" s="28"/>
      <c r="L131" s="59">
        <v>0</v>
      </c>
      <c r="M131" s="28"/>
      <c r="N131" s="6"/>
    </row>
    <row r="132" spans="1:14" ht="15.75">
      <c r="A132" s="27"/>
      <c r="B132" s="28" t="s">
        <v>97</v>
      </c>
      <c r="C132" s="28"/>
      <c r="D132" s="28"/>
      <c r="E132" s="28"/>
      <c r="F132" s="28"/>
      <c r="G132" s="28"/>
      <c r="H132" s="28"/>
      <c r="I132" s="28"/>
      <c r="J132" s="28"/>
      <c r="K132" s="28"/>
      <c r="L132" s="59">
        <f>L130+L131</f>
        <v>0</v>
      </c>
      <c r="M132" s="28"/>
      <c r="N132" s="6"/>
    </row>
    <row r="133" spans="1:14" ht="7.5" customHeight="1">
      <c r="A133" s="27"/>
      <c r="B133" s="28"/>
      <c r="C133" s="28"/>
      <c r="D133" s="28"/>
      <c r="E133" s="28"/>
      <c r="F133" s="28"/>
      <c r="G133" s="28"/>
      <c r="H133" s="28"/>
      <c r="I133" s="28"/>
      <c r="J133" s="28"/>
      <c r="K133" s="28"/>
      <c r="L133" s="67"/>
      <c r="M133" s="28"/>
      <c r="N133" s="6"/>
    </row>
    <row r="134" spans="1:14" ht="6" customHeight="1">
      <c r="A134" s="2"/>
      <c r="B134" s="5"/>
      <c r="C134" s="5"/>
      <c r="D134" s="5"/>
      <c r="E134" s="5"/>
      <c r="F134" s="5"/>
      <c r="G134" s="5"/>
      <c r="H134" s="5"/>
      <c r="I134" s="5"/>
      <c r="J134" s="5"/>
      <c r="K134" s="5"/>
      <c r="L134" s="66"/>
      <c r="M134" s="5"/>
      <c r="N134" s="6"/>
    </row>
    <row r="135" spans="1:14" ht="15.75">
      <c r="A135" s="7"/>
      <c r="B135" s="138" t="s">
        <v>98</v>
      </c>
      <c r="C135" s="15"/>
      <c r="D135" s="9"/>
      <c r="E135" s="9"/>
      <c r="F135" s="9"/>
      <c r="G135" s="9"/>
      <c r="H135" s="9"/>
      <c r="I135" s="9"/>
      <c r="J135" s="9"/>
      <c r="K135" s="9"/>
      <c r="L135" s="58"/>
      <c r="M135" s="9"/>
      <c r="N135" s="6"/>
    </row>
    <row r="136" spans="1:14" ht="15.75">
      <c r="A136" s="7"/>
      <c r="B136" s="23"/>
      <c r="C136" s="15"/>
      <c r="D136" s="9"/>
      <c r="E136" s="9"/>
      <c r="F136" s="9"/>
      <c r="G136" s="9"/>
      <c r="H136" s="9"/>
      <c r="I136" s="9"/>
      <c r="J136" s="9"/>
      <c r="K136" s="9"/>
      <c r="L136" s="58"/>
      <c r="M136" s="9"/>
      <c r="N136" s="6"/>
    </row>
    <row r="137" spans="1:14" ht="15.75">
      <c r="A137" s="27"/>
      <c r="B137" s="28" t="s">
        <v>99</v>
      </c>
      <c r="C137" s="72"/>
      <c r="D137" s="28"/>
      <c r="E137" s="28"/>
      <c r="F137" s="28"/>
      <c r="G137" s="28"/>
      <c r="H137" s="28"/>
      <c r="I137" s="28"/>
      <c r="J137" s="28"/>
      <c r="K137" s="28"/>
      <c r="L137" s="59">
        <f>L61</f>
        <v>431596</v>
      </c>
      <c r="M137" s="28"/>
      <c r="N137" s="6"/>
    </row>
    <row r="138" spans="1:14" ht="15.75">
      <c r="A138" s="27"/>
      <c r="B138" s="28" t="s">
        <v>100</v>
      </c>
      <c r="C138" s="72"/>
      <c r="D138" s="28"/>
      <c r="E138" s="28"/>
      <c r="F138" s="28"/>
      <c r="G138" s="28"/>
      <c r="H138" s="28"/>
      <c r="I138" s="28"/>
      <c r="J138" s="28"/>
      <c r="K138" s="28"/>
      <c r="L138" s="59">
        <f>L33</f>
        <v>431595.51499999996</v>
      </c>
      <c r="M138" s="28"/>
      <c r="N138" s="6"/>
    </row>
    <row r="139" spans="1:14" ht="7.5" customHeight="1">
      <c r="A139" s="27"/>
      <c r="B139" s="28"/>
      <c r="C139" s="28"/>
      <c r="D139" s="28"/>
      <c r="E139" s="28"/>
      <c r="F139" s="28"/>
      <c r="G139" s="28"/>
      <c r="H139" s="28"/>
      <c r="I139" s="28"/>
      <c r="J139" s="28"/>
      <c r="K139" s="28"/>
      <c r="L139" s="67"/>
      <c r="M139" s="28"/>
      <c r="N139" s="6"/>
    </row>
    <row r="140" spans="1:14" ht="15.75">
      <c r="A140" s="2"/>
      <c r="B140" s="5"/>
      <c r="C140" s="5"/>
      <c r="D140" s="5"/>
      <c r="E140" s="5"/>
      <c r="F140" s="5"/>
      <c r="G140" s="5"/>
      <c r="H140" s="5"/>
      <c r="I140" s="5"/>
      <c r="J140" s="5"/>
      <c r="K140" s="5"/>
      <c r="L140" s="66"/>
      <c r="M140" s="5"/>
      <c r="N140" s="6"/>
    </row>
    <row r="141" spans="1:14" ht="15.75">
      <c r="A141" s="7"/>
      <c r="B141" s="138" t="s">
        <v>101</v>
      </c>
      <c r="C141" s="131"/>
      <c r="D141" s="131"/>
      <c r="E141" s="131"/>
      <c r="F141" s="131"/>
      <c r="G141" s="131"/>
      <c r="H141" s="139" t="s">
        <v>174</v>
      </c>
      <c r="I141" s="139"/>
      <c r="J141" s="139" t="s">
        <v>182</v>
      </c>
      <c r="K141" s="131"/>
      <c r="L141" s="140" t="s">
        <v>195</v>
      </c>
      <c r="M141" s="131"/>
      <c r="N141" s="6"/>
    </row>
    <row r="142" spans="1:14" ht="15.75">
      <c r="A142" s="27"/>
      <c r="B142" s="28" t="s">
        <v>102</v>
      </c>
      <c r="C142" s="28"/>
      <c r="D142" s="28"/>
      <c r="E142" s="28"/>
      <c r="F142" s="28"/>
      <c r="G142" s="28"/>
      <c r="H142" s="59">
        <v>70000</v>
      </c>
      <c r="I142" s="28"/>
      <c r="J142" s="47"/>
      <c r="K142" s="28"/>
      <c r="L142" s="59"/>
      <c r="M142" s="28"/>
      <c r="N142" s="6"/>
    </row>
    <row r="143" spans="1:14" ht="15.75">
      <c r="A143" s="27"/>
      <c r="B143" s="28" t="s">
        <v>103</v>
      </c>
      <c r="C143" s="28"/>
      <c r="D143" s="28"/>
      <c r="E143" s="28"/>
      <c r="F143" s="28"/>
      <c r="G143" s="28"/>
      <c r="H143" s="59">
        <f>'June 03'!H145</f>
        <v>29683</v>
      </c>
      <c r="I143" s="28"/>
      <c r="J143" s="59">
        <f>'June 03'!J145</f>
        <v>2266</v>
      </c>
      <c r="K143" s="28"/>
      <c r="L143" s="59">
        <f>J143+H143</f>
        <v>31949</v>
      </c>
      <c r="M143" s="28"/>
      <c r="N143" s="6"/>
    </row>
    <row r="144" spans="1:14" ht="15.75">
      <c r="A144" s="27"/>
      <c r="B144" s="28" t="s">
        <v>104</v>
      </c>
      <c r="C144" s="28"/>
      <c r="D144" s="28"/>
      <c r="E144" s="28"/>
      <c r="F144" s="28"/>
      <c r="G144" s="28"/>
      <c r="H144" s="59">
        <v>7856</v>
      </c>
      <c r="I144" s="28"/>
      <c r="J144" s="59">
        <v>103</v>
      </c>
      <c r="K144" s="28"/>
      <c r="L144" s="59">
        <f>J144+H144</f>
        <v>7959</v>
      </c>
      <c r="M144" s="28"/>
      <c r="N144" s="6"/>
    </row>
    <row r="145" spans="1:14" ht="15.75">
      <c r="A145" s="27"/>
      <c r="B145" s="28" t="s">
        <v>105</v>
      </c>
      <c r="C145" s="28"/>
      <c r="D145" s="28"/>
      <c r="E145" s="28"/>
      <c r="F145" s="28"/>
      <c r="G145" s="28"/>
      <c r="H145" s="59">
        <f>H144+H143</f>
        <v>37539</v>
      </c>
      <c r="I145" s="28"/>
      <c r="J145" s="59">
        <f>J144+J143</f>
        <v>2369</v>
      </c>
      <c r="K145" s="28"/>
      <c r="L145" s="59">
        <f>J145+H145</f>
        <v>39908</v>
      </c>
      <c r="M145" s="28"/>
      <c r="N145" s="6"/>
    </row>
    <row r="146" spans="1:14" ht="15.75">
      <c r="A146" s="27"/>
      <c r="B146" s="28" t="s">
        <v>106</v>
      </c>
      <c r="C146" s="28"/>
      <c r="D146" s="28"/>
      <c r="E146" s="28"/>
      <c r="F146" s="28"/>
      <c r="G146" s="28"/>
      <c r="H146" s="59">
        <f>H142-H145-J145</f>
        <v>30092</v>
      </c>
      <c r="I146" s="28"/>
      <c r="J146" s="47"/>
      <c r="K146" s="28"/>
      <c r="L146" s="59"/>
      <c r="M146" s="28"/>
      <c r="N146" s="6"/>
    </row>
    <row r="147" spans="1:14" ht="7.5" customHeight="1">
      <c r="A147" s="27"/>
      <c r="B147" s="28"/>
      <c r="C147" s="28"/>
      <c r="D147" s="28"/>
      <c r="E147" s="28"/>
      <c r="F147" s="28"/>
      <c r="G147" s="28"/>
      <c r="H147" s="28"/>
      <c r="I147" s="28"/>
      <c r="J147" s="28"/>
      <c r="K147" s="28"/>
      <c r="L147" s="67"/>
      <c r="M147" s="28"/>
      <c r="N147" s="6"/>
    </row>
    <row r="148" spans="1:14" ht="9" customHeight="1">
      <c r="A148" s="2"/>
      <c r="B148" s="5"/>
      <c r="C148" s="5"/>
      <c r="D148" s="5"/>
      <c r="E148" s="5"/>
      <c r="F148" s="5"/>
      <c r="G148" s="5"/>
      <c r="H148" s="5"/>
      <c r="I148" s="5"/>
      <c r="J148" s="5"/>
      <c r="K148" s="5"/>
      <c r="L148" s="66"/>
      <c r="M148" s="5"/>
      <c r="N148" s="6"/>
    </row>
    <row r="149" spans="1:14" ht="15.75">
      <c r="A149" s="7"/>
      <c r="B149" s="138" t="s">
        <v>107</v>
      </c>
      <c r="C149" s="15"/>
      <c r="D149" s="9"/>
      <c r="E149" s="9"/>
      <c r="F149" s="9"/>
      <c r="G149" s="9"/>
      <c r="H149" s="9"/>
      <c r="I149" s="9"/>
      <c r="J149" s="9"/>
      <c r="K149" s="9"/>
      <c r="L149" s="73"/>
      <c r="M149" s="9"/>
      <c r="N149" s="6"/>
    </row>
    <row r="150" spans="1:14" ht="15.75">
      <c r="A150" s="27"/>
      <c r="B150" s="28" t="s">
        <v>108</v>
      </c>
      <c r="C150" s="28"/>
      <c r="D150" s="28"/>
      <c r="E150" s="28"/>
      <c r="F150" s="28"/>
      <c r="G150" s="28"/>
      <c r="H150" s="28"/>
      <c r="I150" s="28"/>
      <c r="J150" s="28"/>
      <c r="K150" s="28"/>
      <c r="L150" s="65">
        <f>(L82+L84+L85+L86+L87)/-L88</f>
        <v>1.461716341212744</v>
      </c>
      <c r="M150" s="28" t="s">
        <v>196</v>
      </c>
      <c r="N150" s="6"/>
    </row>
    <row r="151" spans="1:14" ht="15.75">
      <c r="A151" s="27"/>
      <c r="B151" s="28" t="s">
        <v>109</v>
      </c>
      <c r="C151" s="28"/>
      <c r="D151" s="28"/>
      <c r="E151" s="28"/>
      <c r="F151" s="28"/>
      <c r="G151" s="28"/>
      <c r="H151" s="28"/>
      <c r="I151" s="28"/>
      <c r="J151" s="28"/>
      <c r="K151" s="28"/>
      <c r="L151" s="65">
        <v>1.38</v>
      </c>
      <c r="M151" s="28" t="s">
        <v>196</v>
      </c>
      <c r="N151" s="6"/>
    </row>
    <row r="152" spans="1:14" ht="15.75">
      <c r="A152" s="27"/>
      <c r="B152" s="28" t="s">
        <v>110</v>
      </c>
      <c r="C152" s="28"/>
      <c r="D152" s="28"/>
      <c r="E152" s="28"/>
      <c r="F152" s="28"/>
      <c r="G152" s="28"/>
      <c r="H152" s="28"/>
      <c r="I152" s="28"/>
      <c r="J152" s="28"/>
      <c r="K152" s="28"/>
      <c r="L152" s="65">
        <f>(L82+SUM(L84:L88))/-L89</f>
        <v>3.7752100840336134</v>
      </c>
      <c r="M152" s="28" t="s">
        <v>196</v>
      </c>
      <c r="N152" s="6"/>
    </row>
    <row r="153" spans="1:14" ht="15.75">
      <c r="A153" s="27"/>
      <c r="B153" s="28" t="s">
        <v>111</v>
      </c>
      <c r="C153" s="28"/>
      <c r="D153" s="28"/>
      <c r="E153" s="28"/>
      <c r="F153" s="28"/>
      <c r="G153" s="28"/>
      <c r="H153" s="28"/>
      <c r="I153" s="28"/>
      <c r="J153" s="28"/>
      <c r="K153" s="28"/>
      <c r="L153" s="74">
        <v>3.36</v>
      </c>
      <c r="M153" s="28" t="s">
        <v>196</v>
      </c>
      <c r="N153" s="6"/>
    </row>
    <row r="154" spans="1:14" ht="12.75" customHeight="1">
      <c r="A154" s="27"/>
      <c r="B154" s="28"/>
      <c r="C154" s="28"/>
      <c r="D154" s="28"/>
      <c r="E154" s="28"/>
      <c r="F154" s="28"/>
      <c r="G154" s="28"/>
      <c r="H154" s="28"/>
      <c r="I154" s="28"/>
      <c r="J154" s="28"/>
      <c r="K154" s="28"/>
      <c r="L154" s="28"/>
      <c r="M154" s="28"/>
      <c r="N154" s="6"/>
    </row>
    <row r="155" spans="1:14" ht="12.75" customHeight="1">
      <c r="A155" s="7"/>
      <c r="B155" s="9"/>
      <c r="C155" s="9"/>
      <c r="D155" s="9"/>
      <c r="E155" s="9"/>
      <c r="F155" s="9"/>
      <c r="G155" s="9"/>
      <c r="H155" s="9"/>
      <c r="I155" s="9"/>
      <c r="J155" s="9"/>
      <c r="K155" s="9"/>
      <c r="L155" s="9"/>
      <c r="M155" s="9"/>
      <c r="N155" s="6"/>
    </row>
    <row r="156" spans="1:14" ht="15" customHeight="1" thickBot="1">
      <c r="A156" s="118"/>
      <c r="B156" s="119" t="str">
        <f>B106</f>
        <v>PM4 INVESTOR REPORT QUARTER ENDING SEPTEMBER 2003</v>
      </c>
      <c r="C156" s="120"/>
      <c r="D156" s="120"/>
      <c r="E156" s="120"/>
      <c r="F156" s="120"/>
      <c r="G156" s="120"/>
      <c r="H156" s="120"/>
      <c r="I156" s="120"/>
      <c r="J156" s="120"/>
      <c r="K156" s="120"/>
      <c r="L156" s="120"/>
      <c r="M156" s="123"/>
      <c r="N156" s="6"/>
    </row>
    <row r="157" spans="1:14" ht="15.75">
      <c r="A157" s="2"/>
      <c r="B157" s="128"/>
      <c r="C157" s="128"/>
      <c r="D157" s="128"/>
      <c r="E157" s="128"/>
      <c r="F157" s="128"/>
      <c r="G157" s="128"/>
      <c r="H157" s="128"/>
      <c r="I157" s="128"/>
      <c r="J157" s="128"/>
      <c r="K157" s="128"/>
      <c r="L157" s="128"/>
      <c r="M157" s="128"/>
      <c r="N157" s="6"/>
    </row>
    <row r="158" spans="1:14" ht="15.75">
      <c r="A158" s="76"/>
      <c r="B158" s="57" t="s">
        <v>112</v>
      </c>
      <c r="C158" s="77"/>
      <c r="D158" s="77"/>
      <c r="E158" s="77"/>
      <c r="F158" s="77"/>
      <c r="G158" s="21"/>
      <c r="H158" s="21"/>
      <c r="I158" s="21"/>
      <c r="J158" s="21">
        <v>37894</v>
      </c>
      <c r="K158" s="17"/>
      <c r="L158" s="17"/>
      <c r="M158" s="9"/>
      <c r="N158" s="6"/>
    </row>
    <row r="159" spans="1:14" ht="15.75">
      <c r="A159" s="78"/>
      <c r="B159" s="79"/>
      <c r="C159" s="80"/>
      <c r="D159" s="80"/>
      <c r="E159" s="80"/>
      <c r="F159" s="80"/>
      <c r="G159" s="81"/>
      <c r="H159" s="81"/>
      <c r="I159" s="81"/>
      <c r="J159" s="81"/>
      <c r="K159" s="9"/>
      <c r="L159" s="9"/>
      <c r="M159" s="9"/>
      <c r="N159" s="6"/>
    </row>
    <row r="160" spans="1:14" ht="15.75">
      <c r="A160" s="82"/>
      <c r="B160" s="83" t="s">
        <v>113</v>
      </c>
      <c r="C160" s="84"/>
      <c r="D160" s="84"/>
      <c r="E160" s="84"/>
      <c r="F160" s="84"/>
      <c r="G160" s="71"/>
      <c r="H160" s="71"/>
      <c r="I160" s="71"/>
      <c r="J160" s="85">
        <v>0.06</v>
      </c>
      <c r="K160" s="28"/>
      <c r="L160" s="28"/>
      <c r="M160" s="28"/>
      <c r="N160" s="6"/>
    </row>
    <row r="161" spans="1:14" ht="15.75">
      <c r="A161" s="82"/>
      <c r="B161" s="83" t="s">
        <v>114</v>
      </c>
      <c r="C161" s="84"/>
      <c r="D161" s="84"/>
      <c r="E161" s="84"/>
      <c r="F161" s="84"/>
      <c r="G161" s="71"/>
      <c r="H161" s="71"/>
      <c r="I161" s="71"/>
      <c r="J161" s="85">
        <v>0.0452</v>
      </c>
      <c r="K161" s="28"/>
      <c r="L161" s="28"/>
      <c r="M161" s="28"/>
      <c r="N161" s="6"/>
    </row>
    <row r="162" spans="1:14" ht="15.75">
      <c r="A162" s="82"/>
      <c r="B162" s="83" t="s">
        <v>115</v>
      </c>
      <c r="C162" s="84"/>
      <c r="D162" s="84"/>
      <c r="E162" s="84"/>
      <c r="F162" s="84"/>
      <c r="G162" s="71"/>
      <c r="H162" s="71"/>
      <c r="I162" s="71"/>
      <c r="J162" s="85">
        <f>J160-J161</f>
        <v>0.0148</v>
      </c>
      <c r="K162" s="28"/>
      <c r="L162" s="28"/>
      <c r="M162" s="28"/>
      <c r="N162" s="6"/>
    </row>
    <row r="163" spans="1:14" ht="15.75">
      <c r="A163" s="82"/>
      <c r="B163" s="83" t="s">
        <v>116</v>
      </c>
      <c r="C163" s="84"/>
      <c r="D163" s="84"/>
      <c r="E163" s="84"/>
      <c r="F163" s="84"/>
      <c r="G163" s="71"/>
      <c r="H163" s="71"/>
      <c r="I163" s="71"/>
      <c r="J163" s="85">
        <v>0.05603</v>
      </c>
      <c r="K163" s="28"/>
      <c r="L163" s="28"/>
      <c r="M163" s="28"/>
      <c r="N163" s="6"/>
    </row>
    <row r="164" spans="1:14" ht="15.75">
      <c r="A164" s="82"/>
      <c r="B164" s="83" t="s">
        <v>117</v>
      </c>
      <c r="C164" s="84"/>
      <c r="D164" s="84"/>
      <c r="E164" s="84"/>
      <c r="F164" s="84"/>
      <c r="G164" s="71"/>
      <c r="H164" s="71"/>
      <c r="I164" s="71"/>
      <c r="J164" s="85">
        <f>L35</f>
        <v>0.03909057841072512</v>
      </c>
      <c r="K164" s="28"/>
      <c r="L164" s="28"/>
      <c r="M164" s="28"/>
      <c r="N164" s="6"/>
    </row>
    <row r="165" spans="1:14" ht="15.75">
      <c r="A165" s="82"/>
      <c r="B165" s="83" t="s">
        <v>118</v>
      </c>
      <c r="C165" s="84"/>
      <c r="D165" s="84"/>
      <c r="E165" s="84"/>
      <c r="F165" s="84"/>
      <c r="G165" s="71"/>
      <c r="H165" s="71"/>
      <c r="I165" s="71"/>
      <c r="J165" s="85">
        <f>J163-J164</f>
        <v>0.016939421589274882</v>
      </c>
      <c r="K165" s="28"/>
      <c r="L165" s="28"/>
      <c r="M165" s="28"/>
      <c r="N165" s="6"/>
    </row>
    <row r="166" spans="1:14" ht="15.75">
      <c r="A166" s="82"/>
      <c r="B166" s="83" t="s">
        <v>119</v>
      </c>
      <c r="C166" s="84"/>
      <c r="D166" s="84"/>
      <c r="E166" s="84"/>
      <c r="F166" s="84"/>
      <c r="G166" s="71"/>
      <c r="H166" s="71"/>
      <c r="I166" s="71"/>
      <c r="J166" s="86" t="s">
        <v>183</v>
      </c>
      <c r="K166" s="28"/>
      <c r="L166" s="28"/>
      <c r="M166" s="28"/>
      <c r="N166" s="6"/>
    </row>
    <row r="167" spans="1:14" ht="15.75">
      <c r="A167" s="82"/>
      <c r="B167" s="83" t="s">
        <v>120</v>
      </c>
      <c r="C167" s="84"/>
      <c r="D167" s="84"/>
      <c r="E167" s="84"/>
      <c r="F167" s="84"/>
      <c r="G167" s="71"/>
      <c r="H167" s="71"/>
      <c r="I167" s="71"/>
      <c r="J167" s="86" t="s">
        <v>184</v>
      </c>
      <c r="K167" s="28"/>
      <c r="L167" s="28"/>
      <c r="M167" s="28"/>
      <c r="N167" s="6"/>
    </row>
    <row r="168" spans="1:14" ht="15.75">
      <c r="A168" s="82"/>
      <c r="B168" s="83" t="s">
        <v>121</v>
      </c>
      <c r="C168" s="84"/>
      <c r="D168" s="84"/>
      <c r="E168" s="84"/>
      <c r="F168" s="84"/>
      <c r="G168" s="71"/>
      <c r="H168" s="71"/>
      <c r="I168" s="71"/>
      <c r="J168" s="87">
        <v>20.2</v>
      </c>
      <c r="K168" s="28" t="s">
        <v>188</v>
      </c>
      <c r="L168" s="28"/>
      <c r="M168" s="28"/>
      <c r="N168" s="6"/>
    </row>
    <row r="169" spans="1:14" ht="15.75">
      <c r="A169" s="82"/>
      <c r="B169" s="83" t="s">
        <v>122</v>
      </c>
      <c r="C169" s="84"/>
      <c r="D169" s="84"/>
      <c r="E169" s="84"/>
      <c r="F169" s="84"/>
      <c r="G169" s="71"/>
      <c r="H169" s="71"/>
      <c r="I169" s="71"/>
      <c r="J169" s="87">
        <v>19.27</v>
      </c>
      <c r="K169" s="28" t="s">
        <v>188</v>
      </c>
      <c r="L169" s="28"/>
      <c r="M169" s="28"/>
      <c r="N169" s="6"/>
    </row>
    <row r="170" spans="1:14" ht="15.75">
      <c r="A170" s="82"/>
      <c r="B170" s="83" t="s">
        <v>123</v>
      </c>
      <c r="C170" s="84"/>
      <c r="D170" s="84"/>
      <c r="E170" s="84"/>
      <c r="F170" s="84"/>
      <c r="G170" s="71"/>
      <c r="H170" s="71"/>
      <c r="I170" s="71"/>
      <c r="J170" s="85">
        <f>F58/'June 03'!L58</f>
        <v>0.04446589722364447</v>
      </c>
      <c r="K170" s="28"/>
      <c r="L170" s="28"/>
      <c r="M170" s="28"/>
      <c r="N170" s="6"/>
    </row>
    <row r="171" spans="1:14" ht="15.75">
      <c r="A171" s="82"/>
      <c r="B171" s="83" t="s">
        <v>124</v>
      </c>
      <c r="C171" s="84"/>
      <c r="D171" s="84"/>
      <c r="E171" s="84"/>
      <c r="F171" s="84"/>
      <c r="G171" s="71"/>
      <c r="H171" s="71"/>
      <c r="I171" s="71"/>
      <c r="J171" s="85">
        <v>0.1449</v>
      </c>
      <c r="K171" s="28"/>
      <c r="L171" s="28"/>
      <c r="M171" s="28"/>
      <c r="N171" s="6"/>
    </row>
    <row r="172" spans="1:14" ht="15.75">
      <c r="A172" s="82"/>
      <c r="B172" s="83"/>
      <c r="C172" s="83"/>
      <c r="D172" s="83"/>
      <c r="E172" s="83"/>
      <c r="F172" s="83"/>
      <c r="G172" s="28"/>
      <c r="H172" s="28"/>
      <c r="I172" s="28"/>
      <c r="J172" s="67"/>
      <c r="K172" s="28"/>
      <c r="L172" s="88"/>
      <c r="M172" s="28"/>
      <c r="N172" s="6"/>
    </row>
    <row r="173" spans="1:14" ht="15.75">
      <c r="A173" s="89"/>
      <c r="B173" s="16" t="s">
        <v>125</v>
      </c>
      <c r="C173" s="90"/>
      <c r="D173" s="91"/>
      <c r="E173" s="90"/>
      <c r="F173" s="91"/>
      <c r="G173" s="90"/>
      <c r="H173" s="91"/>
      <c r="I173" s="19" t="s">
        <v>175</v>
      </c>
      <c r="J173" s="92" t="s">
        <v>185</v>
      </c>
      <c r="K173" s="17"/>
      <c r="L173" s="9"/>
      <c r="M173" s="9"/>
      <c r="N173" s="6"/>
    </row>
    <row r="174" spans="1:14" ht="15.75">
      <c r="A174" s="93"/>
      <c r="B174" s="83" t="s">
        <v>126</v>
      </c>
      <c r="C174" s="60"/>
      <c r="D174" s="60"/>
      <c r="E174" s="60"/>
      <c r="F174" s="28"/>
      <c r="G174" s="28"/>
      <c r="H174" s="28"/>
      <c r="I174" s="29">
        <v>20</v>
      </c>
      <c r="J174" s="94">
        <v>863</v>
      </c>
      <c r="K174" s="28"/>
      <c r="L174" s="88"/>
      <c r="M174" s="95"/>
      <c r="N174" s="6"/>
    </row>
    <row r="175" spans="1:14" ht="15.75">
      <c r="A175" s="93"/>
      <c r="B175" s="83" t="s">
        <v>127</v>
      </c>
      <c r="C175" s="60"/>
      <c r="D175" s="60"/>
      <c r="E175" s="60"/>
      <c r="F175" s="28"/>
      <c r="G175" s="28"/>
      <c r="H175" s="28"/>
      <c r="I175" s="29">
        <v>1</v>
      </c>
      <c r="J175" s="94">
        <v>35</v>
      </c>
      <c r="K175" s="28"/>
      <c r="L175" s="88"/>
      <c r="M175" s="95"/>
      <c r="N175" s="6"/>
    </row>
    <row r="176" spans="1:14" ht="15.75">
      <c r="A176" s="93"/>
      <c r="B176" s="141" t="s">
        <v>128</v>
      </c>
      <c r="C176" s="60"/>
      <c r="D176" s="60"/>
      <c r="E176" s="60"/>
      <c r="F176" s="28"/>
      <c r="G176" s="28"/>
      <c r="H176" s="28"/>
      <c r="I176" s="28"/>
      <c r="J176" s="94">
        <v>0</v>
      </c>
      <c r="K176" s="28"/>
      <c r="L176" s="88"/>
      <c r="M176" s="95"/>
      <c r="N176" s="6"/>
    </row>
    <row r="177" spans="1:14" ht="15.75">
      <c r="A177" s="93"/>
      <c r="B177" s="141" t="s">
        <v>129</v>
      </c>
      <c r="C177" s="60"/>
      <c r="D177" s="60"/>
      <c r="E177" s="60"/>
      <c r="F177" s="28"/>
      <c r="G177" s="28"/>
      <c r="H177" s="28"/>
      <c r="I177" s="28"/>
      <c r="J177" s="94">
        <v>77991</v>
      </c>
      <c r="K177" s="28"/>
      <c r="L177" s="88"/>
      <c r="M177" s="95"/>
      <c r="N177" s="6"/>
    </row>
    <row r="178" spans="1:14" ht="15.75">
      <c r="A178" s="96"/>
      <c r="B178" s="141" t="s">
        <v>130</v>
      </c>
      <c r="C178" s="60"/>
      <c r="D178" s="83"/>
      <c r="E178" s="83"/>
      <c r="F178" s="83"/>
      <c r="G178" s="28"/>
      <c r="H178" s="28"/>
      <c r="I178" s="28"/>
      <c r="J178" s="94">
        <v>0</v>
      </c>
      <c r="K178" s="28"/>
      <c r="L178" s="88"/>
      <c r="M178" s="97"/>
      <c r="N178" s="6"/>
    </row>
    <row r="179" spans="1:14" ht="15.75">
      <c r="A179" s="93"/>
      <c r="B179" s="83" t="s">
        <v>131</v>
      </c>
      <c r="C179" s="60"/>
      <c r="D179" s="60"/>
      <c r="E179" s="60"/>
      <c r="F179" s="60"/>
      <c r="G179" s="28"/>
      <c r="H179" s="28"/>
      <c r="I179" s="28"/>
      <c r="J179" s="94">
        <v>0</v>
      </c>
      <c r="K179" s="28"/>
      <c r="L179" s="88"/>
      <c r="M179" s="97"/>
      <c r="N179" s="6"/>
    </row>
    <row r="180" spans="1:14" ht="15.75">
      <c r="A180" s="93"/>
      <c r="B180" s="83" t="s">
        <v>132</v>
      </c>
      <c r="C180" s="60"/>
      <c r="D180" s="60"/>
      <c r="E180" s="60"/>
      <c r="F180" s="60"/>
      <c r="G180" s="28"/>
      <c r="H180" s="28"/>
      <c r="I180" s="28"/>
      <c r="J180" s="94">
        <v>0</v>
      </c>
      <c r="K180" s="28"/>
      <c r="L180" s="88"/>
      <c r="M180" s="97"/>
      <c r="N180" s="6"/>
    </row>
    <row r="181" spans="1:14" ht="15.75">
      <c r="A181" s="93"/>
      <c r="B181" s="83" t="s">
        <v>133</v>
      </c>
      <c r="C181" s="60"/>
      <c r="D181" s="60"/>
      <c r="E181" s="60"/>
      <c r="F181" s="60"/>
      <c r="G181" s="28"/>
      <c r="H181" s="28"/>
      <c r="I181" s="28"/>
      <c r="J181" s="94">
        <v>0</v>
      </c>
      <c r="K181" s="28"/>
      <c r="L181" s="88"/>
      <c r="M181" s="97"/>
      <c r="N181" s="6"/>
    </row>
    <row r="182" spans="1:14" ht="15.75">
      <c r="A182" s="96"/>
      <c r="B182" s="141" t="s">
        <v>134</v>
      </c>
      <c r="C182" s="60"/>
      <c r="D182" s="83"/>
      <c r="E182" s="83"/>
      <c r="F182" s="83"/>
      <c r="G182" s="28"/>
      <c r="H182" s="28"/>
      <c r="I182" s="28"/>
      <c r="J182" s="94"/>
      <c r="K182" s="28"/>
      <c r="L182" s="88"/>
      <c r="M182" s="97"/>
      <c r="N182" s="6"/>
    </row>
    <row r="183" spans="1:14" ht="15.75">
      <c r="A183" s="96"/>
      <c r="B183" s="83" t="s">
        <v>135</v>
      </c>
      <c r="C183" s="60"/>
      <c r="D183" s="83"/>
      <c r="E183" s="83"/>
      <c r="F183" s="83"/>
      <c r="G183" s="28"/>
      <c r="H183" s="28"/>
      <c r="I183" s="28">
        <v>1</v>
      </c>
      <c r="J183" s="94">
        <v>13</v>
      </c>
      <c r="K183" s="28"/>
      <c r="L183" s="88"/>
      <c r="M183" s="97"/>
      <c r="N183" s="6"/>
    </row>
    <row r="184" spans="1:14" ht="15.75">
      <c r="A184" s="93"/>
      <c r="B184" s="83" t="s">
        <v>136</v>
      </c>
      <c r="C184" s="60"/>
      <c r="D184" s="98"/>
      <c r="E184" s="98"/>
      <c r="F184" s="99"/>
      <c r="G184" s="28"/>
      <c r="H184" s="28"/>
      <c r="I184" s="28"/>
      <c r="J184" s="94">
        <v>19.923</v>
      </c>
      <c r="K184" s="28"/>
      <c r="L184" s="88"/>
      <c r="M184" s="97"/>
      <c r="N184" s="6"/>
    </row>
    <row r="185" spans="1:14" ht="15.75">
      <c r="A185" s="93"/>
      <c r="B185" s="83" t="s">
        <v>137</v>
      </c>
      <c r="C185" s="60"/>
      <c r="D185" s="98"/>
      <c r="E185" s="98"/>
      <c r="F185" s="99"/>
      <c r="G185" s="28"/>
      <c r="H185" s="28"/>
      <c r="I185" s="28"/>
      <c r="J185" s="94">
        <v>9</v>
      </c>
      <c r="K185" s="28"/>
      <c r="L185" s="88"/>
      <c r="M185" s="97"/>
      <c r="N185" s="6"/>
    </row>
    <row r="186" spans="1:14" ht="15.75">
      <c r="A186" s="93"/>
      <c r="B186" s="83" t="s">
        <v>138</v>
      </c>
      <c r="C186" s="60"/>
      <c r="D186" s="100"/>
      <c r="E186" s="98"/>
      <c r="F186" s="99"/>
      <c r="G186" s="28"/>
      <c r="H186" s="28"/>
      <c r="I186" s="28"/>
      <c r="J186" s="101">
        <v>0.5102</v>
      </c>
      <c r="K186" s="28"/>
      <c r="L186" s="88"/>
      <c r="M186" s="97"/>
      <c r="N186" s="6"/>
    </row>
    <row r="187" spans="1:14" ht="15.75">
      <c r="A187" s="93"/>
      <c r="B187" s="83"/>
      <c r="C187" s="60"/>
      <c r="D187" s="100"/>
      <c r="E187" s="98"/>
      <c r="F187" s="99"/>
      <c r="G187" s="28"/>
      <c r="H187" s="28"/>
      <c r="I187" s="28"/>
      <c r="J187" s="101"/>
      <c r="K187" s="28"/>
      <c r="L187" s="88"/>
      <c r="M187" s="97"/>
      <c r="N187" s="6"/>
    </row>
    <row r="188" spans="1:14" ht="15.75">
      <c r="A188" s="7"/>
      <c r="B188" s="16" t="s">
        <v>139</v>
      </c>
      <c r="C188" s="19"/>
      <c r="D188" s="92"/>
      <c r="E188" s="19"/>
      <c r="F188" s="92"/>
      <c r="G188" s="19"/>
      <c r="H188" s="92" t="s">
        <v>175</v>
      </c>
      <c r="I188" s="19" t="s">
        <v>176</v>
      </c>
      <c r="J188" s="92" t="s">
        <v>186</v>
      </c>
      <c r="K188" s="19" t="s">
        <v>176</v>
      </c>
      <c r="L188" s="17"/>
      <c r="M188" s="102"/>
      <c r="N188" s="6"/>
    </row>
    <row r="189" spans="1:14" ht="15.75">
      <c r="A189" s="27"/>
      <c r="B189" s="60" t="s">
        <v>140</v>
      </c>
      <c r="C189" s="103"/>
      <c r="D189" s="60"/>
      <c r="E189" s="103"/>
      <c r="F189" s="28"/>
      <c r="G189" s="103"/>
      <c r="H189" s="60">
        <v>5994</v>
      </c>
      <c r="I189" s="105">
        <f>H189/H194</f>
        <v>0.9913992722461131</v>
      </c>
      <c r="J189" s="59">
        <v>429458</v>
      </c>
      <c r="K189" s="143">
        <f>J189/J194</f>
        <v>0.9950462932928016</v>
      </c>
      <c r="L189" s="88"/>
      <c r="M189" s="97"/>
      <c r="N189" s="6"/>
    </row>
    <row r="190" spans="1:14" ht="15.75">
      <c r="A190" s="27"/>
      <c r="B190" s="60" t="s">
        <v>141</v>
      </c>
      <c r="C190" s="103"/>
      <c r="D190" s="60"/>
      <c r="E190" s="103"/>
      <c r="F190" s="28"/>
      <c r="G190" s="105"/>
      <c r="H190" s="60">
        <v>24</v>
      </c>
      <c r="I190" s="105">
        <f>H190/H194</f>
        <v>0.0039695666556400925</v>
      </c>
      <c r="J190" s="59">
        <v>1029</v>
      </c>
      <c r="K190" s="143">
        <f>J190/J194</f>
        <v>0.002384174088731128</v>
      </c>
      <c r="L190" s="88"/>
      <c r="M190" s="97"/>
      <c r="N190" s="6"/>
    </row>
    <row r="191" spans="1:14" ht="15.75">
      <c r="A191" s="27"/>
      <c r="B191" s="60" t="s">
        <v>142</v>
      </c>
      <c r="C191" s="103"/>
      <c r="D191" s="60"/>
      <c r="E191" s="103"/>
      <c r="F191" s="28"/>
      <c r="G191" s="105"/>
      <c r="H191" s="60">
        <v>7</v>
      </c>
      <c r="I191" s="105">
        <f>H191/H194</f>
        <v>0.0011577902745616936</v>
      </c>
      <c r="J191" s="59">
        <v>286</v>
      </c>
      <c r="K191" s="143">
        <f>J191/J194</f>
        <v>0.0006626567438067081</v>
      </c>
      <c r="L191" s="88"/>
      <c r="M191" s="97"/>
      <c r="N191" s="6"/>
    </row>
    <row r="192" spans="1:14" ht="15.75">
      <c r="A192" s="27"/>
      <c r="B192" s="60" t="s">
        <v>143</v>
      </c>
      <c r="C192" s="103"/>
      <c r="D192" s="60"/>
      <c r="E192" s="103"/>
      <c r="F192" s="28"/>
      <c r="G192" s="105"/>
      <c r="H192" s="60">
        <v>21</v>
      </c>
      <c r="I192" s="105">
        <f>H192/H194</f>
        <v>0.003473370823685081</v>
      </c>
      <c r="J192" s="59">
        <v>823</v>
      </c>
      <c r="K192" s="143">
        <f>J192/J194</f>
        <v>0.0019068758746605622</v>
      </c>
      <c r="L192" s="88"/>
      <c r="M192" s="97"/>
      <c r="N192" s="6"/>
    </row>
    <row r="193" spans="1:14" ht="15.75">
      <c r="A193" s="27"/>
      <c r="B193" s="60"/>
      <c r="C193" s="106"/>
      <c r="D193" s="95"/>
      <c r="E193" s="106"/>
      <c r="F193" s="28"/>
      <c r="G193" s="106"/>
      <c r="H193" s="95"/>
      <c r="I193" s="106"/>
      <c r="J193" s="59"/>
      <c r="K193" s="104"/>
      <c r="L193" s="88"/>
      <c r="M193" s="97"/>
      <c r="N193" s="6"/>
    </row>
    <row r="194" spans="1:14" ht="15.75">
      <c r="A194" s="27"/>
      <c r="B194" s="28"/>
      <c r="C194" s="28"/>
      <c r="D194" s="28"/>
      <c r="E194" s="28"/>
      <c r="F194" s="28"/>
      <c r="G194" s="28"/>
      <c r="H194" s="38">
        <f>SUM(H189:H192)</f>
        <v>6046</v>
      </c>
      <c r="I194" s="107">
        <f>SUM(I189:I193)</f>
        <v>0.9999999999999999</v>
      </c>
      <c r="J194" s="59">
        <f>SUM(J189:J193)</f>
        <v>431596</v>
      </c>
      <c r="K194" s="107">
        <f>SUM(K189:K193)</f>
        <v>1</v>
      </c>
      <c r="L194" s="28"/>
      <c r="M194" s="28"/>
      <c r="N194" s="6"/>
    </row>
    <row r="195" spans="1:14" ht="15.75">
      <c r="A195" s="27"/>
      <c r="B195" s="28"/>
      <c r="C195" s="28"/>
      <c r="D195" s="28"/>
      <c r="E195" s="28"/>
      <c r="F195" s="28"/>
      <c r="G195" s="28"/>
      <c r="H195" s="38"/>
      <c r="I195" s="107"/>
      <c r="J195" s="59"/>
      <c r="K195" s="107"/>
      <c r="L195" s="28"/>
      <c r="M195" s="28"/>
      <c r="N195" s="6"/>
    </row>
    <row r="196" spans="1:14" ht="15.75">
      <c r="A196" s="7"/>
      <c r="B196" s="9"/>
      <c r="C196" s="9"/>
      <c r="D196" s="9"/>
      <c r="E196" s="9"/>
      <c r="F196" s="9"/>
      <c r="G196" s="9"/>
      <c r="H196" s="61"/>
      <c r="I196" s="108"/>
      <c r="J196" s="109"/>
      <c r="K196" s="108"/>
      <c r="L196" s="9"/>
      <c r="M196" s="9"/>
      <c r="N196" s="6"/>
    </row>
    <row r="197" spans="1:14" ht="15.75">
      <c r="A197" s="110"/>
      <c r="B197" s="16" t="s">
        <v>144</v>
      </c>
      <c r="C197" s="111"/>
      <c r="D197" s="19" t="s">
        <v>152</v>
      </c>
      <c r="E197" s="17"/>
      <c r="F197" s="16" t="s">
        <v>164</v>
      </c>
      <c r="G197" s="112"/>
      <c r="H197" s="112"/>
      <c r="I197" s="112"/>
      <c r="J197" s="125"/>
      <c r="K197" s="125"/>
      <c r="L197" s="125"/>
      <c r="M197" s="125"/>
      <c r="N197" s="6"/>
    </row>
    <row r="198" spans="1:14" ht="15.75">
      <c r="A198" s="129"/>
      <c r="B198" s="125"/>
      <c r="C198" s="125"/>
      <c r="D198" s="9"/>
      <c r="E198" s="9"/>
      <c r="F198" s="9"/>
      <c r="G198" s="125"/>
      <c r="H198" s="125"/>
      <c r="I198" s="125"/>
      <c r="J198" s="125"/>
      <c r="K198" s="125"/>
      <c r="L198" s="125"/>
      <c r="M198" s="125"/>
      <c r="N198" s="6"/>
    </row>
    <row r="199" spans="1:14" ht="15.75">
      <c r="A199" s="129"/>
      <c r="B199" s="15" t="s">
        <v>145</v>
      </c>
      <c r="C199" s="114"/>
      <c r="D199" s="115" t="s">
        <v>153</v>
      </c>
      <c r="E199" s="15"/>
      <c r="F199" s="15" t="s">
        <v>165</v>
      </c>
      <c r="G199" s="114"/>
      <c r="H199" s="114"/>
      <c r="I199" s="125"/>
      <c r="J199" s="125"/>
      <c r="K199" s="125"/>
      <c r="L199" s="125"/>
      <c r="M199" s="125"/>
      <c r="N199" s="6"/>
    </row>
    <row r="200" spans="1:14" ht="15.75">
      <c r="A200" s="129"/>
      <c r="B200" s="15" t="s">
        <v>146</v>
      </c>
      <c r="C200" s="114"/>
      <c r="D200" s="115" t="s">
        <v>154</v>
      </c>
      <c r="E200" s="15"/>
      <c r="F200" s="15" t="s">
        <v>166</v>
      </c>
      <c r="G200" s="114"/>
      <c r="H200" s="114"/>
      <c r="I200" s="125"/>
      <c r="J200" s="125"/>
      <c r="K200" s="125"/>
      <c r="L200" s="125"/>
      <c r="M200" s="125"/>
      <c r="N200" s="6"/>
    </row>
    <row r="201" spans="1:14" ht="15.75">
      <c r="A201" s="129"/>
      <c r="B201" s="15"/>
      <c r="C201" s="114"/>
      <c r="D201" s="115"/>
      <c r="E201" s="15"/>
      <c r="F201" s="15"/>
      <c r="G201" s="114"/>
      <c r="H201" s="114"/>
      <c r="I201" s="125"/>
      <c r="J201" s="125"/>
      <c r="K201" s="125"/>
      <c r="L201" s="125"/>
      <c r="M201" s="125"/>
      <c r="N201" s="6"/>
    </row>
    <row r="202" spans="1:14" ht="15.75">
      <c r="A202" s="129"/>
      <c r="B202" s="15"/>
      <c r="C202" s="114"/>
      <c r="D202" s="115"/>
      <c r="E202" s="15"/>
      <c r="F202" s="15"/>
      <c r="G202" s="114"/>
      <c r="H202" s="114"/>
      <c r="I202" s="125"/>
      <c r="J202" s="125"/>
      <c r="K202" s="125"/>
      <c r="L202" s="125"/>
      <c r="M202" s="125"/>
      <c r="N202" s="6"/>
    </row>
    <row r="203" spans="1:14" ht="18.75">
      <c r="A203" s="129"/>
      <c r="B203" s="55" t="str">
        <f>B156</f>
        <v>PM4 INVESTOR REPORT QUARTER ENDING SEPTEMBER 2003</v>
      </c>
      <c r="C203" s="114"/>
      <c r="D203" s="115"/>
      <c r="E203" s="15"/>
      <c r="F203" s="15"/>
      <c r="G203" s="114"/>
      <c r="H203" s="114"/>
      <c r="I203" s="125"/>
      <c r="J203" s="125"/>
      <c r="K203" s="125"/>
      <c r="L203" s="125"/>
      <c r="M203" s="125"/>
      <c r="N203" s="6"/>
    </row>
    <row r="204" spans="1:13" ht="15">
      <c r="A204" s="116"/>
      <c r="B204" s="116"/>
      <c r="C204" s="116"/>
      <c r="D204" s="116"/>
      <c r="E204" s="116"/>
      <c r="F204" s="116"/>
      <c r="G204" s="116"/>
      <c r="H204" s="116"/>
      <c r="I204" s="116"/>
      <c r="J204" s="116"/>
      <c r="K204" s="116"/>
      <c r="L204" s="116"/>
      <c r="M204" s="116"/>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3" max="13" man="1"/>
    <brk id="106" max="13" man="1"/>
    <brk id="156" max="13" man="1"/>
  </rowBreaks>
  <drawing r:id="rId1"/>
</worksheet>
</file>

<file path=xl/worksheets/sheet7.xml><?xml version="1.0" encoding="utf-8"?>
<worksheet xmlns="http://schemas.openxmlformats.org/spreadsheetml/2006/main" xmlns:r="http://schemas.openxmlformats.org/officeDocument/2006/relationships">
  <dimension ref="A1:N20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0.7773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25"/>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189</v>
      </c>
      <c r="M14" s="17"/>
      <c r="N14" s="6"/>
    </row>
    <row r="15" spans="1:14" ht="15.75">
      <c r="A15" s="7"/>
      <c r="B15" s="16" t="s">
        <v>8</v>
      </c>
      <c r="C15" s="16"/>
      <c r="D15" s="17"/>
      <c r="E15" s="17"/>
      <c r="F15" s="17"/>
      <c r="G15" s="17"/>
      <c r="H15" s="19"/>
      <c r="I15" s="20"/>
      <c r="J15" s="19" t="s">
        <v>177</v>
      </c>
      <c r="K15" s="20">
        <v>1</v>
      </c>
      <c r="L15" s="18"/>
      <c r="M15" s="17"/>
      <c r="N15" s="6"/>
    </row>
    <row r="16" spans="1:14" ht="15.75">
      <c r="A16" s="7"/>
      <c r="B16" s="16" t="s">
        <v>9</v>
      </c>
      <c r="C16" s="16"/>
      <c r="D16" s="17"/>
      <c r="E16" s="17"/>
      <c r="F16" s="17"/>
      <c r="G16" s="17"/>
      <c r="H16" s="19"/>
      <c r="I16" s="20"/>
      <c r="J16" s="19" t="s">
        <v>177</v>
      </c>
      <c r="K16" s="20">
        <v>1</v>
      </c>
      <c r="L16" s="18"/>
      <c r="M16" s="17"/>
      <c r="N16" s="6"/>
    </row>
    <row r="17" spans="1:14" ht="15.75">
      <c r="A17" s="7"/>
      <c r="B17" s="16" t="s">
        <v>10</v>
      </c>
      <c r="C17" s="16"/>
      <c r="D17" s="17"/>
      <c r="E17" s="17"/>
      <c r="F17" s="17"/>
      <c r="G17" s="17"/>
      <c r="H17" s="17"/>
      <c r="I17" s="17"/>
      <c r="J17" s="17"/>
      <c r="K17" s="17"/>
      <c r="L17" s="21">
        <v>37342</v>
      </c>
      <c r="M17" s="17"/>
      <c r="N17" s="6"/>
    </row>
    <row r="18" spans="1:14" ht="15.75">
      <c r="A18" s="7"/>
      <c r="B18" s="16" t="s">
        <v>11</v>
      </c>
      <c r="C18" s="16"/>
      <c r="D18" s="17"/>
      <c r="E18" s="17"/>
      <c r="F18" s="17"/>
      <c r="G18" s="17"/>
      <c r="H18" s="17"/>
      <c r="I18" s="17"/>
      <c r="J18" s="17"/>
      <c r="K18" s="17"/>
      <c r="L18" s="21">
        <v>38009</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178</v>
      </c>
      <c r="K20" s="9"/>
      <c r="L20" s="125"/>
      <c r="M20" s="9"/>
      <c r="N20" s="6"/>
    </row>
    <row r="21" spans="1:14" ht="15.75">
      <c r="A21" s="7"/>
      <c r="B21" s="9"/>
      <c r="C21" s="9"/>
      <c r="D21" s="9"/>
      <c r="E21" s="9"/>
      <c r="F21" s="9"/>
      <c r="G21" s="9"/>
      <c r="H21" s="9"/>
      <c r="I21" s="9"/>
      <c r="J21" s="9"/>
      <c r="K21" s="9"/>
      <c r="L21" s="24"/>
      <c r="M21" s="9"/>
      <c r="N21" s="6"/>
    </row>
    <row r="22" spans="1:14" ht="15.75">
      <c r="A22" s="7"/>
      <c r="B22" s="9"/>
      <c r="C22" s="132" t="s">
        <v>147</v>
      </c>
      <c r="D22" s="25"/>
      <c r="E22" s="25"/>
      <c r="F22" s="133" t="s">
        <v>155</v>
      </c>
      <c r="G22" s="133"/>
      <c r="H22" s="133" t="s">
        <v>167</v>
      </c>
      <c r="I22" s="26"/>
      <c r="J22" s="25"/>
      <c r="K22" s="125"/>
      <c r="L22" s="125"/>
      <c r="M22" s="9"/>
      <c r="N22" s="6"/>
    </row>
    <row r="23" spans="1:14" ht="15.75">
      <c r="A23" s="7"/>
      <c r="B23" s="9" t="s">
        <v>13</v>
      </c>
      <c r="C23" s="132" t="s">
        <v>148</v>
      </c>
      <c r="D23" s="25"/>
      <c r="E23" s="25"/>
      <c r="F23" s="25" t="s">
        <v>156</v>
      </c>
      <c r="G23" s="25"/>
      <c r="H23" s="25" t="s">
        <v>168</v>
      </c>
      <c r="I23" s="25"/>
      <c r="J23" s="25"/>
      <c r="K23" s="125"/>
      <c r="L23" s="125"/>
      <c r="M23" s="9"/>
      <c r="N23" s="6"/>
    </row>
    <row r="24" spans="1:14" ht="15.75">
      <c r="A24" s="27"/>
      <c r="B24" s="28" t="s">
        <v>14</v>
      </c>
      <c r="C24" s="29"/>
      <c r="D24" s="30"/>
      <c r="E24" s="30"/>
      <c r="F24" s="30" t="s">
        <v>157</v>
      </c>
      <c r="G24" s="30"/>
      <c r="H24" s="30" t="s">
        <v>169</v>
      </c>
      <c r="I24" s="30"/>
      <c r="J24" s="30"/>
      <c r="K24" s="126"/>
      <c r="L24" s="126"/>
      <c r="M24" s="28"/>
      <c r="N24" s="6"/>
    </row>
    <row r="25" spans="1:14" ht="15.75">
      <c r="A25" s="27"/>
      <c r="B25" s="28" t="s">
        <v>15</v>
      </c>
      <c r="C25" s="29"/>
      <c r="D25" s="30"/>
      <c r="E25" s="30"/>
      <c r="F25" s="30" t="s">
        <v>157</v>
      </c>
      <c r="G25" s="30"/>
      <c r="H25" s="30" t="s">
        <v>169</v>
      </c>
      <c r="I25" s="30"/>
      <c r="J25" s="30"/>
      <c r="K25" s="126"/>
      <c r="L25" s="126"/>
      <c r="M25" s="28"/>
      <c r="N25" s="6"/>
    </row>
    <row r="26" spans="1:14" ht="15.75">
      <c r="A26" s="32"/>
      <c r="B26" s="33" t="s">
        <v>16</v>
      </c>
      <c r="C26" s="33"/>
      <c r="D26" s="34"/>
      <c r="E26" s="34"/>
      <c r="F26" s="34" t="s">
        <v>156</v>
      </c>
      <c r="G26" s="34"/>
      <c r="H26" s="34" t="s">
        <v>168</v>
      </c>
      <c r="I26" s="34"/>
      <c r="J26" s="30"/>
      <c r="K26" s="126"/>
      <c r="L26" s="126"/>
      <c r="M26" s="28"/>
      <c r="N26" s="6"/>
    </row>
    <row r="27" spans="1:14" ht="15.75">
      <c r="A27" s="32"/>
      <c r="B27" s="33" t="s">
        <v>17</v>
      </c>
      <c r="C27" s="33"/>
      <c r="D27" s="34"/>
      <c r="E27" s="34"/>
      <c r="F27" s="34" t="s">
        <v>157</v>
      </c>
      <c r="G27" s="34"/>
      <c r="H27" s="34" t="s">
        <v>169</v>
      </c>
      <c r="I27" s="34"/>
      <c r="J27" s="30"/>
      <c r="K27" s="126"/>
      <c r="L27" s="126"/>
      <c r="M27" s="28"/>
      <c r="N27" s="6"/>
    </row>
    <row r="28" spans="1:14" ht="15.75">
      <c r="A28" s="32"/>
      <c r="B28" s="33" t="s">
        <v>18</v>
      </c>
      <c r="C28" s="33"/>
      <c r="D28" s="34"/>
      <c r="E28" s="34"/>
      <c r="F28" s="34" t="s">
        <v>157</v>
      </c>
      <c r="G28" s="34"/>
      <c r="H28" s="34" t="s">
        <v>169</v>
      </c>
      <c r="I28" s="34"/>
      <c r="J28" s="30"/>
      <c r="K28" s="126"/>
      <c r="L28" s="126"/>
      <c r="M28" s="28"/>
      <c r="N28" s="6"/>
    </row>
    <row r="29" spans="1:14" ht="15.75">
      <c r="A29" s="27"/>
      <c r="B29" s="28" t="s">
        <v>19</v>
      </c>
      <c r="C29" s="28"/>
      <c r="D29" s="29"/>
      <c r="E29" s="30"/>
      <c r="F29" s="29" t="s">
        <v>158</v>
      </c>
      <c r="G29" s="30"/>
      <c r="H29" s="29" t="s">
        <v>170</v>
      </c>
      <c r="I29" s="30"/>
      <c r="J29" s="29"/>
      <c r="K29" s="126"/>
      <c r="L29" s="126"/>
      <c r="M29" s="28"/>
      <c r="N29" s="6"/>
    </row>
    <row r="30" spans="1:14" ht="15.75">
      <c r="A30" s="27"/>
      <c r="B30" s="28"/>
      <c r="C30" s="28"/>
      <c r="D30" s="28"/>
      <c r="E30" s="30"/>
      <c r="F30" s="30"/>
      <c r="G30" s="30"/>
      <c r="H30" s="30"/>
      <c r="I30" s="30"/>
      <c r="J30" s="30"/>
      <c r="K30" s="126"/>
      <c r="L30" s="126"/>
      <c r="M30" s="28"/>
      <c r="N30" s="6"/>
    </row>
    <row r="31" spans="1:14" ht="15.75">
      <c r="A31" s="27"/>
      <c r="B31" s="28" t="s">
        <v>20</v>
      </c>
      <c r="C31" s="28"/>
      <c r="D31" s="35"/>
      <c r="E31" s="36"/>
      <c r="F31" s="35">
        <v>457500</v>
      </c>
      <c r="G31" s="35"/>
      <c r="H31" s="35">
        <v>42500</v>
      </c>
      <c r="I31" s="35"/>
      <c r="J31" s="35"/>
      <c r="K31" s="127"/>
      <c r="L31" s="35">
        <f>H31+F31</f>
        <v>500000</v>
      </c>
      <c r="M31" s="38"/>
      <c r="N31" s="6"/>
    </row>
    <row r="32" spans="1:14" ht="15.75">
      <c r="A32" s="27"/>
      <c r="B32" s="28" t="s">
        <v>21</v>
      </c>
      <c r="C32" s="39">
        <v>0.850482</v>
      </c>
      <c r="D32" s="35"/>
      <c r="E32" s="36"/>
      <c r="F32" s="35">
        <f>F31*C32</f>
        <v>389095.51499999996</v>
      </c>
      <c r="G32" s="35"/>
      <c r="H32" s="35">
        <v>42500</v>
      </c>
      <c r="I32" s="35"/>
      <c r="J32" s="35"/>
      <c r="K32" s="127"/>
      <c r="L32" s="35">
        <f>H32+F32</f>
        <v>431595.51499999996</v>
      </c>
      <c r="M32" s="38"/>
      <c r="N32" s="6"/>
    </row>
    <row r="33" spans="1:14" ht="12.75" customHeight="1">
      <c r="A33" s="32"/>
      <c r="B33" s="33" t="s">
        <v>22</v>
      </c>
      <c r="C33" s="40">
        <v>0.820707</v>
      </c>
      <c r="D33" s="41"/>
      <c r="E33" s="42"/>
      <c r="F33" s="41">
        <f>F31*C33</f>
        <v>375473.45249999996</v>
      </c>
      <c r="G33" s="41"/>
      <c r="H33" s="41">
        <f>H31</f>
        <v>42500</v>
      </c>
      <c r="I33" s="41"/>
      <c r="J33" s="41"/>
      <c r="K33" s="43"/>
      <c r="L33" s="41">
        <f>H33+F33+D33</f>
        <v>417973.45249999996</v>
      </c>
      <c r="M33" s="38"/>
      <c r="N33" s="6"/>
    </row>
    <row r="34" spans="1:14" ht="15.75">
      <c r="A34" s="27"/>
      <c r="B34" s="28" t="s">
        <v>23</v>
      </c>
      <c r="C34" s="44"/>
      <c r="D34" s="29"/>
      <c r="E34" s="28"/>
      <c r="F34" s="29" t="s">
        <v>159</v>
      </c>
      <c r="G34" s="29"/>
      <c r="H34" s="29" t="s">
        <v>171</v>
      </c>
      <c r="I34" s="29"/>
      <c r="J34" s="29"/>
      <c r="K34" s="126"/>
      <c r="L34" s="126"/>
      <c r="M34" s="28"/>
      <c r="N34" s="6"/>
    </row>
    <row r="35" spans="1:14" ht="15.75">
      <c r="A35" s="27"/>
      <c r="B35" s="28" t="s">
        <v>24</v>
      </c>
      <c r="C35" s="28"/>
      <c r="D35" s="45"/>
      <c r="E35" s="28"/>
      <c r="F35" s="45">
        <v>0.0400375</v>
      </c>
      <c r="G35" s="46"/>
      <c r="H35" s="45">
        <v>0.0459375</v>
      </c>
      <c r="I35" s="46"/>
      <c r="J35" s="45"/>
      <c r="K35" s="126"/>
      <c r="L35" s="46">
        <f>SUMPRODUCT(F35:H35,F32:H32)/L32</f>
        <v>0.040618483794514174</v>
      </c>
      <c r="M35" s="28"/>
      <c r="N35" s="6"/>
    </row>
    <row r="36" spans="1:14" ht="15.75">
      <c r="A36" s="27"/>
      <c r="B36" s="28" t="s">
        <v>25</v>
      </c>
      <c r="C36" s="28"/>
      <c r="D36" s="45"/>
      <c r="E36" s="28"/>
      <c r="F36" s="45">
        <v>0.038525</v>
      </c>
      <c r="G36" s="46"/>
      <c r="H36" s="45">
        <v>0.044425</v>
      </c>
      <c r="I36" s="46"/>
      <c r="J36" s="45"/>
      <c r="K36" s="126"/>
      <c r="L36" s="126"/>
      <c r="M36" s="28"/>
      <c r="N36" s="6"/>
    </row>
    <row r="37" spans="1:14" ht="15.75">
      <c r="A37" s="27"/>
      <c r="B37" s="28" t="s">
        <v>26</v>
      </c>
      <c r="C37" s="28"/>
      <c r="D37" s="29"/>
      <c r="E37" s="28"/>
      <c r="F37" s="29" t="s">
        <v>160</v>
      </c>
      <c r="G37" s="29"/>
      <c r="H37" s="29" t="s">
        <v>160</v>
      </c>
      <c r="I37" s="29"/>
      <c r="J37" s="29"/>
      <c r="K37" s="126"/>
      <c r="L37" s="126"/>
      <c r="M37" s="28"/>
      <c r="N37" s="6"/>
    </row>
    <row r="38" spans="1:14" ht="15.75">
      <c r="A38" s="27"/>
      <c r="B38" s="28" t="s">
        <v>27</v>
      </c>
      <c r="C38" s="28"/>
      <c r="D38" s="29"/>
      <c r="E38" s="28"/>
      <c r="F38" s="29" t="s">
        <v>161</v>
      </c>
      <c r="G38" s="29"/>
      <c r="H38" s="29" t="s">
        <v>161</v>
      </c>
      <c r="I38" s="29"/>
      <c r="J38" s="29"/>
      <c r="K38" s="126"/>
      <c r="L38" s="126"/>
      <c r="M38" s="28"/>
      <c r="N38" s="6"/>
    </row>
    <row r="39" spans="1:14" ht="15.75">
      <c r="A39" s="27"/>
      <c r="B39" s="28" t="s">
        <v>28</v>
      </c>
      <c r="C39" s="28"/>
      <c r="D39" s="29"/>
      <c r="E39" s="28"/>
      <c r="F39" s="29" t="s">
        <v>162</v>
      </c>
      <c r="G39" s="29"/>
      <c r="H39" s="29" t="s">
        <v>172</v>
      </c>
      <c r="I39" s="29"/>
      <c r="J39" s="29"/>
      <c r="K39" s="126"/>
      <c r="L39" s="126"/>
      <c r="M39" s="28"/>
      <c r="N39" s="6"/>
    </row>
    <row r="40" spans="1:14" ht="15.75">
      <c r="A40" s="27"/>
      <c r="B40" s="28"/>
      <c r="C40" s="28"/>
      <c r="D40" s="47"/>
      <c r="E40" s="47"/>
      <c r="F40" s="28"/>
      <c r="G40" s="47"/>
      <c r="H40" s="130"/>
      <c r="I40" s="47"/>
      <c r="J40" s="47"/>
      <c r="K40" s="47"/>
      <c r="L40" s="47"/>
      <c r="M40" s="28"/>
      <c r="N40" s="6"/>
    </row>
    <row r="41" spans="1:14" ht="15.75">
      <c r="A41" s="27"/>
      <c r="B41" s="28" t="s">
        <v>29</v>
      </c>
      <c r="C41" s="28"/>
      <c r="D41" s="28"/>
      <c r="E41" s="28"/>
      <c r="F41" s="28"/>
      <c r="G41" s="28"/>
      <c r="H41" s="117"/>
      <c r="I41" s="28"/>
      <c r="J41" s="28"/>
      <c r="K41" s="28"/>
      <c r="L41" s="46">
        <f>H31/F31</f>
        <v>0.09289617486338798</v>
      </c>
      <c r="M41" s="28"/>
      <c r="N41" s="6"/>
    </row>
    <row r="42" spans="1:14" ht="15.75">
      <c r="A42" s="27"/>
      <c r="B42" s="28" t="s">
        <v>30</v>
      </c>
      <c r="C42" s="28"/>
      <c r="D42" s="28"/>
      <c r="E42" s="28"/>
      <c r="F42" s="28"/>
      <c r="G42" s="28"/>
      <c r="H42" s="117"/>
      <c r="I42" s="28"/>
      <c r="J42" s="28"/>
      <c r="K42" s="28"/>
      <c r="L42" s="46">
        <f>H33/F33</f>
        <v>0.11319042589302636</v>
      </c>
      <c r="M42" s="28"/>
      <c r="N42" s="6"/>
    </row>
    <row r="43" spans="1:14" ht="15.75">
      <c r="A43" s="27"/>
      <c r="B43" s="28" t="s">
        <v>31</v>
      </c>
      <c r="C43" s="28"/>
      <c r="D43" s="28"/>
      <c r="E43" s="28"/>
      <c r="F43" s="117"/>
      <c r="G43" s="28"/>
      <c r="H43" s="117"/>
      <c r="I43" s="28"/>
      <c r="J43" s="29" t="s">
        <v>155</v>
      </c>
      <c r="K43" s="29" t="s">
        <v>187</v>
      </c>
      <c r="L43" s="35">
        <v>207500</v>
      </c>
      <c r="M43" s="28"/>
      <c r="N43" s="6"/>
    </row>
    <row r="44" spans="1:14" ht="15.75">
      <c r="A44" s="27"/>
      <c r="B44" s="28"/>
      <c r="C44" s="28"/>
      <c r="D44" s="28"/>
      <c r="E44" s="28"/>
      <c r="F44" s="28"/>
      <c r="G44" s="28"/>
      <c r="H44" s="28"/>
      <c r="I44" s="28"/>
      <c r="J44" s="28" t="s">
        <v>179</v>
      </c>
      <c r="K44" s="28"/>
      <c r="L44" s="48"/>
      <c r="M44" s="28"/>
      <c r="N44" s="6"/>
    </row>
    <row r="45" spans="1:14" ht="15.75">
      <c r="A45" s="27"/>
      <c r="B45" s="28" t="s">
        <v>32</v>
      </c>
      <c r="C45" s="28"/>
      <c r="D45" s="28"/>
      <c r="E45" s="28"/>
      <c r="F45" s="28"/>
      <c r="G45" s="28"/>
      <c r="H45" s="28"/>
      <c r="I45" s="28"/>
      <c r="J45" s="29"/>
      <c r="K45" s="29"/>
      <c r="L45" s="29" t="s">
        <v>190</v>
      </c>
      <c r="M45" s="28"/>
      <c r="N45" s="6"/>
    </row>
    <row r="46" spans="1:14" ht="15.75">
      <c r="A46" s="32"/>
      <c r="B46" s="33" t="s">
        <v>33</v>
      </c>
      <c r="C46" s="33"/>
      <c r="D46" s="33"/>
      <c r="E46" s="33"/>
      <c r="F46" s="33"/>
      <c r="G46" s="33"/>
      <c r="H46" s="33"/>
      <c r="I46" s="33"/>
      <c r="J46" s="49"/>
      <c r="K46" s="49"/>
      <c r="L46" s="50">
        <v>37993</v>
      </c>
      <c r="M46" s="28"/>
      <c r="N46" s="6"/>
    </row>
    <row r="47" spans="1:14" ht="15.75">
      <c r="A47" s="27"/>
      <c r="B47" s="28" t="s">
        <v>34</v>
      </c>
      <c r="C47" s="28"/>
      <c r="D47" s="28"/>
      <c r="E47" s="28"/>
      <c r="F47" s="28"/>
      <c r="G47" s="28"/>
      <c r="H47" s="28"/>
      <c r="I47" s="28">
        <f>L47-J47+1</f>
        <v>92</v>
      </c>
      <c r="J47" s="51">
        <v>37809</v>
      </c>
      <c r="K47" s="52"/>
      <c r="L47" s="51">
        <v>37900</v>
      </c>
      <c r="M47" s="28"/>
      <c r="N47" s="6"/>
    </row>
    <row r="48" spans="1:14" ht="15.75">
      <c r="A48" s="27"/>
      <c r="B48" s="28" t="s">
        <v>35</v>
      </c>
      <c r="C48" s="28"/>
      <c r="D48" s="28"/>
      <c r="E48" s="28"/>
      <c r="F48" s="28"/>
      <c r="G48" s="28"/>
      <c r="H48" s="28"/>
      <c r="I48" s="28">
        <f>L48-J48+1</f>
        <v>92</v>
      </c>
      <c r="J48" s="51">
        <v>37901</v>
      </c>
      <c r="K48" s="52"/>
      <c r="L48" s="51">
        <v>37992</v>
      </c>
      <c r="M48" s="28"/>
      <c r="N48" s="6"/>
    </row>
    <row r="49" spans="1:14" ht="15.75">
      <c r="A49" s="27"/>
      <c r="B49" s="28" t="s">
        <v>36</v>
      </c>
      <c r="C49" s="28"/>
      <c r="D49" s="28"/>
      <c r="E49" s="28"/>
      <c r="F49" s="28"/>
      <c r="G49" s="28"/>
      <c r="H49" s="28"/>
      <c r="I49" s="28"/>
      <c r="J49" s="51"/>
      <c r="K49" s="52"/>
      <c r="L49" s="51" t="s">
        <v>203</v>
      </c>
      <c r="M49" s="28"/>
      <c r="N49" s="6"/>
    </row>
    <row r="50" spans="1:14" ht="15.75">
      <c r="A50" s="27"/>
      <c r="B50" s="28" t="s">
        <v>37</v>
      </c>
      <c r="C50" s="28"/>
      <c r="D50" s="28"/>
      <c r="E50" s="28"/>
      <c r="F50" s="28"/>
      <c r="G50" s="28"/>
      <c r="H50" s="28"/>
      <c r="I50" s="28"/>
      <c r="J50" s="51"/>
      <c r="K50" s="52"/>
      <c r="L50" s="51">
        <v>37988</v>
      </c>
      <c r="M50" s="28"/>
      <c r="N50" s="6"/>
    </row>
    <row r="51" spans="1:14" ht="15.75">
      <c r="A51" s="27"/>
      <c r="B51" s="28"/>
      <c r="C51" s="28"/>
      <c r="D51" s="28"/>
      <c r="E51" s="28"/>
      <c r="F51" s="28"/>
      <c r="G51" s="28"/>
      <c r="H51" s="28"/>
      <c r="I51" s="28"/>
      <c r="J51" s="51"/>
      <c r="K51" s="52"/>
      <c r="L51" s="51"/>
      <c r="M51" s="28"/>
      <c r="N51" s="6"/>
    </row>
    <row r="52" spans="1:14" ht="15.75">
      <c r="A52" s="7"/>
      <c r="B52" s="9"/>
      <c r="C52" s="9"/>
      <c r="D52" s="9"/>
      <c r="E52" s="9"/>
      <c r="F52" s="9"/>
      <c r="G52" s="9"/>
      <c r="H52" s="9"/>
      <c r="I52" s="9"/>
      <c r="J52" s="53"/>
      <c r="K52" s="54"/>
      <c r="L52" s="53"/>
      <c r="M52" s="9"/>
      <c r="N52" s="6"/>
    </row>
    <row r="53" spans="1:14" ht="19.5" thickBot="1">
      <c r="A53" s="118"/>
      <c r="B53" s="119" t="s">
        <v>202</v>
      </c>
      <c r="C53" s="120"/>
      <c r="D53" s="120"/>
      <c r="E53" s="120"/>
      <c r="F53" s="120"/>
      <c r="G53" s="120"/>
      <c r="H53" s="120"/>
      <c r="I53" s="120"/>
      <c r="J53" s="121"/>
      <c r="K53" s="122"/>
      <c r="L53" s="121"/>
      <c r="M53" s="123"/>
      <c r="N53" s="6"/>
    </row>
    <row r="54" spans="1:14" ht="15.75">
      <c r="A54" s="2"/>
      <c r="B54" s="5"/>
      <c r="C54" s="5"/>
      <c r="D54" s="5"/>
      <c r="E54" s="5"/>
      <c r="F54" s="5"/>
      <c r="G54" s="5"/>
      <c r="H54" s="5"/>
      <c r="I54" s="5"/>
      <c r="J54" s="5"/>
      <c r="K54" s="5"/>
      <c r="L54" s="56"/>
      <c r="M54" s="5"/>
      <c r="N54" s="6"/>
    </row>
    <row r="55" spans="1:14" ht="15.75">
      <c r="A55" s="7"/>
      <c r="B55" s="57" t="s">
        <v>39</v>
      </c>
      <c r="C55" s="15"/>
      <c r="D55" s="9"/>
      <c r="E55" s="9"/>
      <c r="F55" s="9"/>
      <c r="G55" s="9"/>
      <c r="H55" s="9"/>
      <c r="I55" s="9"/>
      <c r="J55" s="9"/>
      <c r="K55" s="9"/>
      <c r="L55" s="58"/>
      <c r="M55" s="9"/>
      <c r="N55" s="6"/>
    </row>
    <row r="56" spans="1:14" ht="15.75">
      <c r="A56" s="7"/>
      <c r="B56" s="15"/>
      <c r="C56" s="15"/>
      <c r="D56" s="9"/>
      <c r="E56" s="9"/>
      <c r="F56" s="9"/>
      <c r="G56" s="9"/>
      <c r="H56" s="9"/>
      <c r="I56" s="9"/>
      <c r="J56" s="9"/>
      <c r="K56" s="9"/>
      <c r="L56" s="58"/>
      <c r="M56" s="9"/>
      <c r="N56" s="6"/>
    </row>
    <row r="57" spans="1:14" ht="63">
      <c r="A57" s="7"/>
      <c r="B57" s="134" t="s">
        <v>40</v>
      </c>
      <c r="C57" s="135" t="s">
        <v>149</v>
      </c>
      <c r="D57" s="135" t="s">
        <v>151</v>
      </c>
      <c r="E57" s="135"/>
      <c r="F57" s="135" t="s">
        <v>163</v>
      </c>
      <c r="G57" s="135"/>
      <c r="H57" s="135" t="s">
        <v>173</v>
      </c>
      <c r="I57" s="135"/>
      <c r="J57" s="135" t="s">
        <v>180</v>
      </c>
      <c r="K57" s="135"/>
      <c r="L57" s="136" t="s">
        <v>192</v>
      </c>
      <c r="M57" s="9"/>
      <c r="N57" s="6"/>
    </row>
    <row r="58" spans="1:14" ht="15.75">
      <c r="A58" s="27"/>
      <c r="B58" s="28" t="s">
        <v>41</v>
      </c>
      <c r="C58" s="38">
        <v>421950</v>
      </c>
      <c r="D58" s="38">
        <v>431596</v>
      </c>
      <c r="E58" s="38"/>
      <c r="F58" s="38">
        <f>13622+7761+84+6+1</f>
        <v>21474</v>
      </c>
      <c r="G58" s="38"/>
      <c r="H58" s="38">
        <f>7761+84</f>
        <v>7845</v>
      </c>
      <c r="I58" s="38"/>
      <c r="J58" s="38">
        <v>0</v>
      </c>
      <c r="K58" s="38"/>
      <c r="L58" s="59">
        <f>D58-F58+H58-J58</f>
        <v>417967</v>
      </c>
      <c r="M58" s="28"/>
      <c r="N58" s="6"/>
    </row>
    <row r="59" spans="1:14" ht="15.75">
      <c r="A59" s="27"/>
      <c r="B59" s="28" t="s">
        <v>42</v>
      </c>
      <c r="C59" s="38">
        <v>54</v>
      </c>
      <c r="D59" s="38">
        <v>0</v>
      </c>
      <c r="E59" s="38"/>
      <c r="F59" s="38">
        <v>0</v>
      </c>
      <c r="G59" s="38"/>
      <c r="H59" s="38">
        <v>0</v>
      </c>
      <c r="I59" s="38"/>
      <c r="J59" s="38">
        <v>0</v>
      </c>
      <c r="K59" s="38"/>
      <c r="L59" s="59">
        <f>D59-F59+H59-J59</f>
        <v>0</v>
      </c>
      <c r="M59" s="28"/>
      <c r="N59" s="6"/>
    </row>
    <row r="60" spans="1:14" ht="15.75">
      <c r="A60" s="27"/>
      <c r="B60" s="28"/>
      <c r="C60" s="38"/>
      <c r="D60" s="38"/>
      <c r="E60" s="38"/>
      <c r="F60" s="38"/>
      <c r="G60" s="38"/>
      <c r="H60" s="38"/>
      <c r="I60" s="38"/>
      <c r="J60" s="38"/>
      <c r="K60" s="38"/>
      <c r="L60" s="59"/>
      <c r="M60" s="28"/>
      <c r="N60" s="6"/>
    </row>
    <row r="61" spans="1:14" ht="15.75">
      <c r="A61" s="27"/>
      <c r="B61" s="28" t="s">
        <v>43</v>
      </c>
      <c r="C61" s="38">
        <f>SUM(C58:C60)</f>
        <v>422004</v>
      </c>
      <c r="D61" s="38">
        <f>SUM(D58:D60)</f>
        <v>431596</v>
      </c>
      <c r="E61" s="38"/>
      <c r="F61" s="38">
        <f>SUM(F58:F60)</f>
        <v>21474</v>
      </c>
      <c r="G61" s="38"/>
      <c r="H61" s="38">
        <f>SUM(H58:H60)</f>
        <v>7845</v>
      </c>
      <c r="I61" s="38"/>
      <c r="J61" s="38">
        <f>SUM(J58:J60)</f>
        <v>0</v>
      </c>
      <c r="K61" s="38"/>
      <c r="L61" s="60">
        <f>SUM(L58:L60)</f>
        <v>417967</v>
      </c>
      <c r="M61" s="28"/>
      <c r="N61" s="6"/>
    </row>
    <row r="62" spans="1:14" ht="15.75">
      <c r="A62" s="27"/>
      <c r="B62" s="28"/>
      <c r="C62" s="38"/>
      <c r="D62" s="38"/>
      <c r="E62" s="38"/>
      <c r="F62" s="38"/>
      <c r="G62" s="38"/>
      <c r="H62" s="38"/>
      <c r="I62" s="38"/>
      <c r="J62" s="38"/>
      <c r="K62" s="38"/>
      <c r="L62" s="60"/>
      <c r="M62" s="28"/>
      <c r="N62" s="6"/>
    </row>
    <row r="63" spans="1:14" ht="15.75">
      <c r="A63" s="7"/>
      <c r="B63" s="131" t="s">
        <v>44</v>
      </c>
      <c r="C63" s="61"/>
      <c r="D63" s="61"/>
      <c r="E63" s="61"/>
      <c r="F63" s="61"/>
      <c r="G63" s="61"/>
      <c r="H63" s="61"/>
      <c r="I63" s="61"/>
      <c r="J63" s="61"/>
      <c r="K63" s="61"/>
      <c r="L63" s="62"/>
      <c r="M63" s="9"/>
      <c r="N63" s="6"/>
    </row>
    <row r="64" spans="1:14" ht="15.75">
      <c r="A64" s="7"/>
      <c r="B64" s="9"/>
      <c r="C64" s="61"/>
      <c r="D64" s="61"/>
      <c r="E64" s="61"/>
      <c r="F64" s="61"/>
      <c r="G64" s="61"/>
      <c r="H64" s="61"/>
      <c r="I64" s="61"/>
      <c r="J64" s="61"/>
      <c r="K64" s="61"/>
      <c r="L64" s="62"/>
      <c r="M64" s="9"/>
      <c r="N64" s="6"/>
    </row>
    <row r="65" spans="1:14" ht="15.75">
      <c r="A65" s="27"/>
      <c r="B65" s="28" t="s">
        <v>41</v>
      </c>
      <c r="C65" s="38"/>
      <c r="D65" s="38"/>
      <c r="E65" s="38"/>
      <c r="F65" s="38"/>
      <c r="G65" s="38"/>
      <c r="H65" s="38"/>
      <c r="I65" s="38"/>
      <c r="J65" s="38"/>
      <c r="K65" s="38"/>
      <c r="L65" s="60"/>
      <c r="M65" s="28"/>
      <c r="N65" s="6"/>
    </row>
    <row r="66" spans="1:14" ht="15.75">
      <c r="A66" s="27"/>
      <c r="B66" s="28" t="s">
        <v>42</v>
      </c>
      <c r="C66" s="38"/>
      <c r="D66" s="38"/>
      <c r="E66" s="38"/>
      <c r="F66" s="38"/>
      <c r="G66" s="38"/>
      <c r="H66" s="38"/>
      <c r="I66" s="38"/>
      <c r="J66" s="38"/>
      <c r="K66" s="38"/>
      <c r="L66" s="60"/>
      <c r="M66" s="28"/>
      <c r="N66" s="6"/>
    </row>
    <row r="67" spans="1:14" ht="15.75">
      <c r="A67" s="27"/>
      <c r="B67" s="28"/>
      <c r="C67" s="38"/>
      <c r="D67" s="38"/>
      <c r="E67" s="38"/>
      <c r="F67" s="38"/>
      <c r="G67" s="38"/>
      <c r="H67" s="38"/>
      <c r="I67" s="38"/>
      <c r="J67" s="38"/>
      <c r="K67" s="38"/>
      <c r="L67" s="60"/>
      <c r="M67" s="28"/>
      <c r="N67" s="6"/>
    </row>
    <row r="68" spans="1:14" ht="15.75">
      <c r="A68" s="27"/>
      <c r="B68" s="28" t="s">
        <v>43</v>
      </c>
      <c r="C68" s="38"/>
      <c r="D68" s="38"/>
      <c r="E68" s="38"/>
      <c r="F68" s="38"/>
      <c r="G68" s="38"/>
      <c r="H68" s="38"/>
      <c r="I68" s="38"/>
      <c r="J68" s="38"/>
      <c r="K68" s="38"/>
      <c r="L68" s="38"/>
      <c r="M68" s="28"/>
      <c r="N68" s="6"/>
    </row>
    <row r="69" spans="1:14" ht="15.75">
      <c r="A69" s="27"/>
      <c r="B69" s="28"/>
      <c r="C69" s="38"/>
      <c r="D69" s="38"/>
      <c r="E69" s="38"/>
      <c r="F69" s="38"/>
      <c r="G69" s="38"/>
      <c r="H69" s="38"/>
      <c r="I69" s="38"/>
      <c r="J69" s="38"/>
      <c r="K69" s="38"/>
      <c r="L69" s="38"/>
      <c r="M69" s="28"/>
      <c r="N69" s="6"/>
    </row>
    <row r="70" spans="1:14" ht="15.75">
      <c r="A70" s="27"/>
      <c r="B70" s="28" t="s">
        <v>45</v>
      </c>
      <c r="C70" s="38">
        <v>0</v>
      </c>
      <c r="D70" s="38">
        <v>0</v>
      </c>
      <c r="E70" s="38"/>
      <c r="F70" s="38"/>
      <c r="G70" s="38"/>
      <c r="H70" s="38"/>
      <c r="I70" s="38"/>
      <c r="J70" s="38"/>
      <c r="K70" s="38"/>
      <c r="L70" s="59">
        <f>D70-F70+H70-J70</f>
        <v>0</v>
      </c>
      <c r="M70" s="28"/>
      <c r="N70" s="6"/>
    </row>
    <row r="71" spans="1:14" ht="15.75">
      <c r="A71" s="27"/>
      <c r="B71" s="28" t="s">
        <v>46</v>
      </c>
      <c r="C71" s="38">
        <v>77996</v>
      </c>
      <c r="D71" s="38">
        <v>0</v>
      </c>
      <c r="E71" s="38"/>
      <c r="F71" s="38"/>
      <c r="G71" s="38"/>
      <c r="H71" s="38"/>
      <c r="I71" s="38"/>
      <c r="J71" s="38"/>
      <c r="K71" s="38"/>
      <c r="L71" s="60">
        <v>0</v>
      </c>
      <c r="M71" s="28"/>
      <c r="N71" s="6"/>
    </row>
    <row r="72" spans="1:14" ht="15.75">
      <c r="A72" s="27"/>
      <c r="B72" s="28" t="s">
        <v>47</v>
      </c>
      <c r="C72" s="38">
        <v>0</v>
      </c>
      <c r="D72" s="38">
        <f>L128</f>
        <v>0</v>
      </c>
      <c r="E72" s="38"/>
      <c r="F72" s="38"/>
      <c r="G72" s="38"/>
      <c r="H72" s="38"/>
      <c r="I72" s="38"/>
      <c r="J72" s="38"/>
      <c r="K72" s="38"/>
      <c r="L72" s="60">
        <v>6</v>
      </c>
      <c r="M72" s="28"/>
      <c r="N72" s="6"/>
    </row>
    <row r="73" spans="1:14" ht="15.75">
      <c r="A73" s="27"/>
      <c r="B73" s="28" t="s">
        <v>48</v>
      </c>
      <c r="C73" s="60">
        <f>SUM(C61:C72)</f>
        <v>500000</v>
      </c>
      <c r="D73" s="60">
        <f>SUM(D61:D72)</f>
        <v>431596</v>
      </c>
      <c r="E73" s="38"/>
      <c r="F73" s="60"/>
      <c r="G73" s="38"/>
      <c r="H73" s="60"/>
      <c r="I73" s="38"/>
      <c r="J73" s="60"/>
      <c r="K73" s="38"/>
      <c r="L73" s="60">
        <f>SUM(L61:L72)</f>
        <v>417973</v>
      </c>
      <c r="M73" s="28"/>
      <c r="N73" s="6"/>
    </row>
    <row r="74" spans="1:14" ht="15.75">
      <c r="A74" s="7"/>
      <c r="B74" s="9"/>
      <c r="C74" s="9"/>
      <c r="D74" s="9"/>
      <c r="E74" s="9"/>
      <c r="F74" s="9"/>
      <c r="G74" s="9"/>
      <c r="H74" s="9"/>
      <c r="I74" s="9"/>
      <c r="J74" s="9"/>
      <c r="K74" s="9"/>
      <c r="L74" s="9"/>
      <c r="M74" s="9"/>
      <c r="N74" s="6"/>
    </row>
    <row r="75" spans="1:14" ht="15.75">
      <c r="A75" s="7"/>
      <c r="B75" s="57" t="s">
        <v>49</v>
      </c>
      <c r="C75" s="16"/>
      <c r="D75" s="16"/>
      <c r="E75" s="16"/>
      <c r="F75" s="16"/>
      <c r="G75" s="16"/>
      <c r="H75" s="16"/>
      <c r="I75" s="19"/>
      <c r="J75" s="19" t="s">
        <v>181</v>
      </c>
      <c r="K75" s="19"/>
      <c r="L75" s="19" t="s">
        <v>193</v>
      </c>
      <c r="M75" s="9"/>
      <c r="N75" s="6"/>
    </row>
    <row r="76" spans="1:14" ht="15.75">
      <c r="A76" s="27"/>
      <c r="B76" s="28" t="s">
        <v>50</v>
      </c>
      <c r="C76" s="28"/>
      <c r="D76" s="28"/>
      <c r="E76" s="28"/>
      <c r="F76" s="28"/>
      <c r="G76" s="28"/>
      <c r="H76" s="28"/>
      <c r="I76" s="28"/>
      <c r="J76" s="38">
        <v>0</v>
      </c>
      <c r="K76" s="28"/>
      <c r="L76" s="59">
        <v>0</v>
      </c>
      <c r="M76" s="28"/>
      <c r="N76" s="6"/>
    </row>
    <row r="77" spans="1:14" ht="15.75">
      <c r="A77" s="27"/>
      <c r="B77" s="28" t="s">
        <v>51</v>
      </c>
      <c r="C77" s="47" t="s">
        <v>150</v>
      </c>
      <c r="D77" s="63">
        <f>J158</f>
        <v>37986</v>
      </c>
      <c r="E77" s="28"/>
      <c r="F77" s="28"/>
      <c r="G77" s="28"/>
      <c r="H77" s="28"/>
      <c r="I77" s="28"/>
      <c r="J77" s="38">
        <f>21474-6</f>
        <v>21468</v>
      </c>
      <c r="K77" s="28"/>
      <c r="L77" s="59"/>
      <c r="M77" s="28"/>
      <c r="N77" s="6"/>
    </row>
    <row r="78" spans="1:14" ht="15.75">
      <c r="A78" s="27"/>
      <c r="B78" s="28" t="s">
        <v>52</v>
      </c>
      <c r="C78" s="28"/>
      <c r="D78" s="28"/>
      <c r="E78" s="28"/>
      <c r="F78" s="28"/>
      <c r="G78" s="28"/>
      <c r="H78" s="28"/>
      <c r="I78" s="28"/>
      <c r="J78" s="38"/>
      <c r="K78" s="28"/>
      <c r="L78" s="59">
        <f>6343-9</f>
        <v>6334</v>
      </c>
      <c r="M78" s="28"/>
      <c r="N78" s="6"/>
    </row>
    <row r="79" spans="1:14" ht="15.75">
      <c r="A79" s="27"/>
      <c r="B79" s="28" t="s">
        <v>53</v>
      </c>
      <c r="C79" s="28"/>
      <c r="D79" s="28"/>
      <c r="E79" s="28"/>
      <c r="F79" s="28"/>
      <c r="G79" s="28"/>
      <c r="H79" s="28"/>
      <c r="I79" s="28"/>
      <c r="J79" s="38"/>
      <c r="K79" s="28"/>
      <c r="L79" s="59">
        <v>0</v>
      </c>
      <c r="M79" s="28"/>
      <c r="N79" s="6"/>
    </row>
    <row r="80" spans="1:14" ht="15.75">
      <c r="A80" s="27"/>
      <c r="B80" s="28" t="s">
        <v>54</v>
      </c>
      <c r="C80" s="28"/>
      <c r="D80" s="28"/>
      <c r="E80" s="28"/>
      <c r="F80" s="28"/>
      <c r="G80" s="28"/>
      <c r="H80" s="28"/>
      <c r="I80" s="28"/>
      <c r="J80" s="38">
        <f>SUM(J76:J79)</f>
        <v>21468</v>
      </c>
      <c r="K80" s="28"/>
      <c r="L80" s="60">
        <f>SUM(L76:L79)</f>
        <v>6334</v>
      </c>
      <c r="M80" s="28"/>
      <c r="N80" s="6"/>
    </row>
    <row r="81" spans="1:14" ht="15.75">
      <c r="A81" s="27"/>
      <c r="B81" s="28" t="s">
        <v>55</v>
      </c>
      <c r="C81" s="28"/>
      <c r="D81" s="28"/>
      <c r="E81" s="28"/>
      <c r="F81" s="28"/>
      <c r="G81" s="28"/>
      <c r="H81" s="28"/>
      <c r="I81" s="28"/>
      <c r="J81" s="38">
        <v>0</v>
      </c>
      <c r="K81" s="28"/>
      <c r="L81" s="59">
        <v>0</v>
      </c>
      <c r="M81" s="28"/>
      <c r="N81" s="6"/>
    </row>
    <row r="82" spans="1:14" ht="15.75">
      <c r="A82" s="27"/>
      <c r="B82" s="28" t="s">
        <v>56</v>
      </c>
      <c r="C82" s="28"/>
      <c r="D82" s="28"/>
      <c r="E82" s="28"/>
      <c r="F82" s="28"/>
      <c r="G82" s="28"/>
      <c r="H82" s="28"/>
      <c r="I82" s="28"/>
      <c r="J82" s="38">
        <f>J80+J81</f>
        <v>21468</v>
      </c>
      <c r="K82" s="28"/>
      <c r="L82" s="60">
        <f>L80+L81</f>
        <v>6334</v>
      </c>
      <c r="M82" s="28"/>
      <c r="N82" s="6"/>
    </row>
    <row r="83" spans="1:14" ht="15.75">
      <c r="A83" s="27"/>
      <c r="B83" s="137" t="s">
        <v>57</v>
      </c>
      <c r="C83" s="64"/>
      <c r="D83" s="28"/>
      <c r="E83" s="28"/>
      <c r="F83" s="28"/>
      <c r="G83" s="28"/>
      <c r="H83" s="28"/>
      <c r="I83" s="28"/>
      <c r="J83" s="38"/>
      <c r="K83" s="28"/>
      <c r="L83" s="59"/>
      <c r="M83" s="28"/>
      <c r="N83" s="6"/>
    </row>
    <row r="84" spans="1:14" ht="15.75">
      <c r="A84" s="27">
        <v>1</v>
      </c>
      <c r="B84" s="28" t="s">
        <v>58</v>
      </c>
      <c r="C84" s="28"/>
      <c r="D84" s="28"/>
      <c r="E84" s="28"/>
      <c r="F84" s="28"/>
      <c r="G84" s="28"/>
      <c r="H84" s="28"/>
      <c r="I84" s="28"/>
      <c r="J84" s="28"/>
      <c r="K84" s="28"/>
      <c r="L84" s="59">
        <v>0</v>
      </c>
      <c r="M84" s="28"/>
      <c r="N84" s="6"/>
    </row>
    <row r="85" spans="1:14" ht="15.75">
      <c r="A85" s="27">
        <v>2</v>
      </c>
      <c r="B85" s="28" t="s">
        <v>59</v>
      </c>
      <c r="C85" s="28"/>
      <c r="D85" s="28"/>
      <c r="E85" s="28"/>
      <c r="F85" s="28"/>
      <c r="G85" s="28"/>
      <c r="H85" s="28"/>
      <c r="I85" s="28"/>
      <c r="J85" s="28"/>
      <c r="K85" s="28"/>
      <c r="L85" s="59">
        <v>-5</v>
      </c>
      <c r="M85" s="28"/>
      <c r="N85" s="6"/>
    </row>
    <row r="86" spans="1:14" ht="15.75">
      <c r="A86" s="27">
        <v>3</v>
      </c>
      <c r="B86" s="28" t="s">
        <v>60</v>
      </c>
      <c r="C86" s="28"/>
      <c r="D86" s="28"/>
      <c r="E86" s="28"/>
      <c r="F86" s="28"/>
      <c r="G86" s="28"/>
      <c r="H86" s="28"/>
      <c r="I86" s="28"/>
      <c r="J86" s="28"/>
      <c r="K86" s="28"/>
      <c r="L86" s="59">
        <f>-328-6</f>
        <v>-334</v>
      </c>
      <c r="M86" s="28"/>
      <c r="N86" s="6"/>
    </row>
    <row r="87" spans="1:14" ht="15.75">
      <c r="A87" s="27">
        <v>4</v>
      </c>
      <c r="B87" s="28" t="s">
        <v>61</v>
      </c>
      <c r="C87" s="28"/>
      <c r="D87" s="28"/>
      <c r="E87" s="28"/>
      <c r="F87" s="28"/>
      <c r="G87" s="28"/>
      <c r="H87" s="28"/>
      <c r="I87" s="28"/>
      <c r="J87" s="28"/>
      <c r="K87" s="28"/>
      <c r="L87" s="59">
        <v>-367</v>
      </c>
      <c r="M87" s="28"/>
      <c r="N87" s="6"/>
    </row>
    <row r="88" spans="1:14" ht="15.75">
      <c r="A88" s="27">
        <v>5</v>
      </c>
      <c r="B88" s="28" t="s">
        <v>62</v>
      </c>
      <c r="C88" s="28"/>
      <c r="D88" s="28"/>
      <c r="E88" s="28"/>
      <c r="F88" s="28"/>
      <c r="G88" s="28"/>
      <c r="H88" s="28"/>
      <c r="I88" s="28"/>
      <c r="J88" s="28"/>
      <c r="K88" s="28"/>
      <c r="L88" s="59">
        <v>-3916</v>
      </c>
      <c r="M88" s="28"/>
      <c r="N88" s="6"/>
    </row>
    <row r="89" spans="1:14" ht="15.75">
      <c r="A89" s="27">
        <v>6</v>
      </c>
      <c r="B89" s="28" t="s">
        <v>63</v>
      </c>
      <c r="C89" s="28"/>
      <c r="D89" s="28"/>
      <c r="E89" s="28"/>
      <c r="F89" s="28"/>
      <c r="G89" s="28"/>
      <c r="H89" s="28"/>
      <c r="I89" s="28"/>
      <c r="J89" s="28"/>
      <c r="K89" s="28"/>
      <c r="L89" s="59">
        <v>-491</v>
      </c>
      <c r="M89" s="28"/>
      <c r="N89" s="6"/>
    </row>
    <row r="90" spans="1:14" ht="15.75">
      <c r="A90" s="27">
        <v>7</v>
      </c>
      <c r="B90" s="28" t="s">
        <v>64</v>
      </c>
      <c r="C90" s="28"/>
      <c r="D90" s="28"/>
      <c r="E90" s="28"/>
      <c r="F90" s="28"/>
      <c r="G90" s="28"/>
      <c r="H90" s="28"/>
      <c r="I90" s="28"/>
      <c r="J90" s="28"/>
      <c r="K90" s="28"/>
      <c r="L90" s="59">
        <v>-5</v>
      </c>
      <c r="M90" s="28"/>
      <c r="N90" s="6"/>
    </row>
    <row r="91" spans="1:14" ht="15.75">
      <c r="A91" s="27">
        <v>8</v>
      </c>
      <c r="B91" s="28" t="s">
        <v>65</v>
      </c>
      <c r="C91" s="28"/>
      <c r="D91" s="28"/>
      <c r="E91" s="28"/>
      <c r="F91" s="28"/>
      <c r="G91" s="28"/>
      <c r="H91" s="28"/>
      <c r="I91" s="28"/>
      <c r="J91" s="28"/>
      <c r="K91" s="28"/>
      <c r="L91" s="59">
        <v>-6</v>
      </c>
      <c r="M91" s="28"/>
      <c r="N91" s="6"/>
    </row>
    <row r="92" spans="1:14" ht="15.75">
      <c r="A92" s="27">
        <v>9</v>
      </c>
      <c r="B92" s="28" t="s">
        <v>66</v>
      </c>
      <c r="C92" s="28"/>
      <c r="D92" s="28"/>
      <c r="E92" s="28"/>
      <c r="F92" s="28"/>
      <c r="G92" s="28"/>
      <c r="H92" s="28"/>
      <c r="I92" s="28"/>
      <c r="J92" s="28"/>
      <c r="K92" s="28"/>
      <c r="L92" s="59">
        <v>0</v>
      </c>
      <c r="M92" s="28"/>
      <c r="N92" s="6"/>
    </row>
    <row r="93" spans="1:14" ht="15.75">
      <c r="A93" s="27">
        <v>10</v>
      </c>
      <c r="B93" s="28" t="s">
        <v>67</v>
      </c>
      <c r="C93" s="28"/>
      <c r="D93" s="28"/>
      <c r="E93" s="28"/>
      <c r="F93" s="28"/>
      <c r="G93" s="28"/>
      <c r="H93" s="28"/>
      <c r="I93" s="28"/>
      <c r="J93" s="28"/>
      <c r="K93" s="28"/>
      <c r="L93" s="59">
        <v>0</v>
      </c>
      <c r="M93" s="28"/>
      <c r="N93" s="6"/>
    </row>
    <row r="94" spans="1:14" ht="15.75">
      <c r="A94" s="27">
        <v>11</v>
      </c>
      <c r="B94" s="28" t="s">
        <v>68</v>
      </c>
      <c r="C94" s="28"/>
      <c r="D94" s="28"/>
      <c r="E94" s="28"/>
      <c r="F94" s="28"/>
      <c r="G94" s="28"/>
      <c r="H94" s="28"/>
      <c r="I94" s="28"/>
      <c r="J94" s="28"/>
      <c r="K94" s="28"/>
      <c r="L94" s="59">
        <v>0</v>
      </c>
      <c r="M94" s="28"/>
      <c r="N94" s="6"/>
    </row>
    <row r="95" spans="1:14" ht="15.75">
      <c r="A95" s="27">
        <v>12</v>
      </c>
      <c r="B95" s="28" t="s">
        <v>69</v>
      </c>
      <c r="C95" s="28"/>
      <c r="D95" s="28"/>
      <c r="E95" s="28"/>
      <c r="F95" s="28"/>
      <c r="G95" s="28"/>
      <c r="H95" s="28"/>
      <c r="I95" s="28"/>
      <c r="J95" s="28"/>
      <c r="K95" s="28"/>
      <c r="L95" s="59">
        <f>-43-222</f>
        <v>-265</v>
      </c>
      <c r="M95" s="28"/>
      <c r="N95" s="6"/>
    </row>
    <row r="96" spans="1:14" ht="15.75">
      <c r="A96" s="27">
        <v>13</v>
      </c>
      <c r="B96" s="28" t="s">
        <v>70</v>
      </c>
      <c r="C96" s="28"/>
      <c r="D96" s="28"/>
      <c r="E96" s="28"/>
      <c r="F96" s="28"/>
      <c r="G96" s="28"/>
      <c r="H96" s="28"/>
      <c r="I96" s="28"/>
      <c r="J96" s="28"/>
      <c r="K96" s="28"/>
      <c r="L96" s="59">
        <f>-SUM(L82:L95)</f>
        <v>-945</v>
      </c>
      <c r="M96" s="28"/>
      <c r="N96" s="6"/>
    </row>
    <row r="97" spans="1:14" ht="15.75">
      <c r="A97" s="27"/>
      <c r="B97" s="137" t="s">
        <v>71</v>
      </c>
      <c r="C97" s="64"/>
      <c r="D97" s="28"/>
      <c r="E97" s="28"/>
      <c r="F97" s="28"/>
      <c r="G97" s="28"/>
      <c r="H97" s="28"/>
      <c r="I97" s="28"/>
      <c r="J97" s="28"/>
      <c r="K97" s="28"/>
      <c r="L97" s="65"/>
      <c r="M97" s="28"/>
      <c r="N97" s="6"/>
    </row>
    <row r="98" spans="1:14" ht="15.75">
      <c r="A98" s="27"/>
      <c r="B98" s="28" t="s">
        <v>72</v>
      </c>
      <c r="C98" s="64"/>
      <c r="D98" s="28"/>
      <c r="E98" s="28"/>
      <c r="F98" s="28"/>
      <c r="G98" s="28"/>
      <c r="H98" s="28"/>
      <c r="I98" s="28"/>
      <c r="J98" s="38">
        <f>-J144</f>
        <v>-84</v>
      </c>
      <c r="K98" s="38"/>
      <c r="L98" s="59"/>
      <c r="M98" s="28"/>
      <c r="N98" s="6"/>
    </row>
    <row r="99" spans="1:14" ht="15.75">
      <c r="A99" s="27"/>
      <c r="B99" s="28" t="s">
        <v>73</v>
      </c>
      <c r="C99" s="28"/>
      <c r="D99" s="28"/>
      <c r="E99" s="28"/>
      <c r="F99" s="28"/>
      <c r="G99" s="28"/>
      <c r="H99" s="28"/>
      <c r="I99" s="28"/>
      <c r="J99" s="38">
        <f>-H144</f>
        <v>-7761</v>
      </c>
      <c r="K99" s="38"/>
      <c r="L99" s="59"/>
      <c r="M99" s="28"/>
      <c r="N99" s="6"/>
    </row>
    <row r="100" spans="1:14" ht="15.75">
      <c r="A100" s="27"/>
      <c r="B100" s="28" t="s">
        <v>74</v>
      </c>
      <c r="C100" s="28"/>
      <c r="D100" s="28"/>
      <c r="E100" s="28"/>
      <c r="F100" s="28"/>
      <c r="G100" s="28"/>
      <c r="H100" s="28"/>
      <c r="I100" s="28"/>
      <c r="J100" s="38">
        <v>-13623</v>
      </c>
      <c r="K100" s="38"/>
      <c r="L100" s="59"/>
      <c r="M100" s="28"/>
      <c r="N100" s="6"/>
    </row>
    <row r="101" spans="1:14" ht="15.75">
      <c r="A101" s="27"/>
      <c r="B101" s="28" t="s">
        <v>75</v>
      </c>
      <c r="C101" s="28"/>
      <c r="D101" s="28"/>
      <c r="E101" s="28"/>
      <c r="F101" s="28"/>
      <c r="G101" s="28"/>
      <c r="H101" s="28"/>
      <c r="I101" s="28"/>
      <c r="J101" s="38">
        <v>0</v>
      </c>
      <c r="K101" s="38"/>
      <c r="L101" s="59"/>
      <c r="M101" s="28"/>
      <c r="N101" s="6"/>
    </row>
    <row r="102" spans="1:14" ht="15.75">
      <c r="A102" s="27"/>
      <c r="B102" s="28" t="s">
        <v>76</v>
      </c>
      <c r="C102" s="28"/>
      <c r="D102" s="28"/>
      <c r="E102" s="28"/>
      <c r="F102" s="28"/>
      <c r="G102" s="28"/>
      <c r="H102" s="28"/>
      <c r="I102" s="28"/>
      <c r="J102" s="38">
        <f>SUM(J83:J101)</f>
        <v>-21468</v>
      </c>
      <c r="K102" s="38"/>
      <c r="L102" s="38">
        <f>SUM(L83:L101)</f>
        <v>-6334</v>
      </c>
      <c r="M102" s="28"/>
      <c r="N102" s="6"/>
    </row>
    <row r="103" spans="1:14" ht="15.75">
      <c r="A103" s="27"/>
      <c r="B103" s="28" t="s">
        <v>77</v>
      </c>
      <c r="C103" s="28"/>
      <c r="D103" s="28"/>
      <c r="E103" s="28"/>
      <c r="F103" s="28"/>
      <c r="G103" s="28"/>
      <c r="H103" s="28"/>
      <c r="I103" s="28"/>
      <c r="J103" s="38">
        <f>J82+J102</f>
        <v>0</v>
      </c>
      <c r="K103" s="38"/>
      <c r="L103" s="38">
        <f>L82+L102</f>
        <v>0</v>
      </c>
      <c r="M103" s="28"/>
      <c r="N103" s="6"/>
    </row>
    <row r="104" spans="1:14" ht="12" customHeight="1">
      <c r="A104" s="7"/>
      <c r="B104" s="9"/>
      <c r="C104" s="9"/>
      <c r="D104" s="9"/>
      <c r="E104" s="9"/>
      <c r="F104" s="9"/>
      <c r="G104" s="9"/>
      <c r="H104" s="9"/>
      <c r="I104" s="9"/>
      <c r="J104" s="9"/>
      <c r="K104" s="9"/>
      <c r="L104" s="58"/>
      <c r="M104" s="9"/>
      <c r="N104" s="6"/>
    </row>
    <row r="105" spans="1:14" ht="12" customHeight="1">
      <c r="A105" s="7"/>
      <c r="B105" s="9"/>
      <c r="C105" s="9"/>
      <c r="D105" s="9"/>
      <c r="E105" s="9"/>
      <c r="F105" s="9"/>
      <c r="G105" s="9"/>
      <c r="H105" s="9"/>
      <c r="I105" s="9"/>
      <c r="J105" s="9"/>
      <c r="K105" s="9"/>
      <c r="L105" s="58"/>
      <c r="M105" s="9"/>
      <c r="N105" s="6"/>
    </row>
    <row r="106" spans="1:14" ht="15.75" customHeight="1" thickBot="1">
      <c r="A106" s="118"/>
      <c r="B106" s="119" t="str">
        <f>B53</f>
        <v>PM4 INVESTOR REPORT QUARTER ENDING DECEMBER 2003</v>
      </c>
      <c r="C106" s="120"/>
      <c r="D106" s="120"/>
      <c r="E106" s="120"/>
      <c r="F106" s="120"/>
      <c r="G106" s="120"/>
      <c r="H106" s="120"/>
      <c r="I106" s="120"/>
      <c r="J106" s="120"/>
      <c r="K106" s="120"/>
      <c r="L106" s="124"/>
      <c r="M106" s="123"/>
      <c r="N106" s="6"/>
    </row>
    <row r="107" spans="1:14" ht="12" customHeight="1">
      <c r="A107" s="2"/>
      <c r="B107" s="5"/>
      <c r="C107" s="5"/>
      <c r="D107" s="5"/>
      <c r="E107" s="5"/>
      <c r="F107" s="5"/>
      <c r="G107" s="5"/>
      <c r="H107" s="5"/>
      <c r="I107" s="5"/>
      <c r="J107" s="5"/>
      <c r="K107" s="5"/>
      <c r="L107" s="66"/>
      <c r="M107" s="5"/>
      <c r="N107" s="6"/>
    </row>
    <row r="108" spans="1:14" ht="15.75">
      <c r="A108" s="7"/>
      <c r="B108" s="57" t="s">
        <v>78</v>
      </c>
      <c r="C108" s="15"/>
      <c r="D108" s="9"/>
      <c r="E108" s="9"/>
      <c r="F108" s="9"/>
      <c r="G108" s="9"/>
      <c r="H108" s="9"/>
      <c r="I108" s="9"/>
      <c r="J108" s="9"/>
      <c r="K108" s="9"/>
      <c r="L108" s="58"/>
      <c r="M108" s="9"/>
      <c r="N108" s="6"/>
    </row>
    <row r="109" spans="1:14" ht="15.75">
      <c r="A109" s="7"/>
      <c r="B109" s="23"/>
      <c r="C109" s="15"/>
      <c r="D109" s="9"/>
      <c r="E109" s="9"/>
      <c r="F109" s="9"/>
      <c r="G109" s="9"/>
      <c r="H109" s="9"/>
      <c r="I109" s="9"/>
      <c r="J109" s="9"/>
      <c r="K109" s="9"/>
      <c r="L109" s="58"/>
      <c r="M109" s="9"/>
      <c r="N109" s="6"/>
    </row>
    <row r="110" spans="1:14" ht="15.75">
      <c r="A110" s="7"/>
      <c r="B110" s="138" t="s">
        <v>79</v>
      </c>
      <c r="C110" s="15"/>
      <c r="D110" s="9"/>
      <c r="E110" s="9"/>
      <c r="F110" s="9"/>
      <c r="G110" s="9"/>
      <c r="H110" s="9"/>
      <c r="I110" s="9"/>
      <c r="J110" s="9"/>
      <c r="K110" s="9"/>
      <c r="L110" s="58"/>
      <c r="M110" s="9"/>
      <c r="N110" s="6"/>
    </row>
    <row r="111" spans="1:14" ht="15.75">
      <c r="A111" s="27"/>
      <c r="B111" s="28" t="s">
        <v>80</v>
      </c>
      <c r="C111" s="28"/>
      <c r="D111" s="28"/>
      <c r="E111" s="28"/>
      <c r="F111" s="28"/>
      <c r="G111" s="28"/>
      <c r="H111" s="28"/>
      <c r="I111" s="28"/>
      <c r="J111" s="28"/>
      <c r="K111" s="28"/>
      <c r="L111" s="59">
        <v>8750</v>
      </c>
      <c r="M111" s="28"/>
      <c r="N111" s="6"/>
    </row>
    <row r="112" spans="1:14" ht="15.75">
      <c r="A112" s="27"/>
      <c r="B112" s="28" t="s">
        <v>81</v>
      </c>
      <c r="C112" s="28"/>
      <c r="D112" s="28"/>
      <c r="E112" s="28"/>
      <c r="F112" s="28"/>
      <c r="G112" s="28"/>
      <c r="H112" s="28"/>
      <c r="I112" s="28"/>
      <c r="J112" s="28"/>
      <c r="K112" s="28"/>
      <c r="L112" s="59">
        <f>L111</f>
        <v>8750</v>
      </c>
      <c r="M112" s="28"/>
      <c r="N112" s="6"/>
    </row>
    <row r="113" spans="1:14" ht="15.75">
      <c r="A113" s="27"/>
      <c r="B113" s="28" t="s">
        <v>82</v>
      </c>
      <c r="C113" s="28"/>
      <c r="D113" s="28"/>
      <c r="E113" s="28"/>
      <c r="F113" s="28"/>
      <c r="G113" s="28"/>
      <c r="H113" s="28"/>
      <c r="I113" s="28"/>
      <c r="J113" s="28"/>
      <c r="K113" s="28"/>
      <c r="L113" s="59">
        <v>0</v>
      </c>
      <c r="M113" s="28"/>
      <c r="N113" s="6"/>
    </row>
    <row r="114" spans="1:14" ht="15.75">
      <c r="A114" s="27"/>
      <c r="B114" s="28" t="s">
        <v>83</v>
      </c>
      <c r="C114" s="28"/>
      <c r="D114" s="28"/>
      <c r="E114" s="28"/>
      <c r="F114" s="28"/>
      <c r="G114" s="28"/>
      <c r="H114" s="28"/>
      <c r="I114" s="28"/>
      <c r="J114" s="28"/>
      <c r="K114" s="28"/>
      <c r="L114" s="59">
        <v>0</v>
      </c>
      <c r="M114" s="28"/>
      <c r="N114" s="6"/>
    </row>
    <row r="115" spans="1:14" ht="15.75">
      <c r="A115" s="27"/>
      <c r="B115" s="28" t="s">
        <v>84</v>
      </c>
      <c r="C115" s="28"/>
      <c r="D115" s="28"/>
      <c r="E115" s="28"/>
      <c r="F115" s="28"/>
      <c r="G115" s="28"/>
      <c r="H115" s="28"/>
      <c r="I115" s="28"/>
      <c r="J115" s="28"/>
      <c r="K115" s="28"/>
      <c r="L115" s="59">
        <v>0</v>
      </c>
      <c r="M115" s="28"/>
      <c r="N115" s="6"/>
    </row>
    <row r="116" spans="1:14" ht="15.75">
      <c r="A116" s="27"/>
      <c r="B116" s="28" t="s">
        <v>62</v>
      </c>
      <c r="C116" s="28"/>
      <c r="D116" s="28"/>
      <c r="E116" s="28"/>
      <c r="F116" s="28"/>
      <c r="G116" s="28"/>
      <c r="H116" s="28"/>
      <c r="I116" s="28"/>
      <c r="J116" s="28"/>
      <c r="K116" s="28"/>
      <c r="L116" s="59">
        <v>0</v>
      </c>
      <c r="M116" s="28"/>
      <c r="N116" s="6"/>
    </row>
    <row r="117" spans="1:14" ht="15.75">
      <c r="A117" s="27"/>
      <c r="B117" s="28" t="s">
        <v>63</v>
      </c>
      <c r="C117" s="28"/>
      <c r="D117" s="28"/>
      <c r="E117" s="28"/>
      <c r="F117" s="28"/>
      <c r="G117" s="28"/>
      <c r="H117" s="28"/>
      <c r="I117" s="28"/>
      <c r="J117" s="28"/>
      <c r="K117" s="28"/>
      <c r="L117" s="59">
        <v>0</v>
      </c>
      <c r="M117" s="28"/>
      <c r="N117" s="6"/>
    </row>
    <row r="118" spans="1:14" ht="15.75">
      <c r="A118" s="27"/>
      <c r="B118" s="28" t="s">
        <v>85</v>
      </c>
      <c r="C118" s="28"/>
      <c r="D118" s="28"/>
      <c r="E118" s="28"/>
      <c r="F118" s="28"/>
      <c r="G118" s="28"/>
      <c r="H118" s="28"/>
      <c r="I118" s="28"/>
      <c r="J118" s="28"/>
      <c r="K118" s="28"/>
      <c r="L118" s="59">
        <v>0</v>
      </c>
      <c r="M118" s="28"/>
      <c r="N118" s="6"/>
    </row>
    <row r="119" spans="1:14" ht="15.75">
      <c r="A119" s="27"/>
      <c r="B119" s="28" t="s">
        <v>86</v>
      </c>
      <c r="C119" s="28"/>
      <c r="D119" s="28"/>
      <c r="E119" s="28"/>
      <c r="F119" s="28"/>
      <c r="G119" s="28"/>
      <c r="H119" s="28"/>
      <c r="I119" s="28"/>
      <c r="J119" s="28"/>
      <c r="K119" s="28"/>
      <c r="L119" s="59">
        <f>SUM(L112:L118)</f>
        <v>8750</v>
      </c>
      <c r="M119" s="28"/>
      <c r="N119" s="6"/>
    </row>
    <row r="120" spans="1:14" ht="15.75">
      <c r="A120" s="27"/>
      <c r="B120" s="28"/>
      <c r="C120" s="28"/>
      <c r="D120" s="28"/>
      <c r="E120" s="28"/>
      <c r="F120" s="28"/>
      <c r="G120" s="28"/>
      <c r="H120" s="28"/>
      <c r="I120" s="28"/>
      <c r="J120" s="28"/>
      <c r="K120" s="28"/>
      <c r="L120" s="67"/>
      <c r="M120" s="28"/>
      <c r="N120" s="6"/>
    </row>
    <row r="121" spans="1:14" ht="15.75">
      <c r="A121" s="7"/>
      <c r="B121" s="138" t="s">
        <v>87</v>
      </c>
      <c r="C121" s="9"/>
      <c r="D121" s="9"/>
      <c r="E121" s="9"/>
      <c r="F121" s="9"/>
      <c r="G121" s="9"/>
      <c r="H121" s="9"/>
      <c r="I121" s="9"/>
      <c r="J121" s="9"/>
      <c r="K121" s="9"/>
      <c r="L121" s="58"/>
      <c r="M121" s="9"/>
      <c r="N121" s="6"/>
    </row>
    <row r="122" spans="1:14" ht="15.75">
      <c r="A122" s="27"/>
      <c r="B122" s="28" t="s">
        <v>88</v>
      </c>
      <c r="C122" s="28"/>
      <c r="D122" s="68"/>
      <c r="E122" s="28"/>
      <c r="F122" s="28"/>
      <c r="G122" s="28"/>
      <c r="H122" s="28"/>
      <c r="I122" s="28"/>
      <c r="J122" s="28"/>
      <c r="K122" s="28"/>
      <c r="L122" s="69" t="s">
        <v>194</v>
      </c>
      <c r="M122" s="28"/>
      <c r="N122" s="6"/>
    </row>
    <row r="123" spans="1:14" ht="15.75">
      <c r="A123" s="27"/>
      <c r="B123" s="28" t="s">
        <v>89</v>
      </c>
      <c r="C123" s="126"/>
      <c r="D123" s="126"/>
      <c r="E123" s="126"/>
      <c r="F123" s="126"/>
      <c r="G123" s="126"/>
      <c r="H123" s="126"/>
      <c r="I123" s="126"/>
      <c r="J123" s="126"/>
      <c r="K123" s="126"/>
      <c r="L123" s="69" t="s">
        <v>194</v>
      </c>
      <c r="M123" s="28"/>
      <c r="N123" s="6"/>
    </row>
    <row r="124" spans="1:14" ht="15.75">
      <c r="A124" s="27"/>
      <c r="B124" s="28" t="s">
        <v>90</v>
      </c>
      <c r="C124" s="28"/>
      <c r="D124" s="28"/>
      <c r="E124" s="28"/>
      <c r="F124" s="28"/>
      <c r="G124" s="28"/>
      <c r="H124" s="28"/>
      <c r="I124" s="28"/>
      <c r="J124" s="28"/>
      <c r="K124" s="28"/>
      <c r="L124" s="69" t="s">
        <v>194</v>
      </c>
      <c r="M124" s="28"/>
      <c r="N124" s="6"/>
    </row>
    <row r="125" spans="1:14" ht="15.75">
      <c r="A125" s="27"/>
      <c r="B125" s="28" t="s">
        <v>91</v>
      </c>
      <c r="C125" s="28"/>
      <c r="D125" s="28"/>
      <c r="E125" s="28"/>
      <c r="F125" s="28"/>
      <c r="G125" s="28"/>
      <c r="H125" s="28"/>
      <c r="I125" s="28"/>
      <c r="J125" s="28"/>
      <c r="K125" s="28"/>
      <c r="L125" s="69" t="s">
        <v>194</v>
      </c>
      <c r="M125" s="28"/>
      <c r="N125" s="6"/>
    </row>
    <row r="126" spans="1:14" ht="15.75">
      <c r="A126" s="27"/>
      <c r="B126" s="28"/>
      <c r="C126" s="28"/>
      <c r="D126" s="28"/>
      <c r="E126" s="28"/>
      <c r="F126" s="28"/>
      <c r="G126" s="28"/>
      <c r="H126" s="28"/>
      <c r="I126" s="28"/>
      <c r="J126" s="28"/>
      <c r="K126" s="28"/>
      <c r="L126" s="67"/>
      <c r="M126" s="28"/>
      <c r="N126" s="6"/>
    </row>
    <row r="127" spans="1:14" ht="15.75">
      <c r="A127" s="7"/>
      <c r="B127" s="138" t="s">
        <v>92</v>
      </c>
      <c r="C127" s="15"/>
      <c r="D127" s="9"/>
      <c r="E127" s="9"/>
      <c r="F127" s="9"/>
      <c r="G127" s="9"/>
      <c r="H127" s="9"/>
      <c r="I127" s="9"/>
      <c r="J127" s="9"/>
      <c r="K127" s="9"/>
      <c r="L127" s="70"/>
      <c r="M127" s="9"/>
      <c r="N127" s="6"/>
    </row>
    <row r="128" spans="1:14" ht="15.75">
      <c r="A128" s="27"/>
      <c r="B128" s="28" t="s">
        <v>93</v>
      </c>
      <c r="C128" s="28"/>
      <c r="D128" s="28"/>
      <c r="E128" s="28"/>
      <c r="F128" s="28"/>
      <c r="G128" s="28"/>
      <c r="H128" s="28"/>
      <c r="I128" s="28"/>
      <c r="J128" s="28"/>
      <c r="K128" s="28"/>
      <c r="L128" s="59">
        <v>0</v>
      </c>
      <c r="M128" s="28"/>
      <c r="N128" s="6"/>
    </row>
    <row r="129" spans="1:14" ht="15.75">
      <c r="A129" s="27"/>
      <c r="B129" s="28" t="s">
        <v>94</v>
      </c>
      <c r="C129" s="28"/>
      <c r="D129" s="28"/>
      <c r="E129" s="28"/>
      <c r="F129" s="28"/>
      <c r="G129" s="28"/>
      <c r="H129" s="28"/>
      <c r="I129" s="28"/>
      <c r="J129" s="28"/>
      <c r="K129" s="28"/>
      <c r="L129" s="59">
        <v>6</v>
      </c>
      <c r="M129" s="28"/>
      <c r="N129" s="6"/>
    </row>
    <row r="130" spans="1:14" ht="15.75">
      <c r="A130" s="27"/>
      <c r="B130" s="28" t="s">
        <v>95</v>
      </c>
      <c r="C130" s="28"/>
      <c r="D130" s="28"/>
      <c r="E130" s="28"/>
      <c r="F130" s="28"/>
      <c r="G130" s="28"/>
      <c r="H130" s="28"/>
      <c r="I130" s="28"/>
      <c r="J130" s="28"/>
      <c r="K130" s="28"/>
      <c r="L130" s="59">
        <f>L129+L128</f>
        <v>6</v>
      </c>
      <c r="M130" s="28"/>
      <c r="N130" s="6"/>
    </row>
    <row r="131" spans="1:14" ht="15.75">
      <c r="A131" s="27"/>
      <c r="B131" s="28" t="s">
        <v>96</v>
      </c>
      <c r="C131" s="28"/>
      <c r="D131" s="28"/>
      <c r="E131" s="28"/>
      <c r="F131" s="28"/>
      <c r="G131" s="28"/>
      <c r="H131" s="71"/>
      <c r="I131" s="28"/>
      <c r="J131" s="28"/>
      <c r="K131" s="28"/>
      <c r="L131" s="59">
        <v>-6</v>
      </c>
      <c r="M131" s="28"/>
      <c r="N131" s="6"/>
    </row>
    <row r="132" spans="1:14" ht="15.75">
      <c r="A132" s="27"/>
      <c r="B132" s="28" t="s">
        <v>97</v>
      </c>
      <c r="C132" s="28"/>
      <c r="D132" s="28"/>
      <c r="E132" s="28"/>
      <c r="F132" s="28"/>
      <c r="G132" s="28"/>
      <c r="H132" s="28"/>
      <c r="I132" s="28"/>
      <c r="J132" s="28"/>
      <c r="K132" s="28"/>
      <c r="L132" s="59">
        <f>L130+L131</f>
        <v>0</v>
      </c>
      <c r="M132" s="28"/>
      <c r="N132" s="6"/>
    </row>
    <row r="133" spans="1:14" ht="7.5" customHeight="1">
      <c r="A133" s="27"/>
      <c r="B133" s="28"/>
      <c r="C133" s="28"/>
      <c r="D133" s="28"/>
      <c r="E133" s="28"/>
      <c r="F133" s="28"/>
      <c r="G133" s="28"/>
      <c r="H133" s="28"/>
      <c r="I133" s="28"/>
      <c r="J133" s="28"/>
      <c r="K133" s="28"/>
      <c r="L133" s="67"/>
      <c r="M133" s="28"/>
      <c r="N133" s="6"/>
    </row>
    <row r="134" spans="1:14" ht="6" customHeight="1">
      <c r="A134" s="2"/>
      <c r="B134" s="5"/>
      <c r="C134" s="5"/>
      <c r="D134" s="5"/>
      <c r="E134" s="5"/>
      <c r="F134" s="5"/>
      <c r="G134" s="5"/>
      <c r="H134" s="5"/>
      <c r="I134" s="5"/>
      <c r="J134" s="5"/>
      <c r="K134" s="5"/>
      <c r="L134" s="66"/>
      <c r="M134" s="5"/>
      <c r="N134" s="6"/>
    </row>
    <row r="135" spans="1:14" ht="15.75">
      <c r="A135" s="7"/>
      <c r="B135" s="138" t="s">
        <v>98</v>
      </c>
      <c r="C135" s="15"/>
      <c r="D135" s="9"/>
      <c r="E135" s="9"/>
      <c r="F135" s="9"/>
      <c r="G135" s="9"/>
      <c r="H135" s="9"/>
      <c r="I135" s="9"/>
      <c r="J135" s="9"/>
      <c r="K135" s="9"/>
      <c r="L135" s="58"/>
      <c r="M135" s="9"/>
      <c r="N135" s="6"/>
    </row>
    <row r="136" spans="1:14" ht="15.75">
      <c r="A136" s="7"/>
      <c r="B136" s="23"/>
      <c r="C136" s="15"/>
      <c r="D136" s="9"/>
      <c r="E136" s="9"/>
      <c r="F136" s="9"/>
      <c r="G136" s="9"/>
      <c r="H136" s="9"/>
      <c r="I136" s="9"/>
      <c r="J136" s="9"/>
      <c r="K136" s="9"/>
      <c r="L136" s="58"/>
      <c r="M136" s="9"/>
      <c r="N136" s="6"/>
    </row>
    <row r="137" spans="1:14" ht="15.75">
      <c r="A137" s="27"/>
      <c r="B137" s="28" t="s">
        <v>99</v>
      </c>
      <c r="C137" s="72"/>
      <c r="D137" s="28"/>
      <c r="E137" s="28"/>
      <c r="F137" s="28"/>
      <c r="G137" s="28"/>
      <c r="H137" s="28"/>
      <c r="I137" s="28"/>
      <c r="J137" s="28"/>
      <c r="K137" s="28"/>
      <c r="L137" s="59">
        <f>L61</f>
        <v>417967</v>
      </c>
      <c r="M137" s="28"/>
      <c r="N137" s="6"/>
    </row>
    <row r="138" spans="1:14" ht="15.75">
      <c r="A138" s="27"/>
      <c r="B138" s="28" t="s">
        <v>100</v>
      </c>
      <c r="C138" s="72"/>
      <c r="D138" s="28"/>
      <c r="E138" s="28"/>
      <c r="F138" s="28"/>
      <c r="G138" s="28"/>
      <c r="H138" s="28"/>
      <c r="I138" s="28"/>
      <c r="J138" s="28"/>
      <c r="K138" s="28"/>
      <c r="L138" s="59">
        <f>L33</f>
        <v>417973.45249999996</v>
      </c>
      <c r="M138" s="28"/>
      <c r="N138" s="6"/>
    </row>
    <row r="139" spans="1:14" ht="7.5" customHeight="1">
      <c r="A139" s="27"/>
      <c r="B139" s="28"/>
      <c r="C139" s="28"/>
      <c r="D139" s="28"/>
      <c r="E139" s="28"/>
      <c r="F139" s="28"/>
      <c r="G139" s="28"/>
      <c r="H139" s="28"/>
      <c r="I139" s="28"/>
      <c r="J139" s="28"/>
      <c r="K139" s="28"/>
      <c r="L139" s="67"/>
      <c r="M139" s="28"/>
      <c r="N139" s="6"/>
    </row>
    <row r="140" spans="1:14" ht="15.75">
      <c r="A140" s="2"/>
      <c r="B140" s="5"/>
      <c r="C140" s="5"/>
      <c r="D140" s="5"/>
      <c r="E140" s="5"/>
      <c r="F140" s="5"/>
      <c r="G140" s="5"/>
      <c r="H140" s="5"/>
      <c r="I140" s="5"/>
      <c r="J140" s="5"/>
      <c r="K140" s="5"/>
      <c r="L140" s="66"/>
      <c r="M140" s="5"/>
      <c r="N140" s="6"/>
    </row>
    <row r="141" spans="1:14" ht="15.75">
      <c r="A141" s="7"/>
      <c r="B141" s="138" t="s">
        <v>101</v>
      </c>
      <c r="C141" s="131"/>
      <c r="D141" s="131"/>
      <c r="E141" s="131"/>
      <c r="F141" s="131"/>
      <c r="G141" s="131"/>
      <c r="H141" s="139" t="s">
        <v>174</v>
      </c>
      <c r="I141" s="139"/>
      <c r="J141" s="139" t="s">
        <v>182</v>
      </c>
      <c r="K141" s="131"/>
      <c r="L141" s="140" t="s">
        <v>195</v>
      </c>
      <c r="M141" s="131"/>
      <c r="N141" s="6"/>
    </row>
    <row r="142" spans="1:14" ht="15.75">
      <c r="A142" s="27"/>
      <c r="B142" s="28" t="s">
        <v>102</v>
      </c>
      <c r="C142" s="28"/>
      <c r="D142" s="28"/>
      <c r="E142" s="28"/>
      <c r="F142" s="28"/>
      <c r="G142" s="28"/>
      <c r="H142" s="59">
        <v>70000</v>
      </c>
      <c r="I142" s="28"/>
      <c r="J142" s="47"/>
      <c r="K142" s="28"/>
      <c r="L142" s="59"/>
      <c r="M142" s="28"/>
      <c r="N142" s="6"/>
    </row>
    <row r="143" spans="1:14" ht="15.75">
      <c r="A143" s="27"/>
      <c r="B143" s="28" t="s">
        <v>103</v>
      </c>
      <c r="C143" s="28"/>
      <c r="D143" s="28"/>
      <c r="E143" s="28"/>
      <c r="F143" s="28"/>
      <c r="G143" s="28"/>
      <c r="H143" s="59">
        <f>'Sept 03'!H145</f>
        <v>37539</v>
      </c>
      <c r="I143" s="28"/>
      <c r="J143" s="59">
        <f>'Sept 03'!J145</f>
        <v>2369</v>
      </c>
      <c r="K143" s="28"/>
      <c r="L143" s="59">
        <f>J143+H143</f>
        <v>39908</v>
      </c>
      <c r="M143" s="28"/>
      <c r="N143" s="6"/>
    </row>
    <row r="144" spans="1:14" ht="15.75">
      <c r="A144" s="27"/>
      <c r="B144" s="28" t="s">
        <v>104</v>
      </c>
      <c r="C144" s="28"/>
      <c r="D144" s="28"/>
      <c r="E144" s="28"/>
      <c r="F144" s="28"/>
      <c r="G144" s="28"/>
      <c r="H144" s="59">
        <v>7761</v>
      </c>
      <c r="I144" s="28"/>
      <c r="J144" s="59">
        <v>84</v>
      </c>
      <c r="K144" s="28"/>
      <c r="L144" s="59">
        <f>J144+H144</f>
        <v>7845</v>
      </c>
      <c r="M144" s="28"/>
      <c r="N144" s="6"/>
    </row>
    <row r="145" spans="1:14" ht="15.75">
      <c r="A145" s="27"/>
      <c r="B145" s="28" t="s">
        <v>105</v>
      </c>
      <c r="C145" s="28"/>
      <c r="D145" s="28"/>
      <c r="E145" s="28"/>
      <c r="F145" s="28"/>
      <c r="G145" s="28"/>
      <c r="H145" s="59">
        <f>H144+H143</f>
        <v>45300</v>
      </c>
      <c r="I145" s="28"/>
      <c r="J145" s="59">
        <f>J144+J143</f>
        <v>2453</v>
      </c>
      <c r="K145" s="28"/>
      <c r="L145" s="59">
        <f>J145+H145</f>
        <v>47753</v>
      </c>
      <c r="M145" s="28"/>
      <c r="N145" s="6"/>
    </row>
    <row r="146" spans="1:14" ht="15.75">
      <c r="A146" s="27"/>
      <c r="B146" s="28" t="s">
        <v>106</v>
      </c>
      <c r="C146" s="28"/>
      <c r="D146" s="28"/>
      <c r="E146" s="28"/>
      <c r="F146" s="28"/>
      <c r="G146" s="28"/>
      <c r="H146" s="59">
        <f>H142-H145-J145</f>
        <v>22247</v>
      </c>
      <c r="I146" s="28"/>
      <c r="J146" s="47"/>
      <c r="K146" s="28"/>
      <c r="L146" s="59"/>
      <c r="M146" s="28"/>
      <c r="N146" s="6"/>
    </row>
    <row r="147" spans="1:14" ht="7.5" customHeight="1">
      <c r="A147" s="27"/>
      <c r="B147" s="28"/>
      <c r="C147" s="28"/>
      <c r="D147" s="28"/>
      <c r="E147" s="28"/>
      <c r="F147" s="28"/>
      <c r="G147" s="28"/>
      <c r="H147" s="28"/>
      <c r="I147" s="28"/>
      <c r="J147" s="28"/>
      <c r="K147" s="28"/>
      <c r="L147" s="67"/>
      <c r="M147" s="28"/>
      <c r="N147" s="6"/>
    </row>
    <row r="148" spans="1:14" ht="9" customHeight="1">
      <c r="A148" s="2"/>
      <c r="B148" s="5"/>
      <c r="C148" s="5"/>
      <c r="D148" s="5"/>
      <c r="E148" s="5"/>
      <c r="F148" s="5"/>
      <c r="G148" s="5"/>
      <c r="H148" s="5"/>
      <c r="I148" s="5"/>
      <c r="J148" s="5"/>
      <c r="K148" s="5"/>
      <c r="L148" s="66"/>
      <c r="M148" s="5"/>
      <c r="N148" s="6"/>
    </row>
    <row r="149" spans="1:14" ht="15.75">
      <c r="A149" s="7"/>
      <c r="B149" s="138" t="s">
        <v>107</v>
      </c>
      <c r="C149" s="15"/>
      <c r="D149" s="9"/>
      <c r="E149" s="9"/>
      <c r="F149" s="9"/>
      <c r="G149" s="9"/>
      <c r="H149" s="9"/>
      <c r="I149" s="9"/>
      <c r="J149" s="9"/>
      <c r="K149" s="9"/>
      <c r="L149" s="73"/>
      <c r="M149" s="9"/>
      <c r="N149" s="6"/>
    </row>
    <row r="150" spans="1:14" ht="15.75">
      <c r="A150" s="27"/>
      <c r="B150" s="28" t="s">
        <v>108</v>
      </c>
      <c r="C150" s="28"/>
      <c r="D150" s="28"/>
      <c r="E150" s="28"/>
      <c r="F150" s="28"/>
      <c r="G150" s="28"/>
      <c r="H150" s="28"/>
      <c r="I150" s="28"/>
      <c r="J150" s="28"/>
      <c r="K150" s="28"/>
      <c r="L150" s="65">
        <f>(L82+L84+L85+L86+L87)/-L88</f>
        <v>1.4371807967313586</v>
      </c>
      <c r="M150" s="28" t="s">
        <v>196</v>
      </c>
      <c r="N150" s="6"/>
    </row>
    <row r="151" spans="1:14" ht="15.75">
      <c r="A151" s="27"/>
      <c r="B151" s="28" t="s">
        <v>109</v>
      </c>
      <c r="C151" s="28"/>
      <c r="D151" s="28"/>
      <c r="E151" s="28"/>
      <c r="F151" s="28"/>
      <c r="G151" s="28"/>
      <c r="H151" s="28"/>
      <c r="I151" s="28"/>
      <c r="J151" s="28"/>
      <c r="K151" s="28"/>
      <c r="L151" s="65">
        <v>1.39</v>
      </c>
      <c r="M151" s="28" t="s">
        <v>196</v>
      </c>
      <c r="N151" s="6"/>
    </row>
    <row r="152" spans="1:14" ht="15.75">
      <c r="A152" s="27"/>
      <c r="B152" s="28" t="s">
        <v>110</v>
      </c>
      <c r="C152" s="28"/>
      <c r="D152" s="28"/>
      <c r="E152" s="28"/>
      <c r="F152" s="28"/>
      <c r="G152" s="28"/>
      <c r="H152" s="28"/>
      <c r="I152" s="28"/>
      <c r="J152" s="28"/>
      <c r="K152" s="28"/>
      <c r="L152" s="65">
        <f>(L82+SUM(L84:L88))/-L89</f>
        <v>3.486761710794297</v>
      </c>
      <c r="M152" s="28" t="s">
        <v>196</v>
      </c>
      <c r="N152" s="6"/>
    </row>
    <row r="153" spans="1:14" ht="15.75">
      <c r="A153" s="27"/>
      <c r="B153" s="28" t="s">
        <v>111</v>
      </c>
      <c r="C153" s="28"/>
      <c r="D153" s="28"/>
      <c r="E153" s="28"/>
      <c r="F153" s="28"/>
      <c r="G153" s="28"/>
      <c r="H153" s="28"/>
      <c r="I153" s="28"/>
      <c r="J153" s="28"/>
      <c r="K153" s="28"/>
      <c r="L153" s="74">
        <v>3.38</v>
      </c>
      <c r="M153" s="28" t="s">
        <v>196</v>
      </c>
      <c r="N153" s="6"/>
    </row>
    <row r="154" spans="1:14" ht="12.75" customHeight="1">
      <c r="A154" s="27"/>
      <c r="B154" s="28"/>
      <c r="C154" s="28"/>
      <c r="D154" s="28"/>
      <c r="E154" s="28"/>
      <c r="F154" s="28"/>
      <c r="G154" s="28"/>
      <c r="H154" s="28"/>
      <c r="I154" s="28"/>
      <c r="J154" s="28"/>
      <c r="K154" s="28"/>
      <c r="L154" s="28"/>
      <c r="M154" s="28"/>
      <c r="N154" s="6"/>
    </row>
    <row r="155" spans="1:14" ht="12.75" customHeight="1">
      <c r="A155" s="7"/>
      <c r="B155" s="9"/>
      <c r="C155" s="9"/>
      <c r="D155" s="9"/>
      <c r="E155" s="9"/>
      <c r="F155" s="9"/>
      <c r="G155" s="9"/>
      <c r="H155" s="9"/>
      <c r="I155" s="9"/>
      <c r="J155" s="9"/>
      <c r="K155" s="9"/>
      <c r="L155" s="9"/>
      <c r="M155" s="9"/>
      <c r="N155" s="6"/>
    </row>
    <row r="156" spans="1:14" ht="15" customHeight="1" thickBot="1">
      <c r="A156" s="118"/>
      <c r="B156" s="119" t="str">
        <f>B106</f>
        <v>PM4 INVESTOR REPORT QUARTER ENDING DECEMBER 2003</v>
      </c>
      <c r="C156" s="120"/>
      <c r="D156" s="120"/>
      <c r="E156" s="120"/>
      <c r="F156" s="120"/>
      <c r="G156" s="120"/>
      <c r="H156" s="120"/>
      <c r="I156" s="120"/>
      <c r="J156" s="120"/>
      <c r="K156" s="120"/>
      <c r="L156" s="120"/>
      <c r="M156" s="123"/>
      <c r="N156" s="6"/>
    </row>
    <row r="157" spans="1:14" ht="15.75">
      <c r="A157" s="2"/>
      <c r="B157" s="128"/>
      <c r="C157" s="128"/>
      <c r="D157" s="128"/>
      <c r="E157" s="128"/>
      <c r="F157" s="128"/>
      <c r="G157" s="128"/>
      <c r="H157" s="128"/>
      <c r="I157" s="128"/>
      <c r="J157" s="128"/>
      <c r="K157" s="128"/>
      <c r="L157" s="128"/>
      <c r="M157" s="128"/>
      <c r="N157" s="6"/>
    </row>
    <row r="158" spans="1:14" ht="15.75">
      <c r="A158" s="76"/>
      <c r="B158" s="57" t="s">
        <v>112</v>
      </c>
      <c r="C158" s="77"/>
      <c r="D158" s="77"/>
      <c r="E158" s="77"/>
      <c r="F158" s="77"/>
      <c r="G158" s="21"/>
      <c r="H158" s="21"/>
      <c r="I158" s="21"/>
      <c r="J158" s="21">
        <v>37986</v>
      </c>
      <c r="K158" s="17"/>
      <c r="L158" s="17"/>
      <c r="M158" s="9"/>
      <c r="N158" s="6"/>
    </row>
    <row r="159" spans="1:14" ht="15.75">
      <c r="A159" s="78"/>
      <c r="B159" s="79"/>
      <c r="C159" s="80"/>
      <c r="D159" s="80"/>
      <c r="E159" s="80"/>
      <c r="F159" s="80"/>
      <c r="G159" s="81"/>
      <c r="H159" s="81"/>
      <c r="I159" s="81"/>
      <c r="J159" s="81"/>
      <c r="K159" s="9"/>
      <c r="L159" s="9"/>
      <c r="M159" s="9"/>
      <c r="N159" s="6"/>
    </row>
    <row r="160" spans="1:14" ht="15.75">
      <c r="A160" s="82"/>
      <c r="B160" s="83" t="s">
        <v>113</v>
      </c>
      <c r="C160" s="84"/>
      <c r="D160" s="84"/>
      <c r="E160" s="84"/>
      <c r="F160" s="84"/>
      <c r="G160" s="71"/>
      <c r="H160" s="71"/>
      <c r="I160" s="71"/>
      <c r="J160" s="85">
        <v>0.06</v>
      </c>
      <c r="K160" s="28"/>
      <c r="L160" s="28"/>
      <c r="M160" s="28"/>
      <c r="N160" s="6"/>
    </row>
    <row r="161" spans="1:14" ht="15.75">
      <c r="A161" s="82"/>
      <c r="B161" s="83" t="s">
        <v>114</v>
      </c>
      <c r="C161" s="84"/>
      <c r="D161" s="84"/>
      <c r="E161" s="84"/>
      <c r="F161" s="84"/>
      <c r="G161" s="71"/>
      <c r="H161" s="71"/>
      <c r="I161" s="71"/>
      <c r="J161" s="85">
        <v>0.0452</v>
      </c>
      <c r="K161" s="28"/>
      <c r="L161" s="28"/>
      <c r="M161" s="28"/>
      <c r="N161" s="6"/>
    </row>
    <row r="162" spans="1:14" ht="15.75">
      <c r="A162" s="82"/>
      <c r="B162" s="83" t="s">
        <v>115</v>
      </c>
      <c r="C162" s="84"/>
      <c r="D162" s="84"/>
      <c r="E162" s="84"/>
      <c r="F162" s="84"/>
      <c r="G162" s="71"/>
      <c r="H162" s="71"/>
      <c r="I162" s="71"/>
      <c r="J162" s="85">
        <f>J160-J161</f>
        <v>0.0148</v>
      </c>
      <c r="K162" s="28"/>
      <c r="L162" s="28"/>
      <c r="M162" s="28"/>
      <c r="N162" s="6"/>
    </row>
    <row r="163" spans="1:14" ht="15.75">
      <c r="A163" s="82"/>
      <c r="B163" s="83" t="s">
        <v>116</v>
      </c>
      <c r="C163" s="84"/>
      <c r="D163" s="84"/>
      <c r="E163" s="84"/>
      <c r="F163" s="84"/>
      <c r="G163" s="71"/>
      <c r="H163" s="71"/>
      <c r="I163" s="71"/>
      <c r="J163" s="85">
        <v>0.05761</v>
      </c>
      <c r="K163" s="28"/>
      <c r="L163" s="28"/>
      <c r="M163" s="28"/>
      <c r="N163" s="6"/>
    </row>
    <row r="164" spans="1:14" ht="15.75">
      <c r="A164" s="82"/>
      <c r="B164" s="83" t="s">
        <v>117</v>
      </c>
      <c r="C164" s="84"/>
      <c r="D164" s="84"/>
      <c r="E164" s="84"/>
      <c r="F164" s="84"/>
      <c r="G164" s="71"/>
      <c r="H164" s="71"/>
      <c r="I164" s="71"/>
      <c r="J164" s="85">
        <f>L35</f>
        <v>0.040618483794514174</v>
      </c>
      <c r="K164" s="28"/>
      <c r="L164" s="28"/>
      <c r="M164" s="28"/>
      <c r="N164" s="6"/>
    </row>
    <row r="165" spans="1:14" ht="15.75">
      <c r="A165" s="82"/>
      <c r="B165" s="83" t="s">
        <v>118</v>
      </c>
      <c r="C165" s="84"/>
      <c r="D165" s="84"/>
      <c r="E165" s="84"/>
      <c r="F165" s="84"/>
      <c r="G165" s="71"/>
      <c r="H165" s="71"/>
      <c r="I165" s="71"/>
      <c r="J165" s="85">
        <f>J163-J164</f>
        <v>0.016991516205485828</v>
      </c>
      <c r="K165" s="28"/>
      <c r="L165" s="28"/>
      <c r="M165" s="28"/>
      <c r="N165" s="6"/>
    </row>
    <row r="166" spans="1:14" ht="15.75">
      <c r="A166" s="82"/>
      <c r="B166" s="83" t="s">
        <v>119</v>
      </c>
      <c r="C166" s="84"/>
      <c r="D166" s="84"/>
      <c r="E166" s="84"/>
      <c r="F166" s="84"/>
      <c r="G166" s="71"/>
      <c r="H166" s="71"/>
      <c r="I166" s="71"/>
      <c r="J166" s="86" t="s">
        <v>183</v>
      </c>
      <c r="K166" s="28"/>
      <c r="L166" s="28"/>
      <c r="M166" s="28"/>
      <c r="N166" s="6"/>
    </row>
    <row r="167" spans="1:14" ht="15.75">
      <c r="A167" s="82"/>
      <c r="B167" s="83" t="s">
        <v>120</v>
      </c>
      <c r="C167" s="84"/>
      <c r="D167" s="84"/>
      <c r="E167" s="84"/>
      <c r="F167" s="84"/>
      <c r="G167" s="71"/>
      <c r="H167" s="71"/>
      <c r="I167" s="71"/>
      <c r="J167" s="86" t="s">
        <v>184</v>
      </c>
      <c r="K167" s="28"/>
      <c r="L167" s="28"/>
      <c r="M167" s="28"/>
      <c r="N167" s="6"/>
    </row>
    <row r="168" spans="1:14" ht="15.75">
      <c r="A168" s="82"/>
      <c r="B168" s="83" t="s">
        <v>121</v>
      </c>
      <c r="C168" s="84"/>
      <c r="D168" s="84"/>
      <c r="E168" s="84"/>
      <c r="F168" s="84"/>
      <c r="G168" s="71"/>
      <c r="H168" s="71"/>
      <c r="I168" s="71"/>
      <c r="J168" s="87">
        <v>20.2</v>
      </c>
      <c r="K168" s="28" t="s">
        <v>188</v>
      </c>
      <c r="L168" s="28"/>
      <c r="M168" s="28"/>
      <c r="N168" s="6"/>
    </row>
    <row r="169" spans="1:14" ht="15.75">
      <c r="A169" s="82"/>
      <c r="B169" s="83" t="s">
        <v>122</v>
      </c>
      <c r="C169" s="84"/>
      <c r="D169" s="84"/>
      <c r="E169" s="84"/>
      <c r="F169" s="84"/>
      <c r="G169" s="71"/>
      <c r="H169" s="71"/>
      <c r="I169" s="71"/>
      <c r="J169" s="87">
        <v>19.14</v>
      </c>
      <c r="K169" s="28" t="s">
        <v>188</v>
      </c>
      <c r="L169" s="28"/>
      <c r="M169" s="28"/>
      <c r="N169" s="6"/>
    </row>
    <row r="170" spans="1:14" ht="15.75">
      <c r="A170" s="82"/>
      <c r="B170" s="83" t="s">
        <v>123</v>
      </c>
      <c r="C170" s="84"/>
      <c r="D170" s="84"/>
      <c r="E170" s="84"/>
      <c r="F170" s="84"/>
      <c r="G170" s="71"/>
      <c r="H170" s="71"/>
      <c r="I170" s="71"/>
      <c r="J170" s="85">
        <f>F58/'Sept 03'!L58</f>
        <v>0.04975486334442395</v>
      </c>
      <c r="K170" s="28"/>
      <c r="L170" s="28"/>
      <c r="M170" s="28"/>
      <c r="N170" s="6"/>
    </row>
    <row r="171" spans="1:14" ht="15.75">
      <c r="A171" s="82"/>
      <c r="B171" s="83" t="s">
        <v>124</v>
      </c>
      <c r="C171" s="84"/>
      <c r="D171" s="84"/>
      <c r="E171" s="84"/>
      <c r="F171" s="84"/>
      <c r="G171" s="71"/>
      <c r="H171" s="71"/>
      <c r="I171" s="71"/>
      <c r="J171" s="85">
        <v>0.1507</v>
      </c>
      <c r="K171" s="28"/>
      <c r="L171" s="28"/>
      <c r="M171" s="28"/>
      <c r="N171" s="6"/>
    </row>
    <row r="172" spans="1:14" ht="15.75">
      <c r="A172" s="82"/>
      <c r="B172" s="83"/>
      <c r="C172" s="83"/>
      <c r="D172" s="83"/>
      <c r="E172" s="83"/>
      <c r="F172" s="83"/>
      <c r="G172" s="28"/>
      <c r="H172" s="28"/>
      <c r="I172" s="28"/>
      <c r="J172" s="67"/>
      <c r="K172" s="28"/>
      <c r="L172" s="88"/>
      <c r="M172" s="28"/>
      <c r="N172" s="6"/>
    </row>
    <row r="173" spans="1:14" ht="15.75">
      <c r="A173" s="89"/>
      <c r="B173" s="16" t="s">
        <v>125</v>
      </c>
      <c r="C173" s="90"/>
      <c r="D173" s="91"/>
      <c r="E173" s="90"/>
      <c r="F173" s="91"/>
      <c r="G173" s="90"/>
      <c r="H173" s="91"/>
      <c r="I173" s="19" t="s">
        <v>175</v>
      </c>
      <c r="J173" s="92" t="s">
        <v>185</v>
      </c>
      <c r="K173" s="17"/>
      <c r="L173" s="9"/>
      <c r="M173" s="9"/>
      <c r="N173" s="6"/>
    </row>
    <row r="174" spans="1:14" ht="15.75">
      <c r="A174" s="93"/>
      <c r="B174" s="83" t="s">
        <v>126</v>
      </c>
      <c r="C174" s="60"/>
      <c r="D174" s="60"/>
      <c r="E174" s="60"/>
      <c r="F174" s="28"/>
      <c r="G174" s="28"/>
      <c r="H174" s="28"/>
      <c r="I174" s="29">
        <v>16</v>
      </c>
      <c r="J174" s="94">
        <v>735</v>
      </c>
      <c r="K174" s="28"/>
      <c r="L174" s="88"/>
      <c r="M174" s="95"/>
      <c r="N174" s="6"/>
    </row>
    <row r="175" spans="1:14" ht="15.75">
      <c r="A175" s="93"/>
      <c r="B175" s="83" t="s">
        <v>127</v>
      </c>
      <c r="C175" s="60"/>
      <c r="D175" s="60"/>
      <c r="E175" s="60"/>
      <c r="F175" s="28"/>
      <c r="G175" s="28"/>
      <c r="H175" s="28"/>
      <c r="I175" s="29">
        <v>1</v>
      </c>
      <c r="J175" s="94">
        <v>36</v>
      </c>
      <c r="K175" s="28"/>
      <c r="L175" s="88"/>
      <c r="M175" s="95"/>
      <c r="N175" s="6"/>
    </row>
    <row r="176" spans="1:14" ht="15.75">
      <c r="A176" s="93"/>
      <c r="B176" s="141" t="s">
        <v>128</v>
      </c>
      <c r="C176" s="60"/>
      <c r="D176" s="60"/>
      <c r="E176" s="60"/>
      <c r="F176" s="28"/>
      <c r="G176" s="28"/>
      <c r="H176" s="28"/>
      <c r="I176" s="28"/>
      <c r="J176" s="94">
        <v>0</v>
      </c>
      <c r="K176" s="28"/>
      <c r="L176" s="88"/>
      <c r="M176" s="95"/>
      <c r="N176" s="6"/>
    </row>
    <row r="177" spans="1:14" ht="15.75">
      <c r="A177" s="93"/>
      <c r="B177" s="141" t="s">
        <v>129</v>
      </c>
      <c r="C177" s="60"/>
      <c r="D177" s="60"/>
      <c r="E177" s="60"/>
      <c r="F177" s="28"/>
      <c r="G177" s="28"/>
      <c r="H177" s="28"/>
      <c r="I177" s="28"/>
      <c r="J177" s="94">
        <v>77991</v>
      </c>
      <c r="K177" s="28"/>
      <c r="L177" s="88"/>
      <c r="M177" s="95"/>
      <c r="N177" s="6"/>
    </row>
    <row r="178" spans="1:14" ht="15.75">
      <c r="A178" s="96"/>
      <c r="B178" s="141" t="s">
        <v>130</v>
      </c>
      <c r="C178" s="60"/>
      <c r="D178" s="83"/>
      <c r="E178" s="83"/>
      <c r="F178" s="83"/>
      <c r="G178" s="28"/>
      <c r="H178" s="28"/>
      <c r="I178" s="28"/>
      <c r="J178" s="94">
        <v>0</v>
      </c>
      <c r="K178" s="28"/>
      <c r="L178" s="88"/>
      <c r="M178" s="97"/>
      <c r="N178" s="6"/>
    </row>
    <row r="179" spans="1:14" ht="15.75">
      <c r="A179" s="93"/>
      <c r="B179" s="83" t="s">
        <v>131</v>
      </c>
      <c r="C179" s="60"/>
      <c r="D179" s="60"/>
      <c r="E179" s="60"/>
      <c r="F179" s="60"/>
      <c r="G179" s="28"/>
      <c r="H179" s="28"/>
      <c r="I179" s="28">
        <v>1</v>
      </c>
      <c r="J179" s="94">
        <f>+L129</f>
        <v>6</v>
      </c>
      <c r="K179" s="28"/>
      <c r="L179" s="88"/>
      <c r="M179" s="97"/>
      <c r="N179" s="6"/>
    </row>
    <row r="180" spans="1:14" ht="15.75">
      <c r="A180" s="93"/>
      <c r="B180" s="83" t="s">
        <v>132</v>
      </c>
      <c r="C180" s="60"/>
      <c r="D180" s="60"/>
      <c r="E180" s="60"/>
      <c r="F180" s="60"/>
      <c r="G180" s="28"/>
      <c r="H180" s="28"/>
      <c r="I180" s="28">
        <v>1</v>
      </c>
      <c r="J180" s="94">
        <f>+'Sept 03'!J180+J179</f>
        <v>6</v>
      </c>
      <c r="K180" s="28"/>
      <c r="L180" s="88"/>
      <c r="M180" s="97"/>
      <c r="N180" s="6"/>
    </row>
    <row r="181" spans="1:14" ht="15.75">
      <c r="A181" s="93"/>
      <c r="B181" s="83" t="s">
        <v>133</v>
      </c>
      <c r="C181" s="60"/>
      <c r="D181" s="60"/>
      <c r="E181" s="60"/>
      <c r="F181" s="60"/>
      <c r="G181" s="28"/>
      <c r="H181" s="28"/>
      <c r="I181" s="28"/>
      <c r="J181" s="94">
        <v>0</v>
      </c>
      <c r="K181" s="28"/>
      <c r="L181" s="88"/>
      <c r="M181" s="97"/>
      <c r="N181" s="6"/>
    </row>
    <row r="182" spans="1:14" ht="15.75">
      <c r="A182" s="96"/>
      <c r="B182" s="141" t="s">
        <v>134</v>
      </c>
      <c r="C182" s="60"/>
      <c r="D182" s="83"/>
      <c r="E182" s="83"/>
      <c r="F182" s="83"/>
      <c r="G182" s="28"/>
      <c r="H182" s="28"/>
      <c r="I182" s="28"/>
      <c r="J182" s="94"/>
      <c r="K182" s="28"/>
      <c r="L182" s="88"/>
      <c r="M182" s="97"/>
      <c r="N182" s="6"/>
    </row>
    <row r="183" spans="1:14" ht="15.75">
      <c r="A183" s="96"/>
      <c r="B183" s="83" t="s">
        <v>135</v>
      </c>
      <c r="C183" s="60"/>
      <c r="D183" s="83"/>
      <c r="E183" s="83"/>
      <c r="F183" s="83"/>
      <c r="G183" s="28"/>
      <c r="H183" s="28"/>
      <c r="I183" s="28">
        <v>0</v>
      </c>
      <c r="J183" s="94">
        <v>0</v>
      </c>
      <c r="K183" s="28"/>
      <c r="L183" s="88"/>
      <c r="M183" s="97"/>
      <c r="N183" s="6"/>
    </row>
    <row r="184" spans="1:14" ht="15.75">
      <c r="A184" s="93"/>
      <c r="B184" s="83" t="s">
        <v>136</v>
      </c>
      <c r="C184" s="60"/>
      <c r="D184" s="98"/>
      <c r="E184" s="98"/>
      <c r="F184" s="99"/>
      <c r="G184" s="28"/>
      <c r="H184" s="28"/>
      <c r="I184" s="28"/>
      <c r="J184" s="94">
        <v>0</v>
      </c>
      <c r="K184" s="28"/>
      <c r="L184" s="88"/>
      <c r="M184" s="97"/>
      <c r="N184" s="6"/>
    </row>
    <row r="185" spans="1:14" ht="15.75">
      <c r="A185" s="93"/>
      <c r="B185" s="83" t="s">
        <v>137</v>
      </c>
      <c r="C185" s="60"/>
      <c r="D185" s="98"/>
      <c r="E185" s="98"/>
      <c r="F185" s="99"/>
      <c r="G185" s="28"/>
      <c r="H185" s="28"/>
      <c r="I185" s="28"/>
      <c r="J185" s="94">
        <v>0</v>
      </c>
      <c r="K185" s="28"/>
      <c r="L185" s="88"/>
      <c r="M185" s="97"/>
      <c r="N185" s="6"/>
    </row>
    <row r="186" spans="1:14" ht="15.75">
      <c r="A186" s="93"/>
      <c r="B186" s="83" t="s">
        <v>138</v>
      </c>
      <c r="C186" s="60"/>
      <c r="D186" s="100"/>
      <c r="E186" s="98"/>
      <c r="F186" s="99"/>
      <c r="G186" s="28"/>
      <c r="H186" s="28"/>
      <c r="I186" s="28"/>
      <c r="J186" s="101">
        <v>0</v>
      </c>
      <c r="K186" s="28"/>
      <c r="L186" s="88"/>
      <c r="M186" s="97"/>
      <c r="N186" s="6"/>
    </row>
    <row r="187" spans="1:14" ht="15.75">
      <c r="A187" s="93"/>
      <c r="B187" s="83"/>
      <c r="C187" s="60"/>
      <c r="D187" s="100"/>
      <c r="E187" s="98"/>
      <c r="F187" s="99"/>
      <c r="G187" s="28"/>
      <c r="H187" s="28"/>
      <c r="I187" s="28"/>
      <c r="J187" s="101"/>
      <c r="K187" s="28"/>
      <c r="L187" s="88"/>
      <c r="M187" s="97"/>
      <c r="N187" s="6"/>
    </row>
    <row r="188" spans="1:14" ht="15.75">
      <c r="A188" s="7"/>
      <c r="B188" s="16" t="s">
        <v>139</v>
      </c>
      <c r="C188" s="19"/>
      <c r="D188" s="92"/>
      <c r="E188" s="19"/>
      <c r="F188" s="92"/>
      <c r="G188" s="19"/>
      <c r="H188" s="92" t="s">
        <v>175</v>
      </c>
      <c r="I188" s="19" t="s">
        <v>176</v>
      </c>
      <c r="J188" s="92" t="s">
        <v>186</v>
      </c>
      <c r="K188" s="19" t="s">
        <v>176</v>
      </c>
      <c r="L188" s="17"/>
      <c r="M188" s="102"/>
      <c r="N188" s="6"/>
    </row>
    <row r="189" spans="1:14" ht="15.75">
      <c r="A189" s="27"/>
      <c r="B189" s="60" t="s">
        <v>140</v>
      </c>
      <c r="C189" s="103"/>
      <c r="D189" s="60"/>
      <c r="E189" s="103"/>
      <c r="F189" s="28"/>
      <c r="G189" s="103"/>
      <c r="H189" s="60">
        <v>5665</v>
      </c>
      <c r="I189" s="105">
        <f>H189/H194</f>
        <v>0.9912510936132983</v>
      </c>
      <c r="J189" s="59">
        <v>415694</v>
      </c>
      <c r="K189" s="143">
        <f>J189/J194</f>
        <v>0.9945617716231185</v>
      </c>
      <c r="L189" s="88"/>
      <c r="M189" s="97"/>
      <c r="N189" s="6"/>
    </row>
    <row r="190" spans="1:14" ht="15.75">
      <c r="A190" s="27"/>
      <c r="B190" s="60" t="s">
        <v>141</v>
      </c>
      <c r="C190" s="103"/>
      <c r="D190" s="60"/>
      <c r="E190" s="103"/>
      <c r="F190" s="28"/>
      <c r="G190" s="105"/>
      <c r="H190" s="60">
        <v>24</v>
      </c>
      <c r="I190" s="105">
        <f>H190/H194</f>
        <v>0.004199475065616798</v>
      </c>
      <c r="J190" s="59">
        <v>1058</v>
      </c>
      <c r="K190" s="143">
        <f>J190/J194</f>
        <v>0.0025313003179676863</v>
      </c>
      <c r="L190" s="88"/>
      <c r="M190" s="97"/>
      <c r="N190" s="6"/>
    </row>
    <row r="191" spans="1:14" ht="15.75">
      <c r="A191" s="27"/>
      <c r="B191" s="60" t="s">
        <v>142</v>
      </c>
      <c r="C191" s="103"/>
      <c r="D191" s="60"/>
      <c r="E191" s="103"/>
      <c r="F191" s="28"/>
      <c r="G191" s="105"/>
      <c r="H191" s="60">
        <v>5</v>
      </c>
      <c r="I191" s="105">
        <f>H191/H194</f>
        <v>0.0008748906386701663</v>
      </c>
      <c r="J191" s="59">
        <v>137</v>
      </c>
      <c r="K191" s="143">
        <f>J191/J194</f>
        <v>0.00032777707330961534</v>
      </c>
      <c r="L191" s="88"/>
      <c r="M191" s="97"/>
      <c r="N191" s="6"/>
    </row>
    <row r="192" spans="1:14" ht="15.75">
      <c r="A192" s="27"/>
      <c r="B192" s="60" t="s">
        <v>143</v>
      </c>
      <c r="C192" s="103"/>
      <c r="D192" s="60"/>
      <c r="E192" s="103"/>
      <c r="F192" s="28"/>
      <c r="G192" s="105"/>
      <c r="H192" s="60">
        <v>21</v>
      </c>
      <c r="I192" s="105">
        <f>H192/H194</f>
        <v>0.003674540682414698</v>
      </c>
      <c r="J192" s="59">
        <f>146+120+325+487</f>
        <v>1078</v>
      </c>
      <c r="K192" s="143">
        <f>J192/J194</f>
        <v>0.0025791509856041266</v>
      </c>
      <c r="L192" s="88"/>
      <c r="M192" s="97"/>
      <c r="N192" s="6"/>
    </row>
    <row r="193" spans="1:14" ht="15.75">
      <c r="A193" s="27"/>
      <c r="B193" s="60"/>
      <c r="C193" s="106"/>
      <c r="D193" s="95"/>
      <c r="E193" s="106"/>
      <c r="F193" s="28"/>
      <c r="G193" s="106"/>
      <c r="H193" s="95"/>
      <c r="I193" s="106"/>
      <c r="J193" s="59"/>
      <c r="K193" s="104"/>
      <c r="L193" s="88"/>
      <c r="M193" s="97"/>
      <c r="N193" s="6"/>
    </row>
    <row r="194" spans="1:14" ht="15.75">
      <c r="A194" s="27"/>
      <c r="B194" s="28"/>
      <c r="C194" s="28"/>
      <c r="D194" s="28"/>
      <c r="E194" s="28"/>
      <c r="F194" s="28"/>
      <c r="G194" s="28"/>
      <c r="H194" s="38">
        <f>SUM(H189:H192)</f>
        <v>5715</v>
      </c>
      <c r="I194" s="107">
        <f>SUM(I189:I193)</f>
        <v>1</v>
      </c>
      <c r="J194" s="59">
        <f>SUM(J189:J193)</f>
        <v>417967</v>
      </c>
      <c r="K194" s="107">
        <f>SUM(K189:K193)</f>
        <v>1</v>
      </c>
      <c r="L194" s="28"/>
      <c r="M194" s="28"/>
      <c r="N194" s="6"/>
    </row>
    <row r="195" spans="1:14" ht="15.75">
      <c r="A195" s="27"/>
      <c r="B195" s="28"/>
      <c r="C195" s="28"/>
      <c r="D195" s="28"/>
      <c r="E195" s="28"/>
      <c r="F195" s="28"/>
      <c r="G195" s="28"/>
      <c r="H195" s="38"/>
      <c r="I195" s="107"/>
      <c r="J195" s="59"/>
      <c r="K195" s="107"/>
      <c r="L195" s="28"/>
      <c r="M195" s="28"/>
      <c r="N195" s="6"/>
    </row>
    <row r="196" spans="1:14" ht="15.75">
      <c r="A196" s="7"/>
      <c r="B196" s="9"/>
      <c r="C196" s="9"/>
      <c r="D196" s="9"/>
      <c r="E196" s="9"/>
      <c r="F196" s="9"/>
      <c r="G196" s="9"/>
      <c r="H196" s="61"/>
      <c r="I196" s="108"/>
      <c r="J196" s="109"/>
      <c r="K196" s="108"/>
      <c r="L196" s="9"/>
      <c r="M196" s="9"/>
      <c r="N196" s="6"/>
    </row>
    <row r="197" spans="1:14" ht="15.75">
      <c r="A197" s="110"/>
      <c r="B197" s="16" t="s">
        <v>144</v>
      </c>
      <c r="C197" s="111"/>
      <c r="D197" s="19" t="s">
        <v>152</v>
      </c>
      <c r="E197" s="17"/>
      <c r="F197" s="16" t="s">
        <v>164</v>
      </c>
      <c r="G197" s="112"/>
      <c r="H197" s="112"/>
      <c r="I197" s="112"/>
      <c r="J197" s="125"/>
      <c r="K197" s="125"/>
      <c r="L197" s="125"/>
      <c r="M197" s="125"/>
      <c r="N197" s="6"/>
    </row>
    <row r="198" spans="1:14" ht="15.75">
      <c r="A198" s="129"/>
      <c r="B198" s="125"/>
      <c r="C198" s="125"/>
      <c r="D198" s="9"/>
      <c r="E198" s="9"/>
      <c r="F198" s="9"/>
      <c r="G198" s="125"/>
      <c r="H198" s="125"/>
      <c r="I198" s="125"/>
      <c r="J198" s="125"/>
      <c r="K198" s="125"/>
      <c r="L198" s="125"/>
      <c r="M198" s="125"/>
      <c r="N198" s="6"/>
    </row>
    <row r="199" spans="1:14" ht="15.75">
      <c r="A199" s="129"/>
      <c r="B199" s="15" t="s">
        <v>145</v>
      </c>
      <c r="C199" s="114"/>
      <c r="D199" s="115" t="s">
        <v>153</v>
      </c>
      <c r="E199" s="15"/>
      <c r="F199" s="15" t="s">
        <v>165</v>
      </c>
      <c r="G199" s="114"/>
      <c r="H199" s="114"/>
      <c r="I199" s="125"/>
      <c r="J199" s="125"/>
      <c r="K199" s="125"/>
      <c r="L199" s="125"/>
      <c r="M199" s="125"/>
      <c r="N199" s="6"/>
    </row>
    <row r="200" spans="1:14" ht="15.75">
      <c r="A200" s="129"/>
      <c r="B200" s="15" t="s">
        <v>146</v>
      </c>
      <c r="C200" s="114"/>
      <c r="D200" s="115" t="s">
        <v>154</v>
      </c>
      <c r="E200" s="15"/>
      <c r="F200" s="15" t="s">
        <v>166</v>
      </c>
      <c r="G200" s="114"/>
      <c r="H200" s="114"/>
      <c r="I200" s="125"/>
      <c r="J200" s="125"/>
      <c r="K200" s="125"/>
      <c r="L200" s="125"/>
      <c r="M200" s="125"/>
      <c r="N200" s="6"/>
    </row>
    <row r="201" spans="1:14" ht="15.75">
      <c r="A201" s="129"/>
      <c r="B201" s="15"/>
      <c r="C201" s="114"/>
      <c r="D201" s="115"/>
      <c r="E201" s="15"/>
      <c r="F201" s="15"/>
      <c r="G201" s="114"/>
      <c r="H201" s="114"/>
      <c r="I201" s="125"/>
      <c r="J201" s="125"/>
      <c r="K201" s="125"/>
      <c r="L201" s="125"/>
      <c r="M201" s="125"/>
      <c r="N201" s="6"/>
    </row>
    <row r="202" spans="1:14" ht="15.75">
      <c r="A202" s="129"/>
      <c r="B202" s="15"/>
      <c r="C202" s="114"/>
      <c r="D202" s="115"/>
      <c r="E202" s="15"/>
      <c r="F202" s="15"/>
      <c r="G202" s="114"/>
      <c r="H202" s="114"/>
      <c r="I202" s="125"/>
      <c r="J202" s="125"/>
      <c r="K202" s="125"/>
      <c r="L202" s="125"/>
      <c r="M202" s="125"/>
      <c r="N202" s="6"/>
    </row>
    <row r="203" spans="1:14" ht="18.75">
      <c r="A203" s="129"/>
      <c r="B203" s="55" t="str">
        <f>B156</f>
        <v>PM4 INVESTOR REPORT QUARTER ENDING DECEMBER 2003</v>
      </c>
      <c r="C203" s="114"/>
      <c r="D203" s="115"/>
      <c r="E203" s="15"/>
      <c r="F203" s="15"/>
      <c r="G203" s="114"/>
      <c r="H203" s="114"/>
      <c r="I203" s="125"/>
      <c r="J203" s="125"/>
      <c r="K203" s="125"/>
      <c r="L203" s="125"/>
      <c r="M203" s="125"/>
      <c r="N203" s="6"/>
    </row>
    <row r="204" spans="1:13" ht="15">
      <c r="A204" s="116"/>
      <c r="B204" s="116"/>
      <c r="C204" s="116"/>
      <c r="D204" s="116"/>
      <c r="E204" s="116"/>
      <c r="F204" s="116"/>
      <c r="G204" s="116"/>
      <c r="H204" s="116"/>
      <c r="I204" s="116"/>
      <c r="J204" s="116"/>
      <c r="K204" s="116"/>
      <c r="L204" s="116"/>
      <c r="M204" s="116"/>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3" max="13" man="1"/>
    <brk id="106" max="13" man="1"/>
    <brk id="156" max="13" man="1"/>
  </rowBreaks>
  <drawing r:id="rId1"/>
</worksheet>
</file>

<file path=xl/worksheets/sheet8.xml><?xml version="1.0" encoding="utf-8"?>
<worksheet xmlns="http://schemas.openxmlformats.org/spreadsheetml/2006/main" xmlns:r="http://schemas.openxmlformats.org/officeDocument/2006/relationships">
  <dimension ref="A1:N205"/>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0.7773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25"/>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189</v>
      </c>
      <c r="M14" s="17"/>
      <c r="N14" s="6"/>
    </row>
    <row r="15" spans="1:14" ht="15.75">
      <c r="A15" s="7"/>
      <c r="B15" s="16" t="s">
        <v>8</v>
      </c>
      <c r="C15" s="16"/>
      <c r="D15" s="17"/>
      <c r="E15" s="17"/>
      <c r="F15" s="17"/>
      <c r="G15" s="17"/>
      <c r="H15" s="19"/>
      <c r="I15" s="20"/>
      <c r="J15" s="19" t="s">
        <v>177</v>
      </c>
      <c r="K15" s="20">
        <v>1</v>
      </c>
      <c r="L15" s="18"/>
      <c r="M15" s="17"/>
      <c r="N15" s="6"/>
    </row>
    <row r="16" spans="1:14" ht="15.75">
      <c r="A16" s="7"/>
      <c r="B16" s="16" t="s">
        <v>9</v>
      </c>
      <c r="C16" s="16"/>
      <c r="D16" s="17"/>
      <c r="E16" s="17"/>
      <c r="F16" s="17"/>
      <c r="G16" s="17"/>
      <c r="H16" s="19"/>
      <c r="I16" s="20"/>
      <c r="J16" s="19" t="s">
        <v>177</v>
      </c>
      <c r="K16" s="20">
        <v>1</v>
      </c>
      <c r="L16" s="18"/>
      <c r="M16" s="17"/>
      <c r="N16" s="6"/>
    </row>
    <row r="17" spans="1:14" ht="15.75">
      <c r="A17" s="7"/>
      <c r="B17" s="16" t="s">
        <v>10</v>
      </c>
      <c r="C17" s="16"/>
      <c r="D17" s="17"/>
      <c r="E17" s="17"/>
      <c r="F17" s="17"/>
      <c r="G17" s="17"/>
      <c r="H17" s="17"/>
      <c r="I17" s="17"/>
      <c r="J17" s="17"/>
      <c r="K17" s="17"/>
      <c r="L17" s="21">
        <v>37342</v>
      </c>
      <c r="M17" s="17"/>
      <c r="N17" s="6"/>
    </row>
    <row r="18" spans="1:14" ht="15.75">
      <c r="A18" s="7"/>
      <c r="B18" s="16" t="s">
        <v>11</v>
      </c>
      <c r="C18" s="16"/>
      <c r="D18" s="17"/>
      <c r="E18" s="17"/>
      <c r="F18" s="17"/>
      <c r="G18" s="17"/>
      <c r="H18" s="17"/>
      <c r="I18" s="17"/>
      <c r="J18" s="17"/>
      <c r="K18" s="17"/>
      <c r="L18" s="21">
        <v>38103</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178</v>
      </c>
      <c r="K20" s="9"/>
      <c r="L20" s="125"/>
      <c r="M20" s="9"/>
      <c r="N20" s="6"/>
    </row>
    <row r="21" spans="1:14" ht="15.75">
      <c r="A21" s="7"/>
      <c r="B21" s="9"/>
      <c r="C21" s="9"/>
      <c r="D21" s="9"/>
      <c r="E21" s="9"/>
      <c r="F21" s="9"/>
      <c r="G21" s="9"/>
      <c r="H21" s="9"/>
      <c r="I21" s="9"/>
      <c r="J21" s="9"/>
      <c r="K21" s="9"/>
      <c r="L21" s="24"/>
      <c r="M21" s="9"/>
      <c r="N21" s="6"/>
    </row>
    <row r="22" spans="1:14" ht="15.75">
      <c r="A22" s="7"/>
      <c r="B22" s="9"/>
      <c r="C22" s="132" t="s">
        <v>147</v>
      </c>
      <c r="D22" s="25"/>
      <c r="E22" s="25"/>
      <c r="F22" s="133" t="s">
        <v>155</v>
      </c>
      <c r="G22" s="133"/>
      <c r="H22" s="133" t="s">
        <v>167</v>
      </c>
      <c r="I22" s="26"/>
      <c r="J22" s="25"/>
      <c r="K22" s="125"/>
      <c r="L22" s="125"/>
      <c r="M22" s="9"/>
      <c r="N22" s="6"/>
    </row>
    <row r="23" spans="1:14" ht="15.75">
      <c r="A23" s="7"/>
      <c r="B23" s="9" t="s">
        <v>13</v>
      </c>
      <c r="C23" s="132" t="s">
        <v>148</v>
      </c>
      <c r="D23" s="25"/>
      <c r="E23" s="25"/>
      <c r="F23" s="25" t="s">
        <v>156</v>
      </c>
      <c r="G23" s="25"/>
      <c r="H23" s="25" t="s">
        <v>168</v>
      </c>
      <c r="I23" s="25"/>
      <c r="J23" s="25"/>
      <c r="K23" s="125"/>
      <c r="L23" s="125"/>
      <c r="M23" s="9"/>
      <c r="N23" s="6"/>
    </row>
    <row r="24" spans="1:14" ht="15.75">
      <c r="A24" s="27"/>
      <c r="B24" s="28" t="s">
        <v>14</v>
      </c>
      <c r="C24" s="29"/>
      <c r="D24" s="30"/>
      <c r="E24" s="30"/>
      <c r="F24" s="30" t="s">
        <v>157</v>
      </c>
      <c r="G24" s="30"/>
      <c r="H24" s="30" t="s">
        <v>169</v>
      </c>
      <c r="I24" s="30"/>
      <c r="J24" s="30"/>
      <c r="K24" s="126"/>
      <c r="L24" s="126"/>
      <c r="M24" s="28"/>
      <c r="N24" s="6"/>
    </row>
    <row r="25" spans="1:14" ht="15.75">
      <c r="A25" s="27"/>
      <c r="B25" s="28" t="s">
        <v>15</v>
      </c>
      <c r="C25" s="29"/>
      <c r="D25" s="30"/>
      <c r="E25" s="30"/>
      <c r="F25" s="30" t="s">
        <v>157</v>
      </c>
      <c r="G25" s="30"/>
      <c r="H25" s="30" t="s">
        <v>169</v>
      </c>
      <c r="I25" s="30"/>
      <c r="J25" s="30"/>
      <c r="K25" s="126"/>
      <c r="L25" s="126"/>
      <c r="M25" s="28"/>
      <c r="N25" s="6"/>
    </row>
    <row r="26" spans="1:14" ht="15.75">
      <c r="A26" s="32"/>
      <c r="B26" s="33" t="s">
        <v>16</v>
      </c>
      <c r="C26" s="33"/>
      <c r="D26" s="34"/>
      <c r="E26" s="34"/>
      <c r="F26" s="34" t="s">
        <v>156</v>
      </c>
      <c r="G26" s="34"/>
      <c r="H26" s="34" t="s">
        <v>168</v>
      </c>
      <c r="I26" s="34"/>
      <c r="J26" s="30"/>
      <c r="K26" s="126"/>
      <c r="L26" s="126"/>
      <c r="M26" s="28"/>
      <c r="N26" s="6"/>
    </row>
    <row r="27" spans="1:14" ht="15.75">
      <c r="A27" s="32"/>
      <c r="B27" s="33" t="s">
        <v>17</v>
      </c>
      <c r="C27" s="33"/>
      <c r="D27" s="34"/>
      <c r="E27" s="34"/>
      <c r="F27" s="34" t="s">
        <v>157</v>
      </c>
      <c r="G27" s="34"/>
      <c r="H27" s="34" t="s">
        <v>169</v>
      </c>
      <c r="I27" s="34"/>
      <c r="J27" s="30"/>
      <c r="K27" s="126"/>
      <c r="L27" s="126"/>
      <c r="M27" s="28"/>
      <c r="N27" s="6"/>
    </row>
    <row r="28" spans="1:14" ht="15.75">
      <c r="A28" s="32"/>
      <c r="B28" s="33" t="s">
        <v>18</v>
      </c>
      <c r="C28" s="33"/>
      <c r="D28" s="34"/>
      <c r="E28" s="34"/>
      <c r="F28" s="34" t="s">
        <v>157</v>
      </c>
      <c r="G28" s="34"/>
      <c r="H28" s="34" t="s">
        <v>169</v>
      </c>
      <c r="I28" s="34"/>
      <c r="J28" s="30"/>
      <c r="K28" s="126"/>
      <c r="L28" s="126"/>
      <c r="M28" s="28"/>
      <c r="N28" s="6"/>
    </row>
    <row r="29" spans="1:14" ht="15.75">
      <c r="A29" s="27"/>
      <c r="B29" s="28" t="s">
        <v>19</v>
      </c>
      <c r="C29" s="28"/>
      <c r="D29" s="29"/>
      <c r="E29" s="30"/>
      <c r="F29" s="29" t="s">
        <v>158</v>
      </c>
      <c r="G29" s="30"/>
      <c r="H29" s="29" t="s">
        <v>170</v>
      </c>
      <c r="I29" s="30"/>
      <c r="J29" s="29"/>
      <c r="K29" s="126"/>
      <c r="L29" s="126"/>
      <c r="M29" s="28"/>
      <c r="N29" s="6"/>
    </row>
    <row r="30" spans="1:14" ht="15.75">
      <c r="A30" s="27"/>
      <c r="B30" s="28"/>
      <c r="C30" s="28"/>
      <c r="D30" s="28"/>
      <c r="E30" s="30"/>
      <c r="F30" s="30"/>
      <c r="G30" s="30"/>
      <c r="H30" s="30"/>
      <c r="I30" s="30"/>
      <c r="J30" s="30"/>
      <c r="K30" s="126"/>
      <c r="L30" s="126"/>
      <c r="M30" s="28"/>
      <c r="N30" s="6"/>
    </row>
    <row r="31" spans="1:14" ht="15.75">
      <c r="A31" s="27"/>
      <c r="B31" s="28" t="s">
        <v>20</v>
      </c>
      <c r="C31" s="28"/>
      <c r="D31" s="35"/>
      <c r="E31" s="36"/>
      <c r="F31" s="35">
        <v>457500</v>
      </c>
      <c r="G31" s="35"/>
      <c r="H31" s="35">
        <v>42500</v>
      </c>
      <c r="I31" s="35"/>
      <c r="J31" s="35"/>
      <c r="K31" s="127"/>
      <c r="L31" s="35">
        <f>H31+F31</f>
        <v>500000</v>
      </c>
      <c r="M31" s="38"/>
      <c r="N31" s="6"/>
    </row>
    <row r="32" spans="1:14" ht="15.75">
      <c r="A32" s="27"/>
      <c r="B32" s="28" t="s">
        <v>21</v>
      </c>
      <c r="C32" s="39">
        <v>0.820707</v>
      </c>
      <c r="D32" s="35"/>
      <c r="E32" s="36"/>
      <c r="F32" s="35">
        <f>F31*C32</f>
        <v>375473.45249999996</v>
      </c>
      <c r="G32" s="35"/>
      <c r="H32" s="35">
        <v>42500</v>
      </c>
      <c r="I32" s="35"/>
      <c r="J32" s="35"/>
      <c r="K32" s="127"/>
      <c r="L32" s="35">
        <f>H32+F32</f>
        <v>417973.45249999996</v>
      </c>
      <c r="M32" s="38"/>
      <c r="N32" s="6"/>
    </row>
    <row r="33" spans="1:14" ht="12.75" customHeight="1">
      <c r="A33" s="32"/>
      <c r="B33" s="33" t="s">
        <v>22</v>
      </c>
      <c r="C33" s="40">
        <v>0.78244</v>
      </c>
      <c r="D33" s="41"/>
      <c r="E33" s="42"/>
      <c r="F33" s="41">
        <f>F31*C33</f>
        <v>357966.3</v>
      </c>
      <c r="G33" s="41"/>
      <c r="H33" s="41">
        <f>H31</f>
        <v>42500</v>
      </c>
      <c r="I33" s="41"/>
      <c r="J33" s="41"/>
      <c r="K33" s="43"/>
      <c r="L33" s="41">
        <f>H33+F33+D33</f>
        <v>400466.3</v>
      </c>
      <c r="M33" s="38"/>
      <c r="N33" s="6"/>
    </row>
    <row r="34" spans="1:14" ht="15.75">
      <c r="A34" s="27"/>
      <c r="B34" s="28" t="s">
        <v>23</v>
      </c>
      <c r="C34" s="44"/>
      <c r="D34" s="29"/>
      <c r="E34" s="28"/>
      <c r="F34" s="29" t="s">
        <v>159</v>
      </c>
      <c r="G34" s="29"/>
      <c r="H34" s="29" t="s">
        <v>171</v>
      </c>
      <c r="I34" s="29"/>
      <c r="J34" s="29"/>
      <c r="K34" s="126"/>
      <c r="L34" s="126"/>
      <c r="M34" s="28"/>
      <c r="N34" s="6"/>
    </row>
    <row r="35" spans="1:14" ht="15.75">
      <c r="A35" s="27"/>
      <c r="B35" s="28" t="s">
        <v>24</v>
      </c>
      <c r="C35" s="28"/>
      <c r="D35" s="45"/>
      <c r="E35" s="28"/>
      <c r="F35" s="45">
        <v>0.04315</v>
      </c>
      <c r="G35" s="46"/>
      <c r="H35" s="45">
        <v>0.04905</v>
      </c>
      <c r="I35" s="46"/>
      <c r="J35" s="45"/>
      <c r="K35" s="126"/>
      <c r="L35" s="46">
        <f>SUMPRODUCT(F35:H35,F32:H32)/L32</f>
        <v>0.043749918484057314</v>
      </c>
      <c r="M35" s="28"/>
      <c r="N35" s="6"/>
    </row>
    <row r="36" spans="1:14" ht="15.75">
      <c r="A36" s="27"/>
      <c r="B36" s="28" t="s">
        <v>25</v>
      </c>
      <c r="C36" s="28"/>
      <c r="D36" s="45"/>
      <c r="E36" s="28"/>
      <c r="F36" s="45">
        <v>0.0400375</v>
      </c>
      <c r="G36" s="46"/>
      <c r="H36" s="45">
        <v>0.0459375</v>
      </c>
      <c r="I36" s="46"/>
      <c r="J36" s="45"/>
      <c r="K36" s="126"/>
      <c r="L36" s="126"/>
      <c r="M36" s="28"/>
      <c r="N36" s="6"/>
    </row>
    <row r="37" spans="1:14" ht="15.75">
      <c r="A37" s="27"/>
      <c r="B37" s="28" t="s">
        <v>26</v>
      </c>
      <c r="C37" s="28"/>
      <c r="D37" s="29"/>
      <c r="E37" s="28"/>
      <c r="F37" s="29" t="s">
        <v>160</v>
      </c>
      <c r="G37" s="29"/>
      <c r="H37" s="29" t="s">
        <v>160</v>
      </c>
      <c r="I37" s="29"/>
      <c r="J37" s="29"/>
      <c r="K37" s="126"/>
      <c r="L37" s="126"/>
      <c r="M37" s="28"/>
      <c r="N37" s="6"/>
    </row>
    <row r="38" spans="1:14" ht="15.75">
      <c r="A38" s="27"/>
      <c r="B38" s="28" t="s">
        <v>27</v>
      </c>
      <c r="C38" s="28"/>
      <c r="D38" s="29"/>
      <c r="E38" s="28"/>
      <c r="F38" s="29" t="s">
        <v>161</v>
      </c>
      <c r="G38" s="29"/>
      <c r="H38" s="29" t="s">
        <v>161</v>
      </c>
      <c r="I38" s="29"/>
      <c r="J38" s="29"/>
      <c r="K38" s="126"/>
      <c r="L38" s="126"/>
      <c r="M38" s="28"/>
      <c r="N38" s="6"/>
    </row>
    <row r="39" spans="1:14" ht="15.75">
      <c r="A39" s="27"/>
      <c r="B39" s="28" t="s">
        <v>28</v>
      </c>
      <c r="C39" s="28"/>
      <c r="D39" s="29"/>
      <c r="E39" s="28"/>
      <c r="F39" s="29" t="s">
        <v>162</v>
      </c>
      <c r="G39" s="29"/>
      <c r="H39" s="29" t="s">
        <v>172</v>
      </c>
      <c r="I39" s="29"/>
      <c r="J39" s="29"/>
      <c r="K39" s="126"/>
      <c r="L39" s="126"/>
      <c r="M39" s="28"/>
      <c r="N39" s="6"/>
    </row>
    <row r="40" spans="1:14" ht="15.75">
      <c r="A40" s="27"/>
      <c r="B40" s="28"/>
      <c r="C40" s="28"/>
      <c r="D40" s="47"/>
      <c r="E40" s="47"/>
      <c r="F40" s="28"/>
      <c r="G40" s="47"/>
      <c r="H40" s="130"/>
      <c r="I40" s="47"/>
      <c r="J40" s="47"/>
      <c r="K40" s="47"/>
      <c r="L40" s="47"/>
      <c r="M40" s="28"/>
      <c r="N40" s="6"/>
    </row>
    <row r="41" spans="1:14" ht="15.75">
      <c r="A41" s="27"/>
      <c r="B41" s="28" t="s">
        <v>29</v>
      </c>
      <c r="C41" s="28"/>
      <c r="D41" s="28"/>
      <c r="E41" s="28"/>
      <c r="F41" s="28"/>
      <c r="G41" s="28"/>
      <c r="H41" s="117"/>
      <c r="I41" s="28"/>
      <c r="J41" s="28"/>
      <c r="K41" s="28"/>
      <c r="L41" s="46">
        <f>H31/F31</f>
        <v>0.09289617486338798</v>
      </c>
      <c r="M41" s="28"/>
      <c r="N41" s="6"/>
    </row>
    <row r="42" spans="1:14" ht="15.75">
      <c r="A42" s="27"/>
      <c r="B42" s="28" t="s">
        <v>30</v>
      </c>
      <c r="C42" s="28"/>
      <c r="D42" s="28"/>
      <c r="E42" s="28"/>
      <c r="F42" s="28"/>
      <c r="G42" s="28"/>
      <c r="H42" s="117"/>
      <c r="I42" s="28"/>
      <c r="J42" s="28"/>
      <c r="K42" s="28"/>
      <c r="L42" s="46">
        <f>H33/F33</f>
        <v>0.11872625998592605</v>
      </c>
      <c r="M42" s="28"/>
      <c r="N42" s="6"/>
    </row>
    <row r="43" spans="1:14" ht="15.75">
      <c r="A43" s="27"/>
      <c r="B43" s="28" t="s">
        <v>31</v>
      </c>
      <c r="C43" s="28"/>
      <c r="D43" s="28"/>
      <c r="E43" s="28"/>
      <c r="F43" s="117"/>
      <c r="G43" s="28"/>
      <c r="H43" s="117"/>
      <c r="I43" s="28"/>
      <c r="J43" s="29" t="s">
        <v>155</v>
      </c>
      <c r="K43" s="29" t="s">
        <v>187</v>
      </c>
      <c r="L43" s="35">
        <v>207500</v>
      </c>
      <c r="M43" s="28"/>
      <c r="N43" s="6"/>
    </row>
    <row r="44" spans="1:14" ht="15.75">
      <c r="A44" s="27"/>
      <c r="B44" s="28"/>
      <c r="C44" s="28"/>
      <c r="D44" s="28"/>
      <c r="E44" s="28"/>
      <c r="F44" s="28"/>
      <c r="G44" s="28"/>
      <c r="H44" s="28"/>
      <c r="I44" s="28"/>
      <c r="J44" s="28" t="s">
        <v>179</v>
      </c>
      <c r="K44" s="28"/>
      <c r="L44" s="48"/>
      <c r="M44" s="28"/>
      <c r="N44" s="6"/>
    </row>
    <row r="45" spans="1:14" ht="15.75">
      <c r="A45" s="27"/>
      <c r="B45" s="28" t="s">
        <v>32</v>
      </c>
      <c r="C45" s="28"/>
      <c r="D45" s="28"/>
      <c r="E45" s="28"/>
      <c r="F45" s="28"/>
      <c r="G45" s="28"/>
      <c r="H45" s="28"/>
      <c r="I45" s="28"/>
      <c r="J45" s="29"/>
      <c r="K45" s="29"/>
      <c r="L45" s="29" t="s">
        <v>190</v>
      </c>
      <c r="M45" s="28"/>
      <c r="N45" s="6"/>
    </row>
    <row r="46" spans="1:14" ht="15.75">
      <c r="A46" s="32"/>
      <c r="B46" s="33" t="s">
        <v>33</v>
      </c>
      <c r="C46" s="33"/>
      <c r="D46" s="33"/>
      <c r="E46" s="33"/>
      <c r="F46" s="33"/>
      <c r="G46" s="33"/>
      <c r="H46" s="33"/>
      <c r="I46" s="33"/>
      <c r="J46" s="49"/>
      <c r="K46" s="49"/>
      <c r="L46" s="50">
        <v>38084</v>
      </c>
      <c r="M46" s="28"/>
      <c r="N46" s="6"/>
    </row>
    <row r="47" spans="1:14" ht="15.75">
      <c r="A47" s="27"/>
      <c r="B47" s="28" t="s">
        <v>34</v>
      </c>
      <c r="C47" s="28"/>
      <c r="D47" s="28"/>
      <c r="E47" s="28"/>
      <c r="F47" s="28"/>
      <c r="G47" s="28"/>
      <c r="H47" s="28"/>
      <c r="I47" s="28">
        <f>L47-J47+1</f>
        <v>92</v>
      </c>
      <c r="J47" s="51">
        <v>37901</v>
      </c>
      <c r="K47" s="52"/>
      <c r="L47" s="51">
        <v>37992</v>
      </c>
      <c r="M47" s="28"/>
      <c r="N47" s="6"/>
    </row>
    <row r="48" spans="1:14" ht="15.75">
      <c r="A48" s="27"/>
      <c r="B48" s="28" t="s">
        <v>35</v>
      </c>
      <c r="C48" s="28"/>
      <c r="D48" s="28"/>
      <c r="E48" s="28"/>
      <c r="F48" s="28"/>
      <c r="G48" s="28"/>
      <c r="H48" s="28"/>
      <c r="I48" s="28">
        <f>L48-J48+1</f>
        <v>91</v>
      </c>
      <c r="J48" s="51">
        <v>37993</v>
      </c>
      <c r="K48" s="52"/>
      <c r="L48" s="51">
        <v>38083</v>
      </c>
      <c r="M48" s="28"/>
      <c r="N48" s="6"/>
    </row>
    <row r="49" spans="1:14" ht="15.75">
      <c r="A49" s="27"/>
      <c r="B49" s="28" t="s">
        <v>36</v>
      </c>
      <c r="C49" s="28"/>
      <c r="D49" s="28"/>
      <c r="E49" s="28"/>
      <c r="F49" s="28"/>
      <c r="G49" s="28"/>
      <c r="H49" s="28"/>
      <c r="I49" s="28"/>
      <c r="J49" s="51"/>
      <c r="K49" s="52"/>
      <c r="L49" s="51" t="s">
        <v>203</v>
      </c>
      <c r="M49" s="28"/>
      <c r="N49" s="6"/>
    </row>
    <row r="50" spans="1:14" ht="15.75">
      <c r="A50" s="27"/>
      <c r="B50" s="28" t="s">
        <v>37</v>
      </c>
      <c r="C50" s="28"/>
      <c r="D50" s="28"/>
      <c r="E50" s="28"/>
      <c r="F50" s="28"/>
      <c r="G50" s="28"/>
      <c r="H50" s="28"/>
      <c r="I50" s="28"/>
      <c r="J50" s="51"/>
      <c r="K50" s="52"/>
      <c r="L50" s="51">
        <v>38079</v>
      </c>
      <c r="M50" s="28"/>
      <c r="N50" s="6"/>
    </row>
    <row r="51" spans="1:14" ht="15.75">
      <c r="A51" s="27"/>
      <c r="B51" s="28"/>
      <c r="C51" s="28"/>
      <c r="D51" s="28"/>
      <c r="E51" s="28"/>
      <c r="F51" s="28"/>
      <c r="G51" s="28"/>
      <c r="H51" s="28"/>
      <c r="I51" s="28"/>
      <c r="J51" s="51"/>
      <c r="K51" s="52"/>
      <c r="L51" s="51"/>
      <c r="M51" s="28"/>
      <c r="N51" s="6"/>
    </row>
    <row r="52" spans="1:14" ht="15.75">
      <c r="A52" s="7"/>
      <c r="B52" s="9"/>
      <c r="C52" s="9"/>
      <c r="D52" s="9"/>
      <c r="E52" s="9"/>
      <c r="F52" s="9"/>
      <c r="G52" s="9"/>
      <c r="H52" s="9"/>
      <c r="I52" s="9"/>
      <c r="J52" s="53"/>
      <c r="K52" s="54"/>
      <c r="L52" s="53"/>
      <c r="M52" s="9"/>
      <c r="N52" s="6"/>
    </row>
    <row r="53" spans="1:14" ht="19.5" thickBot="1">
      <c r="A53" s="118"/>
      <c r="B53" s="119" t="s">
        <v>204</v>
      </c>
      <c r="C53" s="120"/>
      <c r="D53" s="120"/>
      <c r="E53" s="120"/>
      <c r="F53" s="120"/>
      <c r="G53" s="120"/>
      <c r="H53" s="120"/>
      <c r="I53" s="120"/>
      <c r="J53" s="121"/>
      <c r="K53" s="122"/>
      <c r="L53" s="121"/>
      <c r="M53" s="123"/>
      <c r="N53" s="6"/>
    </row>
    <row r="54" spans="1:14" ht="15.75">
      <c r="A54" s="2"/>
      <c r="B54" s="5"/>
      <c r="C54" s="5"/>
      <c r="D54" s="5"/>
      <c r="E54" s="5"/>
      <c r="F54" s="5"/>
      <c r="G54" s="5"/>
      <c r="H54" s="5"/>
      <c r="I54" s="5"/>
      <c r="J54" s="5"/>
      <c r="K54" s="5"/>
      <c r="L54" s="56"/>
      <c r="M54" s="5"/>
      <c r="N54" s="6"/>
    </row>
    <row r="55" spans="1:14" ht="15.75">
      <c r="A55" s="7"/>
      <c r="B55" s="57" t="s">
        <v>39</v>
      </c>
      <c r="C55" s="15"/>
      <c r="D55" s="9"/>
      <c r="E55" s="9"/>
      <c r="F55" s="9"/>
      <c r="G55" s="9"/>
      <c r="H55" s="9"/>
      <c r="I55" s="9"/>
      <c r="J55" s="9"/>
      <c r="K55" s="9"/>
      <c r="L55" s="58"/>
      <c r="M55" s="9"/>
      <c r="N55" s="6"/>
    </row>
    <row r="56" spans="1:14" ht="15.75">
      <c r="A56" s="7"/>
      <c r="B56" s="15"/>
      <c r="C56" s="15"/>
      <c r="D56" s="9"/>
      <c r="E56" s="9"/>
      <c r="F56" s="9"/>
      <c r="G56" s="9"/>
      <c r="H56" s="9"/>
      <c r="I56" s="9"/>
      <c r="J56" s="9"/>
      <c r="K56" s="9"/>
      <c r="L56" s="58"/>
      <c r="M56" s="9"/>
      <c r="N56" s="6"/>
    </row>
    <row r="57" spans="1:14" ht="63">
      <c r="A57" s="7"/>
      <c r="B57" s="134" t="s">
        <v>40</v>
      </c>
      <c r="C57" s="135" t="s">
        <v>149</v>
      </c>
      <c r="D57" s="135" t="s">
        <v>151</v>
      </c>
      <c r="E57" s="135"/>
      <c r="F57" s="135" t="s">
        <v>163</v>
      </c>
      <c r="G57" s="135"/>
      <c r="H57" s="135" t="s">
        <v>173</v>
      </c>
      <c r="I57" s="135"/>
      <c r="J57" s="135" t="s">
        <v>180</v>
      </c>
      <c r="K57" s="135"/>
      <c r="L57" s="136" t="s">
        <v>192</v>
      </c>
      <c r="M57" s="9"/>
      <c r="N57" s="6"/>
    </row>
    <row r="58" spans="1:14" ht="15.75">
      <c r="A58" s="27"/>
      <c r="B58" s="28" t="s">
        <v>41</v>
      </c>
      <c r="C58" s="38">
        <v>421950</v>
      </c>
      <c r="D58" s="38">
        <v>417967</v>
      </c>
      <c r="E58" s="38"/>
      <c r="F58" s="38">
        <f>17501+3+4857</f>
        <v>22361</v>
      </c>
      <c r="G58" s="38"/>
      <c r="H58" s="38">
        <f>3+4857</f>
        <v>4860</v>
      </c>
      <c r="I58" s="38"/>
      <c r="J58" s="38">
        <v>0</v>
      </c>
      <c r="K58" s="38"/>
      <c r="L58" s="59">
        <f>D58-F58+H58-J58</f>
        <v>400466</v>
      </c>
      <c r="M58" s="28"/>
      <c r="N58" s="6"/>
    </row>
    <row r="59" spans="1:14" ht="15.75">
      <c r="A59" s="27"/>
      <c r="B59" s="28" t="s">
        <v>42</v>
      </c>
      <c r="C59" s="38">
        <v>54</v>
      </c>
      <c r="D59" s="38">
        <v>0</v>
      </c>
      <c r="E59" s="38"/>
      <c r="F59" s="38">
        <v>0</v>
      </c>
      <c r="G59" s="38"/>
      <c r="H59" s="38">
        <v>0</v>
      </c>
      <c r="I59" s="38"/>
      <c r="J59" s="38">
        <v>0</v>
      </c>
      <c r="K59" s="38"/>
      <c r="L59" s="59">
        <f>D59-F59+H59-J59</f>
        <v>0</v>
      </c>
      <c r="M59" s="28"/>
      <c r="N59" s="6"/>
    </row>
    <row r="60" spans="1:14" ht="15.75">
      <c r="A60" s="27"/>
      <c r="B60" s="28"/>
      <c r="C60" s="38"/>
      <c r="D60" s="38"/>
      <c r="E60" s="38"/>
      <c r="F60" s="38"/>
      <c r="G60" s="38"/>
      <c r="H60" s="38"/>
      <c r="I60" s="38"/>
      <c r="J60" s="38"/>
      <c r="K60" s="38"/>
      <c r="L60" s="59"/>
      <c r="M60" s="28"/>
      <c r="N60" s="6"/>
    </row>
    <row r="61" spans="1:14" ht="15.75">
      <c r="A61" s="27"/>
      <c r="B61" s="28" t="s">
        <v>43</v>
      </c>
      <c r="C61" s="38">
        <f>SUM(C58:C60)</f>
        <v>422004</v>
      </c>
      <c r="D61" s="38">
        <f>SUM(D58:D60)</f>
        <v>417967</v>
      </c>
      <c r="E61" s="38"/>
      <c r="F61" s="38">
        <f>SUM(F58:F60)</f>
        <v>22361</v>
      </c>
      <c r="G61" s="38"/>
      <c r="H61" s="38">
        <f>SUM(H58:H60)</f>
        <v>4860</v>
      </c>
      <c r="I61" s="38"/>
      <c r="J61" s="38">
        <f>SUM(J58:J60)</f>
        <v>0</v>
      </c>
      <c r="K61" s="38"/>
      <c r="L61" s="60">
        <f>SUM(L58:L60)</f>
        <v>400466</v>
      </c>
      <c r="M61" s="28"/>
      <c r="N61" s="6"/>
    </row>
    <row r="62" spans="1:14" ht="15.75">
      <c r="A62" s="27"/>
      <c r="B62" s="28"/>
      <c r="C62" s="38"/>
      <c r="D62" s="38"/>
      <c r="E62" s="38"/>
      <c r="F62" s="38"/>
      <c r="G62" s="38"/>
      <c r="H62" s="38"/>
      <c r="I62" s="38"/>
      <c r="J62" s="38"/>
      <c r="K62" s="38"/>
      <c r="L62" s="60"/>
      <c r="M62" s="28"/>
      <c r="N62" s="6"/>
    </row>
    <row r="63" spans="1:14" ht="15.75">
      <c r="A63" s="7"/>
      <c r="B63" s="131" t="s">
        <v>44</v>
      </c>
      <c r="C63" s="61"/>
      <c r="D63" s="61"/>
      <c r="E63" s="61"/>
      <c r="F63" s="61"/>
      <c r="G63" s="61"/>
      <c r="H63" s="61"/>
      <c r="I63" s="61"/>
      <c r="J63" s="61"/>
      <c r="K63" s="61"/>
      <c r="L63" s="62"/>
      <c r="M63" s="9"/>
      <c r="N63" s="6"/>
    </row>
    <row r="64" spans="1:14" ht="15.75">
      <c r="A64" s="7"/>
      <c r="B64" s="9"/>
      <c r="C64" s="61"/>
      <c r="D64" s="61"/>
      <c r="E64" s="61"/>
      <c r="F64" s="61"/>
      <c r="G64" s="61"/>
      <c r="H64" s="61"/>
      <c r="I64" s="61"/>
      <c r="J64" s="61"/>
      <c r="K64" s="61"/>
      <c r="L64" s="62"/>
      <c r="M64" s="9"/>
      <c r="N64" s="6"/>
    </row>
    <row r="65" spans="1:14" ht="15.75">
      <c r="A65" s="27"/>
      <c r="B65" s="28" t="s">
        <v>41</v>
      </c>
      <c r="C65" s="38"/>
      <c r="D65" s="38"/>
      <c r="E65" s="38"/>
      <c r="F65" s="38"/>
      <c r="G65" s="38"/>
      <c r="H65" s="38"/>
      <c r="I65" s="38"/>
      <c r="J65" s="38"/>
      <c r="K65" s="38"/>
      <c r="L65" s="60"/>
      <c r="M65" s="28"/>
      <c r="N65" s="6"/>
    </row>
    <row r="66" spans="1:14" ht="15.75">
      <c r="A66" s="27"/>
      <c r="B66" s="28" t="s">
        <v>42</v>
      </c>
      <c r="C66" s="38"/>
      <c r="D66" s="38"/>
      <c r="E66" s="38"/>
      <c r="F66" s="38"/>
      <c r="G66" s="38"/>
      <c r="H66" s="38"/>
      <c r="I66" s="38"/>
      <c r="J66" s="38"/>
      <c r="K66" s="38"/>
      <c r="L66" s="60"/>
      <c r="M66" s="28"/>
      <c r="N66" s="6"/>
    </row>
    <row r="67" spans="1:14" ht="15.75">
      <c r="A67" s="27"/>
      <c r="B67" s="28"/>
      <c r="C67" s="38"/>
      <c r="D67" s="38"/>
      <c r="E67" s="38"/>
      <c r="F67" s="38"/>
      <c r="G67" s="38"/>
      <c r="H67" s="38"/>
      <c r="I67" s="38"/>
      <c r="J67" s="38"/>
      <c r="K67" s="38"/>
      <c r="L67" s="60"/>
      <c r="M67" s="28"/>
      <c r="N67" s="6"/>
    </row>
    <row r="68" spans="1:14" ht="15.75">
      <c r="A68" s="27"/>
      <c r="B68" s="28" t="s">
        <v>43</v>
      </c>
      <c r="C68" s="38"/>
      <c r="D68" s="38"/>
      <c r="E68" s="38"/>
      <c r="F68" s="38"/>
      <c r="G68" s="38"/>
      <c r="H68" s="38"/>
      <c r="I68" s="38"/>
      <c r="J68" s="38"/>
      <c r="K68" s="38"/>
      <c r="L68" s="38"/>
      <c r="M68" s="28"/>
      <c r="N68" s="6"/>
    </row>
    <row r="69" spans="1:14" ht="15.75">
      <c r="A69" s="27"/>
      <c r="B69" s="28"/>
      <c r="C69" s="38"/>
      <c r="D69" s="38"/>
      <c r="E69" s="38"/>
      <c r="F69" s="38"/>
      <c r="G69" s="38"/>
      <c r="H69" s="38"/>
      <c r="I69" s="38"/>
      <c r="J69" s="38"/>
      <c r="K69" s="38"/>
      <c r="L69" s="38"/>
      <c r="M69" s="28"/>
      <c r="N69" s="6"/>
    </row>
    <row r="70" spans="1:14" ht="15.75">
      <c r="A70" s="27"/>
      <c r="B70" s="28" t="s">
        <v>45</v>
      </c>
      <c r="C70" s="38">
        <v>0</v>
      </c>
      <c r="D70" s="38">
        <v>0</v>
      </c>
      <c r="E70" s="38"/>
      <c r="F70" s="38"/>
      <c r="G70" s="38"/>
      <c r="H70" s="38"/>
      <c r="I70" s="38"/>
      <c r="J70" s="38"/>
      <c r="K70" s="38"/>
      <c r="L70" s="59">
        <f>D70-F70+H70-J70</f>
        <v>0</v>
      </c>
      <c r="M70" s="28"/>
      <c r="N70" s="6"/>
    </row>
    <row r="71" spans="1:14" ht="15.75">
      <c r="A71" s="27"/>
      <c r="B71" s="28" t="s">
        <v>46</v>
      </c>
      <c r="C71" s="38">
        <v>77996</v>
      </c>
      <c r="D71" s="38">
        <v>0</v>
      </c>
      <c r="E71" s="38"/>
      <c r="F71" s="38"/>
      <c r="G71" s="38"/>
      <c r="H71" s="38"/>
      <c r="I71" s="38"/>
      <c r="J71" s="38"/>
      <c r="K71" s="38"/>
      <c r="L71" s="60">
        <v>0</v>
      </c>
      <c r="M71" s="28"/>
      <c r="N71" s="6"/>
    </row>
    <row r="72" spans="1:14" ht="15.75">
      <c r="A72" s="27"/>
      <c r="B72" s="28" t="s">
        <v>47</v>
      </c>
      <c r="C72" s="38">
        <v>0</v>
      </c>
      <c r="D72" s="38">
        <v>6</v>
      </c>
      <c r="E72" s="38"/>
      <c r="F72" s="38"/>
      <c r="G72" s="38"/>
      <c r="H72" s="38"/>
      <c r="I72" s="38"/>
      <c r="J72" s="38"/>
      <c r="K72" s="38"/>
      <c r="L72" s="60">
        <v>0</v>
      </c>
      <c r="M72" s="28"/>
      <c r="N72" s="6"/>
    </row>
    <row r="73" spans="1:14" ht="15.75">
      <c r="A73" s="27"/>
      <c r="B73" s="28" t="s">
        <v>48</v>
      </c>
      <c r="C73" s="60">
        <f>SUM(C61:C72)</f>
        <v>500000</v>
      </c>
      <c r="D73" s="60">
        <f>SUM(D61:D72)</f>
        <v>417973</v>
      </c>
      <c r="E73" s="38"/>
      <c r="F73" s="60"/>
      <c r="G73" s="38"/>
      <c r="H73" s="60"/>
      <c r="I73" s="38"/>
      <c r="J73" s="60"/>
      <c r="K73" s="38"/>
      <c r="L73" s="60">
        <f>SUM(L61:L72)</f>
        <v>400466</v>
      </c>
      <c r="M73" s="28"/>
      <c r="N73" s="6"/>
    </row>
    <row r="74" spans="1:14" ht="15.75">
      <c r="A74" s="7"/>
      <c r="B74" s="9"/>
      <c r="C74" s="9"/>
      <c r="D74" s="9"/>
      <c r="E74" s="9"/>
      <c r="F74" s="9"/>
      <c r="G74" s="9"/>
      <c r="H74" s="9"/>
      <c r="I74" s="9"/>
      <c r="J74" s="9"/>
      <c r="K74" s="9"/>
      <c r="L74" s="9"/>
      <c r="M74" s="9"/>
      <c r="N74" s="6"/>
    </row>
    <row r="75" spans="1:14" ht="15.75">
      <c r="A75" s="7"/>
      <c r="B75" s="57" t="s">
        <v>49</v>
      </c>
      <c r="C75" s="16"/>
      <c r="D75" s="16"/>
      <c r="E75" s="16"/>
      <c r="F75" s="16"/>
      <c r="G75" s="16"/>
      <c r="H75" s="16"/>
      <c r="I75" s="19"/>
      <c r="J75" s="19" t="s">
        <v>181</v>
      </c>
      <c r="K75" s="19"/>
      <c r="L75" s="19" t="s">
        <v>193</v>
      </c>
      <c r="M75" s="9"/>
      <c r="N75" s="6"/>
    </row>
    <row r="76" spans="1:14" ht="15.75">
      <c r="A76" s="27"/>
      <c r="B76" s="28" t="s">
        <v>50</v>
      </c>
      <c r="C76" s="28"/>
      <c r="D76" s="28"/>
      <c r="E76" s="28"/>
      <c r="F76" s="28"/>
      <c r="G76" s="28"/>
      <c r="H76" s="28"/>
      <c r="I76" s="28"/>
      <c r="J76" s="38">
        <v>0</v>
      </c>
      <c r="K76" s="28"/>
      <c r="L76" s="59">
        <v>0</v>
      </c>
      <c r="M76" s="28"/>
      <c r="N76" s="6"/>
    </row>
    <row r="77" spans="1:14" ht="15.75">
      <c r="A77" s="27"/>
      <c r="B77" s="28" t="s">
        <v>51</v>
      </c>
      <c r="C77" s="47" t="s">
        <v>150</v>
      </c>
      <c r="D77" s="63">
        <f>J158</f>
        <v>38077</v>
      </c>
      <c r="E77" s="28"/>
      <c r="F77" s="28"/>
      <c r="G77" s="28"/>
      <c r="H77" s="28"/>
      <c r="I77" s="28"/>
      <c r="J77" s="38">
        <f>22361+6</f>
        <v>22367</v>
      </c>
      <c r="K77" s="28"/>
      <c r="L77" s="59"/>
      <c r="M77" s="28"/>
      <c r="N77" s="6"/>
    </row>
    <row r="78" spans="1:14" ht="15.75">
      <c r="A78" s="27"/>
      <c r="B78" s="28" t="s">
        <v>52</v>
      </c>
      <c r="C78" s="28"/>
      <c r="D78" s="28"/>
      <c r="E78" s="28"/>
      <c r="F78" s="28"/>
      <c r="G78" s="28"/>
      <c r="H78" s="28"/>
      <c r="I78" s="28"/>
      <c r="J78" s="38"/>
      <c r="K78" s="28"/>
      <c r="L78" s="59">
        <f>6269-7</f>
        <v>6262</v>
      </c>
      <c r="M78" s="28"/>
      <c r="N78" s="6"/>
    </row>
    <row r="79" spans="1:14" ht="15.75">
      <c r="A79" s="27"/>
      <c r="B79" s="28" t="s">
        <v>53</v>
      </c>
      <c r="C79" s="28"/>
      <c r="D79" s="28"/>
      <c r="E79" s="28"/>
      <c r="F79" s="28"/>
      <c r="G79" s="28"/>
      <c r="H79" s="28"/>
      <c r="I79" s="28"/>
      <c r="J79" s="38"/>
      <c r="K79" s="28"/>
      <c r="L79" s="59">
        <v>0</v>
      </c>
      <c r="M79" s="28"/>
      <c r="N79" s="6"/>
    </row>
    <row r="80" spans="1:14" ht="15.75">
      <c r="A80" s="27"/>
      <c r="B80" s="28" t="s">
        <v>54</v>
      </c>
      <c r="C80" s="28"/>
      <c r="D80" s="28"/>
      <c r="E80" s="28"/>
      <c r="F80" s="28"/>
      <c r="G80" s="28"/>
      <c r="H80" s="28"/>
      <c r="I80" s="28"/>
      <c r="J80" s="38">
        <f>SUM(J76:J79)</f>
        <v>22367</v>
      </c>
      <c r="K80" s="28"/>
      <c r="L80" s="60">
        <f>SUM(L76:L79)</f>
        <v>6262</v>
      </c>
      <c r="M80" s="28"/>
      <c r="N80" s="6"/>
    </row>
    <row r="81" spans="1:14" ht="15.75">
      <c r="A81" s="27"/>
      <c r="B81" s="28" t="s">
        <v>55</v>
      </c>
      <c r="C81" s="28"/>
      <c r="D81" s="28"/>
      <c r="E81" s="28"/>
      <c r="F81" s="28"/>
      <c r="G81" s="28"/>
      <c r="H81" s="28"/>
      <c r="I81" s="28"/>
      <c r="J81" s="38">
        <v>0</v>
      </c>
      <c r="K81" s="28"/>
      <c r="L81" s="59">
        <v>0</v>
      </c>
      <c r="M81" s="28"/>
      <c r="N81" s="6"/>
    </row>
    <row r="82" spans="1:14" ht="15.75">
      <c r="A82" s="27"/>
      <c r="B82" s="28" t="s">
        <v>56</v>
      </c>
      <c r="C82" s="28"/>
      <c r="D82" s="28"/>
      <c r="E82" s="28"/>
      <c r="F82" s="28"/>
      <c r="G82" s="28"/>
      <c r="H82" s="28"/>
      <c r="I82" s="28"/>
      <c r="J82" s="38">
        <f>J80+J81</f>
        <v>22367</v>
      </c>
      <c r="K82" s="28"/>
      <c r="L82" s="60">
        <f>L80+L81</f>
        <v>6262</v>
      </c>
      <c r="M82" s="28"/>
      <c r="N82" s="6"/>
    </row>
    <row r="83" spans="1:14" ht="15.75">
      <c r="A83" s="27"/>
      <c r="B83" s="137" t="s">
        <v>57</v>
      </c>
      <c r="C83" s="64"/>
      <c r="D83" s="28"/>
      <c r="E83" s="28"/>
      <c r="F83" s="28"/>
      <c r="G83" s="28"/>
      <c r="H83" s="28"/>
      <c r="I83" s="28"/>
      <c r="J83" s="38"/>
      <c r="K83" s="28"/>
      <c r="L83" s="59"/>
      <c r="M83" s="28"/>
      <c r="N83" s="6"/>
    </row>
    <row r="84" spans="1:14" ht="15.75">
      <c r="A84" s="27">
        <v>1</v>
      </c>
      <c r="B84" s="28" t="s">
        <v>58</v>
      </c>
      <c r="C84" s="28"/>
      <c r="D84" s="28"/>
      <c r="E84" s="28"/>
      <c r="F84" s="28"/>
      <c r="G84" s="28"/>
      <c r="H84" s="28"/>
      <c r="I84" s="28"/>
      <c r="J84" s="28"/>
      <c r="K84" s="28"/>
      <c r="L84" s="59">
        <v>0</v>
      </c>
      <c r="M84" s="28"/>
      <c r="N84" s="6"/>
    </row>
    <row r="85" spans="1:14" ht="15.75">
      <c r="A85" s="27">
        <v>2</v>
      </c>
      <c r="B85" s="28" t="s">
        <v>59</v>
      </c>
      <c r="C85" s="28"/>
      <c r="D85" s="28"/>
      <c r="E85" s="28"/>
      <c r="F85" s="28"/>
      <c r="G85" s="28"/>
      <c r="H85" s="28"/>
      <c r="I85" s="28"/>
      <c r="J85" s="28"/>
      <c r="K85" s="28"/>
      <c r="L85" s="59">
        <v>-5</v>
      </c>
      <c r="M85" s="28"/>
      <c r="N85" s="6"/>
    </row>
    <row r="86" spans="1:14" ht="15.75">
      <c r="A86" s="27">
        <v>3</v>
      </c>
      <c r="B86" s="28" t="s">
        <v>60</v>
      </c>
      <c r="C86" s="28"/>
      <c r="D86" s="28"/>
      <c r="E86" s="28"/>
      <c r="F86" s="28"/>
      <c r="G86" s="28"/>
      <c r="H86" s="28"/>
      <c r="I86" s="28"/>
      <c r="J86" s="28"/>
      <c r="K86" s="28"/>
      <c r="L86" s="59">
        <f>-314-6</f>
        <v>-320</v>
      </c>
      <c r="M86" s="28"/>
      <c r="N86" s="6"/>
    </row>
    <row r="87" spans="1:14" ht="15.75">
      <c r="A87" s="27">
        <v>4</v>
      </c>
      <c r="B87" s="28" t="s">
        <v>61</v>
      </c>
      <c r="C87" s="28"/>
      <c r="D87" s="28"/>
      <c r="E87" s="28"/>
      <c r="F87" s="28"/>
      <c r="G87" s="28"/>
      <c r="H87" s="28"/>
      <c r="I87" s="28"/>
      <c r="J87" s="28"/>
      <c r="K87" s="28"/>
      <c r="L87" s="59">
        <v>-239</v>
      </c>
      <c r="M87" s="28"/>
      <c r="N87" s="6"/>
    </row>
    <row r="88" spans="1:14" ht="15.75">
      <c r="A88" s="27">
        <v>5</v>
      </c>
      <c r="B88" s="28" t="s">
        <v>62</v>
      </c>
      <c r="C88" s="28"/>
      <c r="D88" s="28"/>
      <c r="E88" s="28"/>
      <c r="F88" s="28"/>
      <c r="G88" s="28"/>
      <c r="H88" s="28"/>
      <c r="I88" s="28"/>
      <c r="J88" s="28"/>
      <c r="K88" s="28"/>
      <c r="L88" s="59">
        <v>-4028</v>
      </c>
      <c r="M88" s="28"/>
      <c r="N88" s="6"/>
    </row>
    <row r="89" spans="1:14" ht="15.75">
      <c r="A89" s="27">
        <v>6</v>
      </c>
      <c r="B89" s="28" t="s">
        <v>63</v>
      </c>
      <c r="C89" s="28"/>
      <c r="D89" s="28"/>
      <c r="E89" s="28"/>
      <c r="F89" s="28"/>
      <c r="G89" s="28"/>
      <c r="H89" s="28"/>
      <c r="I89" s="28"/>
      <c r="J89" s="28"/>
      <c r="K89" s="28"/>
      <c r="L89" s="59">
        <v>-518</v>
      </c>
      <c r="M89" s="28"/>
      <c r="N89" s="6"/>
    </row>
    <row r="90" spans="1:14" ht="15.75">
      <c r="A90" s="27">
        <v>7</v>
      </c>
      <c r="B90" s="28" t="s">
        <v>64</v>
      </c>
      <c r="C90" s="28"/>
      <c r="D90" s="28"/>
      <c r="E90" s="28"/>
      <c r="F90" s="28"/>
      <c r="G90" s="28"/>
      <c r="H90" s="28"/>
      <c r="I90" s="28"/>
      <c r="J90" s="28"/>
      <c r="K90" s="28"/>
      <c r="L90" s="59">
        <v>-5</v>
      </c>
      <c r="M90" s="28"/>
      <c r="N90" s="6"/>
    </row>
    <row r="91" spans="1:14" ht="15.75">
      <c r="A91" s="27">
        <v>8</v>
      </c>
      <c r="B91" s="28" t="s">
        <v>65</v>
      </c>
      <c r="C91" s="28"/>
      <c r="D91" s="28"/>
      <c r="E91" s="28"/>
      <c r="F91" s="28"/>
      <c r="G91" s="28"/>
      <c r="H91" s="28"/>
      <c r="I91" s="28"/>
      <c r="J91" s="28"/>
      <c r="K91" s="28"/>
      <c r="L91" s="59">
        <v>0</v>
      </c>
      <c r="M91" s="28"/>
      <c r="N91" s="6"/>
    </row>
    <row r="92" spans="1:14" ht="15.75">
      <c r="A92" s="27">
        <v>9</v>
      </c>
      <c r="B92" s="28" t="s">
        <v>66</v>
      </c>
      <c r="C92" s="28"/>
      <c r="D92" s="28"/>
      <c r="E92" s="28"/>
      <c r="F92" s="28"/>
      <c r="G92" s="28"/>
      <c r="H92" s="28"/>
      <c r="I92" s="28"/>
      <c r="J92" s="28"/>
      <c r="K92" s="28"/>
      <c r="L92" s="59">
        <v>0</v>
      </c>
      <c r="M92" s="28"/>
      <c r="N92" s="6"/>
    </row>
    <row r="93" spans="1:14" ht="15.75">
      <c r="A93" s="27">
        <v>10</v>
      </c>
      <c r="B93" s="28" t="s">
        <v>67</v>
      </c>
      <c r="C93" s="28"/>
      <c r="D93" s="28"/>
      <c r="E93" s="28"/>
      <c r="F93" s="28"/>
      <c r="G93" s="28"/>
      <c r="H93" s="28"/>
      <c r="I93" s="28"/>
      <c r="J93" s="28"/>
      <c r="K93" s="28"/>
      <c r="L93" s="59">
        <v>0</v>
      </c>
      <c r="M93" s="28"/>
      <c r="N93" s="6"/>
    </row>
    <row r="94" spans="1:14" ht="15.75">
      <c r="A94" s="27">
        <v>11</v>
      </c>
      <c r="B94" s="28" t="s">
        <v>68</v>
      </c>
      <c r="C94" s="28"/>
      <c r="D94" s="28"/>
      <c r="E94" s="28"/>
      <c r="F94" s="28"/>
      <c r="G94" s="28"/>
      <c r="H94" s="28"/>
      <c r="I94" s="28"/>
      <c r="J94" s="28"/>
      <c r="K94" s="28"/>
      <c r="L94" s="59">
        <v>0</v>
      </c>
      <c r="M94" s="28"/>
      <c r="N94" s="6"/>
    </row>
    <row r="95" spans="1:14" ht="15.75">
      <c r="A95" s="27">
        <v>12</v>
      </c>
      <c r="B95" s="28" t="s">
        <v>69</v>
      </c>
      <c r="C95" s="28"/>
      <c r="D95" s="28"/>
      <c r="E95" s="28"/>
      <c r="F95" s="28"/>
      <c r="G95" s="28"/>
      <c r="H95" s="28"/>
      <c r="I95" s="28"/>
      <c r="J95" s="28"/>
      <c r="K95" s="28"/>
      <c r="L95" s="59">
        <f>-40-222</f>
        <v>-262</v>
      </c>
      <c r="M95" s="28"/>
      <c r="N95" s="6"/>
    </row>
    <row r="96" spans="1:14" ht="15.75">
      <c r="A96" s="27">
        <v>13</v>
      </c>
      <c r="B96" s="28" t="s">
        <v>70</v>
      </c>
      <c r="C96" s="28"/>
      <c r="D96" s="28"/>
      <c r="E96" s="28"/>
      <c r="F96" s="28"/>
      <c r="G96" s="28"/>
      <c r="H96" s="28"/>
      <c r="I96" s="28"/>
      <c r="J96" s="28"/>
      <c r="K96" s="28"/>
      <c r="L96" s="59">
        <f>-SUM(L82:L95)</f>
        <v>-885</v>
      </c>
      <c r="M96" s="28"/>
      <c r="N96" s="6"/>
    </row>
    <row r="97" spans="1:14" ht="15.75">
      <c r="A97" s="27"/>
      <c r="B97" s="137" t="s">
        <v>71</v>
      </c>
      <c r="C97" s="64"/>
      <c r="D97" s="28"/>
      <c r="E97" s="28"/>
      <c r="F97" s="28"/>
      <c r="G97" s="28"/>
      <c r="H97" s="28"/>
      <c r="I97" s="28"/>
      <c r="J97" s="28"/>
      <c r="K97" s="28"/>
      <c r="L97" s="65"/>
      <c r="M97" s="28"/>
      <c r="N97" s="6"/>
    </row>
    <row r="98" spans="1:14" ht="15.75">
      <c r="A98" s="27"/>
      <c r="B98" s="28" t="s">
        <v>72</v>
      </c>
      <c r="C98" s="64"/>
      <c r="D98" s="28"/>
      <c r="E98" s="28"/>
      <c r="F98" s="28"/>
      <c r="G98" s="28"/>
      <c r="H98" s="28"/>
      <c r="I98" s="28"/>
      <c r="J98" s="38">
        <f>-J144</f>
        <v>-3</v>
      </c>
      <c r="K98" s="38"/>
      <c r="L98" s="59"/>
      <c r="M98" s="28"/>
      <c r="N98" s="6"/>
    </row>
    <row r="99" spans="1:14" ht="15.75">
      <c r="A99" s="27"/>
      <c r="B99" s="28" t="s">
        <v>73</v>
      </c>
      <c r="C99" s="28"/>
      <c r="D99" s="28"/>
      <c r="E99" s="28"/>
      <c r="F99" s="28"/>
      <c r="G99" s="28"/>
      <c r="H99" s="28"/>
      <c r="I99" s="28"/>
      <c r="J99" s="38">
        <f>-H144</f>
        <v>-4857</v>
      </c>
      <c r="K99" s="38"/>
      <c r="L99" s="59"/>
      <c r="M99" s="28"/>
      <c r="N99" s="6"/>
    </row>
    <row r="100" spans="1:14" ht="15.75">
      <c r="A100" s="27"/>
      <c r="B100" s="28" t="s">
        <v>74</v>
      </c>
      <c r="C100" s="28"/>
      <c r="D100" s="28"/>
      <c r="E100" s="28"/>
      <c r="F100" s="28"/>
      <c r="G100" s="28"/>
      <c r="H100" s="28"/>
      <c r="I100" s="28"/>
      <c r="J100" s="38">
        <v>-17507</v>
      </c>
      <c r="K100" s="38"/>
      <c r="L100" s="59"/>
      <c r="M100" s="28"/>
      <c r="N100" s="6"/>
    </row>
    <row r="101" spans="1:14" ht="15.75">
      <c r="A101" s="27"/>
      <c r="B101" s="28" t="s">
        <v>75</v>
      </c>
      <c r="C101" s="28"/>
      <c r="D101" s="28"/>
      <c r="E101" s="28"/>
      <c r="F101" s="28"/>
      <c r="G101" s="28"/>
      <c r="H101" s="28"/>
      <c r="I101" s="28"/>
      <c r="J101" s="38">
        <v>0</v>
      </c>
      <c r="K101" s="38"/>
      <c r="L101" s="59"/>
      <c r="M101" s="28"/>
      <c r="N101" s="6"/>
    </row>
    <row r="102" spans="1:14" ht="15.75">
      <c r="A102" s="27"/>
      <c r="B102" s="28" t="s">
        <v>76</v>
      </c>
      <c r="C102" s="28"/>
      <c r="D102" s="28"/>
      <c r="E102" s="28"/>
      <c r="F102" s="28"/>
      <c r="G102" s="28"/>
      <c r="H102" s="28"/>
      <c r="I102" s="28"/>
      <c r="J102" s="38">
        <f>SUM(J83:J101)</f>
        <v>-22367</v>
      </c>
      <c r="K102" s="38"/>
      <c r="L102" s="38">
        <f>SUM(L83:L101)</f>
        <v>-6262</v>
      </c>
      <c r="M102" s="28"/>
      <c r="N102" s="6"/>
    </row>
    <row r="103" spans="1:14" ht="15.75">
      <c r="A103" s="27"/>
      <c r="B103" s="28" t="s">
        <v>77</v>
      </c>
      <c r="C103" s="28"/>
      <c r="D103" s="28"/>
      <c r="E103" s="28"/>
      <c r="F103" s="28"/>
      <c r="G103" s="28"/>
      <c r="H103" s="28"/>
      <c r="I103" s="28"/>
      <c r="J103" s="38">
        <f>J82+J102</f>
        <v>0</v>
      </c>
      <c r="K103" s="38"/>
      <c r="L103" s="38">
        <f>L82+L102</f>
        <v>0</v>
      </c>
      <c r="M103" s="28"/>
      <c r="N103" s="6"/>
    </row>
    <row r="104" spans="1:14" ht="12" customHeight="1">
      <c r="A104" s="7"/>
      <c r="B104" s="9"/>
      <c r="C104" s="9"/>
      <c r="D104" s="9"/>
      <c r="E104" s="9"/>
      <c r="F104" s="9"/>
      <c r="G104" s="9"/>
      <c r="H104" s="9"/>
      <c r="I104" s="9"/>
      <c r="J104" s="9"/>
      <c r="K104" s="9"/>
      <c r="L104" s="58"/>
      <c r="M104" s="9"/>
      <c r="N104" s="6"/>
    </row>
    <row r="105" spans="1:14" ht="12" customHeight="1">
      <c r="A105" s="7"/>
      <c r="B105" s="9"/>
      <c r="C105" s="9"/>
      <c r="D105" s="9"/>
      <c r="E105" s="9"/>
      <c r="F105" s="9"/>
      <c r="G105" s="9"/>
      <c r="H105" s="9"/>
      <c r="I105" s="9"/>
      <c r="J105" s="9"/>
      <c r="K105" s="9"/>
      <c r="L105" s="58"/>
      <c r="M105" s="9"/>
      <c r="N105" s="6"/>
    </row>
    <row r="106" spans="1:14" ht="15.75" customHeight="1" thickBot="1">
      <c r="A106" s="118"/>
      <c r="B106" s="119" t="str">
        <f>B53</f>
        <v>PM4 INVESTOR REPORT QUARTER ENDING MARCH 2004</v>
      </c>
      <c r="C106" s="120"/>
      <c r="D106" s="120"/>
      <c r="E106" s="120"/>
      <c r="F106" s="120"/>
      <c r="G106" s="120"/>
      <c r="H106" s="120"/>
      <c r="I106" s="120"/>
      <c r="J106" s="120"/>
      <c r="K106" s="120"/>
      <c r="L106" s="124"/>
      <c r="M106" s="123"/>
      <c r="N106" s="6"/>
    </row>
    <row r="107" spans="1:14" ht="12" customHeight="1">
      <c r="A107" s="2"/>
      <c r="B107" s="5"/>
      <c r="C107" s="5"/>
      <c r="D107" s="5"/>
      <c r="E107" s="5"/>
      <c r="F107" s="5"/>
      <c r="G107" s="5"/>
      <c r="H107" s="5"/>
      <c r="I107" s="5"/>
      <c r="J107" s="5"/>
      <c r="K107" s="5"/>
      <c r="L107" s="66"/>
      <c r="M107" s="5"/>
      <c r="N107" s="6"/>
    </row>
    <row r="108" spans="1:14" ht="15.75">
      <c r="A108" s="7"/>
      <c r="B108" s="57" t="s">
        <v>78</v>
      </c>
      <c r="C108" s="15"/>
      <c r="D108" s="9"/>
      <c r="E108" s="9"/>
      <c r="F108" s="9"/>
      <c r="G108" s="9"/>
      <c r="H108" s="9"/>
      <c r="I108" s="9"/>
      <c r="J108" s="9"/>
      <c r="K108" s="9"/>
      <c r="L108" s="58"/>
      <c r="M108" s="9"/>
      <c r="N108" s="6"/>
    </row>
    <row r="109" spans="1:14" ht="15.75">
      <c r="A109" s="7"/>
      <c r="B109" s="23"/>
      <c r="C109" s="15"/>
      <c r="D109" s="9"/>
      <c r="E109" s="9"/>
      <c r="F109" s="9"/>
      <c r="G109" s="9"/>
      <c r="H109" s="9"/>
      <c r="I109" s="9"/>
      <c r="J109" s="9"/>
      <c r="K109" s="9"/>
      <c r="L109" s="58"/>
      <c r="M109" s="9"/>
      <c r="N109" s="6"/>
    </row>
    <row r="110" spans="1:14" ht="15.75">
      <c r="A110" s="7"/>
      <c r="B110" s="138" t="s">
        <v>79</v>
      </c>
      <c r="C110" s="15"/>
      <c r="D110" s="9"/>
      <c r="E110" s="9"/>
      <c r="F110" s="9"/>
      <c r="G110" s="9"/>
      <c r="H110" s="9"/>
      <c r="I110" s="9"/>
      <c r="J110" s="9"/>
      <c r="K110" s="9"/>
      <c r="L110" s="58"/>
      <c r="M110" s="9"/>
      <c r="N110" s="6"/>
    </row>
    <row r="111" spans="1:14" ht="15.75">
      <c r="A111" s="27"/>
      <c r="B111" s="28" t="s">
        <v>80</v>
      </c>
      <c r="C111" s="28"/>
      <c r="D111" s="28"/>
      <c r="E111" s="28"/>
      <c r="F111" s="28"/>
      <c r="G111" s="28"/>
      <c r="H111" s="28"/>
      <c r="I111" s="28"/>
      <c r="J111" s="28"/>
      <c r="K111" s="28"/>
      <c r="L111" s="59">
        <v>8750</v>
      </c>
      <c r="M111" s="28"/>
      <c r="N111" s="6"/>
    </row>
    <row r="112" spans="1:14" ht="15.75">
      <c r="A112" s="27"/>
      <c r="B112" s="28" t="s">
        <v>81</v>
      </c>
      <c r="C112" s="28"/>
      <c r="D112" s="28"/>
      <c r="E112" s="28"/>
      <c r="F112" s="28"/>
      <c r="G112" s="28"/>
      <c r="H112" s="28"/>
      <c r="I112" s="28"/>
      <c r="J112" s="28"/>
      <c r="K112" s="28"/>
      <c r="L112" s="59">
        <f>L111</f>
        <v>8750</v>
      </c>
      <c r="M112" s="28"/>
      <c r="N112" s="6"/>
    </row>
    <row r="113" spans="1:14" ht="15.75">
      <c r="A113" s="27"/>
      <c r="B113" s="28" t="s">
        <v>82</v>
      </c>
      <c r="C113" s="28"/>
      <c r="D113" s="28"/>
      <c r="E113" s="28"/>
      <c r="F113" s="28"/>
      <c r="G113" s="28"/>
      <c r="H113" s="28"/>
      <c r="I113" s="28"/>
      <c r="J113" s="28"/>
      <c r="K113" s="28"/>
      <c r="L113" s="59">
        <v>0</v>
      </c>
      <c r="M113" s="28"/>
      <c r="N113" s="6"/>
    </row>
    <row r="114" spans="1:14" ht="15.75">
      <c r="A114" s="27"/>
      <c r="B114" s="28" t="s">
        <v>83</v>
      </c>
      <c r="C114" s="28"/>
      <c r="D114" s="28"/>
      <c r="E114" s="28"/>
      <c r="F114" s="28"/>
      <c r="G114" s="28"/>
      <c r="H114" s="28"/>
      <c r="I114" s="28"/>
      <c r="J114" s="28"/>
      <c r="K114" s="28"/>
      <c r="L114" s="59">
        <v>0</v>
      </c>
      <c r="M114" s="28"/>
      <c r="N114" s="6"/>
    </row>
    <row r="115" spans="1:14" ht="15.75">
      <c r="A115" s="27"/>
      <c r="B115" s="28" t="s">
        <v>84</v>
      </c>
      <c r="C115" s="28"/>
      <c r="D115" s="28"/>
      <c r="E115" s="28"/>
      <c r="F115" s="28"/>
      <c r="G115" s="28"/>
      <c r="H115" s="28"/>
      <c r="I115" s="28"/>
      <c r="J115" s="28"/>
      <c r="K115" s="28"/>
      <c r="L115" s="59">
        <v>0</v>
      </c>
      <c r="M115" s="28"/>
      <c r="N115" s="6"/>
    </row>
    <row r="116" spans="1:14" ht="15.75">
      <c r="A116" s="27"/>
      <c r="B116" s="28" t="s">
        <v>62</v>
      </c>
      <c r="C116" s="28"/>
      <c r="D116" s="28"/>
      <c r="E116" s="28"/>
      <c r="F116" s="28"/>
      <c r="G116" s="28"/>
      <c r="H116" s="28"/>
      <c r="I116" s="28"/>
      <c r="J116" s="28"/>
      <c r="K116" s="28"/>
      <c r="L116" s="59">
        <v>0</v>
      </c>
      <c r="M116" s="28"/>
      <c r="N116" s="6"/>
    </row>
    <row r="117" spans="1:14" ht="15.75">
      <c r="A117" s="27"/>
      <c r="B117" s="28" t="s">
        <v>63</v>
      </c>
      <c r="C117" s="28"/>
      <c r="D117" s="28"/>
      <c r="E117" s="28"/>
      <c r="F117" s="28"/>
      <c r="G117" s="28"/>
      <c r="H117" s="28"/>
      <c r="I117" s="28"/>
      <c r="J117" s="28"/>
      <c r="K117" s="28"/>
      <c r="L117" s="59">
        <v>0</v>
      </c>
      <c r="M117" s="28"/>
      <c r="N117" s="6"/>
    </row>
    <row r="118" spans="1:14" ht="15.75">
      <c r="A118" s="27"/>
      <c r="B118" s="28" t="s">
        <v>85</v>
      </c>
      <c r="C118" s="28"/>
      <c r="D118" s="28"/>
      <c r="E118" s="28"/>
      <c r="F118" s="28"/>
      <c r="G118" s="28"/>
      <c r="H118" s="28"/>
      <c r="I118" s="28"/>
      <c r="J118" s="28"/>
      <c r="K118" s="28"/>
      <c r="L118" s="59">
        <v>0</v>
      </c>
      <c r="M118" s="28"/>
      <c r="N118" s="6"/>
    </row>
    <row r="119" spans="1:14" ht="15.75">
      <c r="A119" s="27"/>
      <c r="B119" s="28" t="s">
        <v>86</v>
      </c>
      <c r="C119" s="28"/>
      <c r="D119" s="28"/>
      <c r="E119" s="28"/>
      <c r="F119" s="28"/>
      <c r="G119" s="28"/>
      <c r="H119" s="28"/>
      <c r="I119" s="28"/>
      <c r="J119" s="28"/>
      <c r="K119" s="28"/>
      <c r="L119" s="59">
        <f>SUM(L112:L118)</f>
        <v>8750</v>
      </c>
      <c r="M119" s="28"/>
      <c r="N119" s="6"/>
    </row>
    <row r="120" spans="1:14" ht="15.75">
      <c r="A120" s="27"/>
      <c r="B120" s="28"/>
      <c r="C120" s="28"/>
      <c r="D120" s="28"/>
      <c r="E120" s="28"/>
      <c r="F120" s="28"/>
      <c r="G120" s="28"/>
      <c r="H120" s="28"/>
      <c r="I120" s="28"/>
      <c r="J120" s="28"/>
      <c r="K120" s="28"/>
      <c r="L120" s="67"/>
      <c r="M120" s="28"/>
      <c r="N120" s="6"/>
    </row>
    <row r="121" spans="1:14" ht="15.75">
      <c r="A121" s="7"/>
      <c r="B121" s="138" t="s">
        <v>87</v>
      </c>
      <c r="C121" s="9"/>
      <c r="D121" s="9"/>
      <c r="E121" s="9"/>
      <c r="F121" s="9"/>
      <c r="G121" s="9"/>
      <c r="H121" s="9"/>
      <c r="I121" s="9"/>
      <c r="J121" s="9"/>
      <c r="K121" s="9"/>
      <c r="L121" s="58"/>
      <c r="M121" s="9"/>
      <c r="N121" s="6"/>
    </row>
    <row r="122" spans="1:14" ht="15.75">
      <c r="A122" s="27"/>
      <c r="B122" s="28" t="s">
        <v>88</v>
      </c>
      <c r="C122" s="28"/>
      <c r="D122" s="68"/>
      <c r="E122" s="28"/>
      <c r="F122" s="28"/>
      <c r="G122" s="28"/>
      <c r="H122" s="28"/>
      <c r="I122" s="28"/>
      <c r="J122" s="28"/>
      <c r="K122" s="28"/>
      <c r="L122" s="69" t="s">
        <v>194</v>
      </c>
      <c r="M122" s="28"/>
      <c r="N122" s="6"/>
    </row>
    <row r="123" spans="1:14" ht="15.75">
      <c r="A123" s="27"/>
      <c r="B123" s="28" t="s">
        <v>89</v>
      </c>
      <c r="C123" s="126"/>
      <c r="D123" s="126"/>
      <c r="E123" s="126"/>
      <c r="F123" s="126"/>
      <c r="G123" s="126"/>
      <c r="H123" s="126"/>
      <c r="I123" s="126"/>
      <c r="J123" s="126"/>
      <c r="K123" s="126"/>
      <c r="L123" s="69" t="s">
        <v>194</v>
      </c>
      <c r="M123" s="28"/>
      <c r="N123" s="6"/>
    </row>
    <row r="124" spans="1:14" ht="15.75">
      <c r="A124" s="27"/>
      <c r="B124" s="28" t="s">
        <v>90</v>
      </c>
      <c r="C124" s="28"/>
      <c r="D124" s="28"/>
      <c r="E124" s="28"/>
      <c r="F124" s="28"/>
      <c r="G124" s="28"/>
      <c r="H124" s="28"/>
      <c r="I124" s="28"/>
      <c r="J124" s="28"/>
      <c r="K124" s="28"/>
      <c r="L124" s="69" t="s">
        <v>194</v>
      </c>
      <c r="M124" s="28"/>
      <c r="N124" s="6"/>
    </row>
    <row r="125" spans="1:14" ht="15.75">
      <c r="A125" s="27"/>
      <c r="B125" s="28" t="s">
        <v>91</v>
      </c>
      <c r="C125" s="28"/>
      <c r="D125" s="28"/>
      <c r="E125" s="28"/>
      <c r="F125" s="28"/>
      <c r="G125" s="28"/>
      <c r="H125" s="28"/>
      <c r="I125" s="28"/>
      <c r="J125" s="28"/>
      <c r="K125" s="28"/>
      <c r="L125" s="69" t="s">
        <v>194</v>
      </c>
      <c r="M125" s="28"/>
      <c r="N125" s="6"/>
    </row>
    <row r="126" spans="1:14" ht="15.75">
      <c r="A126" s="27"/>
      <c r="B126" s="28"/>
      <c r="C126" s="28"/>
      <c r="D126" s="28"/>
      <c r="E126" s="28"/>
      <c r="F126" s="28"/>
      <c r="G126" s="28"/>
      <c r="H126" s="28"/>
      <c r="I126" s="28"/>
      <c r="J126" s="28"/>
      <c r="K126" s="28"/>
      <c r="L126" s="67"/>
      <c r="M126" s="28"/>
      <c r="N126" s="6"/>
    </row>
    <row r="127" spans="1:14" ht="15.75">
      <c r="A127" s="7"/>
      <c r="B127" s="138" t="s">
        <v>92</v>
      </c>
      <c r="C127" s="15"/>
      <c r="D127" s="9"/>
      <c r="E127" s="9"/>
      <c r="F127" s="9"/>
      <c r="G127" s="9"/>
      <c r="H127" s="9"/>
      <c r="I127" s="9"/>
      <c r="J127" s="9"/>
      <c r="K127" s="9"/>
      <c r="L127" s="70"/>
      <c r="M127" s="9"/>
      <c r="N127" s="6"/>
    </row>
    <row r="128" spans="1:14" ht="15.75">
      <c r="A128" s="27"/>
      <c r="B128" s="28" t="s">
        <v>93</v>
      </c>
      <c r="C128" s="28"/>
      <c r="D128" s="28"/>
      <c r="E128" s="28"/>
      <c r="F128" s="28"/>
      <c r="G128" s="28"/>
      <c r="H128" s="28"/>
      <c r="I128" s="28"/>
      <c r="J128" s="28"/>
      <c r="K128" s="28"/>
      <c r="L128" s="59">
        <v>0</v>
      </c>
      <c r="M128" s="28"/>
      <c r="N128" s="6"/>
    </row>
    <row r="129" spans="1:14" ht="15.75">
      <c r="A129" s="27"/>
      <c r="B129" s="28" t="s">
        <v>94</v>
      </c>
      <c r="C129" s="28"/>
      <c r="D129" s="28"/>
      <c r="E129" s="28"/>
      <c r="F129" s="28"/>
      <c r="G129" s="28"/>
      <c r="H129" s="28"/>
      <c r="I129" s="28"/>
      <c r="J129" s="28"/>
      <c r="K129" s="28"/>
      <c r="L129" s="59">
        <v>0</v>
      </c>
      <c r="M129" s="28"/>
      <c r="N129" s="6"/>
    </row>
    <row r="130" spans="1:14" ht="15.75">
      <c r="A130" s="27"/>
      <c r="B130" s="28" t="s">
        <v>95</v>
      </c>
      <c r="C130" s="28"/>
      <c r="D130" s="28"/>
      <c r="E130" s="28"/>
      <c r="F130" s="28"/>
      <c r="G130" s="28"/>
      <c r="H130" s="28"/>
      <c r="I130" s="28"/>
      <c r="J130" s="28"/>
      <c r="K130" s="28"/>
      <c r="L130" s="59">
        <f>L129+L128</f>
        <v>0</v>
      </c>
      <c r="M130" s="28"/>
      <c r="N130" s="6"/>
    </row>
    <row r="131" spans="1:14" ht="15.75">
      <c r="A131" s="27"/>
      <c r="B131" s="28" t="s">
        <v>96</v>
      </c>
      <c r="C131" s="28"/>
      <c r="D131" s="28"/>
      <c r="E131" s="28"/>
      <c r="F131" s="28"/>
      <c r="G131" s="28"/>
      <c r="H131" s="71"/>
      <c r="I131" s="28"/>
      <c r="J131" s="28"/>
      <c r="K131" s="28"/>
      <c r="L131" s="59">
        <v>0</v>
      </c>
      <c r="M131" s="28"/>
      <c r="N131" s="6"/>
    </row>
    <row r="132" spans="1:14" ht="15.75">
      <c r="A132" s="27"/>
      <c r="B132" s="28" t="s">
        <v>97</v>
      </c>
      <c r="C132" s="28"/>
      <c r="D132" s="28"/>
      <c r="E132" s="28"/>
      <c r="F132" s="28"/>
      <c r="G132" s="28"/>
      <c r="H132" s="28"/>
      <c r="I132" s="28"/>
      <c r="J132" s="28"/>
      <c r="K132" s="28"/>
      <c r="L132" s="59">
        <f>L130+L131</f>
        <v>0</v>
      </c>
      <c r="M132" s="28"/>
      <c r="N132" s="6"/>
    </row>
    <row r="133" spans="1:14" ht="7.5" customHeight="1">
      <c r="A133" s="27"/>
      <c r="B133" s="28"/>
      <c r="C133" s="28"/>
      <c r="D133" s="28"/>
      <c r="E133" s="28"/>
      <c r="F133" s="28"/>
      <c r="G133" s="28"/>
      <c r="H133" s="28"/>
      <c r="I133" s="28"/>
      <c r="J133" s="28"/>
      <c r="K133" s="28"/>
      <c r="L133" s="67"/>
      <c r="M133" s="28"/>
      <c r="N133" s="6"/>
    </row>
    <row r="134" spans="1:14" ht="6" customHeight="1">
      <c r="A134" s="2"/>
      <c r="B134" s="5"/>
      <c r="C134" s="5"/>
      <c r="D134" s="5"/>
      <c r="E134" s="5"/>
      <c r="F134" s="5"/>
      <c r="G134" s="5"/>
      <c r="H134" s="5"/>
      <c r="I134" s="5"/>
      <c r="J134" s="5"/>
      <c r="K134" s="5"/>
      <c r="L134" s="66"/>
      <c r="M134" s="5"/>
      <c r="N134" s="6"/>
    </row>
    <row r="135" spans="1:14" ht="15.75">
      <c r="A135" s="7"/>
      <c r="B135" s="138" t="s">
        <v>98</v>
      </c>
      <c r="C135" s="15"/>
      <c r="D135" s="9"/>
      <c r="E135" s="9"/>
      <c r="F135" s="9"/>
      <c r="G135" s="9"/>
      <c r="H135" s="9"/>
      <c r="I135" s="9"/>
      <c r="J135" s="9"/>
      <c r="K135" s="9"/>
      <c r="L135" s="58"/>
      <c r="M135" s="9"/>
      <c r="N135" s="6"/>
    </row>
    <row r="136" spans="1:14" ht="15.75">
      <c r="A136" s="7"/>
      <c r="B136" s="23"/>
      <c r="C136" s="15"/>
      <c r="D136" s="9"/>
      <c r="E136" s="9"/>
      <c r="F136" s="9"/>
      <c r="G136" s="9"/>
      <c r="H136" s="9"/>
      <c r="I136" s="9"/>
      <c r="J136" s="9"/>
      <c r="K136" s="9"/>
      <c r="L136" s="58"/>
      <c r="M136" s="9"/>
      <c r="N136" s="6"/>
    </row>
    <row r="137" spans="1:14" ht="15.75">
      <c r="A137" s="27"/>
      <c r="B137" s="28" t="s">
        <v>99</v>
      </c>
      <c r="C137" s="72"/>
      <c r="D137" s="28"/>
      <c r="E137" s="28"/>
      <c r="F137" s="28"/>
      <c r="G137" s="28"/>
      <c r="H137" s="28"/>
      <c r="I137" s="28"/>
      <c r="J137" s="28"/>
      <c r="K137" s="28"/>
      <c r="L137" s="59">
        <f>L61</f>
        <v>400466</v>
      </c>
      <c r="M137" s="28"/>
      <c r="N137" s="6"/>
    </row>
    <row r="138" spans="1:14" ht="15.75">
      <c r="A138" s="27"/>
      <c r="B138" s="28" t="s">
        <v>100</v>
      </c>
      <c r="C138" s="72"/>
      <c r="D138" s="28"/>
      <c r="E138" s="28"/>
      <c r="F138" s="28"/>
      <c r="G138" s="28"/>
      <c r="H138" s="28"/>
      <c r="I138" s="28"/>
      <c r="J138" s="28"/>
      <c r="K138" s="28"/>
      <c r="L138" s="59">
        <f>L33</f>
        <v>400466.3</v>
      </c>
      <c r="M138" s="28"/>
      <c r="N138" s="6"/>
    </row>
    <row r="139" spans="1:14" ht="7.5" customHeight="1">
      <c r="A139" s="27"/>
      <c r="B139" s="28"/>
      <c r="C139" s="28"/>
      <c r="D139" s="28"/>
      <c r="E139" s="28"/>
      <c r="F139" s="28"/>
      <c r="G139" s="28"/>
      <c r="H139" s="28"/>
      <c r="I139" s="28"/>
      <c r="J139" s="28"/>
      <c r="K139" s="28"/>
      <c r="L139" s="67"/>
      <c r="M139" s="28"/>
      <c r="N139" s="6"/>
    </row>
    <row r="140" spans="1:14" ht="15.75">
      <c r="A140" s="2"/>
      <c r="B140" s="5"/>
      <c r="C140" s="5"/>
      <c r="D140" s="5"/>
      <c r="E140" s="5"/>
      <c r="F140" s="5"/>
      <c r="G140" s="5"/>
      <c r="H140" s="5"/>
      <c r="I140" s="5"/>
      <c r="J140" s="5"/>
      <c r="K140" s="5"/>
      <c r="L140" s="66"/>
      <c r="M140" s="5"/>
      <c r="N140" s="6"/>
    </row>
    <row r="141" spans="1:14" ht="15.75">
      <c r="A141" s="7"/>
      <c r="B141" s="138" t="s">
        <v>101</v>
      </c>
      <c r="C141" s="131"/>
      <c r="D141" s="131"/>
      <c r="E141" s="131"/>
      <c r="F141" s="131"/>
      <c r="G141" s="131"/>
      <c r="H141" s="139" t="s">
        <v>174</v>
      </c>
      <c r="I141" s="139"/>
      <c r="J141" s="139" t="s">
        <v>182</v>
      </c>
      <c r="K141" s="131"/>
      <c r="L141" s="140" t="s">
        <v>195</v>
      </c>
      <c r="M141" s="131"/>
      <c r="N141" s="6"/>
    </row>
    <row r="142" spans="1:14" ht="15.75">
      <c r="A142" s="27"/>
      <c r="B142" s="28" t="s">
        <v>102</v>
      </c>
      <c r="C142" s="28"/>
      <c r="D142" s="28"/>
      <c r="E142" s="28"/>
      <c r="F142" s="28"/>
      <c r="G142" s="28"/>
      <c r="H142" s="59">
        <v>70000</v>
      </c>
      <c r="I142" s="28"/>
      <c r="J142" s="47"/>
      <c r="K142" s="28"/>
      <c r="L142" s="59"/>
      <c r="M142" s="28"/>
      <c r="N142" s="6"/>
    </row>
    <row r="143" spans="1:14" ht="15.75">
      <c r="A143" s="27"/>
      <c r="B143" s="28" t="s">
        <v>103</v>
      </c>
      <c r="C143" s="28"/>
      <c r="D143" s="28"/>
      <c r="E143" s="28"/>
      <c r="F143" s="28"/>
      <c r="G143" s="28"/>
      <c r="H143" s="59">
        <f>'Dec 03'!H145</f>
        <v>45300</v>
      </c>
      <c r="I143" s="28"/>
      <c r="J143" s="59">
        <f>'Dec 03'!J145</f>
        <v>2453</v>
      </c>
      <c r="K143" s="28"/>
      <c r="L143" s="59">
        <f>J143+H143</f>
        <v>47753</v>
      </c>
      <c r="M143" s="28"/>
      <c r="N143" s="6"/>
    </row>
    <row r="144" spans="1:14" ht="15.75">
      <c r="A144" s="27"/>
      <c r="B144" s="28" t="s">
        <v>104</v>
      </c>
      <c r="C144" s="28"/>
      <c r="D144" s="28"/>
      <c r="E144" s="28"/>
      <c r="F144" s="28"/>
      <c r="G144" s="28"/>
      <c r="H144" s="59">
        <v>4857</v>
      </c>
      <c r="I144" s="28"/>
      <c r="J144" s="59">
        <v>3</v>
      </c>
      <c r="K144" s="28"/>
      <c r="L144" s="59">
        <f>J144+H144</f>
        <v>4860</v>
      </c>
      <c r="M144" s="28"/>
      <c r="N144" s="6"/>
    </row>
    <row r="145" spans="1:14" ht="15.75">
      <c r="A145" s="27"/>
      <c r="B145" s="28" t="s">
        <v>105</v>
      </c>
      <c r="C145" s="28"/>
      <c r="D145" s="28"/>
      <c r="E145" s="28"/>
      <c r="F145" s="28"/>
      <c r="G145" s="28"/>
      <c r="H145" s="59">
        <f>H144+H143</f>
        <v>50157</v>
      </c>
      <c r="I145" s="28"/>
      <c r="J145" s="59">
        <f>J144+J143</f>
        <v>2456</v>
      </c>
      <c r="K145" s="28"/>
      <c r="L145" s="59">
        <f>J145+H145</f>
        <v>52613</v>
      </c>
      <c r="M145" s="28"/>
      <c r="N145" s="6"/>
    </row>
    <row r="146" spans="1:14" ht="15.75">
      <c r="A146" s="27"/>
      <c r="B146" s="28" t="s">
        <v>106</v>
      </c>
      <c r="C146" s="28"/>
      <c r="D146" s="28"/>
      <c r="E146" s="28"/>
      <c r="F146" s="28"/>
      <c r="G146" s="28"/>
      <c r="H146" s="59">
        <f>H142-H145-J145</f>
        <v>17387</v>
      </c>
      <c r="I146" s="28"/>
      <c r="J146" s="47"/>
      <c r="K146" s="28"/>
      <c r="L146" s="59"/>
      <c r="M146" s="28"/>
      <c r="N146" s="6"/>
    </row>
    <row r="147" spans="1:14" ht="7.5" customHeight="1">
      <c r="A147" s="27"/>
      <c r="B147" s="28"/>
      <c r="C147" s="28"/>
      <c r="D147" s="28"/>
      <c r="E147" s="28"/>
      <c r="F147" s="28"/>
      <c r="G147" s="28"/>
      <c r="H147" s="28"/>
      <c r="I147" s="28"/>
      <c r="J147" s="28"/>
      <c r="K147" s="28"/>
      <c r="L147" s="67"/>
      <c r="M147" s="28"/>
      <c r="N147" s="6"/>
    </row>
    <row r="148" spans="1:14" ht="9" customHeight="1">
      <c r="A148" s="2"/>
      <c r="B148" s="5"/>
      <c r="C148" s="5"/>
      <c r="D148" s="5"/>
      <c r="E148" s="5"/>
      <c r="F148" s="5"/>
      <c r="G148" s="5"/>
      <c r="H148" s="5"/>
      <c r="I148" s="5"/>
      <c r="J148" s="5"/>
      <c r="K148" s="5"/>
      <c r="L148" s="66"/>
      <c r="M148" s="5"/>
      <c r="N148" s="6"/>
    </row>
    <row r="149" spans="1:14" ht="15.75">
      <c r="A149" s="7"/>
      <c r="B149" s="138" t="s">
        <v>107</v>
      </c>
      <c r="C149" s="15"/>
      <c r="D149" s="9"/>
      <c r="E149" s="9"/>
      <c r="F149" s="9"/>
      <c r="G149" s="9"/>
      <c r="H149" s="9"/>
      <c r="I149" s="9"/>
      <c r="J149" s="9"/>
      <c r="K149" s="9"/>
      <c r="L149" s="73"/>
      <c r="M149" s="9"/>
      <c r="N149" s="6"/>
    </row>
    <row r="150" spans="1:14" ht="15.75">
      <c r="A150" s="27"/>
      <c r="B150" s="28" t="s">
        <v>108</v>
      </c>
      <c r="C150" s="28"/>
      <c r="D150" s="28"/>
      <c r="E150" s="28"/>
      <c r="F150" s="28"/>
      <c r="G150" s="28"/>
      <c r="H150" s="28"/>
      <c r="I150" s="28"/>
      <c r="J150" s="28"/>
      <c r="K150" s="28"/>
      <c r="L150" s="65">
        <f>(L82+L84+L85+L86+L87)/-L88</f>
        <v>1.4145978152929493</v>
      </c>
      <c r="M150" s="28" t="s">
        <v>196</v>
      </c>
      <c r="N150" s="6"/>
    </row>
    <row r="151" spans="1:14" ht="15.75">
      <c r="A151" s="27"/>
      <c r="B151" s="28" t="s">
        <v>109</v>
      </c>
      <c r="C151" s="28"/>
      <c r="D151" s="28"/>
      <c r="E151" s="28"/>
      <c r="F151" s="28"/>
      <c r="G151" s="28"/>
      <c r="H151" s="28"/>
      <c r="I151" s="28"/>
      <c r="J151" s="28"/>
      <c r="K151" s="28"/>
      <c r="L151" s="65">
        <v>1.39</v>
      </c>
      <c r="M151" s="28" t="s">
        <v>196</v>
      </c>
      <c r="N151" s="6"/>
    </row>
    <row r="152" spans="1:14" ht="15.75">
      <c r="A152" s="27"/>
      <c r="B152" s="28" t="s">
        <v>110</v>
      </c>
      <c r="C152" s="28"/>
      <c r="D152" s="28"/>
      <c r="E152" s="28"/>
      <c r="F152" s="28"/>
      <c r="G152" s="28"/>
      <c r="H152" s="28"/>
      <c r="I152" s="28"/>
      <c r="J152" s="28"/>
      <c r="K152" s="28"/>
      <c r="L152" s="65">
        <f>(L82+SUM(L84:L88))/-L89</f>
        <v>3.223938223938224</v>
      </c>
      <c r="M152" s="28" t="s">
        <v>196</v>
      </c>
      <c r="N152" s="6"/>
    </row>
    <row r="153" spans="1:14" ht="15.75">
      <c r="A153" s="27"/>
      <c r="B153" s="28" t="s">
        <v>111</v>
      </c>
      <c r="C153" s="28"/>
      <c r="D153" s="28"/>
      <c r="E153" s="28"/>
      <c r="F153" s="28"/>
      <c r="G153" s="28"/>
      <c r="H153" s="28"/>
      <c r="I153" s="28"/>
      <c r="J153" s="28"/>
      <c r="K153" s="28"/>
      <c r="L153" s="74">
        <v>3.36</v>
      </c>
      <c r="M153" s="28" t="s">
        <v>196</v>
      </c>
      <c r="N153" s="6"/>
    </row>
    <row r="154" spans="1:14" ht="12.75" customHeight="1">
      <c r="A154" s="27"/>
      <c r="B154" s="28"/>
      <c r="C154" s="28"/>
      <c r="D154" s="28"/>
      <c r="E154" s="28"/>
      <c r="F154" s="28"/>
      <c r="G154" s="28"/>
      <c r="H154" s="28"/>
      <c r="I154" s="28"/>
      <c r="J154" s="28"/>
      <c r="K154" s="28"/>
      <c r="L154" s="28"/>
      <c r="M154" s="28"/>
      <c r="N154" s="6"/>
    </row>
    <row r="155" spans="1:14" ht="12.75" customHeight="1">
      <c r="A155" s="7"/>
      <c r="B155" s="9"/>
      <c r="C155" s="9"/>
      <c r="D155" s="9"/>
      <c r="E155" s="9"/>
      <c r="F155" s="9"/>
      <c r="G155" s="9"/>
      <c r="H155" s="9"/>
      <c r="I155" s="9"/>
      <c r="J155" s="9"/>
      <c r="K155" s="9"/>
      <c r="L155" s="9"/>
      <c r="M155" s="9"/>
      <c r="N155" s="6"/>
    </row>
    <row r="156" spans="1:14" ht="15" customHeight="1" thickBot="1">
      <c r="A156" s="118"/>
      <c r="B156" s="119" t="str">
        <f>B106</f>
        <v>PM4 INVESTOR REPORT QUARTER ENDING MARCH 2004</v>
      </c>
      <c r="C156" s="120"/>
      <c r="D156" s="120"/>
      <c r="E156" s="120"/>
      <c r="F156" s="120"/>
      <c r="G156" s="120"/>
      <c r="H156" s="120"/>
      <c r="I156" s="120"/>
      <c r="J156" s="120"/>
      <c r="K156" s="120"/>
      <c r="L156" s="120"/>
      <c r="M156" s="123"/>
      <c r="N156" s="6"/>
    </row>
    <row r="157" spans="1:14" ht="15.75">
      <c r="A157" s="2"/>
      <c r="B157" s="128"/>
      <c r="C157" s="128"/>
      <c r="D157" s="128"/>
      <c r="E157" s="128"/>
      <c r="F157" s="128"/>
      <c r="G157" s="128"/>
      <c r="H157" s="128"/>
      <c r="I157" s="128"/>
      <c r="J157" s="128"/>
      <c r="K157" s="128"/>
      <c r="L157" s="128"/>
      <c r="M157" s="128"/>
      <c r="N157" s="6"/>
    </row>
    <row r="158" spans="1:14" ht="15.75">
      <c r="A158" s="76"/>
      <c r="B158" s="57" t="s">
        <v>112</v>
      </c>
      <c r="C158" s="77"/>
      <c r="D158" s="77"/>
      <c r="E158" s="77"/>
      <c r="F158" s="77"/>
      <c r="G158" s="21"/>
      <c r="H158" s="21"/>
      <c r="I158" s="21"/>
      <c r="J158" s="21">
        <v>38077</v>
      </c>
      <c r="K158" s="17"/>
      <c r="L158" s="17"/>
      <c r="M158" s="9"/>
      <c r="N158" s="6"/>
    </row>
    <row r="159" spans="1:14" ht="15.75">
      <c r="A159" s="78"/>
      <c r="B159" s="79"/>
      <c r="C159" s="80"/>
      <c r="D159" s="80"/>
      <c r="E159" s="80"/>
      <c r="F159" s="80"/>
      <c r="G159" s="81"/>
      <c r="H159" s="81"/>
      <c r="I159" s="81"/>
      <c r="J159" s="81"/>
      <c r="K159" s="9"/>
      <c r="L159" s="9"/>
      <c r="M159" s="9"/>
      <c r="N159" s="6"/>
    </row>
    <row r="160" spans="1:14" ht="15.75">
      <c r="A160" s="82"/>
      <c r="B160" s="83" t="s">
        <v>113</v>
      </c>
      <c r="C160" s="84"/>
      <c r="D160" s="84"/>
      <c r="E160" s="84"/>
      <c r="F160" s="84"/>
      <c r="G160" s="71"/>
      <c r="H160" s="71"/>
      <c r="I160" s="71"/>
      <c r="J160" s="85">
        <v>0.06</v>
      </c>
      <c r="K160" s="28"/>
      <c r="L160" s="28"/>
      <c r="M160" s="28"/>
      <c r="N160" s="6"/>
    </row>
    <row r="161" spans="1:14" ht="15.75">
      <c r="A161" s="82"/>
      <c r="B161" s="83" t="s">
        <v>114</v>
      </c>
      <c r="C161" s="84"/>
      <c r="D161" s="84"/>
      <c r="E161" s="84"/>
      <c r="F161" s="84"/>
      <c r="G161" s="71"/>
      <c r="H161" s="71"/>
      <c r="I161" s="71"/>
      <c r="J161" s="85">
        <v>0.0452</v>
      </c>
      <c r="K161" s="28"/>
      <c r="L161" s="28"/>
      <c r="M161" s="28"/>
      <c r="N161" s="6"/>
    </row>
    <row r="162" spans="1:14" ht="15.75">
      <c r="A162" s="82"/>
      <c r="B162" s="83" t="s">
        <v>115</v>
      </c>
      <c r="C162" s="84"/>
      <c r="D162" s="84"/>
      <c r="E162" s="84"/>
      <c r="F162" s="84"/>
      <c r="G162" s="71"/>
      <c r="H162" s="71"/>
      <c r="I162" s="71"/>
      <c r="J162" s="85">
        <f>J160-J161</f>
        <v>0.0148</v>
      </c>
      <c r="K162" s="28"/>
      <c r="L162" s="28"/>
      <c r="M162" s="28"/>
      <c r="N162" s="6"/>
    </row>
    <row r="163" spans="1:14" ht="15.75">
      <c r="A163" s="82"/>
      <c r="B163" s="83" t="s">
        <v>116</v>
      </c>
      <c r="C163" s="84"/>
      <c r="D163" s="84"/>
      <c r="E163" s="84"/>
      <c r="F163" s="84"/>
      <c r="G163" s="71"/>
      <c r="H163" s="71"/>
      <c r="I163" s="71"/>
      <c r="J163" s="85">
        <v>0.05997</v>
      </c>
      <c r="K163" s="28"/>
      <c r="L163" s="28"/>
      <c r="M163" s="28"/>
      <c r="N163" s="6"/>
    </row>
    <row r="164" spans="1:14" ht="15.75">
      <c r="A164" s="82"/>
      <c r="B164" s="83" t="s">
        <v>117</v>
      </c>
      <c r="C164" s="84"/>
      <c r="D164" s="84"/>
      <c r="E164" s="84"/>
      <c r="F164" s="84"/>
      <c r="G164" s="71"/>
      <c r="H164" s="71"/>
      <c r="I164" s="71"/>
      <c r="J164" s="85">
        <f>L35</f>
        <v>0.043749918484057314</v>
      </c>
      <c r="K164" s="28"/>
      <c r="L164" s="28"/>
      <c r="M164" s="28"/>
      <c r="N164" s="6"/>
    </row>
    <row r="165" spans="1:14" ht="15.75">
      <c r="A165" s="82"/>
      <c r="B165" s="83" t="s">
        <v>118</v>
      </c>
      <c r="C165" s="84"/>
      <c r="D165" s="84"/>
      <c r="E165" s="84"/>
      <c r="F165" s="84"/>
      <c r="G165" s="71"/>
      <c r="H165" s="71"/>
      <c r="I165" s="71"/>
      <c r="J165" s="85">
        <f>J163-J164</f>
        <v>0.01622008151594269</v>
      </c>
      <c r="K165" s="28"/>
      <c r="L165" s="28"/>
      <c r="M165" s="28"/>
      <c r="N165" s="6"/>
    </row>
    <row r="166" spans="1:14" ht="15.75">
      <c r="A166" s="82"/>
      <c r="B166" s="83" t="s">
        <v>119</v>
      </c>
      <c r="C166" s="84"/>
      <c r="D166" s="84"/>
      <c r="E166" s="84"/>
      <c r="F166" s="84"/>
      <c r="G166" s="71"/>
      <c r="H166" s="71"/>
      <c r="I166" s="71"/>
      <c r="J166" s="86" t="s">
        <v>183</v>
      </c>
      <c r="K166" s="28"/>
      <c r="L166" s="28"/>
      <c r="M166" s="28"/>
      <c r="N166" s="6"/>
    </row>
    <row r="167" spans="1:14" ht="15.75">
      <c r="A167" s="82"/>
      <c r="B167" s="83" t="s">
        <v>120</v>
      </c>
      <c r="C167" s="84"/>
      <c r="D167" s="84"/>
      <c r="E167" s="84"/>
      <c r="F167" s="84"/>
      <c r="G167" s="71"/>
      <c r="H167" s="71"/>
      <c r="I167" s="71"/>
      <c r="J167" s="86" t="s">
        <v>184</v>
      </c>
      <c r="K167" s="28"/>
      <c r="L167" s="28"/>
      <c r="M167" s="28"/>
      <c r="N167" s="6"/>
    </row>
    <row r="168" spans="1:14" ht="15.75">
      <c r="A168" s="82"/>
      <c r="B168" s="83" t="s">
        <v>121</v>
      </c>
      <c r="C168" s="84"/>
      <c r="D168" s="84"/>
      <c r="E168" s="84"/>
      <c r="F168" s="84"/>
      <c r="G168" s="71"/>
      <c r="H168" s="71"/>
      <c r="I168" s="71"/>
      <c r="J168" s="87">
        <v>20.2</v>
      </c>
      <c r="K168" s="28" t="s">
        <v>188</v>
      </c>
      <c r="L168" s="28"/>
      <c r="M168" s="28"/>
      <c r="N168" s="6"/>
    </row>
    <row r="169" spans="1:14" ht="15.75">
      <c r="A169" s="82"/>
      <c r="B169" s="83" t="s">
        <v>122</v>
      </c>
      <c r="C169" s="84"/>
      <c r="D169" s="84"/>
      <c r="E169" s="84"/>
      <c r="F169" s="84"/>
      <c r="G169" s="71"/>
      <c r="H169" s="71"/>
      <c r="I169" s="71"/>
      <c r="J169" s="87">
        <v>18.99</v>
      </c>
      <c r="K169" s="28" t="s">
        <v>188</v>
      </c>
      <c r="L169" s="28"/>
      <c r="M169" s="28"/>
      <c r="N169" s="6"/>
    </row>
    <row r="170" spans="1:14" ht="15.75">
      <c r="A170" s="82"/>
      <c r="B170" s="83" t="s">
        <v>123</v>
      </c>
      <c r="C170" s="84"/>
      <c r="D170" s="84"/>
      <c r="E170" s="84"/>
      <c r="F170" s="84"/>
      <c r="G170" s="71"/>
      <c r="H170" s="71"/>
      <c r="I170" s="71"/>
      <c r="J170" s="85">
        <f>F58/'Dec 03'!L58</f>
        <v>0.05349943895092196</v>
      </c>
      <c r="K170" s="28"/>
      <c r="L170" s="28"/>
      <c r="M170" s="28"/>
      <c r="N170" s="6"/>
    </row>
    <row r="171" spans="1:14" ht="15.75">
      <c r="A171" s="82"/>
      <c r="B171" s="83" t="s">
        <v>124</v>
      </c>
      <c r="C171" s="84"/>
      <c r="D171" s="84"/>
      <c r="E171" s="84"/>
      <c r="F171" s="84"/>
      <c r="G171" s="71"/>
      <c r="H171" s="71"/>
      <c r="I171" s="71"/>
      <c r="J171" s="85">
        <v>0.1566</v>
      </c>
      <c r="K171" s="28"/>
      <c r="L171" s="28"/>
      <c r="M171" s="28"/>
      <c r="N171" s="6"/>
    </row>
    <row r="172" spans="1:14" ht="15.75">
      <c r="A172" s="82"/>
      <c r="B172" s="83"/>
      <c r="C172" s="83"/>
      <c r="D172" s="83"/>
      <c r="E172" s="83"/>
      <c r="F172" s="83"/>
      <c r="G172" s="28"/>
      <c r="H172" s="28"/>
      <c r="I172" s="28"/>
      <c r="J172" s="67"/>
      <c r="K172" s="28"/>
      <c r="L172" s="88"/>
      <c r="M172" s="28"/>
      <c r="N172" s="6"/>
    </row>
    <row r="173" spans="1:14" ht="15.75">
      <c r="A173" s="89"/>
      <c r="B173" s="16" t="s">
        <v>125</v>
      </c>
      <c r="C173" s="90"/>
      <c r="D173" s="91"/>
      <c r="E173" s="90"/>
      <c r="F173" s="91"/>
      <c r="G173" s="90"/>
      <c r="H173" s="91"/>
      <c r="I173" s="19" t="s">
        <v>175</v>
      </c>
      <c r="J173" s="92" t="s">
        <v>185</v>
      </c>
      <c r="K173" s="17"/>
      <c r="L173" s="9"/>
      <c r="M173" s="9"/>
      <c r="N173" s="6"/>
    </row>
    <row r="174" spans="1:14" ht="15.75">
      <c r="A174" s="93"/>
      <c r="B174" s="83" t="s">
        <v>126</v>
      </c>
      <c r="C174" s="60"/>
      <c r="D174" s="60"/>
      <c r="E174" s="60"/>
      <c r="F174" s="28"/>
      <c r="G174" s="28"/>
      <c r="H174" s="28"/>
      <c r="I174" s="29">
        <v>12</v>
      </c>
      <c r="J174" s="94">
        <v>619</v>
      </c>
      <c r="K174" s="28"/>
      <c r="L174" s="88"/>
      <c r="M174" s="95"/>
      <c r="N174" s="6"/>
    </row>
    <row r="175" spans="1:14" ht="15.75">
      <c r="A175" s="93"/>
      <c r="B175" s="83" t="s">
        <v>205</v>
      </c>
      <c r="C175" s="60"/>
      <c r="D175" s="60"/>
      <c r="E175" s="60"/>
      <c r="F175" s="28"/>
      <c r="G175" s="28"/>
      <c r="H175" s="28"/>
      <c r="I175" s="29">
        <v>1</v>
      </c>
      <c r="J175" s="94">
        <v>172</v>
      </c>
      <c r="K175" s="28"/>
      <c r="L175" s="88"/>
      <c r="M175" s="95"/>
      <c r="N175" s="6"/>
    </row>
    <row r="176" spans="1:14" ht="15.75">
      <c r="A176" s="93"/>
      <c r="B176" s="83" t="s">
        <v>127</v>
      </c>
      <c r="C176" s="60"/>
      <c r="D176" s="60"/>
      <c r="E176" s="60"/>
      <c r="F176" s="28"/>
      <c r="G176" s="28"/>
      <c r="H176" s="28"/>
      <c r="I176" s="29">
        <v>1</v>
      </c>
      <c r="J176" s="94">
        <v>37</v>
      </c>
      <c r="K176" s="28"/>
      <c r="L176" s="88"/>
      <c r="M176" s="95"/>
      <c r="N176" s="6"/>
    </row>
    <row r="177" spans="1:14" ht="15.75">
      <c r="A177" s="93"/>
      <c r="B177" s="141" t="s">
        <v>128</v>
      </c>
      <c r="C177" s="60"/>
      <c r="D177" s="60"/>
      <c r="E177" s="60"/>
      <c r="F177" s="28"/>
      <c r="G177" s="28"/>
      <c r="H177" s="28"/>
      <c r="I177" s="28"/>
      <c r="J177" s="94">
        <v>0</v>
      </c>
      <c r="K177" s="28"/>
      <c r="L177" s="88"/>
      <c r="M177" s="95"/>
      <c r="N177" s="6"/>
    </row>
    <row r="178" spans="1:14" ht="15.75">
      <c r="A178" s="93"/>
      <c r="B178" s="141" t="s">
        <v>129</v>
      </c>
      <c r="C178" s="60"/>
      <c r="D178" s="60"/>
      <c r="E178" s="60"/>
      <c r="F178" s="28"/>
      <c r="G178" s="28"/>
      <c r="H178" s="28"/>
      <c r="I178" s="28"/>
      <c r="J178" s="94">
        <v>77991</v>
      </c>
      <c r="K178" s="28"/>
      <c r="L178" s="88"/>
      <c r="M178" s="95"/>
      <c r="N178" s="6"/>
    </row>
    <row r="179" spans="1:14" ht="15.75">
      <c r="A179" s="96"/>
      <c r="B179" s="141" t="s">
        <v>130</v>
      </c>
      <c r="C179" s="60"/>
      <c r="D179" s="83"/>
      <c r="E179" s="83"/>
      <c r="F179" s="83"/>
      <c r="G179" s="28"/>
      <c r="H179" s="28"/>
      <c r="I179" s="28"/>
      <c r="J179" s="94">
        <v>0</v>
      </c>
      <c r="K179" s="28"/>
      <c r="L179" s="88"/>
      <c r="M179" s="97"/>
      <c r="N179" s="6"/>
    </row>
    <row r="180" spans="1:14" ht="15.75">
      <c r="A180" s="93"/>
      <c r="B180" s="83" t="s">
        <v>131</v>
      </c>
      <c r="C180" s="60"/>
      <c r="D180" s="60"/>
      <c r="E180" s="60"/>
      <c r="F180" s="60"/>
      <c r="G180" s="28"/>
      <c r="H180" s="28"/>
      <c r="I180" s="28">
        <v>0</v>
      </c>
      <c r="J180" s="94">
        <f>+L129</f>
        <v>0</v>
      </c>
      <c r="K180" s="28"/>
      <c r="L180" s="88"/>
      <c r="M180" s="97"/>
      <c r="N180" s="6"/>
    </row>
    <row r="181" spans="1:14" ht="15.75">
      <c r="A181" s="93"/>
      <c r="B181" s="83" t="s">
        <v>132</v>
      </c>
      <c r="C181" s="60"/>
      <c r="D181" s="60"/>
      <c r="E181" s="60"/>
      <c r="F181" s="60"/>
      <c r="G181" s="28"/>
      <c r="H181" s="28"/>
      <c r="I181" s="28">
        <v>1</v>
      </c>
      <c r="J181" s="94">
        <f>'Dec 03'!J180+J180</f>
        <v>6</v>
      </c>
      <c r="K181" s="28"/>
      <c r="L181" s="88"/>
      <c r="M181" s="97"/>
      <c r="N181" s="6"/>
    </row>
    <row r="182" spans="1:14" ht="15.75">
      <c r="A182" s="93"/>
      <c r="B182" s="83" t="s">
        <v>133</v>
      </c>
      <c r="C182" s="60"/>
      <c r="D182" s="60"/>
      <c r="E182" s="60"/>
      <c r="F182" s="60"/>
      <c r="G182" s="28"/>
      <c r="H182" s="28"/>
      <c r="I182" s="28"/>
      <c r="J182" s="94">
        <v>0</v>
      </c>
      <c r="K182" s="28"/>
      <c r="L182" s="88"/>
      <c r="M182" s="97"/>
      <c r="N182" s="6"/>
    </row>
    <row r="183" spans="1:14" ht="15.75">
      <c r="A183" s="96"/>
      <c r="B183" s="141" t="s">
        <v>134</v>
      </c>
      <c r="C183" s="60"/>
      <c r="D183" s="83"/>
      <c r="E183" s="83"/>
      <c r="F183" s="83"/>
      <c r="G183" s="28"/>
      <c r="H183" s="28"/>
      <c r="I183" s="28"/>
      <c r="J183" s="94"/>
      <c r="K183" s="28"/>
      <c r="L183" s="88"/>
      <c r="M183" s="97"/>
      <c r="N183" s="6"/>
    </row>
    <row r="184" spans="1:14" ht="15.75">
      <c r="A184" s="96"/>
      <c r="B184" s="83" t="s">
        <v>135</v>
      </c>
      <c r="C184" s="60"/>
      <c r="D184" s="83"/>
      <c r="E184" s="83"/>
      <c r="F184" s="83"/>
      <c r="G184" s="28"/>
      <c r="H184" s="28"/>
      <c r="I184" s="28">
        <v>0</v>
      </c>
      <c r="J184" s="94">
        <v>0</v>
      </c>
      <c r="K184" s="28"/>
      <c r="L184" s="88"/>
      <c r="M184" s="97"/>
      <c r="N184" s="6"/>
    </row>
    <row r="185" spans="1:14" ht="15.75">
      <c r="A185" s="93"/>
      <c r="B185" s="83" t="s">
        <v>136</v>
      </c>
      <c r="C185" s="60"/>
      <c r="D185" s="98"/>
      <c r="E185" s="98"/>
      <c r="F185" s="99"/>
      <c r="G185" s="28"/>
      <c r="H185" s="28"/>
      <c r="I185" s="28"/>
      <c r="J185" s="94">
        <v>0</v>
      </c>
      <c r="K185" s="28"/>
      <c r="L185" s="88"/>
      <c r="M185" s="97"/>
      <c r="N185" s="6"/>
    </row>
    <row r="186" spans="1:14" ht="15.75">
      <c r="A186" s="93"/>
      <c r="B186" s="83" t="s">
        <v>137</v>
      </c>
      <c r="C186" s="60"/>
      <c r="D186" s="98"/>
      <c r="E186" s="98"/>
      <c r="F186" s="99"/>
      <c r="G186" s="28"/>
      <c r="H186" s="28"/>
      <c r="I186" s="28"/>
      <c r="J186" s="94">
        <v>0</v>
      </c>
      <c r="K186" s="28"/>
      <c r="L186" s="88"/>
      <c r="M186" s="97"/>
      <c r="N186" s="6"/>
    </row>
    <row r="187" spans="1:14" ht="15.75">
      <c r="A187" s="93"/>
      <c r="B187" s="83" t="s">
        <v>138</v>
      </c>
      <c r="C187" s="60"/>
      <c r="D187" s="100"/>
      <c r="E187" s="98"/>
      <c r="F187" s="99"/>
      <c r="G187" s="28"/>
      <c r="H187" s="28"/>
      <c r="I187" s="28"/>
      <c r="J187" s="101">
        <v>0</v>
      </c>
      <c r="K187" s="28"/>
      <c r="L187" s="88"/>
      <c r="M187" s="97"/>
      <c r="N187" s="6"/>
    </row>
    <row r="188" spans="1:14" ht="15.75">
      <c r="A188" s="93"/>
      <c r="B188" s="83"/>
      <c r="C188" s="60"/>
      <c r="D188" s="100"/>
      <c r="E188" s="98"/>
      <c r="F188" s="99"/>
      <c r="G188" s="28"/>
      <c r="H188" s="28"/>
      <c r="I188" s="28"/>
      <c r="J188" s="101"/>
      <c r="K188" s="28"/>
      <c r="L188" s="88"/>
      <c r="M188" s="97"/>
      <c r="N188" s="6"/>
    </row>
    <row r="189" spans="1:14" ht="15.75">
      <c r="A189" s="7"/>
      <c r="B189" s="16" t="s">
        <v>139</v>
      </c>
      <c r="C189" s="19"/>
      <c r="D189" s="92"/>
      <c r="E189" s="19"/>
      <c r="F189" s="92"/>
      <c r="G189" s="19"/>
      <c r="H189" s="92" t="s">
        <v>175</v>
      </c>
      <c r="I189" s="19" t="s">
        <v>176</v>
      </c>
      <c r="J189" s="92" t="s">
        <v>186</v>
      </c>
      <c r="K189" s="19" t="s">
        <v>176</v>
      </c>
      <c r="L189" s="17"/>
      <c r="M189" s="102"/>
      <c r="N189" s="6"/>
    </row>
    <row r="190" spans="1:14" ht="15.75">
      <c r="A190" s="27"/>
      <c r="B190" s="60" t="s">
        <v>140</v>
      </c>
      <c r="C190" s="103"/>
      <c r="D190" s="60"/>
      <c r="E190" s="103"/>
      <c r="F190" s="28"/>
      <c r="G190" s="103"/>
      <c r="H190" s="60">
        <v>5336</v>
      </c>
      <c r="I190" s="105">
        <f>H190/H195</f>
        <v>0.989247311827957</v>
      </c>
      <c r="J190" s="59">
        <v>397005</v>
      </c>
      <c r="K190" s="143">
        <f>J190/J195</f>
        <v>0.9913575684327758</v>
      </c>
      <c r="L190" s="88"/>
      <c r="M190" s="97"/>
      <c r="N190" s="6"/>
    </row>
    <row r="191" spans="1:14" ht="15.75">
      <c r="A191" s="27"/>
      <c r="B191" s="60" t="s">
        <v>141</v>
      </c>
      <c r="C191" s="103"/>
      <c r="D191" s="60"/>
      <c r="E191" s="103"/>
      <c r="F191" s="28"/>
      <c r="G191" s="105"/>
      <c r="H191" s="60">
        <v>11</v>
      </c>
      <c r="I191" s="105">
        <f>H191/H195</f>
        <v>0.002039302929180571</v>
      </c>
      <c r="J191" s="59">
        <v>539</v>
      </c>
      <c r="K191" s="143">
        <f>J191/J195</f>
        <v>0.001345931989232544</v>
      </c>
      <c r="L191" s="88"/>
      <c r="M191" s="97"/>
      <c r="N191" s="6"/>
    </row>
    <row r="192" spans="1:14" ht="15.75">
      <c r="A192" s="27"/>
      <c r="B192" s="60" t="s">
        <v>142</v>
      </c>
      <c r="C192" s="103"/>
      <c r="D192" s="60"/>
      <c r="E192" s="103"/>
      <c r="F192" s="28"/>
      <c r="G192" s="105"/>
      <c r="H192" s="60">
        <v>27</v>
      </c>
      <c r="I192" s="105">
        <f>H192/H195</f>
        <v>0.005005561735261402</v>
      </c>
      <c r="J192" s="59">
        <v>1900</v>
      </c>
      <c r="K192" s="143">
        <f>J192/J195</f>
        <v>0.004744472689316946</v>
      </c>
      <c r="L192" s="88"/>
      <c r="M192" s="97"/>
      <c r="N192" s="6"/>
    </row>
    <row r="193" spans="1:14" ht="15.75">
      <c r="A193" s="27"/>
      <c r="B193" s="60" t="s">
        <v>143</v>
      </c>
      <c r="C193" s="103"/>
      <c r="D193" s="60"/>
      <c r="E193" s="103"/>
      <c r="F193" s="28"/>
      <c r="G193" s="105"/>
      <c r="H193" s="60">
        <v>20</v>
      </c>
      <c r="I193" s="105">
        <f>H193/H195</f>
        <v>0.0037078235076010383</v>
      </c>
      <c r="J193" s="59">
        <v>1022</v>
      </c>
      <c r="K193" s="143">
        <f>J193/J195</f>
        <v>0.002552026888674694</v>
      </c>
      <c r="L193" s="88"/>
      <c r="M193" s="97"/>
      <c r="N193" s="6"/>
    </row>
    <row r="194" spans="1:14" ht="15.75">
      <c r="A194" s="27"/>
      <c r="B194" s="60"/>
      <c r="C194" s="106"/>
      <c r="D194" s="95"/>
      <c r="E194" s="106"/>
      <c r="F194" s="28"/>
      <c r="G194" s="106"/>
      <c r="H194" s="95"/>
      <c r="I194" s="106"/>
      <c r="J194" s="59"/>
      <c r="K194" s="104"/>
      <c r="L194" s="88"/>
      <c r="M194" s="97"/>
      <c r="N194" s="6"/>
    </row>
    <row r="195" spans="1:14" ht="15.75">
      <c r="A195" s="27"/>
      <c r="B195" s="28"/>
      <c r="C195" s="28"/>
      <c r="D195" s="28"/>
      <c r="E195" s="28"/>
      <c r="F195" s="28"/>
      <c r="G195" s="28"/>
      <c r="H195" s="38">
        <f>SUM(H190:H193)</f>
        <v>5394</v>
      </c>
      <c r="I195" s="107">
        <f>SUM(I190:I194)</f>
        <v>1</v>
      </c>
      <c r="J195" s="59">
        <f>SUM(J190:J194)</f>
        <v>400466</v>
      </c>
      <c r="K195" s="107">
        <f>SUM(K190:K194)</f>
        <v>1</v>
      </c>
      <c r="L195" s="28"/>
      <c r="M195" s="28"/>
      <c r="N195" s="6"/>
    </row>
    <row r="196" spans="1:14" ht="15.75">
      <c r="A196" s="27"/>
      <c r="B196" s="28"/>
      <c r="C196" s="28"/>
      <c r="D196" s="28"/>
      <c r="E196" s="28"/>
      <c r="F196" s="28"/>
      <c r="G196" s="28"/>
      <c r="H196" s="38"/>
      <c r="I196" s="107"/>
      <c r="J196" s="59"/>
      <c r="K196" s="107"/>
      <c r="L196" s="28"/>
      <c r="M196" s="28"/>
      <c r="N196" s="6"/>
    </row>
    <row r="197" spans="1:14" ht="15.75">
      <c r="A197" s="7"/>
      <c r="B197" s="9"/>
      <c r="C197" s="9"/>
      <c r="D197" s="9"/>
      <c r="E197" s="9"/>
      <c r="F197" s="9"/>
      <c r="G197" s="9"/>
      <c r="H197" s="61"/>
      <c r="I197" s="108"/>
      <c r="J197" s="109"/>
      <c r="K197" s="108"/>
      <c r="L197" s="9"/>
      <c r="M197" s="9"/>
      <c r="N197" s="6"/>
    </row>
    <row r="198" spans="1:14" ht="15.75">
      <c r="A198" s="110"/>
      <c r="B198" s="16" t="s">
        <v>144</v>
      </c>
      <c r="C198" s="111"/>
      <c r="D198" s="19" t="s">
        <v>152</v>
      </c>
      <c r="E198" s="17"/>
      <c r="F198" s="16" t="s">
        <v>164</v>
      </c>
      <c r="G198" s="112"/>
      <c r="H198" s="112"/>
      <c r="I198" s="112"/>
      <c r="J198" s="125"/>
      <c r="K198" s="125"/>
      <c r="L198" s="125"/>
      <c r="M198" s="125"/>
      <c r="N198" s="6"/>
    </row>
    <row r="199" spans="1:14" ht="15.75">
      <c r="A199" s="129"/>
      <c r="B199" s="125"/>
      <c r="C199" s="125"/>
      <c r="D199" s="9"/>
      <c r="E199" s="9"/>
      <c r="F199" s="9"/>
      <c r="G199" s="125"/>
      <c r="H199" s="125"/>
      <c r="I199" s="125"/>
      <c r="J199" s="125"/>
      <c r="K199" s="125"/>
      <c r="L199" s="125"/>
      <c r="M199" s="125"/>
      <c r="N199" s="6"/>
    </row>
    <row r="200" spans="1:14" ht="15.75">
      <c r="A200" s="129"/>
      <c r="B200" s="15" t="s">
        <v>145</v>
      </c>
      <c r="C200" s="114"/>
      <c r="D200" s="115" t="s">
        <v>153</v>
      </c>
      <c r="E200" s="15"/>
      <c r="F200" s="15" t="s">
        <v>165</v>
      </c>
      <c r="G200" s="114"/>
      <c r="H200" s="114"/>
      <c r="I200" s="125"/>
      <c r="J200" s="125"/>
      <c r="K200" s="125"/>
      <c r="L200" s="125"/>
      <c r="M200" s="125"/>
      <c r="N200" s="6"/>
    </row>
    <row r="201" spans="1:14" ht="15.75">
      <c r="A201" s="129"/>
      <c r="B201" s="15" t="s">
        <v>146</v>
      </c>
      <c r="C201" s="114"/>
      <c r="D201" s="115" t="s">
        <v>154</v>
      </c>
      <c r="E201" s="15"/>
      <c r="F201" s="15" t="s">
        <v>166</v>
      </c>
      <c r="G201" s="114"/>
      <c r="H201" s="114"/>
      <c r="I201" s="125"/>
      <c r="J201" s="125"/>
      <c r="K201" s="125"/>
      <c r="L201" s="125"/>
      <c r="M201" s="125"/>
      <c r="N201" s="6"/>
    </row>
    <row r="202" spans="1:14" ht="15.75">
      <c r="A202" s="129"/>
      <c r="B202" s="15"/>
      <c r="C202" s="114"/>
      <c r="D202" s="115"/>
      <c r="E202" s="15"/>
      <c r="F202" s="15"/>
      <c r="G202" s="114"/>
      <c r="H202" s="114"/>
      <c r="I202" s="125"/>
      <c r="J202" s="125"/>
      <c r="K202" s="125"/>
      <c r="L202" s="125"/>
      <c r="M202" s="125"/>
      <c r="N202" s="6"/>
    </row>
    <row r="203" spans="1:14" ht="15.75">
      <c r="A203" s="129"/>
      <c r="B203" s="15"/>
      <c r="C203" s="114"/>
      <c r="D203" s="115"/>
      <c r="E203" s="15"/>
      <c r="F203" s="15"/>
      <c r="G203" s="114"/>
      <c r="H203" s="114"/>
      <c r="I203" s="125"/>
      <c r="J203" s="125"/>
      <c r="K203" s="125"/>
      <c r="L203" s="125"/>
      <c r="M203" s="125"/>
      <c r="N203" s="6"/>
    </row>
    <row r="204" spans="1:14" ht="18.75">
      <c r="A204" s="129"/>
      <c r="B204" s="55" t="str">
        <f>B156</f>
        <v>PM4 INVESTOR REPORT QUARTER ENDING MARCH 2004</v>
      </c>
      <c r="C204" s="114"/>
      <c r="D204" s="115"/>
      <c r="E204" s="15"/>
      <c r="F204" s="15"/>
      <c r="G204" s="114"/>
      <c r="H204" s="114"/>
      <c r="I204" s="125"/>
      <c r="J204" s="125"/>
      <c r="K204" s="125"/>
      <c r="L204" s="125"/>
      <c r="M204" s="125"/>
      <c r="N204" s="6"/>
    </row>
    <row r="205" spans="1:13" ht="15">
      <c r="A205" s="116"/>
      <c r="B205" s="116"/>
      <c r="C205" s="116"/>
      <c r="D205" s="116"/>
      <c r="E205" s="116"/>
      <c r="F205" s="116"/>
      <c r="G205" s="116"/>
      <c r="H205" s="116"/>
      <c r="I205" s="116"/>
      <c r="J205" s="116"/>
      <c r="K205" s="116"/>
      <c r="L205" s="116"/>
      <c r="M205" s="116"/>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3" max="13" man="1"/>
    <brk id="106" max="13" man="1"/>
    <brk id="156" max="13" man="1"/>
  </rowBreaks>
  <drawing r:id="rId1"/>
</worksheet>
</file>

<file path=xl/worksheets/sheet9.xml><?xml version="1.0" encoding="utf-8"?>
<worksheet xmlns="http://schemas.openxmlformats.org/spreadsheetml/2006/main" xmlns:r="http://schemas.openxmlformats.org/officeDocument/2006/relationships">
  <dimension ref="A1:N205"/>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0.7773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25"/>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189</v>
      </c>
      <c r="M14" s="17"/>
      <c r="N14" s="6"/>
    </row>
    <row r="15" spans="1:14" ht="15.75">
      <c r="A15" s="7"/>
      <c r="B15" s="16" t="s">
        <v>8</v>
      </c>
      <c r="C15" s="16"/>
      <c r="D15" s="17"/>
      <c r="E15" s="17"/>
      <c r="F15" s="17"/>
      <c r="G15" s="17"/>
      <c r="H15" s="19"/>
      <c r="I15" s="20"/>
      <c r="J15" s="19" t="s">
        <v>177</v>
      </c>
      <c r="K15" s="20">
        <v>1</v>
      </c>
      <c r="L15" s="18"/>
      <c r="M15" s="17"/>
      <c r="N15" s="6"/>
    </row>
    <row r="16" spans="1:14" ht="15.75">
      <c r="A16" s="7"/>
      <c r="B16" s="16" t="s">
        <v>9</v>
      </c>
      <c r="C16" s="16"/>
      <c r="D16" s="17"/>
      <c r="E16" s="17"/>
      <c r="F16" s="17"/>
      <c r="G16" s="17"/>
      <c r="H16" s="19"/>
      <c r="I16" s="20"/>
      <c r="J16" s="19" t="s">
        <v>177</v>
      </c>
      <c r="K16" s="20">
        <v>1</v>
      </c>
      <c r="L16" s="18"/>
      <c r="M16" s="17"/>
      <c r="N16" s="6"/>
    </row>
    <row r="17" spans="1:14" ht="15.75">
      <c r="A17" s="7"/>
      <c r="B17" s="16" t="s">
        <v>10</v>
      </c>
      <c r="C17" s="16"/>
      <c r="D17" s="17"/>
      <c r="E17" s="17"/>
      <c r="F17" s="17"/>
      <c r="G17" s="17"/>
      <c r="H17" s="17"/>
      <c r="I17" s="17"/>
      <c r="J17" s="17"/>
      <c r="K17" s="17"/>
      <c r="L17" s="21">
        <v>37342</v>
      </c>
      <c r="M17" s="17"/>
      <c r="N17" s="6"/>
    </row>
    <row r="18" spans="1:14" ht="15.75">
      <c r="A18" s="7"/>
      <c r="B18" s="16" t="s">
        <v>11</v>
      </c>
      <c r="C18" s="16"/>
      <c r="D18" s="17"/>
      <c r="E18" s="17"/>
      <c r="F18" s="17"/>
      <c r="G18" s="17"/>
      <c r="H18" s="17"/>
      <c r="I18" s="17"/>
      <c r="J18" s="17"/>
      <c r="K18" s="17"/>
      <c r="L18" s="21">
        <v>38187</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178</v>
      </c>
      <c r="K20" s="9"/>
      <c r="L20" s="125"/>
      <c r="M20" s="9"/>
      <c r="N20" s="6"/>
    </row>
    <row r="21" spans="1:14" ht="15.75">
      <c r="A21" s="7"/>
      <c r="B21" s="9"/>
      <c r="C21" s="9"/>
      <c r="D21" s="9"/>
      <c r="E21" s="9"/>
      <c r="F21" s="9"/>
      <c r="G21" s="9"/>
      <c r="H21" s="9"/>
      <c r="I21" s="9"/>
      <c r="J21" s="9"/>
      <c r="K21" s="9"/>
      <c r="L21" s="24"/>
      <c r="M21" s="9"/>
      <c r="N21" s="6"/>
    </row>
    <row r="22" spans="1:14" ht="15.75">
      <c r="A22" s="7"/>
      <c r="B22" s="9"/>
      <c r="C22" s="132" t="s">
        <v>147</v>
      </c>
      <c r="D22" s="25"/>
      <c r="E22" s="25"/>
      <c r="F22" s="133" t="s">
        <v>155</v>
      </c>
      <c r="G22" s="133"/>
      <c r="H22" s="133" t="s">
        <v>167</v>
      </c>
      <c r="I22" s="26"/>
      <c r="J22" s="25"/>
      <c r="K22" s="125"/>
      <c r="L22" s="125"/>
      <c r="M22" s="9"/>
      <c r="N22" s="6"/>
    </row>
    <row r="23" spans="1:14" ht="15.75">
      <c r="A23" s="7"/>
      <c r="B23" s="9" t="s">
        <v>13</v>
      </c>
      <c r="C23" s="132" t="s">
        <v>148</v>
      </c>
      <c r="D23" s="25"/>
      <c r="E23" s="25"/>
      <c r="F23" s="25" t="s">
        <v>156</v>
      </c>
      <c r="G23" s="25"/>
      <c r="H23" s="25" t="s">
        <v>168</v>
      </c>
      <c r="I23" s="25"/>
      <c r="J23" s="25"/>
      <c r="K23" s="125"/>
      <c r="L23" s="125"/>
      <c r="M23" s="9"/>
      <c r="N23" s="6"/>
    </row>
    <row r="24" spans="1:14" ht="15.75">
      <c r="A24" s="27"/>
      <c r="B24" s="28" t="s">
        <v>14</v>
      </c>
      <c r="C24" s="29"/>
      <c r="D24" s="30"/>
      <c r="E24" s="30"/>
      <c r="F24" s="30" t="s">
        <v>157</v>
      </c>
      <c r="G24" s="30"/>
      <c r="H24" s="30" t="s">
        <v>169</v>
      </c>
      <c r="I24" s="30"/>
      <c r="J24" s="30"/>
      <c r="K24" s="126"/>
      <c r="L24" s="126"/>
      <c r="M24" s="28"/>
      <c r="N24" s="6"/>
    </row>
    <row r="25" spans="1:14" ht="15.75">
      <c r="A25" s="27"/>
      <c r="B25" s="28" t="s">
        <v>15</v>
      </c>
      <c r="C25" s="29"/>
      <c r="D25" s="30"/>
      <c r="E25" s="30"/>
      <c r="F25" s="30" t="s">
        <v>157</v>
      </c>
      <c r="G25" s="30"/>
      <c r="H25" s="30" t="s">
        <v>169</v>
      </c>
      <c r="I25" s="30"/>
      <c r="J25" s="30"/>
      <c r="K25" s="126"/>
      <c r="L25" s="126"/>
      <c r="M25" s="28"/>
      <c r="N25" s="6"/>
    </row>
    <row r="26" spans="1:14" ht="15.75">
      <c r="A26" s="32"/>
      <c r="B26" s="33" t="s">
        <v>16</v>
      </c>
      <c r="C26" s="33"/>
      <c r="D26" s="34"/>
      <c r="E26" s="34"/>
      <c r="F26" s="34" t="s">
        <v>156</v>
      </c>
      <c r="G26" s="34"/>
      <c r="H26" s="34" t="s">
        <v>168</v>
      </c>
      <c r="I26" s="34"/>
      <c r="J26" s="30"/>
      <c r="K26" s="126"/>
      <c r="L26" s="126"/>
      <c r="M26" s="28"/>
      <c r="N26" s="6"/>
    </row>
    <row r="27" spans="1:14" ht="15.75">
      <c r="A27" s="32"/>
      <c r="B27" s="33" t="s">
        <v>17</v>
      </c>
      <c r="C27" s="33"/>
      <c r="D27" s="34"/>
      <c r="E27" s="34"/>
      <c r="F27" s="34" t="s">
        <v>157</v>
      </c>
      <c r="G27" s="34"/>
      <c r="H27" s="34" t="s">
        <v>207</v>
      </c>
      <c r="I27" s="34"/>
      <c r="J27" s="30"/>
      <c r="K27" s="126"/>
      <c r="L27" s="126"/>
      <c r="M27" s="28"/>
      <c r="N27" s="6"/>
    </row>
    <row r="28" spans="1:14" ht="15.75">
      <c r="A28" s="32"/>
      <c r="B28" s="33" t="s">
        <v>18</v>
      </c>
      <c r="C28" s="33"/>
      <c r="D28" s="34"/>
      <c r="E28" s="34"/>
      <c r="F28" s="34" t="s">
        <v>157</v>
      </c>
      <c r="G28" s="34"/>
      <c r="H28" s="34" t="s">
        <v>169</v>
      </c>
      <c r="I28" s="34"/>
      <c r="J28" s="30"/>
      <c r="K28" s="126"/>
      <c r="L28" s="126"/>
      <c r="M28" s="28"/>
      <c r="N28" s="6"/>
    </row>
    <row r="29" spans="1:14" ht="15.75">
      <c r="A29" s="27"/>
      <c r="B29" s="28" t="s">
        <v>19</v>
      </c>
      <c r="C29" s="28"/>
      <c r="D29" s="29"/>
      <c r="E29" s="30"/>
      <c r="F29" s="29" t="s">
        <v>158</v>
      </c>
      <c r="G29" s="30"/>
      <c r="H29" s="29" t="s">
        <v>170</v>
      </c>
      <c r="I29" s="30"/>
      <c r="J29" s="29"/>
      <c r="K29" s="126"/>
      <c r="L29" s="126"/>
      <c r="M29" s="28"/>
      <c r="N29" s="6"/>
    </row>
    <row r="30" spans="1:14" ht="15.75">
      <c r="A30" s="27"/>
      <c r="B30" s="28"/>
      <c r="C30" s="28"/>
      <c r="D30" s="28"/>
      <c r="E30" s="30"/>
      <c r="F30" s="30"/>
      <c r="G30" s="30"/>
      <c r="H30" s="30"/>
      <c r="I30" s="30"/>
      <c r="J30" s="30"/>
      <c r="K30" s="126"/>
      <c r="L30" s="126"/>
      <c r="M30" s="28"/>
      <c r="N30" s="6"/>
    </row>
    <row r="31" spans="1:14" ht="15.75">
      <c r="A31" s="27"/>
      <c r="B31" s="28" t="s">
        <v>20</v>
      </c>
      <c r="C31" s="28"/>
      <c r="D31" s="35"/>
      <c r="E31" s="36"/>
      <c r="F31" s="35">
        <v>457500</v>
      </c>
      <c r="G31" s="35"/>
      <c r="H31" s="35">
        <v>42500</v>
      </c>
      <c r="I31" s="35"/>
      <c r="J31" s="35"/>
      <c r="K31" s="127"/>
      <c r="L31" s="35">
        <f>H31+F31</f>
        <v>500000</v>
      </c>
      <c r="M31" s="38"/>
      <c r="N31" s="6"/>
    </row>
    <row r="32" spans="1:14" ht="15.75">
      <c r="A32" s="27"/>
      <c r="B32" s="28" t="s">
        <v>21</v>
      </c>
      <c r="C32" s="39">
        <v>0.78244</v>
      </c>
      <c r="D32" s="35"/>
      <c r="E32" s="36"/>
      <c r="F32" s="35">
        <f>F31*C32</f>
        <v>357966.3</v>
      </c>
      <c r="G32" s="35"/>
      <c r="H32" s="35">
        <v>42500</v>
      </c>
      <c r="I32" s="35"/>
      <c r="J32" s="35"/>
      <c r="K32" s="127"/>
      <c r="L32" s="35">
        <f>H32+F32</f>
        <v>400466.3</v>
      </c>
      <c r="M32" s="38"/>
      <c r="N32" s="6"/>
    </row>
    <row r="33" spans="1:14" ht="12.75" customHeight="1">
      <c r="A33" s="32"/>
      <c r="B33" s="33" t="s">
        <v>22</v>
      </c>
      <c r="C33" s="40">
        <v>0.750274</v>
      </c>
      <c r="D33" s="41"/>
      <c r="E33" s="42"/>
      <c r="F33" s="41">
        <f>F31*C33</f>
        <v>343250.355</v>
      </c>
      <c r="G33" s="41"/>
      <c r="H33" s="41">
        <f>H31</f>
        <v>42500</v>
      </c>
      <c r="I33" s="41"/>
      <c r="J33" s="41"/>
      <c r="K33" s="43"/>
      <c r="L33" s="41">
        <f>H33+F33+D33</f>
        <v>385750.355</v>
      </c>
      <c r="M33" s="38"/>
      <c r="N33" s="6"/>
    </row>
    <row r="34" spans="1:14" ht="15.75">
      <c r="A34" s="27"/>
      <c r="B34" s="28" t="s">
        <v>23</v>
      </c>
      <c r="C34" s="44"/>
      <c r="D34" s="29"/>
      <c r="E34" s="28"/>
      <c r="F34" s="29" t="s">
        <v>159</v>
      </c>
      <c r="G34" s="29"/>
      <c r="H34" s="29" t="s">
        <v>171</v>
      </c>
      <c r="I34" s="29"/>
      <c r="J34" s="29"/>
      <c r="K34" s="126"/>
      <c r="L34" s="126"/>
      <c r="M34" s="28"/>
      <c r="N34" s="6"/>
    </row>
    <row r="35" spans="1:14" ht="15.75">
      <c r="A35" s="27"/>
      <c r="B35" s="28" t="s">
        <v>24</v>
      </c>
      <c r="C35" s="28"/>
      <c r="D35" s="45"/>
      <c r="E35" s="28"/>
      <c r="F35" s="45">
        <v>0.0466125</v>
      </c>
      <c r="G35" s="46"/>
      <c r="H35" s="45">
        <v>0.0525125</v>
      </c>
      <c r="I35" s="46"/>
      <c r="J35" s="45"/>
      <c r="K35" s="126"/>
      <c r="L35" s="46">
        <f>SUMPRODUCT(F35:H35,F32:H32)/L32</f>
        <v>0.047238645071383034</v>
      </c>
      <c r="M35" s="28"/>
      <c r="N35" s="6"/>
    </row>
    <row r="36" spans="1:14" ht="15.75">
      <c r="A36" s="27"/>
      <c r="B36" s="28" t="s">
        <v>25</v>
      </c>
      <c r="C36" s="28"/>
      <c r="D36" s="45"/>
      <c r="E36" s="28"/>
      <c r="F36" s="45">
        <v>0.04315</v>
      </c>
      <c r="G36" s="46"/>
      <c r="H36" s="45">
        <v>0.04905</v>
      </c>
      <c r="I36" s="46"/>
      <c r="J36" s="45"/>
      <c r="K36" s="126"/>
      <c r="L36" s="126"/>
      <c r="M36" s="28"/>
      <c r="N36" s="6"/>
    </row>
    <row r="37" spans="1:14" ht="15.75">
      <c r="A37" s="27"/>
      <c r="B37" s="28" t="s">
        <v>26</v>
      </c>
      <c r="C37" s="28"/>
      <c r="D37" s="29"/>
      <c r="E37" s="28"/>
      <c r="F37" s="29" t="s">
        <v>160</v>
      </c>
      <c r="G37" s="29"/>
      <c r="H37" s="29" t="s">
        <v>160</v>
      </c>
      <c r="I37" s="29"/>
      <c r="J37" s="29"/>
      <c r="K37" s="126"/>
      <c r="L37" s="126"/>
      <c r="M37" s="28"/>
      <c r="N37" s="6"/>
    </row>
    <row r="38" spans="1:14" ht="15.75">
      <c r="A38" s="27"/>
      <c r="B38" s="28" t="s">
        <v>27</v>
      </c>
      <c r="C38" s="28"/>
      <c r="D38" s="29"/>
      <c r="E38" s="28"/>
      <c r="F38" s="29" t="s">
        <v>161</v>
      </c>
      <c r="G38" s="29"/>
      <c r="H38" s="29" t="s">
        <v>161</v>
      </c>
      <c r="I38" s="29"/>
      <c r="J38" s="29"/>
      <c r="K38" s="126"/>
      <c r="L38" s="126"/>
      <c r="M38" s="28"/>
      <c r="N38" s="6"/>
    </row>
    <row r="39" spans="1:14" ht="15.75">
      <c r="A39" s="27"/>
      <c r="B39" s="28" t="s">
        <v>28</v>
      </c>
      <c r="C39" s="28"/>
      <c r="D39" s="29"/>
      <c r="E39" s="28"/>
      <c r="F39" s="29" t="s">
        <v>162</v>
      </c>
      <c r="G39" s="29"/>
      <c r="H39" s="29" t="s">
        <v>172</v>
      </c>
      <c r="I39" s="29"/>
      <c r="J39" s="29"/>
      <c r="K39" s="126"/>
      <c r="L39" s="126"/>
      <c r="M39" s="28"/>
      <c r="N39" s="6"/>
    </row>
    <row r="40" spans="1:14" ht="15.75">
      <c r="A40" s="27"/>
      <c r="B40" s="28"/>
      <c r="C40" s="28"/>
      <c r="D40" s="47"/>
      <c r="E40" s="47"/>
      <c r="F40" s="28"/>
      <c r="G40" s="47"/>
      <c r="H40" s="130"/>
      <c r="I40" s="47"/>
      <c r="J40" s="47"/>
      <c r="K40" s="47"/>
      <c r="L40" s="47"/>
      <c r="M40" s="28"/>
      <c r="N40" s="6"/>
    </row>
    <row r="41" spans="1:14" ht="15.75">
      <c r="A41" s="27"/>
      <c r="B41" s="28" t="s">
        <v>29</v>
      </c>
      <c r="C41" s="28"/>
      <c r="D41" s="28"/>
      <c r="E41" s="28"/>
      <c r="F41" s="28"/>
      <c r="G41" s="28"/>
      <c r="H41" s="117"/>
      <c r="I41" s="28"/>
      <c r="J41" s="28"/>
      <c r="K41" s="28"/>
      <c r="L41" s="46">
        <f>H31/F31</f>
        <v>0.09289617486338798</v>
      </c>
      <c r="M41" s="28"/>
      <c r="N41" s="6"/>
    </row>
    <row r="42" spans="1:14" ht="15.75">
      <c r="A42" s="27"/>
      <c r="B42" s="28" t="s">
        <v>30</v>
      </c>
      <c r="C42" s="28"/>
      <c r="D42" s="28"/>
      <c r="E42" s="28"/>
      <c r="F42" s="28"/>
      <c r="G42" s="28"/>
      <c r="H42" s="117"/>
      <c r="I42" s="28"/>
      <c r="J42" s="28"/>
      <c r="K42" s="28"/>
      <c r="L42" s="46">
        <f>H33/F33</f>
        <v>0.12381633225113489</v>
      </c>
      <c r="M42" s="28"/>
      <c r="N42" s="6"/>
    </row>
    <row r="43" spans="1:14" ht="15.75">
      <c r="A43" s="27"/>
      <c r="B43" s="28" t="s">
        <v>31</v>
      </c>
      <c r="C43" s="28"/>
      <c r="D43" s="28"/>
      <c r="E43" s="28"/>
      <c r="F43" s="117"/>
      <c r="G43" s="28"/>
      <c r="H43" s="117"/>
      <c r="I43" s="28"/>
      <c r="J43" s="29" t="s">
        <v>155</v>
      </c>
      <c r="K43" s="29" t="s">
        <v>187</v>
      </c>
      <c r="L43" s="35">
        <v>207500</v>
      </c>
      <c r="M43" s="28"/>
      <c r="N43" s="6"/>
    </row>
    <row r="44" spans="1:14" ht="15.75">
      <c r="A44" s="27"/>
      <c r="B44" s="28"/>
      <c r="C44" s="28"/>
      <c r="D44" s="28"/>
      <c r="E44" s="28"/>
      <c r="F44" s="28"/>
      <c r="G44" s="28"/>
      <c r="H44" s="28"/>
      <c r="I44" s="28"/>
      <c r="J44" s="28" t="s">
        <v>179</v>
      </c>
      <c r="K44" s="28"/>
      <c r="L44" s="48"/>
      <c r="M44" s="28"/>
      <c r="N44" s="6"/>
    </row>
    <row r="45" spans="1:14" ht="15.75">
      <c r="A45" s="27"/>
      <c r="B45" s="28" t="s">
        <v>32</v>
      </c>
      <c r="C45" s="28"/>
      <c r="D45" s="28"/>
      <c r="E45" s="28"/>
      <c r="F45" s="28"/>
      <c r="G45" s="28"/>
      <c r="H45" s="28"/>
      <c r="I45" s="28"/>
      <c r="J45" s="29"/>
      <c r="K45" s="29"/>
      <c r="L45" s="29" t="s">
        <v>190</v>
      </c>
      <c r="M45" s="28"/>
      <c r="N45" s="6"/>
    </row>
    <row r="46" spans="1:14" ht="15.75">
      <c r="A46" s="32"/>
      <c r="B46" s="33" t="s">
        <v>33</v>
      </c>
      <c r="C46" s="33"/>
      <c r="D46" s="33"/>
      <c r="E46" s="33"/>
      <c r="F46" s="33"/>
      <c r="G46" s="33"/>
      <c r="H46" s="33"/>
      <c r="I46" s="33"/>
      <c r="J46" s="49"/>
      <c r="K46" s="49"/>
      <c r="L46" s="50">
        <v>38175</v>
      </c>
      <c r="M46" s="28"/>
      <c r="N46" s="6"/>
    </row>
    <row r="47" spans="1:14" ht="15.75">
      <c r="A47" s="27"/>
      <c r="B47" s="28" t="s">
        <v>34</v>
      </c>
      <c r="C47" s="28"/>
      <c r="D47" s="28"/>
      <c r="E47" s="28"/>
      <c r="F47" s="28"/>
      <c r="G47" s="28"/>
      <c r="H47" s="28"/>
      <c r="I47" s="28">
        <f>L47-J47+1</f>
        <v>91</v>
      </c>
      <c r="J47" s="51">
        <v>37993</v>
      </c>
      <c r="K47" s="52"/>
      <c r="L47" s="51">
        <v>38083</v>
      </c>
      <c r="M47" s="28"/>
      <c r="N47" s="6"/>
    </row>
    <row r="48" spans="1:14" ht="15.75">
      <c r="A48" s="27"/>
      <c r="B48" s="28" t="s">
        <v>35</v>
      </c>
      <c r="C48" s="28"/>
      <c r="D48" s="28"/>
      <c r="E48" s="28"/>
      <c r="F48" s="28"/>
      <c r="G48" s="28"/>
      <c r="H48" s="28"/>
      <c r="I48" s="28">
        <f>L48-J48+1</f>
        <v>91</v>
      </c>
      <c r="J48" s="51">
        <v>38084</v>
      </c>
      <c r="K48" s="52"/>
      <c r="L48" s="51">
        <v>38174</v>
      </c>
      <c r="M48" s="28"/>
      <c r="N48" s="6"/>
    </row>
    <row r="49" spans="1:14" ht="15.75">
      <c r="A49" s="27"/>
      <c r="B49" s="28" t="s">
        <v>36</v>
      </c>
      <c r="C49" s="28"/>
      <c r="D49" s="28"/>
      <c r="E49" s="28"/>
      <c r="F49" s="28"/>
      <c r="G49" s="28"/>
      <c r="H49" s="28"/>
      <c r="I49" s="28"/>
      <c r="J49" s="51"/>
      <c r="K49" s="52"/>
      <c r="L49" s="51" t="s">
        <v>203</v>
      </c>
      <c r="M49" s="28"/>
      <c r="N49" s="6"/>
    </row>
    <row r="50" spans="1:14" ht="15.75">
      <c r="A50" s="27"/>
      <c r="B50" s="28" t="s">
        <v>37</v>
      </c>
      <c r="C50" s="28"/>
      <c r="D50" s="28"/>
      <c r="E50" s="28"/>
      <c r="F50" s="28"/>
      <c r="G50" s="28"/>
      <c r="H50" s="28"/>
      <c r="I50" s="28"/>
      <c r="J50" s="51"/>
      <c r="K50" s="52"/>
      <c r="L50" s="51">
        <v>38170</v>
      </c>
      <c r="M50" s="28"/>
      <c r="N50" s="6"/>
    </row>
    <row r="51" spans="1:14" ht="15.75">
      <c r="A51" s="27"/>
      <c r="B51" s="28"/>
      <c r="C51" s="28"/>
      <c r="D51" s="28"/>
      <c r="E51" s="28"/>
      <c r="F51" s="28"/>
      <c r="G51" s="28"/>
      <c r="H51" s="28"/>
      <c r="I51" s="28"/>
      <c r="J51" s="51"/>
      <c r="K51" s="52"/>
      <c r="L51" s="51"/>
      <c r="M51" s="28"/>
      <c r="N51" s="6"/>
    </row>
    <row r="52" spans="1:14" ht="15.75">
      <c r="A52" s="7"/>
      <c r="B52" s="9"/>
      <c r="C52" s="9"/>
      <c r="D52" s="9"/>
      <c r="E52" s="9"/>
      <c r="F52" s="9"/>
      <c r="G52" s="9"/>
      <c r="H52" s="9"/>
      <c r="I52" s="9"/>
      <c r="J52" s="53"/>
      <c r="K52" s="54"/>
      <c r="L52" s="53"/>
      <c r="M52" s="9"/>
      <c r="N52" s="6"/>
    </row>
    <row r="53" spans="1:14" ht="19.5" thickBot="1">
      <c r="A53" s="118"/>
      <c r="B53" s="119" t="s">
        <v>206</v>
      </c>
      <c r="C53" s="120"/>
      <c r="D53" s="120"/>
      <c r="E53" s="120"/>
      <c r="F53" s="120"/>
      <c r="G53" s="120"/>
      <c r="H53" s="120"/>
      <c r="I53" s="120"/>
      <c r="J53" s="121"/>
      <c r="K53" s="122"/>
      <c r="L53" s="121"/>
      <c r="M53" s="123"/>
      <c r="N53" s="6"/>
    </row>
    <row r="54" spans="1:14" ht="15.75">
      <c r="A54" s="2"/>
      <c r="B54" s="5"/>
      <c r="C54" s="5"/>
      <c r="D54" s="5"/>
      <c r="E54" s="5"/>
      <c r="F54" s="5"/>
      <c r="G54" s="5"/>
      <c r="H54" s="5"/>
      <c r="I54" s="5"/>
      <c r="J54" s="5"/>
      <c r="K54" s="5"/>
      <c r="L54" s="56"/>
      <c r="M54" s="5"/>
      <c r="N54" s="6"/>
    </row>
    <row r="55" spans="1:14" ht="15.75">
      <c r="A55" s="7"/>
      <c r="B55" s="57" t="s">
        <v>39</v>
      </c>
      <c r="C55" s="15"/>
      <c r="D55" s="9"/>
      <c r="E55" s="9"/>
      <c r="F55" s="9"/>
      <c r="G55" s="9"/>
      <c r="H55" s="9"/>
      <c r="I55" s="9"/>
      <c r="J55" s="9"/>
      <c r="K55" s="9"/>
      <c r="L55" s="58"/>
      <c r="M55" s="9"/>
      <c r="N55" s="6"/>
    </row>
    <row r="56" spans="1:14" ht="15.75">
      <c r="A56" s="7"/>
      <c r="B56" s="15"/>
      <c r="C56" s="15"/>
      <c r="D56" s="9"/>
      <c r="E56" s="9"/>
      <c r="F56" s="9"/>
      <c r="G56" s="9"/>
      <c r="H56" s="9"/>
      <c r="I56" s="9"/>
      <c r="J56" s="9"/>
      <c r="K56" s="9"/>
      <c r="L56" s="58"/>
      <c r="M56" s="9"/>
      <c r="N56" s="6"/>
    </row>
    <row r="57" spans="1:14" ht="63">
      <c r="A57" s="7"/>
      <c r="B57" s="134" t="s">
        <v>40</v>
      </c>
      <c r="C57" s="135" t="s">
        <v>149</v>
      </c>
      <c r="D57" s="135" t="s">
        <v>151</v>
      </c>
      <c r="E57" s="135"/>
      <c r="F57" s="135" t="s">
        <v>163</v>
      </c>
      <c r="G57" s="135"/>
      <c r="H57" s="135" t="s">
        <v>173</v>
      </c>
      <c r="I57" s="135"/>
      <c r="J57" s="135" t="s">
        <v>180</v>
      </c>
      <c r="K57" s="135"/>
      <c r="L57" s="136" t="s">
        <v>192</v>
      </c>
      <c r="M57" s="9"/>
      <c r="N57" s="6"/>
    </row>
    <row r="58" spans="1:14" ht="15.75">
      <c r="A58" s="27"/>
      <c r="B58" s="28" t="s">
        <v>41</v>
      </c>
      <c r="C58" s="38">
        <v>421950</v>
      </c>
      <c r="D58" s="38">
        <v>400466</v>
      </c>
      <c r="E58" s="38"/>
      <c r="F58" s="38">
        <f>14716+5806+5+14</f>
        <v>20541</v>
      </c>
      <c r="G58" s="38"/>
      <c r="H58" s="38">
        <f>5806+5+14</f>
        <v>5825</v>
      </c>
      <c r="I58" s="38"/>
      <c r="J58" s="38">
        <v>0</v>
      </c>
      <c r="K58" s="38"/>
      <c r="L58" s="59">
        <f>D58-F58+H58-J58</f>
        <v>385750</v>
      </c>
      <c r="M58" s="28"/>
      <c r="N58" s="6"/>
    </row>
    <row r="59" spans="1:14" ht="15.75">
      <c r="A59" s="27"/>
      <c r="B59" s="28" t="s">
        <v>42</v>
      </c>
      <c r="C59" s="38">
        <v>54</v>
      </c>
      <c r="D59" s="38">
        <v>0</v>
      </c>
      <c r="E59" s="38"/>
      <c r="F59" s="38">
        <v>0</v>
      </c>
      <c r="G59" s="38"/>
      <c r="H59" s="38">
        <v>0</v>
      </c>
      <c r="I59" s="38"/>
      <c r="J59" s="38">
        <v>0</v>
      </c>
      <c r="K59" s="38"/>
      <c r="L59" s="59">
        <f>D59-F59+H59-J59</f>
        <v>0</v>
      </c>
      <c r="M59" s="28"/>
      <c r="N59" s="6"/>
    </row>
    <row r="60" spans="1:14" ht="15.75">
      <c r="A60" s="27"/>
      <c r="B60" s="28"/>
      <c r="C60" s="38"/>
      <c r="D60" s="38"/>
      <c r="E60" s="38"/>
      <c r="F60" s="38"/>
      <c r="G60" s="38"/>
      <c r="H60" s="38"/>
      <c r="I60" s="38"/>
      <c r="J60" s="38"/>
      <c r="K60" s="38"/>
      <c r="L60" s="59"/>
      <c r="M60" s="28"/>
      <c r="N60" s="6"/>
    </row>
    <row r="61" spans="1:14" ht="15.75">
      <c r="A61" s="27"/>
      <c r="B61" s="28" t="s">
        <v>43</v>
      </c>
      <c r="C61" s="38">
        <f>SUM(C58:C60)</f>
        <v>422004</v>
      </c>
      <c r="D61" s="38">
        <f>SUM(D58:D60)</f>
        <v>400466</v>
      </c>
      <c r="E61" s="38"/>
      <c r="F61" s="38">
        <f>SUM(F58:F60)</f>
        <v>20541</v>
      </c>
      <c r="G61" s="38"/>
      <c r="H61" s="38">
        <f>SUM(H58:H60)</f>
        <v>5825</v>
      </c>
      <c r="I61" s="38"/>
      <c r="J61" s="38">
        <f>SUM(J58:J60)</f>
        <v>0</v>
      </c>
      <c r="K61" s="38"/>
      <c r="L61" s="60">
        <f>SUM(L58:L60)</f>
        <v>385750</v>
      </c>
      <c r="M61" s="28"/>
      <c r="N61" s="6"/>
    </row>
    <row r="62" spans="1:14" ht="15.75">
      <c r="A62" s="27"/>
      <c r="B62" s="28"/>
      <c r="C62" s="38"/>
      <c r="D62" s="38"/>
      <c r="E62" s="38"/>
      <c r="F62" s="38"/>
      <c r="G62" s="38"/>
      <c r="H62" s="38"/>
      <c r="I62" s="38"/>
      <c r="J62" s="38"/>
      <c r="K62" s="38"/>
      <c r="L62" s="60"/>
      <c r="M62" s="28"/>
      <c r="N62" s="6"/>
    </row>
    <row r="63" spans="1:14" ht="15.75">
      <c r="A63" s="7"/>
      <c r="B63" s="131" t="s">
        <v>44</v>
      </c>
      <c r="C63" s="61"/>
      <c r="D63" s="61"/>
      <c r="E63" s="61"/>
      <c r="F63" s="61"/>
      <c r="G63" s="61"/>
      <c r="H63" s="61"/>
      <c r="I63" s="61"/>
      <c r="J63" s="61"/>
      <c r="K63" s="61"/>
      <c r="L63" s="62"/>
      <c r="M63" s="9"/>
      <c r="N63" s="6"/>
    </row>
    <row r="64" spans="1:14" ht="15.75">
      <c r="A64" s="7"/>
      <c r="B64" s="9"/>
      <c r="C64" s="61"/>
      <c r="D64" s="61"/>
      <c r="E64" s="61"/>
      <c r="F64" s="61"/>
      <c r="G64" s="61"/>
      <c r="H64" s="61"/>
      <c r="I64" s="61"/>
      <c r="J64" s="61"/>
      <c r="K64" s="61"/>
      <c r="L64" s="62"/>
      <c r="M64" s="9"/>
      <c r="N64" s="6"/>
    </row>
    <row r="65" spans="1:14" ht="15.75">
      <c r="A65" s="27"/>
      <c r="B65" s="28" t="s">
        <v>41</v>
      </c>
      <c r="C65" s="38"/>
      <c r="D65" s="38"/>
      <c r="E65" s="38"/>
      <c r="F65" s="38"/>
      <c r="G65" s="38"/>
      <c r="H65" s="38"/>
      <c r="I65" s="38"/>
      <c r="J65" s="38"/>
      <c r="K65" s="38"/>
      <c r="L65" s="60"/>
      <c r="M65" s="28"/>
      <c r="N65" s="6"/>
    </row>
    <row r="66" spans="1:14" ht="15.75">
      <c r="A66" s="27"/>
      <c r="B66" s="28" t="s">
        <v>42</v>
      </c>
      <c r="C66" s="38"/>
      <c r="D66" s="38"/>
      <c r="E66" s="38"/>
      <c r="F66" s="38"/>
      <c r="G66" s="38"/>
      <c r="H66" s="38"/>
      <c r="I66" s="38"/>
      <c r="J66" s="38"/>
      <c r="K66" s="38"/>
      <c r="L66" s="60"/>
      <c r="M66" s="28"/>
      <c r="N66" s="6"/>
    </row>
    <row r="67" spans="1:14" ht="15.75">
      <c r="A67" s="27"/>
      <c r="B67" s="28"/>
      <c r="C67" s="38"/>
      <c r="D67" s="38"/>
      <c r="E67" s="38"/>
      <c r="F67" s="38"/>
      <c r="G67" s="38"/>
      <c r="H67" s="38"/>
      <c r="I67" s="38"/>
      <c r="J67" s="38"/>
      <c r="K67" s="38"/>
      <c r="L67" s="60"/>
      <c r="M67" s="28"/>
      <c r="N67" s="6"/>
    </row>
    <row r="68" spans="1:14" ht="15.75">
      <c r="A68" s="27"/>
      <c r="B68" s="28" t="s">
        <v>43</v>
      </c>
      <c r="C68" s="38"/>
      <c r="D68" s="38"/>
      <c r="E68" s="38"/>
      <c r="F68" s="38"/>
      <c r="G68" s="38"/>
      <c r="H68" s="38"/>
      <c r="I68" s="38"/>
      <c r="J68" s="38"/>
      <c r="K68" s="38"/>
      <c r="L68" s="38"/>
      <c r="M68" s="28"/>
      <c r="N68" s="6"/>
    </row>
    <row r="69" spans="1:14" ht="15.75">
      <c r="A69" s="27"/>
      <c r="B69" s="28"/>
      <c r="C69" s="38"/>
      <c r="D69" s="38"/>
      <c r="E69" s="38"/>
      <c r="F69" s="38"/>
      <c r="G69" s="38"/>
      <c r="H69" s="38"/>
      <c r="I69" s="38"/>
      <c r="J69" s="38"/>
      <c r="K69" s="38"/>
      <c r="L69" s="38"/>
      <c r="M69" s="28"/>
      <c r="N69" s="6"/>
    </row>
    <row r="70" spans="1:14" ht="15.75">
      <c r="A70" s="27"/>
      <c r="B70" s="28" t="s">
        <v>45</v>
      </c>
      <c r="C70" s="38">
        <v>0</v>
      </c>
      <c r="D70" s="38">
        <v>0</v>
      </c>
      <c r="E70" s="38"/>
      <c r="F70" s="38"/>
      <c r="G70" s="38"/>
      <c r="H70" s="38"/>
      <c r="I70" s="38"/>
      <c r="J70" s="38"/>
      <c r="K70" s="38"/>
      <c r="L70" s="59">
        <f>D70-F70+H70-J70</f>
        <v>0</v>
      </c>
      <c r="M70" s="28"/>
      <c r="N70" s="6"/>
    </row>
    <row r="71" spans="1:14" ht="15.75">
      <c r="A71" s="27"/>
      <c r="B71" s="28" t="s">
        <v>46</v>
      </c>
      <c r="C71" s="38">
        <v>77996</v>
      </c>
      <c r="D71" s="38">
        <v>0</v>
      </c>
      <c r="E71" s="38"/>
      <c r="F71" s="38"/>
      <c r="G71" s="38"/>
      <c r="H71" s="38"/>
      <c r="I71" s="38"/>
      <c r="J71" s="38"/>
      <c r="K71" s="38"/>
      <c r="L71" s="60">
        <v>0</v>
      </c>
      <c r="M71" s="28"/>
      <c r="N71" s="6"/>
    </row>
    <row r="72" spans="1:14" ht="15.75">
      <c r="A72" s="27"/>
      <c r="B72" s="28" t="s">
        <v>47</v>
      </c>
      <c r="C72" s="38">
        <v>0</v>
      </c>
      <c r="D72" s="38">
        <v>0</v>
      </c>
      <c r="E72" s="38"/>
      <c r="F72" s="38"/>
      <c r="G72" s="38"/>
      <c r="H72" s="38"/>
      <c r="I72" s="38"/>
      <c r="J72" s="38"/>
      <c r="K72" s="38"/>
      <c r="L72" s="60">
        <v>0</v>
      </c>
      <c r="M72" s="28"/>
      <c r="N72" s="6"/>
    </row>
    <row r="73" spans="1:14" ht="15.75">
      <c r="A73" s="27"/>
      <c r="B73" s="28" t="s">
        <v>48</v>
      </c>
      <c r="C73" s="60">
        <f>SUM(C61:C72)</f>
        <v>500000</v>
      </c>
      <c r="D73" s="60">
        <f>SUM(D61:D72)</f>
        <v>400466</v>
      </c>
      <c r="E73" s="38"/>
      <c r="F73" s="60"/>
      <c r="G73" s="38"/>
      <c r="H73" s="60"/>
      <c r="I73" s="38"/>
      <c r="J73" s="60"/>
      <c r="K73" s="38"/>
      <c r="L73" s="60">
        <f>SUM(L61:L72)</f>
        <v>385750</v>
      </c>
      <c r="M73" s="28"/>
      <c r="N73" s="6"/>
    </row>
    <row r="74" spans="1:14" ht="15.75">
      <c r="A74" s="7"/>
      <c r="B74" s="9"/>
      <c r="C74" s="9"/>
      <c r="D74" s="9"/>
      <c r="E74" s="9"/>
      <c r="F74" s="9"/>
      <c r="G74" s="9"/>
      <c r="H74" s="9"/>
      <c r="I74" s="9"/>
      <c r="J74" s="9"/>
      <c r="K74" s="9"/>
      <c r="L74" s="9"/>
      <c r="M74" s="9"/>
      <c r="N74" s="6"/>
    </row>
    <row r="75" spans="1:14" ht="15.75">
      <c r="A75" s="7"/>
      <c r="B75" s="57" t="s">
        <v>49</v>
      </c>
      <c r="C75" s="16"/>
      <c r="D75" s="16"/>
      <c r="E75" s="16"/>
      <c r="F75" s="16"/>
      <c r="G75" s="16"/>
      <c r="H75" s="16"/>
      <c r="I75" s="19"/>
      <c r="J75" s="19" t="s">
        <v>181</v>
      </c>
      <c r="K75" s="19"/>
      <c r="L75" s="19" t="s">
        <v>193</v>
      </c>
      <c r="M75" s="9"/>
      <c r="N75" s="6"/>
    </row>
    <row r="76" spans="1:14" ht="15.75">
      <c r="A76" s="27"/>
      <c r="B76" s="28" t="s">
        <v>50</v>
      </c>
      <c r="C76" s="28"/>
      <c r="D76" s="28"/>
      <c r="E76" s="28"/>
      <c r="F76" s="28"/>
      <c r="G76" s="28"/>
      <c r="H76" s="28"/>
      <c r="I76" s="28"/>
      <c r="J76" s="38">
        <v>0</v>
      </c>
      <c r="K76" s="28"/>
      <c r="L76" s="59">
        <v>0</v>
      </c>
      <c r="M76" s="28"/>
      <c r="N76" s="6"/>
    </row>
    <row r="77" spans="1:14" ht="15.75">
      <c r="A77" s="27"/>
      <c r="B77" s="28" t="s">
        <v>51</v>
      </c>
      <c r="C77" s="47" t="s">
        <v>150</v>
      </c>
      <c r="D77" s="63">
        <f>J158</f>
        <v>38168</v>
      </c>
      <c r="E77" s="28"/>
      <c r="F77" s="28"/>
      <c r="G77" s="28"/>
      <c r="H77" s="28"/>
      <c r="I77" s="28"/>
      <c r="J77" s="38">
        <v>20541</v>
      </c>
      <c r="K77" s="28"/>
      <c r="L77" s="59"/>
      <c r="M77" s="28"/>
      <c r="N77" s="6"/>
    </row>
    <row r="78" spans="1:14" ht="15.75">
      <c r="A78" s="27"/>
      <c r="B78" s="28" t="s">
        <v>52</v>
      </c>
      <c r="C78" s="28"/>
      <c r="D78" s="28"/>
      <c r="E78" s="28"/>
      <c r="F78" s="28"/>
      <c r="G78" s="28"/>
      <c r="H78" s="28"/>
      <c r="I78" s="28"/>
      <c r="J78" s="38"/>
      <c r="K78" s="28"/>
      <c r="L78" s="59">
        <f>6335-7</f>
        <v>6328</v>
      </c>
      <c r="M78" s="28"/>
      <c r="N78" s="6"/>
    </row>
    <row r="79" spans="1:14" ht="15.75">
      <c r="A79" s="27"/>
      <c r="B79" s="28" t="s">
        <v>53</v>
      </c>
      <c r="C79" s="28"/>
      <c r="D79" s="28"/>
      <c r="E79" s="28"/>
      <c r="F79" s="28"/>
      <c r="G79" s="28"/>
      <c r="H79" s="28"/>
      <c r="I79" s="28"/>
      <c r="J79" s="38"/>
      <c r="K79" s="28"/>
      <c r="L79" s="59">
        <v>0</v>
      </c>
      <c r="M79" s="28"/>
      <c r="N79" s="6"/>
    </row>
    <row r="80" spans="1:14" ht="15.75">
      <c r="A80" s="27"/>
      <c r="B80" s="28" t="s">
        <v>54</v>
      </c>
      <c r="C80" s="28"/>
      <c r="D80" s="28"/>
      <c r="E80" s="28"/>
      <c r="F80" s="28"/>
      <c r="G80" s="28"/>
      <c r="H80" s="28"/>
      <c r="I80" s="28"/>
      <c r="J80" s="38">
        <f>SUM(J76:J79)</f>
        <v>20541</v>
      </c>
      <c r="K80" s="28"/>
      <c r="L80" s="60">
        <f>SUM(L76:L79)</f>
        <v>6328</v>
      </c>
      <c r="M80" s="28"/>
      <c r="N80" s="6"/>
    </row>
    <row r="81" spans="1:14" ht="15.75">
      <c r="A81" s="27"/>
      <c r="B81" s="28" t="s">
        <v>55</v>
      </c>
      <c r="C81" s="28"/>
      <c r="D81" s="28"/>
      <c r="E81" s="28"/>
      <c r="F81" s="28"/>
      <c r="G81" s="28"/>
      <c r="H81" s="28"/>
      <c r="I81" s="28"/>
      <c r="J81" s="38">
        <v>0</v>
      </c>
      <c r="K81" s="28"/>
      <c r="L81" s="59">
        <v>0</v>
      </c>
      <c r="M81" s="28"/>
      <c r="N81" s="6"/>
    </row>
    <row r="82" spans="1:14" ht="15.75">
      <c r="A82" s="27"/>
      <c r="B82" s="28" t="s">
        <v>56</v>
      </c>
      <c r="C82" s="28"/>
      <c r="D82" s="28"/>
      <c r="E82" s="28"/>
      <c r="F82" s="28"/>
      <c r="G82" s="28"/>
      <c r="H82" s="28"/>
      <c r="I82" s="28"/>
      <c r="J82" s="38">
        <f>J80+J81</f>
        <v>20541</v>
      </c>
      <c r="K82" s="28"/>
      <c r="L82" s="60">
        <f>L80+L81</f>
        <v>6328</v>
      </c>
      <c r="M82" s="28"/>
      <c r="N82" s="6"/>
    </row>
    <row r="83" spans="1:14" ht="15.75">
      <c r="A83" s="27"/>
      <c r="B83" s="137" t="s">
        <v>57</v>
      </c>
      <c r="C83" s="64"/>
      <c r="D83" s="28"/>
      <c r="E83" s="28"/>
      <c r="F83" s="28"/>
      <c r="G83" s="28"/>
      <c r="H83" s="28"/>
      <c r="I83" s="28"/>
      <c r="J83" s="38"/>
      <c r="K83" s="28"/>
      <c r="L83" s="59"/>
      <c r="M83" s="28"/>
      <c r="N83" s="6"/>
    </row>
    <row r="84" spans="1:14" ht="15.75">
      <c r="A84" s="27">
        <v>1</v>
      </c>
      <c r="B84" s="28" t="s">
        <v>58</v>
      </c>
      <c r="C84" s="28"/>
      <c r="D84" s="28"/>
      <c r="E84" s="28"/>
      <c r="F84" s="28"/>
      <c r="G84" s="28"/>
      <c r="H84" s="28"/>
      <c r="I84" s="28"/>
      <c r="J84" s="28"/>
      <c r="K84" s="28"/>
      <c r="L84" s="59">
        <v>0</v>
      </c>
      <c r="M84" s="28"/>
      <c r="N84" s="6"/>
    </row>
    <row r="85" spans="1:14" ht="15.75">
      <c r="A85" s="27">
        <v>2</v>
      </c>
      <c r="B85" s="28" t="s">
        <v>59</v>
      </c>
      <c r="C85" s="28"/>
      <c r="D85" s="28"/>
      <c r="E85" s="28"/>
      <c r="F85" s="28"/>
      <c r="G85" s="28"/>
      <c r="H85" s="28"/>
      <c r="I85" s="28"/>
      <c r="J85" s="28"/>
      <c r="K85" s="28"/>
      <c r="L85" s="59">
        <v>-5</v>
      </c>
      <c r="M85" s="28"/>
      <c r="N85" s="6"/>
    </row>
    <row r="86" spans="1:14" ht="15.75">
      <c r="A86" s="27">
        <v>3</v>
      </c>
      <c r="B86" s="28" t="s">
        <v>60</v>
      </c>
      <c r="C86" s="28"/>
      <c r="D86" s="28"/>
      <c r="E86" s="28"/>
      <c r="F86" s="28"/>
      <c r="G86" s="28"/>
      <c r="H86" s="28"/>
      <c r="I86" s="28"/>
      <c r="J86" s="28"/>
      <c r="K86" s="28"/>
      <c r="L86" s="59">
        <f>-299-6</f>
        <v>-305</v>
      </c>
      <c r="M86" s="28"/>
      <c r="N86" s="6"/>
    </row>
    <row r="87" spans="1:14" ht="15.75">
      <c r="A87" s="27">
        <v>4</v>
      </c>
      <c r="B87" s="28" t="s">
        <v>61</v>
      </c>
      <c r="C87" s="28"/>
      <c r="D87" s="28"/>
      <c r="E87" s="28"/>
      <c r="F87" s="28"/>
      <c r="G87" s="28"/>
      <c r="H87" s="28"/>
      <c r="I87" s="28"/>
      <c r="J87" s="28"/>
      <c r="K87" s="28"/>
      <c r="L87" s="59">
        <v>-152</v>
      </c>
      <c r="M87" s="28"/>
      <c r="N87" s="6"/>
    </row>
    <row r="88" spans="1:14" ht="15.75">
      <c r="A88" s="27">
        <v>5</v>
      </c>
      <c r="B88" s="28" t="s">
        <v>62</v>
      </c>
      <c r="C88" s="28"/>
      <c r="D88" s="28"/>
      <c r="E88" s="28"/>
      <c r="F88" s="28"/>
      <c r="G88" s="28"/>
      <c r="H88" s="28"/>
      <c r="I88" s="28"/>
      <c r="J88" s="28"/>
      <c r="K88" s="28"/>
      <c r="L88" s="59">
        <v>-4149</v>
      </c>
      <c r="M88" s="28"/>
      <c r="N88" s="6"/>
    </row>
    <row r="89" spans="1:14" ht="15.75">
      <c r="A89" s="27">
        <v>6</v>
      </c>
      <c r="B89" s="28" t="s">
        <v>63</v>
      </c>
      <c r="C89" s="28"/>
      <c r="D89" s="28"/>
      <c r="E89" s="28"/>
      <c r="F89" s="28"/>
      <c r="G89" s="28"/>
      <c r="H89" s="28"/>
      <c r="I89" s="28"/>
      <c r="J89" s="28"/>
      <c r="K89" s="28"/>
      <c r="L89" s="59">
        <v>-555</v>
      </c>
      <c r="M89" s="28"/>
      <c r="N89" s="6"/>
    </row>
    <row r="90" spans="1:14" ht="15.75">
      <c r="A90" s="27">
        <v>7</v>
      </c>
      <c r="B90" s="28" t="s">
        <v>64</v>
      </c>
      <c r="C90" s="28"/>
      <c r="D90" s="28"/>
      <c r="E90" s="28"/>
      <c r="F90" s="28"/>
      <c r="G90" s="28"/>
      <c r="H90" s="28"/>
      <c r="I90" s="28"/>
      <c r="J90" s="28"/>
      <c r="K90" s="28"/>
      <c r="L90" s="59">
        <v>-5</v>
      </c>
      <c r="M90" s="28"/>
      <c r="N90" s="6"/>
    </row>
    <row r="91" spans="1:14" ht="15.75">
      <c r="A91" s="27">
        <v>8</v>
      </c>
      <c r="B91" s="28" t="s">
        <v>65</v>
      </c>
      <c r="C91" s="28"/>
      <c r="D91" s="28"/>
      <c r="E91" s="28"/>
      <c r="F91" s="28"/>
      <c r="G91" s="28"/>
      <c r="H91" s="28"/>
      <c r="I91" s="28"/>
      <c r="J91" s="28"/>
      <c r="K91" s="28"/>
      <c r="L91" s="59">
        <v>0</v>
      </c>
      <c r="M91" s="28"/>
      <c r="N91" s="6"/>
    </row>
    <row r="92" spans="1:14" ht="15.75">
      <c r="A92" s="27">
        <v>9</v>
      </c>
      <c r="B92" s="28" t="s">
        <v>66</v>
      </c>
      <c r="C92" s="28"/>
      <c r="D92" s="28"/>
      <c r="E92" s="28"/>
      <c r="F92" s="28"/>
      <c r="G92" s="28"/>
      <c r="H92" s="28"/>
      <c r="I92" s="28"/>
      <c r="J92" s="28"/>
      <c r="K92" s="28"/>
      <c r="L92" s="59">
        <v>0</v>
      </c>
      <c r="M92" s="28"/>
      <c r="N92" s="6"/>
    </row>
    <row r="93" spans="1:14" ht="15.75">
      <c r="A93" s="27">
        <v>10</v>
      </c>
      <c r="B93" s="28" t="s">
        <v>67</v>
      </c>
      <c r="C93" s="28"/>
      <c r="D93" s="28"/>
      <c r="E93" s="28"/>
      <c r="F93" s="28"/>
      <c r="G93" s="28"/>
      <c r="H93" s="28"/>
      <c r="I93" s="28"/>
      <c r="J93" s="28"/>
      <c r="K93" s="28"/>
      <c r="L93" s="59">
        <v>0</v>
      </c>
      <c r="M93" s="28"/>
      <c r="N93" s="6"/>
    </row>
    <row r="94" spans="1:14" ht="15.75">
      <c r="A94" s="27">
        <v>11</v>
      </c>
      <c r="B94" s="28" t="s">
        <v>68</v>
      </c>
      <c r="C94" s="28"/>
      <c r="D94" s="28"/>
      <c r="E94" s="28"/>
      <c r="F94" s="28"/>
      <c r="G94" s="28"/>
      <c r="H94" s="28"/>
      <c r="I94" s="28"/>
      <c r="J94" s="28"/>
      <c r="K94" s="28"/>
      <c r="L94" s="59">
        <v>0</v>
      </c>
      <c r="M94" s="28"/>
      <c r="N94" s="6"/>
    </row>
    <row r="95" spans="1:14" ht="15.75">
      <c r="A95" s="27">
        <v>12</v>
      </c>
      <c r="B95" s="28" t="s">
        <v>69</v>
      </c>
      <c r="C95" s="28"/>
      <c r="D95" s="28"/>
      <c r="E95" s="28"/>
      <c r="F95" s="28"/>
      <c r="G95" s="28"/>
      <c r="H95" s="28"/>
      <c r="I95" s="28"/>
      <c r="J95" s="28"/>
      <c r="K95" s="28"/>
      <c r="L95" s="59">
        <f>-37-222</f>
        <v>-259</v>
      </c>
      <c r="M95" s="28"/>
      <c r="N95" s="6"/>
    </row>
    <row r="96" spans="1:14" ht="15.75">
      <c r="A96" s="27">
        <v>13</v>
      </c>
      <c r="B96" s="28" t="s">
        <v>70</v>
      </c>
      <c r="C96" s="28"/>
      <c r="D96" s="28"/>
      <c r="E96" s="28"/>
      <c r="F96" s="28"/>
      <c r="G96" s="28"/>
      <c r="H96" s="28"/>
      <c r="I96" s="28"/>
      <c r="J96" s="28"/>
      <c r="K96" s="28"/>
      <c r="L96" s="59">
        <f>-SUM(L82:L95)</f>
        <v>-898</v>
      </c>
      <c r="M96" s="28"/>
      <c r="N96" s="6"/>
    </row>
    <row r="97" spans="1:14" ht="15.75">
      <c r="A97" s="27"/>
      <c r="B97" s="137" t="s">
        <v>71</v>
      </c>
      <c r="C97" s="64"/>
      <c r="D97" s="28"/>
      <c r="E97" s="28"/>
      <c r="F97" s="28"/>
      <c r="G97" s="28"/>
      <c r="H97" s="28"/>
      <c r="I97" s="28"/>
      <c r="J97" s="28"/>
      <c r="K97" s="28"/>
      <c r="L97" s="65"/>
      <c r="M97" s="28"/>
      <c r="N97" s="6"/>
    </row>
    <row r="98" spans="1:14" ht="15.75">
      <c r="A98" s="27"/>
      <c r="B98" s="28" t="s">
        <v>72</v>
      </c>
      <c r="C98" s="64"/>
      <c r="D98" s="28"/>
      <c r="E98" s="28"/>
      <c r="F98" s="28"/>
      <c r="G98" s="28"/>
      <c r="H98" s="28"/>
      <c r="I98" s="28"/>
      <c r="J98" s="38">
        <f>-J144</f>
        <v>-5</v>
      </c>
      <c r="K98" s="38"/>
      <c r="L98" s="59"/>
      <c r="M98" s="28"/>
      <c r="N98" s="6"/>
    </row>
    <row r="99" spans="1:14" ht="15.75">
      <c r="A99" s="27"/>
      <c r="B99" s="28" t="s">
        <v>73</v>
      </c>
      <c r="C99" s="28"/>
      <c r="D99" s="28"/>
      <c r="E99" s="28"/>
      <c r="F99" s="28"/>
      <c r="G99" s="28"/>
      <c r="H99" s="28"/>
      <c r="I99" s="28"/>
      <c r="J99" s="38">
        <f>-H144</f>
        <v>-5820</v>
      </c>
      <c r="K99" s="38"/>
      <c r="L99" s="59"/>
      <c r="M99" s="28"/>
      <c r="N99" s="6"/>
    </row>
    <row r="100" spans="1:14" ht="15.75">
      <c r="A100" s="27"/>
      <c r="B100" s="28" t="s">
        <v>74</v>
      </c>
      <c r="C100" s="28"/>
      <c r="D100" s="28"/>
      <c r="E100" s="28"/>
      <c r="F100" s="28"/>
      <c r="G100" s="28"/>
      <c r="H100" s="28"/>
      <c r="I100" s="28"/>
      <c r="J100" s="38">
        <v>-14716</v>
      </c>
      <c r="K100" s="38"/>
      <c r="L100" s="59"/>
      <c r="M100" s="28"/>
      <c r="N100" s="6"/>
    </row>
    <row r="101" spans="1:14" ht="15.75">
      <c r="A101" s="27"/>
      <c r="B101" s="28" t="s">
        <v>75</v>
      </c>
      <c r="C101" s="28"/>
      <c r="D101" s="28"/>
      <c r="E101" s="28"/>
      <c r="F101" s="28"/>
      <c r="G101" s="28"/>
      <c r="H101" s="28"/>
      <c r="I101" s="28"/>
      <c r="J101" s="38">
        <v>0</v>
      </c>
      <c r="K101" s="38"/>
      <c r="L101" s="59"/>
      <c r="M101" s="28"/>
      <c r="N101" s="6"/>
    </row>
    <row r="102" spans="1:14" ht="15.75">
      <c r="A102" s="27"/>
      <c r="B102" s="28" t="s">
        <v>76</v>
      </c>
      <c r="C102" s="28"/>
      <c r="D102" s="28"/>
      <c r="E102" s="28"/>
      <c r="F102" s="28"/>
      <c r="G102" s="28"/>
      <c r="H102" s="28"/>
      <c r="I102" s="28"/>
      <c r="J102" s="38">
        <f>SUM(J83:J101)</f>
        <v>-20541</v>
      </c>
      <c r="K102" s="38"/>
      <c r="L102" s="38">
        <f>SUM(L83:L101)</f>
        <v>-6328</v>
      </c>
      <c r="M102" s="28"/>
      <c r="N102" s="6"/>
    </row>
    <row r="103" spans="1:14" ht="15.75">
      <c r="A103" s="27"/>
      <c r="B103" s="28" t="s">
        <v>77</v>
      </c>
      <c r="C103" s="28"/>
      <c r="D103" s="28"/>
      <c r="E103" s="28"/>
      <c r="F103" s="28"/>
      <c r="G103" s="28"/>
      <c r="H103" s="28"/>
      <c r="I103" s="28"/>
      <c r="J103" s="38">
        <f>J82+J102</f>
        <v>0</v>
      </c>
      <c r="K103" s="38"/>
      <c r="L103" s="38">
        <f>L82+L102</f>
        <v>0</v>
      </c>
      <c r="M103" s="28"/>
      <c r="N103" s="6"/>
    </row>
    <row r="104" spans="1:14" ht="12" customHeight="1">
      <c r="A104" s="7"/>
      <c r="B104" s="9"/>
      <c r="C104" s="9"/>
      <c r="D104" s="9"/>
      <c r="E104" s="9"/>
      <c r="F104" s="9"/>
      <c r="G104" s="9"/>
      <c r="H104" s="9"/>
      <c r="I104" s="9"/>
      <c r="J104" s="9"/>
      <c r="K104" s="9"/>
      <c r="L104" s="58"/>
      <c r="M104" s="9"/>
      <c r="N104" s="6"/>
    </row>
    <row r="105" spans="1:14" ht="12" customHeight="1">
      <c r="A105" s="7"/>
      <c r="B105" s="9"/>
      <c r="C105" s="9"/>
      <c r="D105" s="9"/>
      <c r="E105" s="9"/>
      <c r="F105" s="9"/>
      <c r="G105" s="9"/>
      <c r="H105" s="9"/>
      <c r="I105" s="9"/>
      <c r="J105" s="9"/>
      <c r="K105" s="9"/>
      <c r="L105" s="58"/>
      <c r="M105" s="9"/>
      <c r="N105" s="6"/>
    </row>
    <row r="106" spans="1:14" ht="15.75" customHeight="1" thickBot="1">
      <c r="A106" s="118"/>
      <c r="B106" s="119" t="str">
        <f>B53</f>
        <v>PM4 INVESTOR REPORT QUARTER ENDING JUNE 2004</v>
      </c>
      <c r="C106" s="120"/>
      <c r="D106" s="120"/>
      <c r="E106" s="120"/>
      <c r="F106" s="120"/>
      <c r="G106" s="120"/>
      <c r="H106" s="120"/>
      <c r="I106" s="120"/>
      <c r="J106" s="120"/>
      <c r="K106" s="120"/>
      <c r="L106" s="124"/>
      <c r="M106" s="123"/>
      <c r="N106" s="6"/>
    </row>
    <row r="107" spans="1:14" ht="12" customHeight="1">
      <c r="A107" s="2"/>
      <c r="B107" s="5"/>
      <c r="C107" s="5"/>
      <c r="D107" s="5"/>
      <c r="E107" s="5"/>
      <c r="F107" s="5"/>
      <c r="G107" s="5"/>
      <c r="H107" s="5"/>
      <c r="I107" s="5"/>
      <c r="J107" s="5"/>
      <c r="K107" s="5"/>
      <c r="L107" s="66"/>
      <c r="M107" s="5"/>
      <c r="N107" s="6"/>
    </row>
    <row r="108" spans="1:14" ht="15.75">
      <c r="A108" s="7"/>
      <c r="B108" s="57" t="s">
        <v>78</v>
      </c>
      <c r="C108" s="15"/>
      <c r="D108" s="9"/>
      <c r="E108" s="9"/>
      <c r="F108" s="9"/>
      <c r="G108" s="9"/>
      <c r="H108" s="9"/>
      <c r="I108" s="9"/>
      <c r="J108" s="9"/>
      <c r="K108" s="9"/>
      <c r="L108" s="58"/>
      <c r="M108" s="9"/>
      <c r="N108" s="6"/>
    </row>
    <row r="109" spans="1:14" ht="15.75">
      <c r="A109" s="7"/>
      <c r="B109" s="23"/>
      <c r="C109" s="15"/>
      <c r="D109" s="9"/>
      <c r="E109" s="9"/>
      <c r="F109" s="9"/>
      <c r="G109" s="9"/>
      <c r="H109" s="9"/>
      <c r="I109" s="9"/>
      <c r="J109" s="9"/>
      <c r="K109" s="9"/>
      <c r="L109" s="58"/>
      <c r="M109" s="9"/>
      <c r="N109" s="6"/>
    </row>
    <row r="110" spans="1:14" ht="15.75">
      <c r="A110" s="7"/>
      <c r="B110" s="138" t="s">
        <v>79</v>
      </c>
      <c r="C110" s="15"/>
      <c r="D110" s="9"/>
      <c r="E110" s="9"/>
      <c r="F110" s="9"/>
      <c r="G110" s="9"/>
      <c r="H110" s="9"/>
      <c r="I110" s="9"/>
      <c r="J110" s="9"/>
      <c r="K110" s="9"/>
      <c r="L110" s="58"/>
      <c r="M110" s="9"/>
      <c r="N110" s="6"/>
    </row>
    <row r="111" spans="1:14" ht="15.75">
      <c r="A111" s="27"/>
      <c r="B111" s="28" t="s">
        <v>80</v>
      </c>
      <c r="C111" s="28"/>
      <c r="D111" s="28"/>
      <c r="E111" s="28"/>
      <c r="F111" s="28"/>
      <c r="G111" s="28"/>
      <c r="H111" s="28"/>
      <c r="I111" s="28"/>
      <c r="J111" s="28"/>
      <c r="K111" s="28"/>
      <c r="L111" s="59">
        <v>8750</v>
      </c>
      <c r="M111" s="28"/>
      <c r="N111" s="6"/>
    </row>
    <row r="112" spans="1:14" ht="15.75">
      <c r="A112" s="27"/>
      <c r="B112" s="28" t="s">
        <v>81</v>
      </c>
      <c r="C112" s="28"/>
      <c r="D112" s="28"/>
      <c r="E112" s="28"/>
      <c r="F112" s="28"/>
      <c r="G112" s="28"/>
      <c r="H112" s="28"/>
      <c r="I112" s="28"/>
      <c r="J112" s="28"/>
      <c r="K112" s="28"/>
      <c r="L112" s="59">
        <f>L111</f>
        <v>8750</v>
      </c>
      <c r="M112" s="28"/>
      <c r="N112" s="6"/>
    </row>
    <row r="113" spans="1:14" ht="15.75">
      <c r="A113" s="27"/>
      <c r="B113" s="28" t="s">
        <v>82</v>
      </c>
      <c r="C113" s="28"/>
      <c r="D113" s="28"/>
      <c r="E113" s="28"/>
      <c r="F113" s="28"/>
      <c r="G113" s="28"/>
      <c r="H113" s="28"/>
      <c r="I113" s="28"/>
      <c r="J113" s="28"/>
      <c r="K113" s="28"/>
      <c r="L113" s="59">
        <v>0</v>
      </c>
      <c r="M113" s="28"/>
      <c r="N113" s="6"/>
    </row>
    <row r="114" spans="1:14" ht="15.75">
      <c r="A114" s="27"/>
      <c r="B114" s="28" t="s">
        <v>83</v>
      </c>
      <c r="C114" s="28"/>
      <c r="D114" s="28"/>
      <c r="E114" s="28"/>
      <c r="F114" s="28"/>
      <c r="G114" s="28"/>
      <c r="H114" s="28"/>
      <c r="I114" s="28"/>
      <c r="J114" s="28"/>
      <c r="K114" s="28"/>
      <c r="L114" s="59">
        <v>0</v>
      </c>
      <c r="M114" s="28"/>
      <c r="N114" s="6"/>
    </row>
    <row r="115" spans="1:14" ht="15.75">
      <c r="A115" s="27"/>
      <c r="B115" s="28" t="s">
        <v>84</v>
      </c>
      <c r="C115" s="28"/>
      <c r="D115" s="28"/>
      <c r="E115" s="28"/>
      <c r="F115" s="28"/>
      <c r="G115" s="28"/>
      <c r="H115" s="28"/>
      <c r="I115" s="28"/>
      <c r="J115" s="28"/>
      <c r="K115" s="28"/>
      <c r="L115" s="59">
        <v>0</v>
      </c>
      <c r="M115" s="28"/>
      <c r="N115" s="6"/>
    </row>
    <row r="116" spans="1:14" ht="15.75">
      <c r="A116" s="27"/>
      <c r="B116" s="28" t="s">
        <v>62</v>
      </c>
      <c r="C116" s="28"/>
      <c r="D116" s="28"/>
      <c r="E116" s="28"/>
      <c r="F116" s="28"/>
      <c r="G116" s="28"/>
      <c r="H116" s="28"/>
      <c r="I116" s="28"/>
      <c r="J116" s="28"/>
      <c r="K116" s="28"/>
      <c r="L116" s="59">
        <v>0</v>
      </c>
      <c r="M116" s="28"/>
      <c r="N116" s="6"/>
    </row>
    <row r="117" spans="1:14" ht="15.75">
      <c r="A117" s="27"/>
      <c r="B117" s="28" t="s">
        <v>63</v>
      </c>
      <c r="C117" s="28"/>
      <c r="D117" s="28"/>
      <c r="E117" s="28"/>
      <c r="F117" s="28"/>
      <c r="G117" s="28"/>
      <c r="H117" s="28"/>
      <c r="I117" s="28"/>
      <c r="J117" s="28"/>
      <c r="K117" s="28"/>
      <c r="L117" s="59">
        <v>0</v>
      </c>
      <c r="M117" s="28"/>
      <c r="N117" s="6"/>
    </row>
    <row r="118" spans="1:14" ht="15.75">
      <c r="A118" s="27"/>
      <c r="B118" s="28" t="s">
        <v>85</v>
      </c>
      <c r="C118" s="28"/>
      <c r="D118" s="28"/>
      <c r="E118" s="28"/>
      <c r="F118" s="28"/>
      <c r="G118" s="28"/>
      <c r="H118" s="28"/>
      <c r="I118" s="28"/>
      <c r="J118" s="28"/>
      <c r="K118" s="28"/>
      <c r="L118" s="59">
        <v>0</v>
      </c>
      <c r="M118" s="28"/>
      <c r="N118" s="6"/>
    </row>
    <row r="119" spans="1:14" ht="15.75">
      <c r="A119" s="27"/>
      <c r="B119" s="28" t="s">
        <v>86</v>
      </c>
      <c r="C119" s="28"/>
      <c r="D119" s="28"/>
      <c r="E119" s="28"/>
      <c r="F119" s="28"/>
      <c r="G119" s="28"/>
      <c r="H119" s="28"/>
      <c r="I119" s="28"/>
      <c r="J119" s="28"/>
      <c r="K119" s="28"/>
      <c r="L119" s="59">
        <f>SUM(L112:L118)</f>
        <v>8750</v>
      </c>
      <c r="M119" s="28"/>
      <c r="N119" s="6"/>
    </row>
    <row r="120" spans="1:14" ht="15.75">
      <c r="A120" s="27"/>
      <c r="B120" s="28"/>
      <c r="C120" s="28"/>
      <c r="D120" s="28"/>
      <c r="E120" s="28"/>
      <c r="F120" s="28"/>
      <c r="G120" s="28"/>
      <c r="H120" s="28"/>
      <c r="I120" s="28"/>
      <c r="J120" s="28"/>
      <c r="K120" s="28"/>
      <c r="L120" s="67"/>
      <c r="M120" s="28"/>
      <c r="N120" s="6"/>
    </row>
    <row r="121" spans="1:14" ht="15.75">
      <c r="A121" s="7"/>
      <c r="B121" s="138" t="s">
        <v>87</v>
      </c>
      <c r="C121" s="9"/>
      <c r="D121" s="9"/>
      <c r="E121" s="9"/>
      <c r="F121" s="9"/>
      <c r="G121" s="9"/>
      <c r="H121" s="9"/>
      <c r="I121" s="9"/>
      <c r="J121" s="9"/>
      <c r="K121" s="9"/>
      <c r="L121" s="58"/>
      <c r="M121" s="9"/>
      <c r="N121" s="6"/>
    </row>
    <row r="122" spans="1:14" ht="15.75">
      <c r="A122" s="27"/>
      <c r="B122" s="28" t="s">
        <v>88</v>
      </c>
      <c r="C122" s="28"/>
      <c r="D122" s="68"/>
      <c r="E122" s="28"/>
      <c r="F122" s="28"/>
      <c r="G122" s="28"/>
      <c r="H122" s="28"/>
      <c r="I122" s="28"/>
      <c r="J122" s="28"/>
      <c r="K122" s="28"/>
      <c r="L122" s="69" t="s">
        <v>194</v>
      </c>
      <c r="M122" s="28"/>
      <c r="N122" s="6"/>
    </row>
    <row r="123" spans="1:14" ht="15.75">
      <c r="A123" s="27"/>
      <c r="B123" s="28" t="s">
        <v>89</v>
      </c>
      <c r="C123" s="126"/>
      <c r="D123" s="126"/>
      <c r="E123" s="126"/>
      <c r="F123" s="126"/>
      <c r="G123" s="126"/>
      <c r="H123" s="126"/>
      <c r="I123" s="126"/>
      <c r="J123" s="126"/>
      <c r="K123" s="126"/>
      <c r="L123" s="69" t="s">
        <v>194</v>
      </c>
      <c r="M123" s="28"/>
      <c r="N123" s="6"/>
    </row>
    <row r="124" spans="1:14" ht="15.75">
      <c r="A124" s="27"/>
      <c r="B124" s="28" t="s">
        <v>90</v>
      </c>
      <c r="C124" s="28"/>
      <c r="D124" s="28"/>
      <c r="E124" s="28"/>
      <c r="F124" s="28"/>
      <c r="G124" s="28"/>
      <c r="H124" s="28"/>
      <c r="I124" s="28"/>
      <c r="J124" s="28"/>
      <c r="K124" s="28"/>
      <c r="L124" s="69" t="s">
        <v>194</v>
      </c>
      <c r="M124" s="28"/>
      <c r="N124" s="6"/>
    </row>
    <row r="125" spans="1:14" ht="15.75">
      <c r="A125" s="27"/>
      <c r="B125" s="28" t="s">
        <v>91</v>
      </c>
      <c r="C125" s="28"/>
      <c r="D125" s="28"/>
      <c r="E125" s="28"/>
      <c r="F125" s="28"/>
      <c r="G125" s="28"/>
      <c r="H125" s="28"/>
      <c r="I125" s="28"/>
      <c r="J125" s="28"/>
      <c r="K125" s="28"/>
      <c r="L125" s="69" t="s">
        <v>194</v>
      </c>
      <c r="M125" s="28"/>
      <c r="N125" s="6"/>
    </row>
    <row r="126" spans="1:14" ht="15.75">
      <c r="A126" s="27"/>
      <c r="B126" s="28"/>
      <c r="C126" s="28"/>
      <c r="D126" s="28"/>
      <c r="E126" s="28"/>
      <c r="F126" s="28"/>
      <c r="G126" s="28"/>
      <c r="H126" s="28"/>
      <c r="I126" s="28"/>
      <c r="J126" s="28"/>
      <c r="K126" s="28"/>
      <c r="L126" s="67"/>
      <c r="M126" s="28"/>
      <c r="N126" s="6"/>
    </row>
    <row r="127" spans="1:14" ht="15.75">
      <c r="A127" s="7"/>
      <c r="B127" s="138" t="s">
        <v>92</v>
      </c>
      <c r="C127" s="15"/>
      <c r="D127" s="9"/>
      <c r="E127" s="9"/>
      <c r="F127" s="9"/>
      <c r="G127" s="9"/>
      <c r="H127" s="9"/>
      <c r="I127" s="9"/>
      <c r="J127" s="9"/>
      <c r="K127" s="9"/>
      <c r="L127" s="70"/>
      <c r="M127" s="9"/>
      <c r="N127" s="6"/>
    </row>
    <row r="128" spans="1:14" ht="15.75">
      <c r="A128" s="27"/>
      <c r="B128" s="28" t="s">
        <v>93</v>
      </c>
      <c r="C128" s="28"/>
      <c r="D128" s="28"/>
      <c r="E128" s="28"/>
      <c r="F128" s="28"/>
      <c r="G128" s="28"/>
      <c r="H128" s="28"/>
      <c r="I128" s="28"/>
      <c r="J128" s="28"/>
      <c r="K128" s="28"/>
      <c r="L128" s="59">
        <v>0</v>
      </c>
      <c r="M128" s="28"/>
      <c r="N128" s="6"/>
    </row>
    <row r="129" spans="1:14" ht="15.75">
      <c r="A129" s="27"/>
      <c r="B129" s="28" t="s">
        <v>94</v>
      </c>
      <c r="C129" s="28"/>
      <c r="D129" s="28"/>
      <c r="E129" s="28"/>
      <c r="F129" s="28"/>
      <c r="G129" s="28"/>
      <c r="H129" s="28"/>
      <c r="I129" s="28"/>
      <c r="J129" s="28"/>
      <c r="K129" s="28"/>
      <c r="L129" s="59">
        <v>0</v>
      </c>
      <c r="M129" s="28"/>
      <c r="N129" s="6"/>
    </row>
    <row r="130" spans="1:14" ht="15.75">
      <c r="A130" s="27"/>
      <c r="B130" s="28" t="s">
        <v>95</v>
      </c>
      <c r="C130" s="28"/>
      <c r="D130" s="28"/>
      <c r="E130" s="28"/>
      <c r="F130" s="28"/>
      <c r="G130" s="28"/>
      <c r="H130" s="28"/>
      <c r="I130" s="28"/>
      <c r="J130" s="28"/>
      <c r="K130" s="28"/>
      <c r="L130" s="59">
        <f>L129+L128</f>
        <v>0</v>
      </c>
      <c r="M130" s="28"/>
      <c r="N130" s="6"/>
    </row>
    <row r="131" spans="1:14" ht="15.75">
      <c r="A131" s="27"/>
      <c r="B131" s="28" t="s">
        <v>96</v>
      </c>
      <c r="C131" s="28"/>
      <c r="D131" s="28"/>
      <c r="E131" s="28"/>
      <c r="F131" s="28"/>
      <c r="G131" s="28"/>
      <c r="H131" s="71"/>
      <c r="I131" s="28"/>
      <c r="J131" s="28"/>
      <c r="K131" s="28"/>
      <c r="L131" s="59">
        <v>0</v>
      </c>
      <c r="M131" s="28"/>
      <c r="N131" s="6"/>
    </row>
    <row r="132" spans="1:14" ht="15.75">
      <c r="A132" s="27"/>
      <c r="B132" s="28" t="s">
        <v>97</v>
      </c>
      <c r="C132" s="28"/>
      <c r="D132" s="28"/>
      <c r="E132" s="28"/>
      <c r="F132" s="28"/>
      <c r="G132" s="28"/>
      <c r="H132" s="28"/>
      <c r="I132" s="28"/>
      <c r="J132" s="28"/>
      <c r="K132" s="28"/>
      <c r="L132" s="59">
        <f>L130+L131</f>
        <v>0</v>
      </c>
      <c r="M132" s="28"/>
      <c r="N132" s="6"/>
    </row>
    <row r="133" spans="1:14" ht="7.5" customHeight="1">
      <c r="A133" s="27"/>
      <c r="B133" s="28"/>
      <c r="C133" s="28"/>
      <c r="D133" s="28"/>
      <c r="E133" s="28"/>
      <c r="F133" s="28"/>
      <c r="G133" s="28"/>
      <c r="H133" s="28"/>
      <c r="I133" s="28"/>
      <c r="J133" s="28"/>
      <c r="K133" s="28"/>
      <c r="L133" s="67"/>
      <c r="M133" s="28"/>
      <c r="N133" s="6"/>
    </row>
    <row r="134" spans="1:14" ht="6" customHeight="1">
      <c r="A134" s="2"/>
      <c r="B134" s="5"/>
      <c r="C134" s="5"/>
      <c r="D134" s="5"/>
      <c r="E134" s="5"/>
      <c r="F134" s="5"/>
      <c r="G134" s="5"/>
      <c r="H134" s="5"/>
      <c r="I134" s="5"/>
      <c r="J134" s="5"/>
      <c r="K134" s="5"/>
      <c r="L134" s="66"/>
      <c r="M134" s="5"/>
      <c r="N134" s="6"/>
    </row>
    <row r="135" spans="1:14" ht="15.75">
      <c r="A135" s="7"/>
      <c r="B135" s="138" t="s">
        <v>98</v>
      </c>
      <c r="C135" s="15"/>
      <c r="D135" s="9"/>
      <c r="E135" s="9"/>
      <c r="F135" s="9"/>
      <c r="G135" s="9"/>
      <c r="H135" s="9"/>
      <c r="I135" s="9"/>
      <c r="J135" s="9"/>
      <c r="K135" s="9"/>
      <c r="L135" s="58"/>
      <c r="M135" s="9"/>
      <c r="N135" s="6"/>
    </row>
    <row r="136" spans="1:14" ht="15.75">
      <c r="A136" s="7"/>
      <c r="B136" s="23"/>
      <c r="C136" s="15"/>
      <c r="D136" s="9"/>
      <c r="E136" s="9"/>
      <c r="F136" s="9"/>
      <c r="G136" s="9"/>
      <c r="H136" s="9"/>
      <c r="I136" s="9"/>
      <c r="J136" s="9"/>
      <c r="K136" s="9"/>
      <c r="L136" s="58"/>
      <c r="M136" s="9"/>
      <c r="N136" s="6"/>
    </row>
    <row r="137" spans="1:14" ht="15.75">
      <c r="A137" s="27"/>
      <c r="B137" s="28" t="s">
        <v>99</v>
      </c>
      <c r="C137" s="72"/>
      <c r="D137" s="28"/>
      <c r="E137" s="28"/>
      <c r="F137" s="28"/>
      <c r="G137" s="28"/>
      <c r="H137" s="28"/>
      <c r="I137" s="28"/>
      <c r="J137" s="28"/>
      <c r="K137" s="28"/>
      <c r="L137" s="59">
        <f>L61</f>
        <v>385750</v>
      </c>
      <c r="M137" s="28"/>
      <c r="N137" s="6"/>
    </row>
    <row r="138" spans="1:14" ht="15.75">
      <c r="A138" s="27"/>
      <c r="B138" s="28" t="s">
        <v>100</v>
      </c>
      <c r="C138" s="72"/>
      <c r="D138" s="28"/>
      <c r="E138" s="28"/>
      <c r="F138" s="28"/>
      <c r="G138" s="28"/>
      <c r="H138" s="28"/>
      <c r="I138" s="28"/>
      <c r="J138" s="28"/>
      <c r="K138" s="28"/>
      <c r="L138" s="59">
        <f>L33</f>
        <v>385750.355</v>
      </c>
      <c r="M138" s="28"/>
      <c r="N138" s="6"/>
    </row>
    <row r="139" spans="1:14" ht="7.5" customHeight="1">
      <c r="A139" s="27"/>
      <c r="B139" s="28"/>
      <c r="C139" s="28"/>
      <c r="D139" s="28"/>
      <c r="E139" s="28"/>
      <c r="F139" s="28"/>
      <c r="G139" s="28"/>
      <c r="H139" s="28"/>
      <c r="I139" s="28"/>
      <c r="J139" s="28"/>
      <c r="K139" s="28"/>
      <c r="L139" s="67"/>
      <c r="M139" s="28"/>
      <c r="N139" s="6"/>
    </row>
    <row r="140" spans="1:14" ht="15.75">
      <c r="A140" s="2"/>
      <c r="B140" s="5"/>
      <c r="C140" s="5"/>
      <c r="D140" s="5"/>
      <c r="E140" s="5"/>
      <c r="F140" s="5"/>
      <c r="G140" s="5"/>
      <c r="H140" s="5"/>
      <c r="I140" s="5"/>
      <c r="J140" s="5"/>
      <c r="K140" s="5"/>
      <c r="L140" s="66"/>
      <c r="M140" s="5"/>
      <c r="N140" s="6"/>
    </row>
    <row r="141" spans="1:14" ht="15.75">
      <c r="A141" s="7"/>
      <c r="B141" s="138" t="s">
        <v>101</v>
      </c>
      <c r="C141" s="131"/>
      <c r="D141" s="131"/>
      <c r="E141" s="131"/>
      <c r="F141" s="131"/>
      <c r="G141" s="131"/>
      <c r="H141" s="139" t="s">
        <v>174</v>
      </c>
      <c r="I141" s="139"/>
      <c r="J141" s="139" t="s">
        <v>182</v>
      </c>
      <c r="K141" s="131"/>
      <c r="L141" s="140" t="s">
        <v>195</v>
      </c>
      <c r="M141" s="131"/>
      <c r="N141" s="6"/>
    </row>
    <row r="142" spans="1:14" ht="15.75">
      <c r="A142" s="27"/>
      <c r="B142" s="28" t="s">
        <v>102</v>
      </c>
      <c r="C142" s="28"/>
      <c r="D142" s="28"/>
      <c r="E142" s="28"/>
      <c r="F142" s="28"/>
      <c r="G142" s="28"/>
      <c r="H142" s="59">
        <v>70000</v>
      </c>
      <c r="I142" s="28"/>
      <c r="J142" s="47"/>
      <c r="K142" s="28"/>
      <c r="L142" s="59"/>
      <c r="M142" s="28"/>
      <c r="N142" s="6"/>
    </row>
    <row r="143" spans="1:14" ht="15.75">
      <c r="A143" s="27"/>
      <c r="B143" s="28" t="s">
        <v>103</v>
      </c>
      <c r="C143" s="28"/>
      <c r="D143" s="28"/>
      <c r="E143" s="28"/>
      <c r="F143" s="28"/>
      <c r="G143" s="28"/>
      <c r="H143" s="59">
        <f>'Mar 04'!H145</f>
        <v>50157</v>
      </c>
      <c r="I143" s="28"/>
      <c r="J143" s="59">
        <f>'Mar 04'!J145</f>
        <v>2456</v>
      </c>
      <c r="K143" s="28"/>
      <c r="L143" s="59">
        <f>J143+H143</f>
        <v>52613</v>
      </c>
      <c r="M143" s="28"/>
      <c r="N143" s="6"/>
    </row>
    <row r="144" spans="1:14" ht="15.75">
      <c r="A144" s="27"/>
      <c r="B144" s="28" t="s">
        <v>104</v>
      </c>
      <c r="C144" s="28"/>
      <c r="D144" s="28"/>
      <c r="E144" s="28"/>
      <c r="F144" s="28"/>
      <c r="G144" s="28"/>
      <c r="H144" s="59">
        <v>5820</v>
      </c>
      <c r="I144" s="28"/>
      <c r="J144" s="59">
        <v>5</v>
      </c>
      <c r="K144" s="28"/>
      <c r="L144" s="59">
        <f>J144+H144</f>
        <v>5825</v>
      </c>
      <c r="M144" s="28"/>
      <c r="N144" s="6"/>
    </row>
    <row r="145" spans="1:14" ht="15.75">
      <c r="A145" s="27"/>
      <c r="B145" s="28" t="s">
        <v>105</v>
      </c>
      <c r="C145" s="28"/>
      <c r="D145" s="28"/>
      <c r="E145" s="28"/>
      <c r="F145" s="28"/>
      <c r="G145" s="28"/>
      <c r="H145" s="59">
        <f>H144+H143</f>
        <v>55977</v>
      </c>
      <c r="I145" s="28"/>
      <c r="J145" s="59">
        <f>J144+J143</f>
        <v>2461</v>
      </c>
      <c r="K145" s="28"/>
      <c r="L145" s="59">
        <f>J145+H145</f>
        <v>58438</v>
      </c>
      <c r="M145" s="28"/>
      <c r="N145" s="6"/>
    </row>
    <row r="146" spans="1:14" ht="15.75">
      <c r="A146" s="27"/>
      <c r="B146" s="28" t="s">
        <v>106</v>
      </c>
      <c r="C146" s="28"/>
      <c r="D146" s="28"/>
      <c r="E146" s="28"/>
      <c r="F146" s="28"/>
      <c r="G146" s="28"/>
      <c r="H146" s="59">
        <f>H142-H145-J145</f>
        <v>11562</v>
      </c>
      <c r="I146" s="28"/>
      <c r="J146" s="47"/>
      <c r="K146" s="28"/>
      <c r="L146" s="59"/>
      <c r="M146" s="28"/>
      <c r="N146" s="6"/>
    </row>
    <row r="147" spans="1:14" ht="7.5" customHeight="1">
      <c r="A147" s="27"/>
      <c r="B147" s="28"/>
      <c r="C147" s="28"/>
      <c r="D147" s="28"/>
      <c r="E147" s="28"/>
      <c r="F147" s="28"/>
      <c r="G147" s="28"/>
      <c r="H147" s="28"/>
      <c r="I147" s="28"/>
      <c r="J147" s="28"/>
      <c r="K147" s="28"/>
      <c r="L147" s="67"/>
      <c r="M147" s="28"/>
      <c r="N147" s="6"/>
    </row>
    <row r="148" spans="1:14" ht="9" customHeight="1">
      <c r="A148" s="2"/>
      <c r="B148" s="5"/>
      <c r="C148" s="5"/>
      <c r="D148" s="5"/>
      <c r="E148" s="5"/>
      <c r="F148" s="5"/>
      <c r="G148" s="5"/>
      <c r="H148" s="5"/>
      <c r="I148" s="5"/>
      <c r="J148" s="5"/>
      <c r="K148" s="5"/>
      <c r="L148" s="66"/>
      <c r="M148" s="5"/>
      <c r="N148" s="6"/>
    </row>
    <row r="149" spans="1:14" ht="15.75">
      <c r="A149" s="7"/>
      <c r="B149" s="138" t="s">
        <v>107</v>
      </c>
      <c r="C149" s="15"/>
      <c r="D149" s="9"/>
      <c r="E149" s="9"/>
      <c r="F149" s="9"/>
      <c r="G149" s="9"/>
      <c r="H149" s="9"/>
      <c r="I149" s="9"/>
      <c r="J149" s="9"/>
      <c r="K149" s="9"/>
      <c r="L149" s="73"/>
      <c r="M149" s="9"/>
      <c r="N149" s="6"/>
    </row>
    <row r="150" spans="1:14" ht="15.75">
      <c r="A150" s="27"/>
      <c r="B150" s="28" t="s">
        <v>108</v>
      </c>
      <c r="C150" s="28"/>
      <c r="D150" s="28"/>
      <c r="E150" s="28"/>
      <c r="F150" s="28"/>
      <c r="G150" s="28"/>
      <c r="H150" s="28"/>
      <c r="I150" s="28"/>
      <c r="J150" s="28"/>
      <c r="K150" s="28"/>
      <c r="L150" s="65">
        <f>(L82+L84+L85+L86+L87)/-L88</f>
        <v>1.4138346589539648</v>
      </c>
      <c r="M150" s="28" t="s">
        <v>196</v>
      </c>
      <c r="N150" s="6"/>
    </row>
    <row r="151" spans="1:14" ht="15.75">
      <c r="A151" s="27"/>
      <c r="B151" s="28" t="s">
        <v>109</v>
      </c>
      <c r="C151" s="28"/>
      <c r="D151" s="28"/>
      <c r="E151" s="28"/>
      <c r="F151" s="28"/>
      <c r="G151" s="28"/>
      <c r="H151" s="28"/>
      <c r="I151" s="28"/>
      <c r="J151" s="28"/>
      <c r="K151" s="28"/>
      <c r="L151" s="65">
        <v>1.39</v>
      </c>
      <c r="M151" s="28" t="s">
        <v>196</v>
      </c>
      <c r="N151" s="6"/>
    </row>
    <row r="152" spans="1:14" ht="15.75">
      <c r="A152" s="27"/>
      <c r="B152" s="28" t="s">
        <v>110</v>
      </c>
      <c r="C152" s="28"/>
      <c r="D152" s="28"/>
      <c r="E152" s="28"/>
      <c r="F152" s="28"/>
      <c r="G152" s="28"/>
      <c r="H152" s="28"/>
      <c r="I152" s="28"/>
      <c r="J152" s="28"/>
      <c r="K152" s="28"/>
      <c r="L152" s="65">
        <f>(L82+SUM(L84:L88))/-L89</f>
        <v>3.0936936936936936</v>
      </c>
      <c r="M152" s="28" t="s">
        <v>196</v>
      </c>
      <c r="N152" s="6"/>
    </row>
    <row r="153" spans="1:14" ht="15.75">
      <c r="A153" s="27"/>
      <c r="B153" s="28" t="s">
        <v>111</v>
      </c>
      <c r="C153" s="28"/>
      <c r="D153" s="28"/>
      <c r="E153" s="28"/>
      <c r="F153" s="28"/>
      <c r="G153" s="28"/>
      <c r="H153" s="28"/>
      <c r="I153" s="28"/>
      <c r="J153" s="28"/>
      <c r="K153" s="28"/>
      <c r="L153" s="74">
        <v>3.32</v>
      </c>
      <c r="M153" s="28" t="s">
        <v>196</v>
      </c>
      <c r="N153" s="6"/>
    </row>
    <row r="154" spans="1:14" ht="12.75" customHeight="1">
      <c r="A154" s="27"/>
      <c r="B154" s="28"/>
      <c r="C154" s="28"/>
      <c r="D154" s="28"/>
      <c r="E154" s="28"/>
      <c r="F154" s="28"/>
      <c r="G154" s="28"/>
      <c r="H154" s="28"/>
      <c r="I154" s="28"/>
      <c r="J154" s="28"/>
      <c r="K154" s="28"/>
      <c r="L154" s="28"/>
      <c r="M154" s="28"/>
      <c r="N154" s="6"/>
    </row>
    <row r="155" spans="1:14" ht="12.75" customHeight="1">
      <c r="A155" s="7"/>
      <c r="B155" s="9"/>
      <c r="C155" s="9"/>
      <c r="D155" s="9"/>
      <c r="E155" s="9"/>
      <c r="F155" s="9"/>
      <c r="G155" s="9"/>
      <c r="H155" s="9"/>
      <c r="I155" s="9"/>
      <c r="J155" s="9"/>
      <c r="K155" s="9"/>
      <c r="L155" s="9"/>
      <c r="M155" s="9"/>
      <c r="N155" s="6"/>
    </row>
    <row r="156" spans="1:14" ht="15" customHeight="1" thickBot="1">
      <c r="A156" s="118"/>
      <c r="B156" s="119" t="str">
        <f>B106</f>
        <v>PM4 INVESTOR REPORT QUARTER ENDING JUNE 2004</v>
      </c>
      <c r="C156" s="120"/>
      <c r="D156" s="120"/>
      <c r="E156" s="120"/>
      <c r="F156" s="120"/>
      <c r="G156" s="120"/>
      <c r="H156" s="120"/>
      <c r="I156" s="120"/>
      <c r="J156" s="120"/>
      <c r="K156" s="120"/>
      <c r="L156" s="120"/>
      <c r="M156" s="123"/>
      <c r="N156" s="6"/>
    </row>
    <row r="157" spans="1:14" ht="15.75">
      <c r="A157" s="2"/>
      <c r="B157" s="128"/>
      <c r="C157" s="128"/>
      <c r="D157" s="128"/>
      <c r="E157" s="128"/>
      <c r="F157" s="128"/>
      <c r="G157" s="128"/>
      <c r="H157" s="128"/>
      <c r="I157" s="128"/>
      <c r="J157" s="128"/>
      <c r="K157" s="128"/>
      <c r="L157" s="128"/>
      <c r="M157" s="128"/>
      <c r="N157" s="6"/>
    </row>
    <row r="158" spans="1:14" ht="15.75">
      <c r="A158" s="76"/>
      <c r="B158" s="57" t="s">
        <v>112</v>
      </c>
      <c r="C158" s="77"/>
      <c r="D158" s="77"/>
      <c r="E158" s="77"/>
      <c r="F158" s="77"/>
      <c r="G158" s="21"/>
      <c r="H158" s="21"/>
      <c r="I158" s="21"/>
      <c r="J158" s="21">
        <v>38168</v>
      </c>
      <c r="K158" s="17"/>
      <c r="L158" s="17"/>
      <c r="M158" s="9"/>
      <c r="N158" s="6"/>
    </row>
    <row r="159" spans="1:14" ht="15.75">
      <c r="A159" s="78"/>
      <c r="B159" s="79"/>
      <c r="C159" s="80"/>
      <c r="D159" s="80"/>
      <c r="E159" s="80"/>
      <c r="F159" s="80"/>
      <c r="G159" s="81"/>
      <c r="H159" s="81"/>
      <c r="I159" s="81"/>
      <c r="J159" s="81"/>
      <c r="K159" s="9"/>
      <c r="L159" s="9"/>
      <c r="M159" s="9"/>
      <c r="N159" s="6"/>
    </row>
    <row r="160" spans="1:14" ht="15.75">
      <c r="A160" s="82"/>
      <c r="B160" s="83" t="s">
        <v>113</v>
      </c>
      <c r="C160" s="84"/>
      <c r="D160" s="84"/>
      <c r="E160" s="84"/>
      <c r="F160" s="84"/>
      <c r="G160" s="71"/>
      <c r="H160" s="71"/>
      <c r="I160" s="71"/>
      <c r="J160" s="85">
        <v>0.06</v>
      </c>
      <c r="K160" s="28"/>
      <c r="L160" s="28"/>
      <c r="M160" s="28"/>
      <c r="N160" s="6"/>
    </row>
    <row r="161" spans="1:14" ht="15.75">
      <c r="A161" s="82"/>
      <c r="B161" s="83" t="s">
        <v>114</v>
      </c>
      <c r="C161" s="84"/>
      <c r="D161" s="84"/>
      <c r="E161" s="84"/>
      <c r="F161" s="84"/>
      <c r="G161" s="71"/>
      <c r="H161" s="71"/>
      <c r="I161" s="71"/>
      <c r="J161" s="85">
        <v>0.0452</v>
      </c>
      <c r="K161" s="28"/>
      <c r="L161" s="28"/>
      <c r="M161" s="28"/>
      <c r="N161" s="6"/>
    </row>
    <row r="162" spans="1:14" ht="15.75">
      <c r="A162" s="82"/>
      <c r="B162" s="83" t="s">
        <v>115</v>
      </c>
      <c r="C162" s="84"/>
      <c r="D162" s="84"/>
      <c r="E162" s="84"/>
      <c r="F162" s="84"/>
      <c r="G162" s="71"/>
      <c r="H162" s="71"/>
      <c r="I162" s="71"/>
      <c r="J162" s="85">
        <f>J160-J161</f>
        <v>0.0148</v>
      </c>
      <c r="K162" s="28"/>
      <c r="L162" s="28"/>
      <c r="M162" s="28"/>
      <c r="N162" s="6"/>
    </row>
    <row r="163" spans="1:14" ht="15.75">
      <c r="A163" s="82"/>
      <c r="B163" s="83" t="s">
        <v>116</v>
      </c>
      <c r="C163" s="84"/>
      <c r="D163" s="84"/>
      <c r="E163" s="84"/>
      <c r="F163" s="84"/>
      <c r="G163" s="71"/>
      <c r="H163" s="71"/>
      <c r="I163" s="71"/>
      <c r="J163" s="85">
        <v>0.06405</v>
      </c>
      <c r="K163" s="28"/>
      <c r="L163" s="28"/>
      <c r="M163" s="28"/>
      <c r="N163" s="6"/>
    </row>
    <row r="164" spans="1:14" ht="15.75">
      <c r="A164" s="82"/>
      <c r="B164" s="83" t="s">
        <v>117</v>
      </c>
      <c r="C164" s="84"/>
      <c r="D164" s="84"/>
      <c r="E164" s="84"/>
      <c r="F164" s="84"/>
      <c r="G164" s="71"/>
      <c r="H164" s="71"/>
      <c r="I164" s="71"/>
      <c r="J164" s="85">
        <f>L35</f>
        <v>0.047238645071383034</v>
      </c>
      <c r="K164" s="28"/>
      <c r="L164" s="28"/>
      <c r="M164" s="28"/>
      <c r="N164" s="6"/>
    </row>
    <row r="165" spans="1:14" ht="15.75">
      <c r="A165" s="82"/>
      <c r="B165" s="83" t="s">
        <v>118</v>
      </c>
      <c r="C165" s="84"/>
      <c r="D165" s="84"/>
      <c r="E165" s="84"/>
      <c r="F165" s="84"/>
      <c r="G165" s="71"/>
      <c r="H165" s="71"/>
      <c r="I165" s="71"/>
      <c r="J165" s="85">
        <f>J163-J164</f>
        <v>0.01681135492861696</v>
      </c>
      <c r="K165" s="28"/>
      <c r="L165" s="28"/>
      <c r="M165" s="28"/>
      <c r="N165" s="6"/>
    </row>
    <row r="166" spans="1:14" ht="15.75">
      <c r="A166" s="82"/>
      <c r="B166" s="83" t="s">
        <v>119</v>
      </c>
      <c r="C166" s="84"/>
      <c r="D166" s="84"/>
      <c r="E166" s="84"/>
      <c r="F166" s="84"/>
      <c r="G166" s="71"/>
      <c r="H166" s="71"/>
      <c r="I166" s="71"/>
      <c r="J166" s="86" t="s">
        <v>183</v>
      </c>
      <c r="K166" s="28"/>
      <c r="L166" s="28"/>
      <c r="M166" s="28"/>
      <c r="N166" s="6"/>
    </row>
    <row r="167" spans="1:14" ht="15.75">
      <c r="A167" s="82"/>
      <c r="B167" s="83" t="s">
        <v>120</v>
      </c>
      <c r="C167" s="84"/>
      <c r="D167" s="84"/>
      <c r="E167" s="84"/>
      <c r="F167" s="84"/>
      <c r="G167" s="71"/>
      <c r="H167" s="71"/>
      <c r="I167" s="71"/>
      <c r="J167" s="86" t="s">
        <v>184</v>
      </c>
      <c r="K167" s="28"/>
      <c r="L167" s="28"/>
      <c r="M167" s="28"/>
      <c r="N167" s="6"/>
    </row>
    <row r="168" spans="1:14" ht="15.75">
      <c r="A168" s="82"/>
      <c r="B168" s="83" t="s">
        <v>121</v>
      </c>
      <c r="C168" s="84"/>
      <c r="D168" s="84"/>
      <c r="E168" s="84"/>
      <c r="F168" s="84"/>
      <c r="G168" s="71"/>
      <c r="H168" s="71"/>
      <c r="I168" s="71"/>
      <c r="J168" s="87">
        <v>20.2</v>
      </c>
      <c r="K168" s="28" t="s">
        <v>188</v>
      </c>
      <c r="L168" s="28"/>
      <c r="M168" s="28"/>
      <c r="N168" s="6"/>
    </row>
    <row r="169" spans="1:14" ht="15.75">
      <c r="A169" s="82"/>
      <c r="B169" s="83" t="s">
        <v>122</v>
      </c>
      <c r="C169" s="84"/>
      <c r="D169" s="84"/>
      <c r="E169" s="84"/>
      <c r="F169" s="84"/>
      <c r="G169" s="71"/>
      <c r="H169" s="71"/>
      <c r="I169" s="71"/>
      <c r="J169" s="87">
        <v>18.78</v>
      </c>
      <c r="K169" s="28" t="s">
        <v>188</v>
      </c>
      <c r="L169" s="28"/>
      <c r="M169" s="28"/>
      <c r="N169" s="6"/>
    </row>
    <row r="170" spans="1:14" ht="15.75">
      <c r="A170" s="82"/>
      <c r="B170" s="83" t="s">
        <v>123</v>
      </c>
      <c r="C170" s="84"/>
      <c r="D170" s="84"/>
      <c r="E170" s="84"/>
      <c r="F170" s="84"/>
      <c r="G170" s="71"/>
      <c r="H170" s="71"/>
      <c r="I170" s="71"/>
      <c r="J170" s="85">
        <f>+F58/'Mar 04'!L58</f>
        <v>0.05129274395329441</v>
      </c>
      <c r="K170" s="28"/>
      <c r="L170" s="28"/>
      <c r="M170" s="28"/>
      <c r="N170" s="6"/>
    </row>
    <row r="171" spans="1:14" ht="15.75">
      <c r="A171" s="82"/>
      <c r="B171" s="83" t="s">
        <v>124</v>
      </c>
      <c r="C171" s="84"/>
      <c r="D171" s="84"/>
      <c r="E171" s="84"/>
      <c r="F171" s="84"/>
      <c r="G171" s="71"/>
      <c r="H171" s="71"/>
      <c r="I171" s="71"/>
      <c r="J171" s="85">
        <v>0.1604</v>
      </c>
      <c r="K171" s="28"/>
      <c r="L171" s="28"/>
      <c r="M171" s="28"/>
      <c r="N171" s="6"/>
    </row>
    <row r="172" spans="1:14" ht="15.75">
      <c r="A172" s="82"/>
      <c r="B172" s="83"/>
      <c r="C172" s="83"/>
      <c r="D172" s="83"/>
      <c r="E172" s="83"/>
      <c r="F172" s="83"/>
      <c r="G172" s="28"/>
      <c r="H172" s="28"/>
      <c r="I172" s="28"/>
      <c r="J172" s="67"/>
      <c r="K172" s="28"/>
      <c r="L172" s="88"/>
      <c r="M172" s="28"/>
      <c r="N172" s="6"/>
    </row>
    <row r="173" spans="1:14" ht="15.75">
      <c r="A173" s="89"/>
      <c r="B173" s="16" t="s">
        <v>125</v>
      </c>
      <c r="C173" s="90"/>
      <c r="D173" s="91"/>
      <c r="E173" s="90"/>
      <c r="F173" s="91"/>
      <c r="G173" s="90"/>
      <c r="H173" s="91"/>
      <c r="I173" s="19" t="s">
        <v>175</v>
      </c>
      <c r="J173" s="92" t="s">
        <v>185</v>
      </c>
      <c r="K173" s="17"/>
      <c r="L173" s="9"/>
      <c r="M173" s="9"/>
      <c r="N173" s="6"/>
    </row>
    <row r="174" spans="1:14" ht="15.75">
      <c r="A174" s="93"/>
      <c r="B174" s="83" t="s">
        <v>126</v>
      </c>
      <c r="C174" s="60"/>
      <c r="D174" s="60"/>
      <c r="E174" s="60"/>
      <c r="F174" s="28"/>
      <c r="G174" s="28"/>
      <c r="H174" s="28"/>
      <c r="I174" s="29">
        <v>15</v>
      </c>
      <c r="J174" s="94">
        <v>537</v>
      </c>
      <c r="K174" s="28"/>
      <c r="L174" s="88"/>
      <c r="M174" s="95"/>
      <c r="N174" s="6"/>
    </row>
    <row r="175" spans="1:14" ht="15.75">
      <c r="A175" s="93"/>
      <c r="B175" s="83" t="s">
        <v>205</v>
      </c>
      <c r="C175" s="60"/>
      <c r="D175" s="60"/>
      <c r="E175" s="60"/>
      <c r="F175" s="28"/>
      <c r="G175" s="28"/>
      <c r="H175" s="28"/>
      <c r="I175" s="29">
        <v>0</v>
      </c>
      <c r="J175" s="94">
        <v>0</v>
      </c>
      <c r="K175" s="28"/>
      <c r="L175" s="88"/>
      <c r="M175" s="95"/>
      <c r="N175" s="6"/>
    </row>
    <row r="176" spans="1:14" ht="15.75">
      <c r="A176" s="93"/>
      <c r="B176" s="83" t="s">
        <v>127</v>
      </c>
      <c r="C176" s="60"/>
      <c r="D176" s="60"/>
      <c r="E176" s="60"/>
      <c r="F176" s="28"/>
      <c r="G176" s="28"/>
      <c r="H176" s="28"/>
      <c r="I176" s="29">
        <v>0</v>
      </c>
      <c r="J176" s="94">
        <v>0</v>
      </c>
      <c r="K176" s="28"/>
      <c r="L176" s="88"/>
      <c r="M176" s="95"/>
      <c r="N176" s="6"/>
    </row>
    <row r="177" spans="1:14" ht="15.75">
      <c r="A177" s="93"/>
      <c r="B177" s="141" t="s">
        <v>128</v>
      </c>
      <c r="C177" s="60"/>
      <c r="D177" s="60"/>
      <c r="E177" s="60"/>
      <c r="F177" s="28"/>
      <c r="G177" s="28"/>
      <c r="H177" s="28"/>
      <c r="I177" s="28"/>
      <c r="J177" s="94">
        <v>0</v>
      </c>
      <c r="K177" s="28"/>
      <c r="L177" s="88"/>
      <c r="M177" s="95"/>
      <c r="N177" s="6"/>
    </row>
    <row r="178" spans="1:14" ht="15.75">
      <c r="A178" s="93"/>
      <c r="B178" s="141" t="s">
        <v>129</v>
      </c>
      <c r="C178" s="60"/>
      <c r="D178" s="60"/>
      <c r="E178" s="60"/>
      <c r="F178" s="28"/>
      <c r="G178" s="28"/>
      <c r="H178" s="28"/>
      <c r="I178" s="28"/>
      <c r="J178" s="94">
        <v>77991</v>
      </c>
      <c r="K178" s="28"/>
      <c r="L178" s="88"/>
      <c r="M178" s="95"/>
      <c r="N178" s="6"/>
    </row>
    <row r="179" spans="1:14" ht="15.75">
      <c r="A179" s="96"/>
      <c r="B179" s="141" t="s">
        <v>130</v>
      </c>
      <c r="C179" s="60"/>
      <c r="D179" s="83"/>
      <c r="E179" s="83"/>
      <c r="F179" s="83"/>
      <c r="G179" s="28"/>
      <c r="H179" s="28"/>
      <c r="I179" s="28"/>
      <c r="J179" s="94">
        <v>0</v>
      </c>
      <c r="K179" s="28"/>
      <c r="L179" s="88"/>
      <c r="M179" s="97"/>
      <c r="N179" s="6"/>
    </row>
    <row r="180" spans="1:14" ht="15.75">
      <c r="A180" s="93"/>
      <c r="B180" s="83" t="s">
        <v>131</v>
      </c>
      <c r="C180" s="60"/>
      <c r="D180" s="60"/>
      <c r="E180" s="60"/>
      <c r="F180" s="60"/>
      <c r="G180" s="28"/>
      <c r="H180" s="28"/>
      <c r="I180" s="28">
        <v>0</v>
      </c>
      <c r="J180" s="94">
        <f>+L129</f>
        <v>0</v>
      </c>
      <c r="K180" s="28"/>
      <c r="L180" s="88"/>
      <c r="M180" s="97"/>
      <c r="N180" s="6"/>
    </row>
    <row r="181" spans="1:14" ht="15.75">
      <c r="A181" s="93"/>
      <c r="B181" s="83" t="s">
        <v>132</v>
      </c>
      <c r="C181" s="60"/>
      <c r="D181" s="60"/>
      <c r="E181" s="60"/>
      <c r="F181" s="60"/>
      <c r="G181" s="28"/>
      <c r="H181" s="28"/>
      <c r="I181" s="28">
        <f>'Mar 04'!I181+'June 04'!I180</f>
        <v>1</v>
      </c>
      <c r="J181" s="94">
        <f>'Mar 04'!J181+J180</f>
        <v>6</v>
      </c>
      <c r="K181" s="28"/>
      <c r="L181" s="88"/>
      <c r="M181" s="97"/>
      <c r="N181" s="6"/>
    </row>
    <row r="182" spans="1:14" ht="15.75">
      <c r="A182" s="93"/>
      <c r="B182" s="83" t="s">
        <v>133</v>
      </c>
      <c r="C182" s="60"/>
      <c r="D182" s="60"/>
      <c r="E182" s="60"/>
      <c r="F182" s="60"/>
      <c r="G182" s="28"/>
      <c r="H182" s="28"/>
      <c r="I182" s="28"/>
      <c r="J182" s="94">
        <v>0</v>
      </c>
      <c r="K182" s="28"/>
      <c r="L182" s="88"/>
      <c r="M182" s="97"/>
      <c r="N182" s="6"/>
    </row>
    <row r="183" spans="1:14" ht="15.75">
      <c r="A183" s="96"/>
      <c r="B183" s="141" t="s">
        <v>134</v>
      </c>
      <c r="C183" s="60"/>
      <c r="D183" s="83"/>
      <c r="E183" s="83"/>
      <c r="F183" s="83"/>
      <c r="G183" s="28"/>
      <c r="H183" s="28"/>
      <c r="I183" s="28"/>
      <c r="J183" s="94"/>
      <c r="K183" s="28"/>
      <c r="L183" s="88"/>
      <c r="M183" s="97"/>
      <c r="N183" s="6"/>
    </row>
    <row r="184" spans="1:14" ht="15.75">
      <c r="A184" s="96"/>
      <c r="B184" s="83" t="s">
        <v>135</v>
      </c>
      <c r="C184" s="60"/>
      <c r="D184" s="83"/>
      <c r="E184" s="83"/>
      <c r="F184" s="83"/>
      <c r="G184" s="28"/>
      <c r="H184" s="28"/>
      <c r="I184" s="28">
        <v>1</v>
      </c>
      <c r="J184" s="94">
        <v>186</v>
      </c>
      <c r="K184" s="28"/>
      <c r="L184" s="88"/>
      <c r="M184" s="97"/>
      <c r="N184" s="6"/>
    </row>
    <row r="185" spans="1:14" ht="15.75">
      <c r="A185" s="93"/>
      <c r="B185" s="83" t="s">
        <v>136</v>
      </c>
      <c r="C185" s="60"/>
      <c r="D185" s="98"/>
      <c r="E185" s="98"/>
      <c r="F185" s="99"/>
      <c r="G185" s="28"/>
      <c r="H185" s="28"/>
      <c r="I185" s="28"/>
      <c r="J185" s="94">
        <v>9.418</v>
      </c>
      <c r="K185" s="28"/>
      <c r="L185" s="88"/>
      <c r="M185" s="97"/>
      <c r="N185" s="6"/>
    </row>
    <row r="186" spans="1:14" ht="15.75">
      <c r="A186" s="93"/>
      <c r="B186" s="83" t="s">
        <v>137</v>
      </c>
      <c r="C186" s="60"/>
      <c r="D186" s="98"/>
      <c r="E186" s="98"/>
      <c r="F186" s="99"/>
      <c r="G186" s="28"/>
      <c r="H186" s="28"/>
      <c r="I186" s="28"/>
      <c r="J186" s="94">
        <v>8</v>
      </c>
      <c r="K186" s="28"/>
      <c r="L186" s="88"/>
      <c r="M186" s="97"/>
      <c r="N186" s="6"/>
    </row>
    <row r="187" spans="1:14" ht="15.75">
      <c r="A187" s="93"/>
      <c r="B187" s="83" t="s">
        <v>138</v>
      </c>
      <c r="C187" s="60"/>
      <c r="D187" s="100"/>
      <c r="E187" s="98"/>
      <c r="F187" s="99"/>
      <c r="G187" s="28"/>
      <c r="H187" s="28"/>
      <c r="I187" s="28"/>
      <c r="J187" s="101">
        <v>2.5411</v>
      </c>
      <c r="K187" s="28"/>
      <c r="L187" s="88"/>
      <c r="M187" s="97"/>
      <c r="N187" s="6"/>
    </row>
    <row r="188" spans="1:14" ht="15.75">
      <c r="A188" s="93"/>
      <c r="B188" s="83"/>
      <c r="C188" s="60"/>
      <c r="D188" s="100"/>
      <c r="E188" s="98"/>
      <c r="F188" s="99"/>
      <c r="G188" s="28"/>
      <c r="H188" s="28"/>
      <c r="I188" s="28"/>
      <c r="J188" s="101"/>
      <c r="K188" s="28"/>
      <c r="L188" s="88"/>
      <c r="M188" s="97"/>
      <c r="N188" s="6"/>
    </row>
    <row r="189" spans="1:14" ht="15.75">
      <c r="A189" s="7"/>
      <c r="B189" s="16" t="s">
        <v>139</v>
      </c>
      <c r="C189" s="19"/>
      <c r="D189" s="92"/>
      <c r="E189" s="19"/>
      <c r="F189" s="92"/>
      <c r="G189" s="19"/>
      <c r="H189" s="92" t="s">
        <v>175</v>
      </c>
      <c r="I189" s="19" t="s">
        <v>176</v>
      </c>
      <c r="J189" s="92" t="s">
        <v>186</v>
      </c>
      <c r="K189" s="19" t="s">
        <v>176</v>
      </c>
      <c r="L189" s="17"/>
      <c r="M189" s="102"/>
      <c r="N189" s="6"/>
    </row>
    <row r="190" spans="1:14" ht="15.75">
      <c r="A190" s="27"/>
      <c r="B190" s="60" t="s">
        <v>140</v>
      </c>
      <c r="C190" s="103"/>
      <c r="D190" s="60"/>
      <c r="E190" s="103"/>
      <c r="F190" s="28"/>
      <c r="G190" s="103"/>
      <c r="H190" s="60">
        <v>5028</v>
      </c>
      <c r="I190" s="105">
        <f>H190/H195</f>
        <v>0.989763779527559</v>
      </c>
      <c r="J190" s="59">
        <v>383424</v>
      </c>
      <c r="K190" s="143">
        <f>J190/J195</f>
        <v>0.9939701879455606</v>
      </c>
      <c r="L190" s="88"/>
      <c r="M190" s="97"/>
      <c r="N190" s="6"/>
    </row>
    <row r="191" spans="1:14" ht="15.75">
      <c r="A191" s="27"/>
      <c r="B191" s="60" t="s">
        <v>141</v>
      </c>
      <c r="C191" s="103"/>
      <c r="D191" s="60"/>
      <c r="E191" s="103"/>
      <c r="F191" s="28"/>
      <c r="G191" s="105"/>
      <c r="H191" s="60">
        <v>24</v>
      </c>
      <c r="I191" s="105">
        <f>H191/H195</f>
        <v>0.004724409448818898</v>
      </c>
      <c r="J191" s="59">
        <v>1288</v>
      </c>
      <c r="K191" s="143">
        <f>J191/J195</f>
        <v>0.003338950097213221</v>
      </c>
      <c r="L191" s="88"/>
      <c r="M191" s="97"/>
      <c r="N191" s="6"/>
    </row>
    <row r="192" spans="1:14" ht="15.75">
      <c r="A192" s="27"/>
      <c r="B192" s="60" t="s">
        <v>142</v>
      </c>
      <c r="C192" s="103"/>
      <c r="D192" s="60"/>
      <c r="E192" s="103"/>
      <c r="F192" s="28"/>
      <c r="G192" s="105"/>
      <c r="H192" s="60">
        <v>6</v>
      </c>
      <c r="I192" s="105">
        <f>H192/H195</f>
        <v>0.0011811023622047244</v>
      </c>
      <c r="J192" s="59">
        <v>191</v>
      </c>
      <c r="K192" s="143">
        <f>J192/J195</f>
        <v>0.0004951393389500972</v>
      </c>
      <c r="L192" s="88"/>
      <c r="M192" s="97"/>
      <c r="N192" s="6"/>
    </row>
    <row r="193" spans="1:14" ht="15.75">
      <c r="A193" s="27"/>
      <c r="B193" s="60" t="s">
        <v>143</v>
      </c>
      <c r="C193" s="103"/>
      <c r="D193" s="60"/>
      <c r="E193" s="103"/>
      <c r="F193" s="28"/>
      <c r="G193" s="105"/>
      <c r="H193" s="60">
        <v>22</v>
      </c>
      <c r="I193" s="105">
        <f>H193/H195</f>
        <v>0.004330708661417323</v>
      </c>
      <c r="J193" s="59">
        <v>847</v>
      </c>
      <c r="K193" s="143">
        <f>J193/J195</f>
        <v>0.0021957226182760855</v>
      </c>
      <c r="L193" s="88"/>
      <c r="M193" s="97"/>
      <c r="N193" s="6"/>
    </row>
    <row r="194" spans="1:14" ht="15.75">
      <c r="A194" s="27"/>
      <c r="B194" s="60"/>
      <c r="C194" s="106"/>
      <c r="D194" s="95"/>
      <c r="E194" s="106"/>
      <c r="F194" s="28"/>
      <c r="G194" s="106"/>
      <c r="H194" s="95"/>
      <c r="I194" s="106"/>
      <c r="J194" s="59"/>
      <c r="K194" s="104"/>
      <c r="L194" s="88"/>
      <c r="M194" s="97"/>
      <c r="N194" s="6"/>
    </row>
    <row r="195" spans="1:14" ht="15.75">
      <c r="A195" s="27"/>
      <c r="B195" s="28"/>
      <c r="C195" s="28"/>
      <c r="D195" s="28"/>
      <c r="E195" s="28"/>
      <c r="F195" s="28"/>
      <c r="G195" s="28"/>
      <c r="H195" s="38">
        <f>SUM(H190:H193)</f>
        <v>5080</v>
      </c>
      <c r="I195" s="107">
        <f>SUM(I190:I194)</f>
        <v>0.9999999999999999</v>
      </c>
      <c r="J195" s="59">
        <f>SUM(J190:J194)</f>
        <v>385750</v>
      </c>
      <c r="K195" s="107">
        <f>SUM(K190:K194)</f>
        <v>0.9999999999999999</v>
      </c>
      <c r="L195" s="28"/>
      <c r="M195" s="28"/>
      <c r="N195" s="6"/>
    </row>
    <row r="196" spans="1:14" ht="15.75">
      <c r="A196" s="27"/>
      <c r="B196" s="28"/>
      <c r="C196" s="28"/>
      <c r="D196" s="28"/>
      <c r="E196" s="28"/>
      <c r="F196" s="28"/>
      <c r="G196" s="28"/>
      <c r="H196" s="38"/>
      <c r="I196" s="107"/>
      <c r="J196" s="59"/>
      <c r="K196" s="107"/>
      <c r="L196" s="28"/>
      <c r="M196" s="28"/>
      <c r="N196" s="6"/>
    </row>
    <row r="197" spans="1:14" ht="15.75">
      <c r="A197" s="7"/>
      <c r="B197" s="9"/>
      <c r="C197" s="9"/>
      <c r="D197" s="9"/>
      <c r="E197" s="9"/>
      <c r="F197" s="9"/>
      <c r="G197" s="9"/>
      <c r="H197" s="61"/>
      <c r="I197" s="108"/>
      <c r="J197" s="109"/>
      <c r="K197" s="108"/>
      <c r="L197" s="9"/>
      <c r="M197" s="9"/>
      <c r="N197" s="6"/>
    </row>
    <row r="198" spans="1:14" ht="15.75">
      <c r="A198" s="110"/>
      <c r="B198" s="16" t="s">
        <v>144</v>
      </c>
      <c r="C198" s="111"/>
      <c r="D198" s="19" t="s">
        <v>152</v>
      </c>
      <c r="E198" s="17"/>
      <c r="F198" s="16" t="s">
        <v>164</v>
      </c>
      <c r="G198" s="112"/>
      <c r="H198" s="112"/>
      <c r="I198" s="112"/>
      <c r="J198" s="125"/>
      <c r="K198" s="125"/>
      <c r="L198" s="125"/>
      <c r="M198" s="125"/>
      <c r="N198" s="6"/>
    </row>
    <row r="199" spans="1:14" ht="15.75">
      <c r="A199" s="129"/>
      <c r="B199" s="125"/>
      <c r="C199" s="125"/>
      <c r="D199" s="9"/>
      <c r="E199" s="9"/>
      <c r="F199" s="9"/>
      <c r="G199" s="125"/>
      <c r="H199" s="125"/>
      <c r="I199" s="125"/>
      <c r="J199" s="125"/>
      <c r="K199" s="125"/>
      <c r="L199" s="125"/>
      <c r="M199" s="125"/>
      <c r="N199" s="6"/>
    </row>
    <row r="200" spans="1:14" ht="15.75">
      <c r="A200" s="129"/>
      <c r="B200" s="15" t="s">
        <v>145</v>
      </c>
      <c r="C200" s="114"/>
      <c r="D200" s="115" t="s">
        <v>153</v>
      </c>
      <c r="E200" s="15"/>
      <c r="F200" s="15" t="s">
        <v>165</v>
      </c>
      <c r="G200" s="114"/>
      <c r="H200" s="114"/>
      <c r="I200" s="125"/>
      <c r="J200" s="125"/>
      <c r="K200" s="125"/>
      <c r="L200" s="125"/>
      <c r="M200" s="125"/>
      <c r="N200" s="6"/>
    </row>
    <row r="201" spans="1:14" ht="15.75">
      <c r="A201" s="129"/>
      <c r="B201" s="15" t="s">
        <v>146</v>
      </c>
      <c r="C201" s="114"/>
      <c r="D201" s="115" t="s">
        <v>154</v>
      </c>
      <c r="E201" s="15"/>
      <c r="F201" s="15" t="s">
        <v>166</v>
      </c>
      <c r="G201" s="114"/>
      <c r="H201" s="114"/>
      <c r="I201" s="125"/>
      <c r="J201" s="125"/>
      <c r="K201" s="125"/>
      <c r="L201" s="125"/>
      <c r="M201" s="125"/>
      <c r="N201" s="6"/>
    </row>
    <row r="202" spans="1:14" ht="15.75">
      <c r="A202" s="129"/>
      <c r="B202" s="15"/>
      <c r="C202" s="114"/>
      <c r="D202" s="115"/>
      <c r="E202" s="15"/>
      <c r="F202" s="15"/>
      <c r="G202" s="114"/>
      <c r="H202" s="114"/>
      <c r="I202" s="125"/>
      <c r="J202" s="125"/>
      <c r="K202" s="125"/>
      <c r="L202" s="125"/>
      <c r="M202" s="125"/>
      <c r="N202" s="6"/>
    </row>
    <row r="203" spans="1:14" ht="15.75">
      <c r="A203" s="129"/>
      <c r="B203" s="15"/>
      <c r="C203" s="114"/>
      <c r="D203" s="115"/>
      <c r="E203" s="15"/>
      <c r="F203" s="15"/>
      <c r="G203" s="114"/>
      <c r="H203" s="114"/>
      <c r="I203" s="125"/>
      <c r="J203" s="125"/>
      <c r="K203" s="125"/>
      <c r="L203" s="125"/>
      <c r="M203" s="125"/>
      <c r="N203" s="6"/>
    </row>
    <row r="204" spans="1:14" ht="18.75">
      <c r="A204" s="129"/>
      <c r="B204" s="55" t="str">
        <f>B156</f>
        <v>PM4 INVESTOR REPORT QUARTER ENDING JUNE 2004</v>
      </c>
      <c r="C204" s="114"/>
      <c r="D204" s="115"/>
      <c r="E204" s="15"/>
      <c r="F204" s="15"/>
      <c r="G204" s="114"/>
      <c r="H204" s="114"/>
      <c r="I204" s="125"/>
      <c r="J204" s="125"/>
      <c r="K204" s="125"/>
      <c r="L204" s="125"/>
      <c r="M204" s="125"/>
      <c r="N204" s="6"/>
    </row>
    <row r="205" spans="1:13" ht="15">
      <c r="A205" s="116"/>
      <c r="B205" s="116"/>
      <c r="C205" s="116"/>
      <c r="D205" s="116"/>
      <c r="E205" s="116"/>
      <c r="F205" s="116"/>
      <c r="G205" s="116"/>
      <c r="H205" s="116"/>
      <c r="I205" s="116"/>
      <c r="J205" s="116"/>
      <c r="K205" s="116"/>
      <c r="L205" s="116"/>
      <c r="M205" s="116"/>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3" max="13" man="1"/>
    <brk id="106" max="13" man="1"/>
    <brk id="156" max="13"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