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firstSheet="8" activeTab="13"/>
  </bookViews>
  <sheets>
    <sheet name="July  2001" sheetId="1" r:id="rId1"/>
    <sheet name="October  2001" sheetId="2" r:id="rId2"/>
    <sheet name="Jan 2002" sheetId="3" r:id="rId3"/>
    <sheet name="April 2002" sheetId="4" r:id="rId4"/>
    <sheet name="July 2002" sheetId="5" r:id="rId5"/>
    <sheet name="Oct 2002" sheetId="6" r:id="rId6"/>
    <sheet name="Jan 2003" sheetId="7" r:id="rId7"/>
    <sheet name="April 2003" sheetId="8" r:id="rId8"/>
    <sheet name="July 2003" sheetId="9" r:id="rId9"/>
    <sheet name="Oct 2003" sheetId="10" r:id="rId10"/>
    <sheet name="Jan 2004" sheetId="11" r:id="rId11"/>
    <sheet name="April 2004" sheetId="12" r:id="rId12"/>
    <sheet name="July 2004" sheetId="13" r:id="rId13"/>
    <sheet name="Oct 2004" sheetId="14" r:id="rId14"/>
  </sheets>
  <definedNames>
    <definedName name="PAGE1" localSheetId="11">'April 2004'!$A$1:$M$51</definedName>
    <definedName name="PAGE1" localSheetId="10">'Jan 2004'!$A$1:$M$51</definedName>
    <definedName name="PAGE1" localSheetId="8">'July 2003'!$A$1:$M$51</definedName>
    <definedName name="PAGE1" localSheetId="12">'July 2004'!$A$1:$M$51</definedName>
    <definedName name="PAGE1" localSheetId="9">'Oct 2003'!$A$1:$M$51</definedName>
    <definedName name="PAGE1" localSheetId="13">'Oct 2004'!$A$1:$M$51</definedName>
    <definedName name="PAGE1">'April 2003'!$A$1:$M$51</definedName>
    <definedName name="PAGE2" localSheetId="11">'April 2004'!$A$52:$M$104</definedName>
    <definedName name="PAGE2" localSheetId="10">'Jan 2004'!$A$52:$M$104</definedName>
    <definedName name="PAGE2" localSheetId="8">'July 2003'!$A$52:$M$104</definedName>
    <definedName name="PAGE2" localSheetId="12">'July 2004'!$A$52:$M$104</definedName>
    <definedName name="PAGE2" localSheetId="9">'Oct 2003'!$A$52:$M$104</definedName>
    <definedName name="PAGE2" localSheetId="13">'Oct 2004'!$A$52:$M$105</definedName>
    <definedName name="PAGE2">'April 2003'!$A$52:$M$104</definedName>
    <definedName name="PAGE3" localSheetId="11">'April 2004'!$A$105:$M$153</definedName>
    <definedName name="PAGE3" localSheetId="10">'Jan 2004'!$A$105:$M$153</definedName>
    <definedName name="PAGE3" localSheetId="8">'July 2003'!$A$105:$M$153</definedName>
    <definedName name="PAGE3" localSheetId="12">'July 2004'!$A$105:$M$153</definedName>
    <definedName name="PAGE3" localSheetId="9">'Oct 2003'!$A$105:$M$153</definedName>
    <definedName name="PAGE3" localSheetId="13">'Oct 2004'!$A$106:$M$155</definedName>
    <definedName name="PAGE3">'April 2003'!$A$105:$M$153</definedName>
    <definedName name="PAGE4" localSheetId="11">'April 2004'!$A$154:$M$201</definedName>
    <definedName name="PAGE4" localSheetId="10">'Jan 2004'!$A$154:$M$201</definedName>
    <definedName name="PAGE4" localSheetId="8">'July 2003'!$A$154:$M$200</definedName>
    <definedName name="PAGE4" localSheetId="12">'July 2004'!$A$154:$M$201</definedName>
    <definedName name="PAGE4" localSheetId="9">'Oct 2003'!$A$154:$M$200</definedName>
    <definedName name="PAGE4" localSheetId="13">'Oct 2004'!$A$156:$M$203</definedName>
    <definedName name="PAGE4">'April 2003'!$A$154:$M$200</definedName>
    <definedName name="_xlnm.Print_Area" localSheetId="3">'April 2002'!$A$1:$N$201</definedName>
    <definedName name="_xlnm.Print_Area" localSheetId="7">'April 2003'!$A$1:$N$201</definedName>
    <definedName name="_xlnm.Print_Area" localSheetId="11">'April 2004'!$A$1:$N$202</definedName>
    <definedName name="_xlnm.Print_Area" localSheetId="2">'Jan 2002'!$A$1:$N$201</definedName>
    <definedName name="_xlnm.Print_Area" localSheetId="6">'Jan 2003'!$A$1:$N$201</definedName>
    <definedName name="_xlnm.Print_Area" localSheetId="10">'Jan 2004'!$A$1:$N$202</definedName>
    <definedName name="_xlnm.Print_Area" localSheetId="0">'July  2001'!$A$1:$N$201</definedName>
    <definedName name="_xlnm.Print_Area" localSheetId="4">'July 2002'!$A$1:$N$201</definedName>
    <definedName name="_xlnm.Print_Area" localSheetId="8">'July 2003'!$A$1:$N$201</definedName>
    <definedName name="_xlnm.Print_Area" localSheetId="12">'July 2004'!$A$1:$N$202</definedName>
    <definedName name="_xlnm.Print_Area" localSheetId="5">'Oct 2002'!$A$1:$N$201</definedName>
    <definedName name="_xlnm.Print_Area" localSheetId="9">'Oct 2003'!$A$1:$N$201</definedName>
    <definedName name="_xlnm.Print_Area" localSheetId="13">'Oct 2004'!$A$1:$N$204</definedName>
    <definedName name="_xlnm.Print_Area">'April 2003'!$A$105:$M$153</definedName>
  </definedNames>
  <calcPr fullCalcOnLoad="1"/>
</workbook>
</file>

<file path=xl/sharedStrings.xml><?xml version="1.0" encoding="utf-8"?>
<sst xmlns="http://schemas.openxmlformats.org/spreadsheetml/2006/main" count="3017" uniqueCount="212">
  <si>
    <t>Paragon Mortgages (No. 3) PLC</t>
  </si>
  <si>
    <t>This performance report is issued by Paragon Finance PLC for and on behalf of Paragon Mortgages (No.3)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</si>
  <si>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</si>
  <si>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</si>
  <si>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</si>
  <si>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</si>
  <si>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</si>
  <si>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</si>
  <si>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Originator % at Closing</t>
  </si>
  <si>
    <t xml:space="preserve">Originator % at the Quarter End </t>
  </si>
  <si>
    <t>Date of Issue</t>
  </si>
  <si>
    <t>Date of Production</t>
  </si>
  <si>
    <t>Security Level Data</t>
  </si>
  <si>
    <t>Moody's Rating at Closing</t>
  </si>
  <si>
    <t>Standard &amp; Poor's Rating at Closing</t>
  </si>
  <si>
    <t>Current Moody's Rating</t>
  </si>
  <si>
    <t>Current Standard &amp; Poor's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</si>
  <si>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</si>
  <si>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</si>
  <si>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</si>
  <si>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</si>
  <si>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</si>
  <si>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</si>
  <si>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</si>
  <si>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</si>
  <si>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</si>
  <si>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</si>
  <si>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Notes as a percentage Class A Notes at issue</t>
  </si>
  <si>
    <t>Outstanding Class B Notes as a percentage of Outstanding Class A Notes</t>
  </si>
  <si>
    <t>Determination Event for Paying Class B Notes</t>
  </si>
  <si>
    <t>Interest Payment Cycle</t>
  </si>
  <si>
    <t>Interest Payment Date</t>
  </si>
  <si>
    <t>Previous Interest Period (No. of Days)</t>
  </si>
  <si>
    <t>Current Interest Period (No. of Days)</t>
  </si>
  <si>
    <t>Interest Calculated on</t>
  </si>
  <si>
    <t>Record Date</t>
  </si>
  <si>
    <t>PM3 INVESTOR REPORT QUARTER ENDING JULY 2001</t>
  </si>
  <si>
    <t>Asset Movements</t>
  </si>
  <si>
    <t>Mortgages</t>
  </si>
  <si>
    <t>Current Principal Balance (£'000)</t>
  </si>
  <si>
    <t>Accrued Arrears and Interest Sold to Issuer (£'000)</t>
  </si>
  <si>
    <t>Total (£'000)</t>
  </si>
  <si>
    <t>Consumer Loans</t>
  </si>
  <si>
    <t>Credit Enhancement</t>
  </si>
  <si>
    <t>Pre-Funding Reserve</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</si>
  <si>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</si>
  <si>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</si>
  <si>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</si>
  <si>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</si>
  <si>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</si>
  <si>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</si>
  <si>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</si>
  <si>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</si>
  <si>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</si>
  <si>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</si>
  <si>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</si>
  <si>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</si>
  <si>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</si>
  <si>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</si>
  <si>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</si>
  <si>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</si>
  <si>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B Note Interest</t>
  </si>
  <si>
    <t>Third Party payments for Corporation Tax and VAT</t>
  </si>
  <si>
    <t>First Loss Fund  replenishments</t>
  </si>
  <si>
    <t>PDL replenishment</t>
  </si>
  <si>
    <t>Termination Fees to Swap Provider</t>
  </si>
  <si>
    <t>Cap/Swap Retention fund</t>
  </si>
  <si>
    <t>Fee Letter to PFPLC/CMS5</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</si>
  <si>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</si>
  <si>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</si>
  <si>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</si>
  <si>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</si>
  <si>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</si>
  <si>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</si>
  <si>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</si>
  <si>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</si>
  <si>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</si>
  <si>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</si>
  <si>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</si>
  <si>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</si>
  <si>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</si>
  <si>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</si>
  <si>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</si>
  <si>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</si>
  <si>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</si>
  <si>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</si>
  <si>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</si>
  <si>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</si>
  <si>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</si>
  <si>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</si>
  <si>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</si>
  <si>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</si>
  <si>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</si>
  <si>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replenishment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</si>
  <si>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</si>
  <si>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</si>
  <si>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</si>
  <si>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</si>
  <si>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</si>
  <si>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</si>
  <si>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</si>
  <si>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</si>
  <si>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</si>
  <si>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</si>
  <si>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</si>
  <si>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</si>
  <si>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</si>
  <si>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</si>
  <si>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</si>
  <si>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</si>
  <si>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</si>
  <si>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</si>
  <si>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</si>
  <si>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</si>
  <si>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</si>
  <si>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</si>
  <si>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 - Class A Notes</t>
  </si>
  <si>
    <t>Stated Maturity - Class B Notes</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</si>
  <si>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</si>
  <si>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</si>
  <si>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</si>
  <si>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</si>
  <si>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</si>
  <si>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</si>
  <si>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</si>
  <si>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</si>
  <si>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</si>
  <si>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</si>
  <si>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</si>
  <si>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</si>
  <si>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Recoveries</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</si>
  <si>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</si>
  <si>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</si>
  <si>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</si>
  <si>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</si>
  <si>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</si>
  <si>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</si>
  <si>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</si>
  <si>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</si>
  <si>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</si>
  <si>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</si>
  <si>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</si>
  <si>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</si>
  <si>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</si>
  <si>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Pool</t>
  </si>
  <si>
    <t>Factor</t>
  </si>
  <si>
    <t>As at Closing</t>
  </si>
  <si>
    <t>PDD =</t>
  </si>
  <si>
    <t>Last Quarter Balance</t>
  </si>
  <si>
    <t>Tel.</t>
  </si>
  <si>
    <t>0121 712 3894</t>
  </si>
  <si>
    <t>0121 712 2315</t>
  </si>
  <si>
    <t>Class A Notes</t>
  </si>
  <si>
    <t>Aaa</t>
  </si>
  <si>
    <t>AAA</t>
  </si>
  <si>
    <t>XS0128355822</t>
  </si>
  <si>
    <t>28 bp</t>
  </si>
  <si>
    <t>May  2004</t>
  </si>
  <si>
    <t>56 bp</t>
  </si>
  <si>
    <t>This Quarter Redemptions and Repayments</t>
  </si>
  <si>
    <t>E-mail</t>
  </si>
  <si>
    <t>jharvey@paragon-group.co.uk</t>
  </si>
  <si>
    <t>jgiles@paragon-group.co.uk</t>
  </si>
  <si>
    <t>Class B Notes</t>
  </si>
  <si>
    <t>A2</t>
  </si>
  <si>
    <t>A</t>
  </si>
  <si>
    <t>XS0128357448</t>
  </si>
  <si>
    <t>80 bp</t>
  </si>
  <si>
    <t>160 bp</t>
  </si>
  <si>
    <t>Additions this quarter</t>
  </si>
  <si>
    <t>DFA's</t>
  </si>
  <si>
    <t>No.</t>
  </si>
  <si>
    <t>%</t>
  </si>
  <si>
    <t>PML</t>
  </si>
  <si>
    <t>Senior/Subordinate</t>
  </si>
  <si>
    <t xml:space="preserve">or the IPD falling  in May  2006, whichever is the later </t>
  </si>
  <si>
    <t>Repurchases this quarter</t>
  </si>
  <si>
    <t>Principal (£'000)</t>
  </si>
  <si>
    <t>MFA's</t>
  </si>
  <si>
    <t>August 2031</t>
  </si>
  <si>
    <t>August 2043</t>
  </si>
  <si>
    <t>£'000 Value</t>
  </si>
  <si>
    <t>£'000 Principal</t>
  </si>
  <si>
    <t>=</t>
  </si>
  <si>
    <t>years</t>
  </si>
  <si>
    <t>PM3  PLC</t>
  </si>
  <si>
    <t>Quarterly</t>
  </si>
  <si>
    <t>ACTUAL/365</t>
  </si>
  <si>
    <t>Current Principal Outstanding</t>
  </si>
  <si>
    <t>Revenue (£'000)</t>
  </si>
  <si>
    <t>n/a</t>
  </si>
  <si>
    <t>Total</t>
  </si>
  <si>
    <t>x</t>
  </si>
  <si>
    <t>PM3 INVESTOR REPORT QUARTER ENDING OCTOBER 2001</t>
  </si>
  <si>
    <t>PM3 INVESTOR REPORT QUARTER ENDING JANUARY 2002</t>
  </si>
  <si>
    <t>PM3 INVESTOR REPORT QUARTER ENDING APRIL 2002</t>
  </si>
  <si>
    <t>PM3 INVESTOR REPORT QUARTER ENDING JULY 2002</t>
  </si>
  <si>
    <t>PM3 INVESTOR REPORT QUARTER ENDING OCTOBER 2002</t>
  </si>
  <si>
    <t>PM3 INVESTOR REPORT QUARTER ENDING JANUARY 2003</t>
  </si>
  <si>
    <t>PM3 INVESTOR REPORT QUARTER ENDING APRIL 2003</t>
  </si>
  <si>
    <t>PM3 INVESTOR REPORT QUARTER ENDING JULY 2003</t>
  </si>
  <si>
    <t>AA-</t>
  </si>
  <si>
    <t>A1</t>
  </si>
  <si>
    <t>PM3 INVESTOR REPORT QUARTER ENDING OCTOBER 2003</t>
  </si>
  <si>
    <t>PM3 INVESTOR REPORT QUARTER ENDING JANUARY 2004</t>
  </si>
  <si>
    <t>Appointment of a Receiver of Rent</t>
  </si>
  <si>
    <t>ACTUAL/366</t>
  </si>
  <si>
    <t>PM3 INVESTOR REPORT QUARTER ENDING APRIL 2004</t>
  </si>
  <si>
    <t>PM3 INVESTOR REPORT QUARTER ENDING JULY 2004</t>
  </si>
  <si>
    <t>PM3 INVESTOR REPORT QUARTER ENDING OCTOBER 2004</t>
  </si>
  <si>
    <t>Release of the First Fund following repayment of the Notes</t>
  </si>
  <si>
    <t>Repayment of the First Loss Fund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</si>
</sst>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0.000000"/>
    <numFmt numFmtId="174" formatCode="0.00000%"/>
    <numFmt numFmtId="175" formatCode="#,##0.0"/>
    <numFmt numFmtId="176" formatCode="0.0%"/>
  </numFmts>
  <fonts count="28">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sz val="14"/>
      <name val="Times New Roman"/>
      <family val="0"/>
    </font>
    <font>
      <b/>
      <sz val="12"/>
      <color indexed="8"/>
      <name val="Times New Roman"/>
      <family val="0"/>
    </font>
    <font>
      <b/>
      <u val="single"/>
      <sz val="12"/>
      <color indexed="8"/>
      <name val="Times New Roman"/>
      <family val="0"/>
    </font>
    <font>
      <sz val="12"/>
      <color indexed="12"/>
      <name val="Arial"/>
      <family val="0"/>
    </font>
    <font>
      <b/>
      <sz val="12"/>
      <color indexed="12"/>
      <name val="Arial MT"/>
      <family val="0"/>
    </font>
    <font>
      <b/>
      <sz val="12"/>
      <name val="Arial"/>
      <family val="0"/>
    </font>
    <font>
      <b/>
      <sz val="12"/>
      <color indexed="53"/>
      <name val="Times New Roman"/>
      <family val="1"/>
    </font>
    <font>
      <sz val="12"/>
      <color indexed="53"/>
      <name val="Times New Roman"/>
      <family val="0"/>
    </font>
    <font>
      <sz val="12"/>
      <color indexed="53"/>
      <name val="Arial"/>
      <family val="0"/>
    </font>
    <font>
      <b/>
      <u val="single"/>
      <sz val="12"/>
      <color indexed="53"/>
      <name val="Times New Roman"/>
      <family val="1"/>
    </font>
    <font>
      <sz val="12"/>
      <color indexed="10"/>
      <name val="Times New Roman"/>
      <family val="1"/>
    </font>
  </fonts>
  <fills count="3">
    <fill>
      <patternFill/>
    </fill>
    <fill>
      <patternFill patternType="gray125"/>
    </fill>
    <fill>
      <patternFill patternType="solid">
        <fgColor indexed="26"/>
        <bgColor indexed="64"/>
      </patternFill>
    </fill>
  </fills>
  <borders count="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53">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9"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4" fillId="2" borderId="0" xfId="0" applyNumberFormat="1" applyFont="1" applyFill="1" applyAlignment="1">
      <alignment horizontal="center" wrapText="1"/>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4"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172" fontId="4" fillId="2" borderId="5" xfId="0" applyNumberFormat="1" applyFont="1" applyFill="1" applyAlignment="1">
      <alignment horizontal="center"/>
    </xf>
    <xf numFmtId="172" fontId="4" fillId="2" borderId="5" xfId="0" applyNumberFormat="1" applyFont="1" applyFill="1" applyAlignment="1">
      <alignment/>
    </xf>
    <xf numFmtId="172" fontId="0" fillId="2" borderId="5" xfId="0" applyNumberFormat="1" applyFont="1" applyFill="1" applyAlignment="1">
      <alignment/>
    </xf>
    <xf numFmtId="3" fontId="4" fillId="2" borderId="5" xfId="0" applyNumberFormat="1" applyFont="1" applyFill="1" applyAlignment="1">
      <alignment/>
    </xf>
    <xf numFmtId="173" fontId="4" fillId="2" borderId="5" xfId="0" applyNumberFormat="1" applyFont="1" applyFill="1" applyAlignment="1">
      <alignment vertical="top"/>
    </xf>
    <xf numFmtId="173" fontId="12" fillId="2" borderId="5" xfId="0" applyNumberFormat="1" applyFont="1" applyFill="1" applyAlignment="1">
      <alignment/>
    </xf>
    <xf numFmtId="172" fontId="12" fillId="2" borderId="5" xfId="0" applyNumberFormat="1" applyFont="1" applyFill="1" applyAlignment="1">
      <alignment horizontal="center"/>
    </xf>
    <xf numFmtId="172" fontId="12" fillId="2" borderId="5" xfId="0" applyNumberFormat="1" applyFont="1" applyFill="1" applyAlignment="1">
      <alignment/>
    </xf>
    <xf numFmtId="172" fontId="15" fillId="2" borderId="5" xfId="0" applyNumberFormat="1" applyFont="1" applyFill="1" applyAlignment="1">
      <alignment/>
    </xf>
    <xf numFmtId="0" fontId="4" fillId="2" borderId="5" xfId="0" applyNumberFormat="1" applyFont="1" applyFill="1" applyAlignment="1">
      <alignment vertical="top"/>
    </xf>
    <xf numFmtId="174"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0" fontId="16"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0" xfId="0" applyNumberFormat="1" applyFont="1" applyFill="1" applyAlignment="1">
      <alignment horizontal="center"/>
    </xf>
    <xf numFmtId="15" fontId="16" fillId="2" borderId="0" xfId="0" applyNumberFormat="1" applyFont="1" applyFill="1" applyAlignment="1">
      <alignment horizontal="center"/>
    </xf>
    <xf numFmtId="0" fontId="17" fillId="2" borderId="0" xfId="0" applyNumberFormat="1" applyFont="1" applyFill="1" applyAlignment="1">
      <alignment/>
    </xf>
    <xf numFmtId="0"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5" fontId="4"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4" fontId="4" fillId="2" borderId="2" xfId="0" applyNumberFormat="1" applyFont="1" applyFill="1" applyAlignment="1">
      <alignment horizontal="right"/>
    </xf>
    <xf numFmtId="4" fontId="4" fillId="2" borderId="5" xfId="0" applyNumberFormat="1" applyFont="1" applyFill="1" applyAlignment="1">
      <alignment horizontal="right"/>
    </xf>
    <xf numFmtId="4" fontId="4" fillId="2" borderId="5" xfId="0" applyNumberFormat="1" applyFont="1" applyFill="1" applyAlignment="1">
      <alignment/>
    </xf>
    <xf numFmtId="4" fontId="16" fillId="2" borderId="5" xfId="0" applyNumberFormat="1" applyFont="1" applyFill="1" applyAlignment="1">
      <alignment horizontal="center"/>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4" fillId="2" borderId="0" xfId="0" applyNumberFormat="1" applyFont="1" applyFill="1" applyAlignment="1">
      <alignment/>
    </xf>
    <xf numFmtId="2" fontId="16" fillId="2" borderId="5" xfId="0" applyNumberFormat="1" applyFont="1" applyFill="1" applyAlignment="1">
      <alignment horizontal="right"/>
    </xf>
    <xf numFmtId="0" fontId="0" fillId="2" borderId="2" xfId="0" applyNumberFormat="1" applyFont="1" applyFill="1" applyAlignment="1">
      <alignment/>
    </xf>
    <xf numFmtId="0" fontId="13" fillId="2" borderId="3" xfId="0" applyNumberFormat="1" applyFont="1" applyFill="1" applyAlignment="1">
      <alignment/>
    </xf>
    <xf numFmtId="15" fontId="12" fillId="2" borderId="0" xfId="0" applyNumberFormat="1" applyFont="1" applyFill="1" applyAlignment="1">
      <alignment horizontal="centerContinuous"/>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175"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0" fontId="18" fillId="2" borderId="0" xfId="0" applyNumberFormat="1" applyFont="1" applyFill="1" applyAlignment="1">
      <alignment horizontal="center"/>
    </xf>
    <xf numFmtId="3" fontId="18" fillId="2" borderId="0" xfId="0" applyNumberFormat="1" applyFont="1" applyFill="1" applyAlignment="1">
      <alignment horizontal="center"/>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76" fontId="16" fillId="2" borderId="5" xfId="0" applyNumberFormat="1" applyFont="1" applyFill="1" applyAlignment="1">
      <alignment/>
    </xf>
    <xf numFmtId="176" fontId="4" fillId="2" borderId="5" xfId="0" applyNumberFormat="1" applyFont="1" applyFill="1" applyAlignment="1">
      <alignment/>
    </xf>
    <xf numFmtId="10" fontId="16"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20" fillId="2" borderId="3" xfId="0" applyNumberFormat="1" applyFont="1" applyFill="1" applyAlignment="1">
      <alignment/>
    </xf>
    <xf numFmtId="0" fontId="21" fillId="2" borderId="0" xfId="0" applyNumberFormat="1" applyFont="1" applyFill="1" applyAlignment="1">
      <alignment horizontal="center"/>
    </xf>
    <xf numFmtId="0" fontId="20" fillId="2" borderId="0" xfId="0" applyNumberFormat="1" applyFont="1" applyFill="1" applyAlignment="1">
      <alignment/>
    </xf>
    <xf numFmtId="0" fontId="0" fillId="2" borderId="3" xfId="0" applyNumberFormat="1" applyFont="1" applyFill="1" applyAlignment="1">
      <alignment/>
    </xf>
    <xf numFmtId="0" fontId="22"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Alignment="1">
      <alignment/>
    </xf>
    <xf numFmtId="174" fontId="4" fillId="2" borderId="5" xfId="0" applyNumberFormat="1" applyFont="1" applyFill="1" applyAlignment="1">
      <alignment/>
    </xf>
    <xf numFmtId="0" fontId="4"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xf>
    <xf numFmtId="15" fontId="16" fillId="2" borderId="7" xfId="0" applyNumberFormat="1" applyFont="1" applyFill="1" applyBorder="1" applyAlignment="1">
      <alignment horizontal="center"/>
    </xf>
    <xf numFmtId="15" fontId="16" fillId="2" borderId="7" xfId="0" applyNumberFormat="1" applyFont="1" applyFill="1" applyBorder="1" applyAlignment="1">
      <alignment horizontal="center"/>
    </xf>
    <xf numFmtId="0" fontId="4" fillId="2" borderId="8" xfId="0" applyNumberFormat="1" applyFont="1" applyFill="1" applyBorder="1" applyAlignment="1">
      <alignment/>
    </xf>
    <xf numFmtId="4" fontId="4" fillId="2" borderId="7" xfId="0" applyNumberFormat="1" applyFont="1" applyFill="1" applyBorder="1" applyAlignment="1">
      <alignment horizontal="right"/>
    </xf>
    <xf numFmtId="0" fontId="0" fillId="2" borderId="0" xfId="0" applyNumberFormat="1" applyFont="1" applyFill="1" applyAlignment="1">
      <alignment/>
    </xf>
    <xf numFmtId="0" fontId="0" fillId="2" borderId="5" xfId="0" applyNumberFormat="1" applyFont="1" applyFill="1" applyAlignment="1">
      <alignment/>
    </xf>
    <xf numFmtId="172" fontId="0" fillId="2" borderId="5" xfId="0" applyNumberFormat="1" applyFont="1" applyFill="1" applyAlignment="1">
      <alignment/>
    </xf>
    <xf numFmtId="0" fontId="0" fillId="2" borderId="2" xfId="0" applyNumberFormat="1" applyFont="1" applyFill="1" applyAlignment="1">
      <alignment/>
    </xf>
    <xf numFmtId="0" fontId="0" fillId="2" borderId="3" xfId="0" applyNumberFormat="1" applyFont="1" applyFill="1" applyAlignment="1">
      <alignment/>
    </xf>
    <xf numFmtId="0" fontId="23" fillId="2" borderId="0" xfId="0" applyNumberFormat="1" applyFont="1" applyFill="1" applyAlignment="1">
      <alignment/>
    </xf>
    <xf numFmtId="0" fontId="23" fillId="2" borderId="0" xfId="0" applyNumberFormat="1" applyFont="1" applyFill="1" applyAlignment="1">
      <alignment horizontal="center"/>
    </xf>
    <xf numFmtId="0" fontId="23" fillId="2" borderId="0" xfId="0" applyNumberFormat="1" applyFont="1" applyFill="1" applyAlignment="1">
      <alignment horizontal="center" wrapText="1"/>
    </xf>
    <xf numFmtId="0" fontId="24" fillId="2" borderId="3" xfId="0" applyNumberFormat="1" applyFont="1" applyFill="1" applyAlignment="1">
      <alignment/>
    </xf>
    <xf numFmtId="0" fontId="23" fillId="2" borderId="0" xfId="0" applyNumberFormat="1" applyFont="1" applyFill="1" applyAlignment="1">
      <alignment horizontal="left" vertical="top" wrapText="1"/>
    </xf>
    <xf numFmtId="0" fontId="23" fillId="2" borderId="0" xfId="0" applyNumberFormat="1" applyFont="1" applyFill="1" applyAlignment="1">
      <alignment horizontal="center" vertical="top" wrapText="1"/>
    </xf>
    <xf numFmtId="4" fontId="23" fillId="2" borderId="0" xfId="0" applyNumberFormat="1" applyFont="1" applyFill="1" applyAlignment="1">
      <alignment horizontal="center" vertical="top" wrapText="1"/>
    </xf>
    <xf numFmtId="0" fontId="24" fillId="2" borderId="0" xfId="0" applyNumberFormat="1" applyFont="1" applyFill="1" applyAlignment="1">
      <alignment/>
    </xf>
    <xf numFmtId="0" fontId="25" fillId="0" borderId="3" xfId="0" applyNumberFormat="1" applyFont="1" applyAlignment="1">
      <alignment/>
    </xf>
    <xf numFmtId="0" fontId="25" fillId="0" borderId="0" xfId="0" applyNumberFormat="1" applyFont="1" applyAlignment="1">
      <alignment/>
    </xf>
    <xf numFmtId="0" fontId="26" fillId="2" borderId="5" xfId="0" applyNumberFormat="1" applyFont="1" applyFill="1" applyAlignment="1">
      <alignment/>
    </xf>
    <xf numFmtId="0" fontId="26" fillId="2" borderId="0" xfId="0" applyNumberFormat="1" applyFont="1" applyFill="1" applyAlignment="1">
      <alignment/>
    </xf>
    <xf numFmtId="0" fontId="23" fillId="2" borderId="0" xfId="0" applyNumberFormat="1" applyFont="1" applyFill="1" applyAlignment="1">
      <alignment horizontal="right"/>
    </xf>
    <xf numFmtId="4" fontId="23" fillId="2" borderId="0" xfId="0" applyNumberFormat="1" applyFont="1" applyFill="1" applyAlignment="1">
      <alignment horizontal="right"/>
    </xf>
    <xf numFmtId="0" fontId="23" fillId="2" borderId="5" xfId="0" applyNumberFormat="1" applyFont="1" applyFill="1" applyAlignment="1">
      <alignment/>
    </xf>
    <xf numFmtId="0" fontId="23" fillId="2" borderId="0" xfId="0" applyNumberFormat="1" applyFont="1" applyFill="1" applyAlignment="1">
      <alignment horizontal="left" vertical="top" wrapText="1"/>
    </xf>
    <xf numFmtId="0" fontId="23" fillId="2" borderId="0" xfId="0" applyNumberFormat="1" applyFont="1" applyFill="1" applyAlignment="1">
      <alignment horizontal="center" vertical="top" wrapText="1"/>
    </xf>
    <xf numFmtId="4" fontId="23" fillId="2" borderId="0" xfId="0" applyNumberFormat="1" applyFont="1" applyFill="1" applyAlignment="1">
      <alignment horizontal="center" vertical="top" wrapText="1"/>
    </xf>
    <xf numFmtId="0" fontId="24" fillId="2" borderId="0" xfId="0" applyNumberFormat="1" applyFont="1" applyFill="1" applyAlignment="1">
      <alignment/>
    </xf>
    <xf numFmtId="0" fontId="24" fillId="2" borderId="3" xfId="0" applyNumberFormat="1" applyFont="1" applyFill="1" applyAlignment="1">
      <alignment/>
    </xf>
    <xf numFmtId="15" fontId="4" fillId="2" borderId="5" xfId="0" applyNumberFormat="1" applyFont="1" applyFill="1" applyAlignment="1">
      <alignment horizontal="center"/>
    </xf>
    <xf numFmtId="0" fontId="27" fillId="2" borderId="5" xfId="0" applyNumberFormat="1" applyFont="1" applyFill="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161925</xdr:rowOff>
    </xdr:from>
    <xdr:to>
      <xdr:col>1</xdr:col>
      <xdr:colOff>28575</xdr:colOff>
      <xdr:row>50</xdr:row>
      <xdr:rowOff>200025</xdr:rowOff>
    </xdr:to>
    <xdr:pic>
      <xdr:nvPicPr>
        <xdr:cNvPr id="1" name="Picture 1"/>
        <xdr:cNvPicPr preferRelativeResize="1">
          <a:picLocks noChangeAspect="1"/>
        </xdr:cNvPicPr>
      </xdr:nvPicPr>
      <xdr:blipFill>
        <a:blip r:link="rId1"/>
        <a:stretch>
          <a:fillRect/>
        </a:stretch>
      </xdr:blipFill>
      <xdr:spPr>
        <a:xfrm>
          <a:off x="28575" y="9744075"/>
          <a:ext cx="314325" cy="238125"/>
        </a:xfrm>
        <a:prstGeom prst="rect">
          <a:avLst/>
        </a:prstGeom>
        <a:noFill/>
        <a:ln w="9525" cmpd="sng">
          <a:noFill/>
        </a:ln>
      </xdr:spPr>
    </xdr:pic>
    <xdr:clientData/>
  </xdr:twoCellAnchor>
  <xdr:twoCellAnchor>
    <xdr:from>
      <xdr:col>0</xdr:col>
      <xdr:colOff>38100</xdr:colOff>
      <xdr:row>102</xdr:row>
      <xdr:rowOff>85725</xdr:rowOff>
    </xdr:from>
    <xdr:to>
      <xdr:col>1</xdr:col>
      <xdr:colOff>38100</xdr:colOff>
      <xdr:row>103</xdr:row>
      <xdr:rowOff>171450</xdr:rowOff>
    </xdr:to>
    <xdr:pic>
      <xdr:nvPicPr>
        <xdr:cNvPr id="2" name="Picture 2"/>
        <xdr:cNvPicPr preferRelativeResize="1">
          <a:picLocks noChangeAspect="1"/>
        </xdr:cNvPicPr>
      </xdr:nvPicPr>
      <xdr:blipFill>
        <a:blip r:link="rId1"/>
        <a:stretch>
          <a:fillRect/>
        </a:stretch>
      </xdr:blipFill>
      <xdr:spPr>
        <a:xfrm>
          <a:off x="38100" y="20869275"/>
          <a:ext cx="314325" cy="238125"/>
        </a:xfrm>
        <a:prstGeom prst="rect">
          <a:avLst/>
        </a:prstGeom>
        <a:noFill/>
        <a:ln w="9525" cmpd="sng">
          <a:noFill/>
        </a:ln>
      </xdr:spPr>
    </xdr:pic>
    <xdr:clientData/>
  </xdr:twoCellAnchor>
  <xdr:twoCellAnchor>
    <xdr:from>
      <xdr:col>0</xdr:col>
      <xdr:colOff>9525</xdr:colOff>
      <xdr:row>151</xdr:row>
      <xdr:rowOff>57150</xdr:rowOff>
    </xdr:from>
    <xdr:to>
      <xdr:col>1</xdr:col>
      <xdr:colOff>9525</xdr:colOff>
      <xdr:row>152</xdr:row>
      <xdr:rowOff>133350</xdr:rowOff>
    </xdr:to>
    <xdr:pic>
      <xdr:nvPicPr>
        <xdr:cNvPr id="3" name="Picture 3"/>
        <xdr:cNvPicPr preferRelativeResize="1">
          <a:picLocks noChangeAspect="1"/>
        </xdr:cNvPicPr>
      </xdr:nvPicPr>
      <xdr:blipFill>
        <a:blip r:link="rId1"/>
        <a:stretch>
          <a:fillRect/>
        </a:stretch>
      </xdr:blipFill>
      <xdr:spPr>
        <a:xfrm>
          <a:off x="9525" y="29984700"/>
          <a:ext cx="314325" cy="238125"/>
        </a:xfrm>
        <a:prstGeom prst="rect">
          <a:avLst/>
        </a:prstGeom>
        <a:noFill/>
        <a:ln w="9525" cmpd="sng">
          <a:noFill/>
        </a:ln>
      </xdr:spPr>
    </xdr:pic>
    <xdr:clientData/>
  </xdr:twoCellAnchor>
  <xdr:twoCellAnchor>
    <xdr:from>
      <xdr:col>0</xdr:col>
      <xdr:colOff>0</xdr:colOff>
      <xdr:row>198</xdr:row>
      <xdr:rowOff>133350</xdr:rowOff>
    </xdr:from>
    <xdr:to>
      <xdr:col>1</xdr:col>
      <xdr:colOff>0</xdr:colOff>
      <xdr:row>199</xdr:row>
      <xdr:rowOff>171450</xdr:rowOff>
    </xdr:to>
    <xdr:pic>
      <xdr:nvPicPr>
        <xdr:cNvPr id="4" name="Picture 4"/>
        <xdr:cNvPicPr preferRelativeResize="1">
          <a:picLocks noChangeAspect="1"/>
        </xdr:cNvPicPr>
      </xdr:nvPicPr>
      <xdr:blipFill>
        <a:blip r:link="rId1"/>
        <a:stretch>
          <a:fillRect/>
        </a:stretch>
      </xdr:blipFill>
      <xdr:spPr>
        <a:xfrm>
          <a:off x="0" y="39414450"/>
          <a:ext cx="314325" cy="238125"/>
        </a:xfrm>
        <a:prstGeom prst="rect">
          <a:avLst/>
        </a:prstGeom>
        <a:noFill/>
        <a:ln w="9525" cmpd="sng">
          <a:noFill/>
        </a:ln>
      </xdr:spPr>
    </xdr:pic>
    <xdr:clientData/>
  </xdr:twoCellAnchor>
  <xdr:twoCellAnchor>
    <xdr:from>
      <xdr:col>12</xdr:col>
      <xdr:colOff>1809750</xdr:colOff>
      <xdr:row>198</xdr:row>
      <xdr:rowOff>161925</xdr:rowOff>
    </xdr:from>
    <xdr:to>
      <xdr:col>12</xdr:col>
      <xdr:colOff>2609850</xdr:colOff>
      <xdr:row>199</xdr:row>
      <xdr:rowOff>190500</xdr:rowOff>
    </xdr:to>
    <xdr:pic>
      <xdr:nvPicPr>
        <xdr:cNvPr id="5" name="Picture 5"/>
        <xdr:cNvPicPr preferRelativeResize="1">
          <a:picLocks noChangeAspect="1"/>
        </xdr:cNvPicPr>
      </xdr:nvPicPr>
      <xdr:blipFill>
        <a:blip r:link="rId2"/>
        <a:stretch>
          <a:fillRect/>
        </a:stretch>
      </xdr:blipFill>
      <xdr:spPr>
        <a:xfrm>
          <a:off x="15868650" y="39443025"/>
          <a:ext cx="800100" cy="228600"/>
        </a:xfrm>
        <a:prstGeom prst="rect">
          <a:avLst/>
        </a:prstGeom>
        <a:noFill/>
        <a:ln w="9525" cmpd="sng">
          <a:noFill/>
        </a:ln>
      </xdr:spPr>
    </xdr:pic>
    <xdr:clientData/>
  </xdr:twoCellAnchor>
  <xdr:twoCellAnchor>
    <xdr:from>
      <xdr:col>12</xdr:col>
      <xdr:colOff>1800225</xdr:colOff>
      <xdr:row>151</xdr:row>
      <xdr:rowOff>66675</xdr:rowOff>
    </xdr:from>
    <xdr:to>
      <xdr:col>12</xdr:col>
      <xdr:colOff>2600325</xdr:colOff>
      <xdr:row>152</xdr:row>
      <xdr:rowOff>133350</xdr:rowOff>
    </xdr:to>
    <xdr:pic>
      <xdr:nvPicPr>
        <xdr:cNvPr id="6" name="Picture 6"/>
        <xdr:cNvPicPr preferRelativeResize="1">
          <a:picLocks noChangeAspect="1"/>
        </xdr:cNvPicPr>
      </xdr:nvPicPr>
      <xdr:blipFill>
        <a:blip r:link="rId2"/>
        <a:stretch>
          <a:fillRect/>
        </a:stretch>
      </xdr:blipFill>
      <xdr:spPr>
        <a:xfrm>
          <a:off x="15859125" y="29994225"/>
          <a:ext cx="800100" cy="228600"/>
        </a:xfrm>
        <a:prstGeom prst="rect">
          <a:avLst/>
        </a:prstGeom>
        <a:noFill/>
        <a:ln w="9525" cmpd="sng">
          <a:noFill/>
        </a:ln>
      </xdr:spPr>
    </xdr:pic>
    <xdr:clientData/>
  </xdr:twoCellAnchor>
  <xdr:twoCellAnchor>
    <xdr:from>
      <xdr:col>12</xdr:col>
      <xdr:colOff>1838325</xdr:colOff>
      <xdr:row>101</xdr:row>
      <xdr:rowOff>133350</xdr:rowOff>
    </xdr:from>
    <xdr:to>
      <xdr:col>12</xdr:col>
      <xdr:colOff>2638425</xdr:colOff>
      <xdr:row>103</xdr:row>
      <xdr:rowOff>57150</xdr:rowOff>
    </xdr:to>
    <xdr:pic>
      <xdr:nvPicPr>
        <xdr:cNvPr id="7" name="Picture 7"/>
        <xdr:cNvPicPr preferRelativeResize="1">
          <a:picLocks noChangeAspect="1"/>
        </xdr:cNvPicPr>
      </xdr:nvPicPr>
      <xdr:blipFill>
        <a:blip r:link="rId2"/>
        <a:stretch>
          <a:fillRect/>
        </a:stretch>
      </xdr:blipFill>
      <xdr:spPr>
        <a:xfrm>
          <a:off x="15897225" y="20764500"/>
          <a:ext cx="800100" cy="228600"/>
        </a:xfrm>
        <a:prstGeom prst="rect">
          <a:avLst/>
        </a:prstGeom>
        <a:noFill/>
        <a:ln w="9525" cmpd="sng">
          <a:noFill/>
        </a:ln>
      </xdr:spPr>
    </xdr:pic>
    <xdr:clientData/>
  </xdr:twoCellAnchor>
  <xdr:twoCellAnchor>
    <xdr:from>
      <xdr:col>12</xdr:col>
      <xdr:colOff>1838325</xdr:colOff>
      <xdr:row>49</xdr:row>
      <xdr:rowOff>104775</xdr:rowOff>
    </xdr:from>
    <xdr:to>
      <xdr:col>12</xdr:col>
      <xdr:colOff>2638425</xdr:colOff>
      <xdr:row>50</xdr:row>
      <xdr:rowOff>133350</xdr:rowOff>
    </xdr:to>
    <xdr:pic>
      <xdr:nvPicPr>
        <xdr:cNvPr id="8" name="Picture 8"/>
        <xdr:cNvPicPr preferRelativeResize="1">
          <a:picLocks noChangeAspect="1"/>
        </xdr:cNvPicPr>
      </xdr:nvPicPr>
      <xdr:blipFill>
        <a:blip r:link="rId2"/>
        <a:stretch>
          <a:fillRect/>
        </a:stretch>
      </xdr:blipFill>
      <xdr:spPr>
        <a:xfrm>
          <a:off x="15897225" y="968692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102</xdr:row>
      <xdr:rowOff>85725</xdr:rowOff>
    </xdr:from>
    <xdr:to>
      <xdr:col>1</xdr:col>
      <xdr:colOff>85725</xdr:colOff>
      <xdr:row>103</xdr:row>
      <xdr:rowOff>171450</xdr:rowOff>
    </xdr:to>
    <xdr:pic>
      <xdr:nvPicPr>
        <xdr:cNvPr id="2" name="Picture 2"/>
        <xdr:cNvPicPr preferRelativeResize="1">
          <a:picLocks noChangeAspect="1"/>
        </xdr:cNvPicPr>
      </xdr:nvPicPr>
      <xdr:blipFill>
        <a:blip r:link="rId1"/>
        <a:stretch>
          <a:fillRect/>
        </a:stretch>
      </xdr:blipFill>
      <xdr:spPr>
        <a:xfrm>
          <a:off x="85725"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66675</xdr:colOff>
      <xdr:row>198</xdr:row>
      <xdr:rowOff>123825</xdr:rowOff>
    </xdr:from>
    <xdr:to>
      <xdr:col>1</xdr:col>
      <xdr:colOff>66675</xdr:colOff>
      <xdr:row>199</xdr:row>
      <xdr:rowOff>161925</xdr:rowOff>
    </xdr:to>
    <xdr:pic>
      <xdr:nvPicPr>
        <xdr:cNvPr id="4" name="Picture 4"/>
        <xdr:cNvPicPr preferRelativeResize="1">
          <a:picLocks noChangeAspect="1"/>
        </xdr:cNvPicPr>
      </xdr:nvPicPr>
      <xdr:blipFill>
        <a:blip r:link="rId1"/>
        <a:stretch>
          <a:fillRect/>
        </a:stretch>
      </xdr:blipFill>
      <xdr:spPr>
        <a:xfrm>
          <a:off x="66675" y="39509700"/>
          <a:ext cx="314325" cy="238125"/>
        </a:xfrm>
        <a:prstGeom prst="rect">
          <a:avLst/>
        </a:prstGeom>
        <a:noFill/>
        <a:ln w="9525" cmpd="sng">
          <a:noFill/>
        </a:ln>
      </xdr:spPr>
    </xdr:pic>
    <xdr:clientData/>
  </xdr:twoCellAnchor>
  <xdr:twoCellAnchor>
    <xdr:from>
      <xdr:col>12</xdr:col>
      <xdr:colOff>1905000</xdr:colOff>
      <xdr:row>198</xdr:row>
      <xdr:rowOff>95250</xdr:rowOff>
    </xdr:from>
    <xdr:to>
      <xdr:col>12</xdr:col>
      <xdr:colOff>2705100</xdr:colOff>
      <xdr:row>199</xdr:row>
      <xdr:rowOff>123825</xdr:rowOff>
    </xdr:to>
    <xdr:pic>
      <xdr:nvPicPr>
        <xdr:cNvPr id="5" name="Picture 5"/>
        <xdr:cNvPicPr preferRelativeResize="1">
          <a:picLocks noChangeAspect="1"/>
        </xdr:cNvPicPr>
      </xdr:nvPicPr>
      <xdr:blipFill>
        <a:blip r:link="rId2"/>
        <a:stretch>
          <a:fillRect/>
        </a:stretch>
      </xdr:blipFill>
      <xdr:spPr>
        <a:xfrm>
          <a:off x="15963900" y="39481125"/>
          <a:ext cx="800100" cy="228600"/>
        </a:xfrm>
        <a:prstGeom prst="rect">
          <a:avLst/>
        </a:prstGeom>
        <a:noFill/>
        <a:ln w="9525" cmpd="sng">
          <a:noFill/>
        </a:ln>
      </xdr:spPr>
    </xdr:pic>
    <xdr:clientData/>
  </xdr:twoCellAnchor>
  <xdr:twoCellAnchor>
    <xdr:from>
      <xdr:col>12</xdr:col>
      <xdr:colOff>2085975</xdr:colOff>
      <xdr:row>151</xdr:row>
      <xdr:rowOff>152400</xdr:rowOff>
    </xdr:from>
    <xdr:to>
      <xdr:col>12</xdr:col>
      <xdr:colOff>2886075</xdr:colOff>
      <xdr:row>152</xdr:row>
      <xdr:rowOff>190500</xdr:rowOff>
    </xdr:to>
    <xdr:pic>
      <xdr:nvPicPr>
        <xdr:cNvPr id="6" name="Picture 6"/>
        <xdr:cNvPicPr preferRelativeResize="1">
          <a:picLocks noChangeAspect="1"/>
        </xdr:cNvPicPr>
      </xdr:nvPicPr>
      <xdr:blipFill>
        <a:blip r:link="rId2"/>
        <a:stretch>
          <a:fillRect/>
        </a:stretch>
      </xdr:blipFill>
      <xdr:spPr>
        <a:xfrm>
          <a:off x="16144875" y="30099000"/>
          <a:ext cx="800100" cy="228600"/>
        </a:xfrm>
        <a:prstGeom prst="rect">
          <a:avLst/>
        </a:prstGeom>
        <a:noFill/>
        <a:ln w="9525" cmpd="sng">
          <a:noFill/>
        </a:ln>
      </xdr:spPr>
    </xdr:pic>
    <xdr:clientData/>
  </xdr:twoCellAnchor>
  <xdr:twoCellAnchor>
    <xdr:from>
      <xdr:col>12</xdr:col>
      <xdr:colOff>1933575</xdr:colOff>
      <xdr:row>102</xdr:row>
      <xdr:rowOff>0</xdr:rowOff>
    </xdr:from>
    <xdr:to>
      <xdr:col>12</xdr:col>
      <xdr:colOff>2733675</xdr:colOff>
      <xdr:row>103</xdr:row>
      <xdr:rowOff>76200</xdr:rowOff>
    </xdr:to>
    <xdr:pic>
      <xdr:nvPicPr>
        <xdr:cNvPr id="7" name="Picture 7"/>
        <xdr:cNvPicPr preferRelativeResize="1">
          <a:picLocks noChangeAspect="1"/>
        </xdr:cNvPicPr>
      </xdr:nvPicPr>
      <xdr:blipFill>
        <a:blip r:link="rId2"/>
        <a:stretch>
          <a:fillRect/>
        </a:stretch>
      </xdr:blipFill>
      <xdr:spPr>
        <a:xfrm>
          <a:off x="15992475" y="20783550"/>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102</xdr:row>
      <xdr:rowOff>85725</xdr:rowOff>
    </xdr:from>
    <xdr:to>
      <xdr:col>1</xdr:col>
      <xdr:colOff>85725</xdr:colOff>
      <xdr:row>103</xdr:row>
      <xdr:rowOff>171450</xdr:rowOff>
    </xdr:to>
    <xdr:pic>
      <xdr:nvPicPr>
        <xdr:cNvPr id="2" name="Picture 2"/>
        <xdr:cNvPicPr preferRelativeResize="1">
          <a:picLocks noChangeAspect="1"/>
        </xdr:cNvPicPr>
      </xdr:nvPicPr>
      <xdr:blipFill>
        <a:blip r:link="rId1"/>
        <a:stretch>
          <a:fillRect/>
        </a:stretch>
      </xdr:blipFill>
      <xdr:spPr>
        <a:xfrm>
          <a:off x="85725"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66675</xdr:colOff>
      <xdr:row>199</xdr:row>
      <xdr:rowOff>123825</xdr:rowOff>
    </xdr:from>
    <xdr:to>
      <xdr:col>1</xdr:col>
      <xdr:colOff>66675</xdr:colOff>
      <xdr:row>200</xdr:row>
      <xdr:rowOff>161925</xdr:rowOff>
    </xdr:to>
    <xdr:pic>
      <xdr:nvPicPr>
        <xdr:cNvPr id="4" name="Picture 4"/>
        <xdr:cNvPicPr preferRelativeResize="1">
          <a:picLocks noChangeAspect="1"/>
        </xdr:cNvPicPr>
      </xdr:nvPicPr>
      <xdr:blipFill>
        <a:blip r:link="rId1"/>
        <a:stretch>
          <a:fillRect/>
        </a:stretch>
      </xdr:blipFill>
      <xdr:spPr>
        <a:xfrm>
          <a:off x="66675" y="39709725"/>
          <a:ext cx="314325" cy="238125"/>
        </a:xfrm>
        <a:prstGeom prst="rect">
          <a:avLst/>
        </a:prstGeom>
        <a:noFill/>
        <a:ln w="9525" cmpd="sng">
          <a:noFill/>
        </a:ln>
      </xdr:spPr>
    </xdr:pic>
    <xdr:clientData/>
  </xdr:twoCellAnchor>
  <xdr:twoCellAnchor>
    <xdr:from>
      <xdr:col>12</xdr:col>
      <xdr:colOff>1905000</xdr:colOff>
      <xdr:row>199</xdr:row>
      <xdr:rowOff>95250</xdr:rowOff>
    </xdr:from>
    <xdr:to>
      <xdr:col>12</xdr:col>
      <xdr:colOff>2705100</xdr:colOff>
      <xdr:row>200</xdr:row>
      <xdr:rowOff>123825</xdr:rowOff>
    </xdr:to>
    <xdr:pic>
      <xdr:nvPicPr>
        <xdr:cNvPr id="5" name="Picture 5"/>
        <xdr:cNvPicPr preferRelativeResize="1">
          <a:picLocks noChangeAspect="1"/>
        </xdr:cNvPicPr>
      </xdr:nvPicPr>
      <xdr:blipFill>
        <a:blip r:link="rId2"/>
        <a:stretch>
          <a:fillRect/>
        </a:stretch>
      </xdr:blipFill>
      <xdr:spPr>
        <a:xfrm>
          <a:off x="15963900" y="39681150"/>
          <a:ext cx="800100" cy="228600"/>
        </a:xfrm>
        <a:prstGeom prst="rect">
          <a:avLst/>
        </a:prstGeom>
        <a:noFill/>
        <a:ln w="9525" cmpd="sng">
          <a:noFill/>
        </a:ln>
      </xdr:spPr>
    </xdr:pic>
    <xdr:clientData/>
  </xdr:twoCellAnchor>
  <xdr:twoCellAnchor>
    <xdr:from>
      <xdr:col>12</xdr:col>
      <xdr:colOff>2085975</xdr:colOff>
      <xdr:row>151</xdr:row>
      <xdr:rowOff>152400</xdr:rowOff>
    </xdr:from>
    <xdr:to>
      <xdr:col>12</xdr:col>
      <xdr:colOff>2886075</xdr:colOff>
      <xdr:row>152</xdr:row>
      <xdr:rowOff>190500</xdr:rowOff>
    </xdr:to>
    <xdr:pic>
      <xdr:nvPicPr>
        <xdr:cNvPr id="6" name="Picture 6"/>
        <xdr:cNvPicPr preferRelativeResize="1">
          <a:picLocks noChangeAspect="1"/>
        </xdr:cNvPicPr>
      </xdr:nvPicPr>
      <xdr:blipFill>
        <a:blip r:link="rId2"/>
        <a:stretch>
          <a:fillRect/>
        </a:stretch>
      </xdr:blipFill>
      <xdr:spPr>
        <a:xfrm>
          <a:off x="16144875" y="30099000"/>
          <a:ext cx="800100" cy="228600"/>
        </a:xfrm>
        <a:prstGeom prst="rect">
          <a:avLst/>
        </a:prstGeom>
        <a:noFill/>
        <a:ln w="9525" cmpd="sng">
          <a:noFill/>
        </a:ln>
      </xdr:spPr>
    </xdr:pic>
    <xdr:clientData/>
  </xdr:twoCellAnchor>
  <xdr:twoCellAnchor>
    <xdr:from>
      <xdr:col>12</xdr:col>
      <xdr:colOff>1933575</xdr:colOff>
      <xdr:row>102</xdr:row>
      <xdr:rowOff>0</xdr:rowOff>
    </xdr:from>
    <xdr:to>
      <xdr:col>12</xdr:col>
      <xdr:colOff>2733675</xdr:colOff>
      <xdr:row>103</xdr:row>
      <xdr:rowOff>76200</xdr:rowOff>
    </xdr:to>
    <xdr:pic>
      <xdr:nvPicPr>
        <xdr:cNvPr id="7" name="Picture 7"/>
        <xdr:cNvPicPr preferRelativeResize="1">
          <a:picLocks noChangeAspect="1"/>
        </xdr:cNvPicPr>
      </xdr:nvPicPr>
      <xdr:blipFill>
        <a:blip r:link="rId2"/>
        <a:stretch>
          <a:fillRect/>
        </a:stretch>
      </xdr:blipFill>
      <xdr:spPr>
        <a:xfrm>
          <a:off x="15992475" y="20783550"/>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102</xdr:row>
      <xdr:rowOff>85725</xdr:rowOff>
    </xdr:from>
    <xdr:to>
      <xdr:col>1</xdr:col>
      <xdr:colOff>85725</xdr:colOff>
      <xdr:row>103</xdr:row>
      <xdr:rowOff>171450</xdr:rowOff>
    </xdr:to>
    <xdr:pic>
      <xdr:nvPicPr>
        <xdr:cNvPr id="2" name="Picture 2"/>
        <xdr:cNvPicPr preferRelativeResize="1">
          <a:picLocks noChangeAspect="1"/>
        </xdr:cNvPicPr>
      </xdr:nvPicPr>
      <xdr:blipFill>
        <a:blip r:link="rId1"/>
        <a:stretch>
          <a:fillRect/>
        </a:stretch>
      </xdr:blipFill>
      <xdr:spPr>
        <a:xfrm>
          <a:off x="85725"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66675</xdr:colOff>
      <xdr:row>199</xdr:row>
      <xdr:rowOff>123825</xdr:rowOff>
    </xdr:from>
    <xdr:to>
      <xdr:col>1</xdr:col>
      <xdr:colOff>66675</xdr:colOff>
      <xdr:row>200</xdr:row>
      <xdr:rowOff>161925</xdr:rowOff>
    </xdr:to>
    <xdr:pic>
      <xdr:nvPicPr>
        <xdr:cNvPr id="4" name="Picture 4"/>
        <xdr:cNvPicPr preferRelativeResize="1">
          <a:picLocks noChangeAspect="1"/>
        </xdr:cNvPicPr>
      </xdr:nvPicPr>
      <xdr:blipFill>
        <a:blip r:link="rId1"/>
        <a:stretch>
          <a:fillRect/>
        </a:stretch>
      </xdr:blipFill>
      <xdr:spPr>
        <a:xfrm>
          <a:off x="66675" y="39709725"/>
          <a:ext cx="314325" cy="238125"/>
        </a:xfrm>
        <a:prstGeom prst="rect">
          <a:avLst/>
        </a:prstGeom>
        <a:noFill/>
        <a:ln w="9525" cmpd="sng">
          <a:noFill/>
        </a:ln>
      </xdr:spPr>
    </xdr:pic>
    <xdr:clientData/>
  </xdr:twoCellAnchor>
  <xdr:twoCellAnchor>
    <xdr:from>
      <xdr:col>12</xdr:col>
      <xdr:colOff>1905000</xdr:colOff>
      <xdr:row>199</xdr:row>
      <xdr:rowOff>95250</xdr:rowOff>
    </xdr:from>
    <xdr:to>
      <xdr:col>12</xdr:col>
      <xdr:colOff>2705100</xdr:colOff>
      <xdr:row>200</xdr:row>
      <xdr:rowOff>123825</xdr:rowOff>
    </xdr:to>
    <xdr:pic>
      <xdr:nvPicPr>
        <xdr:cNvPr id="5" name="Picture 5"/>
        <xdr:cNvPicPr preferRelativeResize="1">
          <a:picLocks noChangeAspect="1"/>
        </xdr:cNvPicPr>
      </xdr:nvPicPr>
      <xdr:blipFill>
        <a:blip r:link="rId2"/>
        <a:stretch>
          <a:fillRect/>
        </a:stretch>
      </xdr:blipFill>
      <xdr:spPr>
        <a:xfrm>
          <a:off x="15963900" y="39681150"/>
          <a:ext cx="800100" cy="228600"/>
        </a:xfrm>
        <a:prstGeom prst="rect">
          <a:avLst/>
        </a:prstGeom>
        <a:noFill/>
        <a:ln w="9525" cmpd="sng">
          <a:noFill/>
        </a:ln>
      </xdr:spPr>
    </xdr:pic>
    <xdr:clientData/>
  </xdr:twoCellAnchor>
  <xdr:twoCellAnchor>
    <xdr:from>
      <xdr:col>12</xdr:col>
      <xdr:colOff>2085975</xdr:colOff>
      <xdr:row>151</xdr:row>
      <xdr:rowOff>152400</xdr:rowOff>
    </xdr:from>
    <xdr:to>
      <xdr:col>12</xdr:col>
      <xdr:colOff>2886075</xdr:colOff>
      <xdr:row>152</xdr:row>
      <xdr:rowOff>190500</xdr:rowOff>
    </xdr:to>
    <xdr:pic>
      <xdr:nvPicPr>
        <xdr:cNvPr id="6" name="Picture 6"/>
        <xdr:cNvPicPr preferRelativeResize="1">
          <a:picLocks noChangeAspect="1"/>
        </xdr:cNvPicPr>
      </xdr:nvPicPr>
      <xdr:blipFill>
        <a:blip r:link="rId2"/>
        <a:stretch>
          <a:fillRect/>
        </a:stretch>
      </xdr:blipFill>
      <xdr:spPr>
        <a:xfrm>
          <a:off x="16144875" y="30099000"/>
          <a:ext cx="800100" cy="228600"/>
        </a:xfrm>
        <a:prstGeom prst="rect">
          <a:avLst/>
        </a:prstGeom>
        <a:noFill/>
        <a:ln w="9525" cmpd="sng">
          <a:noFill/>
        </a:ln>
      </xdr:spPr>
    </xdr:pic>
    <xdr:clientData/>
  </xdr:twoCellAnchor>
  <xdr:twoCellAnchor>
    <xdr:from>
      <xdr:col>12</xdr:col>
      <xdr:colOff>1933575</xdr:colOff>
      <xdr:row>102</xdr:row>
      <xdr:rowOff>0</xdr:rowOff>
    </xdr:from>
    <xdr:to>
      <xdr:col>12</xdr:col>
      <xdr:colOff>2733675</xdr:colOff>
      <xdr:row>103</xdr:row>
      <xdr:rowOff>76200</xdr:rowOff>
    </xdr:to>
    <xdr:pic>
      <xdr:nvPicPr>
        <xdr:cNvPr id="7" name="Picture 7"/>
        <xdr:cNvPicPr preferRelativeResize="1">
          <a:picLocks noChangeAspect="1"/>
        </xdr:cNvPicPr>
      </xdr:nvPicPr>
      <xdr:blipFill>
        <a:blip r:link="rId2"/>
        <a:stretch>
          <a:fillRect/>
        </a:stretch>
      </xdr:blipFill>
      <xdr:spPr>
        <a:xfrm>
          <a:off x="15992475" y="20783550"/>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102</xdr:row>
      <xdr:rowOff>85725</xdr:rowOff>
    </xdr:from>
    <xdr:to>
      <xdr:col>1</xdr:col>
      <xdr:colOff>85725</xdr:colOff>
      <xdr:row>103</xdr:row>
      <xdr:rowOff>171450</xdr:rowOff>
    </xdr:to>
    <xdr:pic>
      <xdr:nvPicPr>
        <xdr:cNvPr id="2" name="Picture 2"/>
        <xdr:cNvPicPr preferRelativeResize="1">
          <a:picLocks noChangeAspect="1"/>
        </xdr:cNvPicPr>
      </xdr:nvPicPr>
      <xdr:blipFill>
        <a:blip r:link="rId1"/>
        <a:stretch>
          <a:fillRect/>
        </a:stretch>
      </xdr:blipFill>
      <xdr:spPr>
        <a:xfrm>
          <a:off x="85725"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66675</xdr:colOff>
      <xdr:row>199</xdr:row>
      <xdr:rowOff>123825</xdr:rowOff>
    </xdr:from>
    <xdr:to>
      <xdr:col>1</xdr:col>
      <xdr:colOff>66675</xdr:colOff>
      <xdr:row>200</xdr:row>
      <xdr:rowOff>161925</xdr:rowOff>
    </xdr:to>
    <xdr:pic>
      <xdr:nvPicPr>
        <xdr:cNvPr id="4" name="Picture 4"/>
        <xdr:cNvPicPr preferRelativeResize="1">
          <a:picLocks noChangeAspect="1"/>
        </xdr:cNvPicPr>
      </xdr:nvPicPr>
      <xdr:blipFill>
        <a:blip r:link="rId1"/>
        <a:stretch>
          <a:fillRect/>
        </a:stretch>
      </xdr:blipFill>
      <xdr:spPr>
        <a:xfrm>
          <a:off x="66675" y="39709725"/>
          <a:ext cx="314325" cy="238125"/>
        </a:xfrm>
        <a:prstGeom prst="rect">
          <a:avLst/>
        </a:prstGeom>
        <a:noFill/>
        <a:ln w="9525" cmpd="sng">
          <a:noFill/>
        </a:ln>
      </xdr:spPr>
    </xdr:pic>
    <xdr:clientData/>
  </xdr:twoCellAnchor>
  <xdr:twoCellAnchor>
    <xdr:from>
      <xdr:col>12</xdr:col>
      <xdr:colOff>1905000</xdr:colOff>
      <xdr:row>199</xdr:row>
      <xdr:rowOff>95250</xdr:rowOff>
    </xdr:from>
    <xdr:to>
      <xdr:col>12</xdr:col>
      <xdr:colOff>2705100</xdr:colOff>
      <xdr:row>200</xdr:row>
      <xdr:rowOff>123825</xdr:rowOff>
    </xdr:to>
    <xdr:pic>
      <xdr:nvPicPr>
        <xdr:cNvPr id="5" name="Picture 5"/>
        <xdr:cNvPicPr preferRelativeResize="1">
          <a:picLocks noChangeAspect="1"/>
        </xdr:cNvPicPr>
      </xdr:nvPicPr>
      <xdr:blipFill>
        <a:blip r:link="rId2"/>
        <a:stretch>
          <a:fillRect/>
        </a:stretch>
      </xdr:blipFill>
      <xdr:spPr>
        <a:xfrm>
          <a:off x="15963900" y="39681150"/>
          <a:ext cx="800100" cy="228600"/>
        </a:xfrm>
        <a:prstGeom prst="rect">
          <a:avLst/>
        </a:prstGeom>
        <a:noFill/>
        <a:ln w="9525" cmpd="sng">
          <a:noFill/>
        </a:ln>
      </xdr:spPr>
    </xdr:pic>
    <xdr:clientData/>
  </xdr:twoCellAnchor>
  <xdr:twoCellAnchor>
    <xdr:from>
      <xdr:col>12</xdr:col>
      <xdr:colOff>2085975</xdr:colOff>
      <xdr:row>151</xdr:row>
      <xdr:rowOff>152400</xdr:rowOff>
    </xdr:from>
    <xdr:to>
      <xdr:col>12</xdr:col>
      <xdr:colOff>2886075</xdr:colOff>
      <xdr:row>152</xdr:row>
      <xdr:rowOff>190500</xdr:rowOff>
    </xdr:to>
    <xdr:pic>
      <xdr:nvPicPr>
        <xdr:cNvPr id="6" name="Picture 6"/>
        <xdr:cNvPicPr preferRelativeResize="1">
          <a:picLocks noChangeAspect="1"/>
        </xdr:cNvPicPr>
      </xdr:nvPicPr>
      <xdr:blipFill>
        <a:blip r:link="rId2"/>
        <a:stretch>
          <a:fillRect/>
        </a:stretch>
      </xdr:blipFill>
      <xdr:spPr>
        <a:xfrm>
          <a:off x="16144875" y="30099000"/>
          <a:ext cx="800100" cy="228600"/>
        </a:xfrm>
        <a:prstGeom prst="rect">
          <a:avLst/>
        </a:prstGeom>
        <a:noFill/>
        <a:ln w="9525" cmpd="sng">
          <a:noFill/>
        </a:ln>
      </xdr:spPr>
    </xdr:pic>
    <xdr:clientData/>
  </xdr:twoCellAnchor>
  <xdr:twoCellAnchor>
    <xdr:from>
      <xdr:col>12</xdr:col>
      <xdr:colOff>1933575</xdr:colOff>
      <xdr:row>102</xdr:row>
      <xdr:rowOff>0</xdr:rowOff>
    </xdr:from>
    <xdr:to>
      <xdr:col>12</xdr:col>
      <xdr:colOff>2733675</xdr:colOff>
      <xdr:row>103</xdr:row>
      <xdr:rowOff>76200</xdr:rowOff>
    </xdr:to>
    <xdr:pic>
      <xdr:nvPicPr>
        <xdr:cNvPr id="7" name="Picture 7"/>
        <xdr:cNvPicPr preferRelativeResize="1">
          <a:picLocks noChangeAspect="1"/>
        </xdr:cNvPicPr>
      </xdr:nvPicPr>
      <xdr:blipFill>
        <a:blip r:link="rId2"/>
        <a:stretch>
          <a:fillRect/>
        </a:stretch>
      </xdr:blipFill>
      <xdr:spPr>
        <a:xfrm>
          <a:off x="15992475" y="20783550"/>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103</xdr:row>
      <xdr:rowOff>85725</xdr:rowOff>
    </xdr:from>
    <xdr:to>
      <xdr:col>1</xdr:col>
      <xdr:colOff>85725</xdr:colOff>
      <xdr:row>104</xdr:row>
      <xdr:rowOff>171450</xdr:rowOff>
    </xdr:to>
    <xdr:pic>
      <xdr:nvPicPr>
        <xdr:cNvPr id="2" name="Picture 2"/>
        <xdr:cNvPicPr preferRelativeResize="1">
          <a:picLocks noChangeAspect="1"/>
        </xdr:cNvPicPr>
      </xdr:nvPicPr>
      <xdr:blipFill>
        <a:blip r:link="rId1"/>
        <a:stretch>
          <a:fillRect/>
        </a:stretch>
      </xdr:blipFill>
      <xdr:spPr>
        <a:xfrm>
          <a:off x="85725" y="21069300"/>
          <a:ext cx="314325" cy="238125"/>
        </a:xfrm>
        <a:prstGeom prst="rect">
          <a:avLst/>
        </a:prstGeom>
        <a:noFill/>
        <a:ln w="9525" cmpd="sng">
          <a:noFill/>
        </a:ln>
      </xdr:spPr>
    </xdr:pic>
    <xdr:clientData/>
  </xdr:twoCellAnchor>
  <xdr:twoCellAnchor>
    <xdr:from>
      <xdr:col>0</xdr:col>
      <xdr:colOff>0</xdr:colOff>
      <xdr:row>153</xdr:row>
      <xdr:rowOff>161925</xdr:rowOff>
    </xdr:from>
    <xdr:to>
      <xdr:col>1</xdr:col>
      <xdr:colOff>0</xdr:colOff>
      <xdr:row>154</xdr:row>
      <xdr:rowOff>209550</xdr:rowOff>
    </xdr:to>
    <xdr:pic>
      <xdr:nvPicPr>
        <xdr:cNvPr id="3" name="Picture 3"/>
        <xdr:cNvPicPr preferRelativeResize="1">
          <a:picLocks noChangeAspect="1"/>
        </xdr:cNvPicPr>
      </xdr:nvPicPr>
      <xdr:blipFill>
        <a:blip r:link="rId1"/>
        <a:stretch>
          <a:fillRect/>
        </a:stretch>
      </xdr:blipFill>
      <xdr:spPr>
        <a:xfrm>
          <a:off x="0" y="30508575"/>
          <a:ext cx="314325" cy="238125"/>
        </a:xfrm>
        <a:prstGeom prst="rect">
          <a:avLst/>
        </a:prstGeom>
        <a:noFill/>
        <a:ln w="9525" cmpd="sng">
          <a:noFill/>
        </a:ln>
      </xdr:spPr>
    </xdr:pic>
    <xdr:clientData/>
  </xdr:twoCellAnchor>
  <xdr:twoCellAnchor>
    <xdr:from>
      <xdr:col>0</xdr:col>
      <xdr:colOff>66675</xdr:colOff>
      <xdr:row>201</xdr:row>
      <xdr:rowOff>123825</xdr:rowOff>
    </xdr:from>
    <xdr:to>
      <xdr:col>1</xdr:col>
      <xdr:colOff>66675</xdr:colOff>
      <xdr:row>202</xdr:row>
      <xdr:rowOff>161925</xdr:rowOff>
    </xdr:to>
    <xdr:pic>
      <xdr:nvPicPr>
        <xdr:cNvPr id="4" name="Picture 4"/>
        <xdr:cNvPicPr preferRelativeResize="1">
          <a:picLocks noChangeAspect="1"/>
        </xdr:cNvPicPr>
      </xdr:nvPicPr>
      <xdr:blipFill>
        <a:blip r:link="rId1"/>
        <a:stretch>
          <a:fillRect/>
        </a:stretch>
      </xdr:blipFill>
      <xdr:spPr>
        <a:xfrm>
          <a:off x="66675" y="40109775"/>
          <a:ext cx="314325" cy="238125"/>
        </a:xfrm>
        <a:prstGeom prst="rect">
          <a:avLst/>
        </a:prstGeom>
        <a:noFill/>
        <a:ln w="9525" cmpd="sng">
          <a:noFill/>
        </a:ln>
      </xdr:spPr>
    </xdr:pic>
    <xdr:clientData/>
  </xdr:twoCellAnchor>
  <xdr:twoCellAnchor>
    <xdr:from>
      <xdr:col>12</xdr:col>
      <xdr:colOff>1905000</xdr:colOff>
      <xdr:row>201</xdr:row>
      <xdr:rowOff>95250</xdr:rowOff>
    </xdr:from>
    <xdr:to>
      <xdr:col>12</xdr:col>
      <xdr:colOff>2705100</xdr:colOff>
      <xdr:row>202</xdr:row>
      <xdr:rowOff>123825</xdr:rowOff>
    </xdr:to>
    <xdr:pic>
      <xdr:nvPicPr>
        <xdr:cNvPr id="5" name="Picture 5"/>
        <xdr:cNvPicPr preferRelativeResize="1">
          <a:picLocks noChangeAspect="1"/>
        </xdr:cNvPicPr>
      </xdr:nvPicPr>
      <xdr:blipFill>
        <a:blip r:link="rId2"/>
        <a:stretch>
          <a:fillRect/>
        </a:stretch>
      </xdr:blipFill>
      <xdr:spPr>
        <a:xfrm>
          <a:off x="15963900" y="40081200"/>
          <a:ext cx="800100" cy="228600"/>
        </a:xfrm>
        <a:prstGeom prst="rect">
          <a:avLst/>
        </a:prstGeom>
        <a:noFill/>
        <a:ln w="9525" cmpd="sng">
          <a:noFill/>
        </a:ln>
      </xdr:spPr>
    </xdr:pic>
    <xdr:clientData/>
  </xdr:twoCellAnchor>
  <xdr:twoCellAnchor>
    <xdr:from>
      <xdr:col>12</xdr:col>
      <xdr:colOff>2085975</xdr:colOff>
      <xdr:row>153</xdr:row>
      <xdr:rowOff>152400</xdr:rowOff>
    </xdr:from>
    <xdr:to>
      <xdr:col>12</xdr:col>
      <xdr:colOff>2886075</xdr:colOff>
      <xdr:row>154</xdr:row>
      <xdr:rowOff>190500</xdr:rowOff>
    </xdr:to>
    <xdr:pic>
      <xdr:nvPicPr>
        <xdr:cNvPr id="6" name="Picture 6"/>
        <xdr:cNvPicPr preferRelativeResize="1">
          <a:picLocks noChangeAspect="1"/>
        </xdr:cNvPicPr>
      </xdr:nvPicPr>
      <xdr:blipFill>
        <a:blip r:link="rId2"/>
        <a:stretch>
          <a:fillRect/>
        </a:stretch>
      </xdr:blipFill>
      <xdr:spPr>
        <a:xfrm>
          <a:off x="16144875" y="30499050"/>
          <a:ext cx="800100" cy="228600"/>
        </a:xfrm>
        <a:prstGeom prst="rect">
          <a:avLst/>
        </a:prstGeom>
        <a:noFill/>
        <a:ln w="9525" cmpd="sng">
          <a:noFill/>
        </a:ln>
      </xdr:spPr>
    </xdr:pic>
    <xdr:clientData/>
  </xdr:twoCellAnchor>
  <xdr:twoCellAnchor>
    <xdr:from>
      <xdr:col>12</xdr:col>
      <xdr:colOff>1933575</xdr:colOff>
      <xdr:row>103</xdr:row>
      <xdr:rowOff>0</xdr:rowOff>
    </xdr:from>
    <xdr:to>
      <xdr:col>12</xdr:col>
      <xdr:colOff>2733675</xdr:colOff>
      <xdr:row>104</xdr:row>
      <xdr:rowOff>76200</xdr:rowOff>
    </xdr:to>
    <xdr:pic>
      <xdr:nvPicPr>
        <xdr:cNvPr id="7" name="Picture 7"/>
        <xdr:cNvPicPr preferRelativeResize="1">
          <a:picLocks noChangeAspect="1"/>
        </xdr:cNvPicPr>
      </xdr:nvPicPr>
      <xdr:blipFill>
        <a:blip r:link="rId2"/>
        <a:stretch>
          <a:fillRect/>
        </a:stretch>
      </xdr:blipFill>
      <xdr:spPr>
        <a:xfrm>
          <a:off x="15992475" y="20983575"/>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123825</xdr:rowOff>
    </xdr:from>
    <xdr:to>
      <xdr:col>1</xdr:col>
      <xdr:colOff>57150</xdr:colOff>
      <xdr:row>50</xdr:row>
      <xdr:rowOff>161925</xdr:rowOff>
    </xdr:to>
    <xdr:pic>
      <xdr:nvPicPr>
        <xdr:cNvPr id="1" name="Picture 1"/>
        <xdr:cNvPicPr preferRelativeResize="1">
          <a:picLocks noChangeAspect="1"/>
        </xdr:cNvPicPr>
      </xdr:nvPicPr>
      <xdr:blipFill>
        <a:blip r:link="rId1"/>
        <a:stretch>
          <a:fillRect/>
        </a:stretch>
      </xdr:blipFill>
      <xdr:spPr>
        <a:xfrm>
          <a:off x="57150" y="9705975"/>
          <a:ext cx="314325" cy="238125"/>
        </a:xfrm>
        <a:prstGeom prst="rect">
          <a:avLst/>
        </a:prstGeom>
        <a:noFill/>
        <a:ln w="9525" cmpd="sng">
          <a:noFill/>
        </a:ln>
      </xdr:spPr>
    </xdr:pic>
    <xdr:clientData/>
  </xdr:twoCellAnchor>
  <xdr:twoCellAnchor>
    <xdr:from>
      <xdr:col>0</xdr:col>
      <xdr:colOff>9525</xdr:colOff>
      <xdr:row>102</xdr:row>
      <xdr:rowOff>85725</xdr:rowOff>
    </xdr:from>
    <xdr:to>
      <xdr:col>1</xdr:col>
      <xdr:colOff>9525</xdr:colOff>
      <xdr:row>103</xdr:row>
      <xdr:rowOff>171450</xdr:rowOff>
    </xdr:to>
    <xdr:pic>
      <xdr:nvPicPr>
        <xdr:cNvPr id="2" name="Picture 2"/>
        <xdr:cNvPicPr preferRelativeResize="1">
          <a:picLocks noChangeAspect="1"/>
        </xdr:cNvPicPr>
      </xdr:nvPicPr>
      <xdr:blipFill>
        <a:blip r:link="rId1"/>
        <a:stretch>
          <a:fillRect/>
        </a:stretch>
      </xdr:blipFill>
      <xdr:spPr>
        <a:xfrm>
          <a:off x="9525" y="20869275"/>
          <a:ext cx="314325" cy="238125"/>
        </a:xfrm>
        <a:prstGeom prst="rect">
          <a:avLst/>
        </a:prstGeom>
        <a:noFill/>
        <a:ln w="9525" cmpd="sng">
          <a:noFill/>
        </a:ln>
      </xdr:spPr>
    </xdr:pic>
    <xdr:clientData/>
  </xdr:twoCellAnchor>
  <xdr:twoCellAnchor>
    <xdr:from>
      <xdr:col>0</xdr:col>
      <xdr:colOff>57150</xdr:colOff>
      <xdr:row>151</xdr:row>
      <xdr:rowOff>114300</xdr:rowOff>
    </xdr:from>
    <xdr:to>
      <xdr:col>1</xdr:col>
      <xdr:colOff>57150</xdr:colOff>
      <xdr:row>152</xdr:row>
      <xdr:rowOff>190500</xdr:rowOff>
    </xdr:to>
    <xdr:pic>
      <xdr:nvPicPr>
        <xdr:cNvPr id="3" name="Picture 3"/>
        <xdr:cNvPicPr preferRelativeResize="1">
          <a:picLocks noChangeAspect="1"/>
        </xdr:cNvPicPr>
      </xdr:nvPicPr>
      <xdr:blipFill>
        <a:blip r:link="rId1"/>
        <a:stretch>
          <a:fillRect/>
        </a:stretch>
      </xdr:blipFill>
      <xdr:spPr>
        <a:xfrm>
          <a:off x="57150" y="30099000"/>
          <a:ext cx="314325" cy="247650"/>
        </a:xfrm>
        <a:prstGeom prst="rect">
          <a:avLst/>
        </a:prstGeom>
        <a:noFill/>
        <a:ln w="9525" cmpd="sng">
          <a:noFill/>
        </a:ln>
      </xdr:spPr>
    </xdr:pic>
    <xdr:clientData/>
  </xdr:twoCellAnchor>
  <xdr:twoCellAnchor>
    <xdr:from>
      <xdr:col>0</xdr:col>
      <xdr:colOff>9525</xdr:colOff>
      <xdr:row>198</xdr:row>
      <xdr:rowOff>104775</xdr:rowOff>
    </xdr:from>
    <xdr:to>
      <xdr:col>1</xdr:col>
      <xdr:colOff>9525</xdr:colOff>
      <xdr:row>199</xdr:row>
      <xdr:rowOff>142875</xdr:rowOff>
    </xdr:to>
    <xdr:pic>
      <xdr:nvPicPr>
        <xdr:cNvPr id="4" name="Picture 4"/>
        <xdr:cNvPicPr preferRelativeResize="1">
          <a:picLocks noChangeAspect="1"/>
        </xdr:cNvPicPr>
      </xdr:nvPicPr>
      <xdr:blipFill>
        <a:blip r:link="rId1"/>
        <a:stretch>
          <a:fillRect/>
        </a:stretch>
      </xdr:blipFill>
      <xdr:spPr>
        <a:xfrm>
          <a:off x="9525" y="39509700"/>
          <a:ext cx="314325" cy="238125"/>
        </a:xfrm>
        <a:prstGeom prst="rect">
          <a:avLst/>
        </a:prstGeom>
        <a:noFill/>
        <a:ln w="9525" cmpd="sng">
          <a:noFill/>
        </a:ln>
      </xdr:spPr>
    </xdr:pic>
    <xdr:clientData/>
  </xdr:twoCellAnchor>
  <xdr:twoCellAnchor>
    <xdr:from>
      <xdr:col>12</xdr:col>
      <xdr:colOff>2028825</xdr:colOff>
      <xdr:row>198</xdr:row>
      <xdr:rowOff>95250</xdr:rowOff>
    </xdr:from>
    <xdr:to>
      <xdr:col>12</xdr:col>
      <xdr:colOff>2828925</xdr:colOff>
      <xdr:row>199</xdr:row>
      <xdr:rowOff>123825</xdr:rowOff>
    </xdr:to>
    <xdr:pic>
      <xdr:nvPicPr>
        <xdr:cNvPr id="5" name="Picture 5"/>
        <xdr:cNvPicPr preferRelativeResize="1">
          <a:picLocks noChangeAspect="1"/>
        </xdr:cNvPicPr>
      </xdr:nvPicPr>
      <xdr:blipFill>
        <a:blip r:link="rId2"/>
        <a:stretch>
          <a:fillRect/>
        </a:stretch>
      </xdr:blipFill>
      <xdr:spPr>
        <a:xfrm>
          <a:off x="16087725" y="39500175"/>
          <a:ext cx="800100" cy="228600"/>
        </a:xfrm>
        <a:prstGeom prst="rect">
          <a:avLst/>
        </a:prstGeom>
        <a:noFill/>
        <a:ln w="9525" cmpd="sng">
          <a:noFill/>
        </a:ln>
      </xdr:spPr>
    </xdr:pic>
    <xdr:clientData/>
  </xdr:twoCellAnchor>
  <xdr:twoCellAnchor>
    <xdr:from>
      <xdr:col>12</xdr:col>
      <xdr:colOff>2057400</xdr:colOff>
      <xdr:row>151</xdr:row>
      <xdr:rowOff>85725</xdr:rowOff>
    </xdr:from>
    <xdr:to>
      <xdr:col>12</xdr:col>
      <xdr:colOff>2857500</xdr:colOff>
      <xdr:row>152</xdr:row>
      <xdr:rowOff>142875</xdr:rowOff>
    </xdr:to>
    <xdr:pic>
      <xdr:nvPicPr>
        <xdr:cNvPr id="6" name="Picture 6"/>
        <xdr:cNvPicPr preferRelativeResize="1">
          <a:picLocks noChangeAspect="1"/>
        </xdr:cNvPicPr>
      </xdr:nvPicPr>
      <xdr:blipFill>
        <a:blip r:link="rId2"/>
        <a:stretch>
          <a:fillRect/>
        </a:stretch>
      </xdr:blipFill>
      <xdr:spPr>
        <a:xfrm>
          <a:off x="16116300" y="30070425"/>
          <a:ext cx="800100" cy="228600"/>
        </a:xfrm>
        <a:prstGeom prst="rect">
          <a:avLst/>
        </a:prstGeom>
        <a:noFill/>
        <a:ln w="9525" cmpd="sng">
          <a:noFill/>
        </a:ln>
      </xdr:spPr>
    </xdr:pic>
    <xdr:clientData/>
  </xdr:twoCellAnchor>
  <xdr:twoCellAnchor>
    <xdr:from>
      <xdr:col>12</xdr:col>
      <xdr:colOff>2000250</xdr:colOff>
      <xdr:row>101</xdr:row>
      <xdr:rowOff>133350</xdr:rowOff>
    </xdr:from>
    <xdr:to>
      <xdr:col>12</xdr:col>
      <xdr:colOff>2800350</xdr:colOff>
      <xdr:row>103</xdr:row>
      <xdr:rowOff>57150</xdr:rowOff>
    </xdr:to>
    <xdr:pic>
      <xdr:nvPicPr>
        <xdr:cNvPr id="7" name="Picture 7"/>
        <xdr:cNvPicPr preferRelativeResize="1">
          <a:picLocks noChangeAspect="1"/>
        </xdr:cNvPicPr>
      </xdr:nvPicPr>
      <xdr:blipFill>
        <a:blip r:link="rId2"/>
        <a:stretch>
          <a:fillRect/>
        </a:stretch>
      </xdr:blipFill>
      <xdr:spPr>
        <a:xfrm>
          <a:off x="16059150" y="20764500"/>
          <a:ext cx="800100" cy="228600"/>
        </a:xfrm>
        <a:prstGeom prst="rect">
          <a:avLst/>
        </a:prstGeom>
        <a:noFill/>
        <a:ln w="9525" cmpd="sng">
          <a:noFill/>
        </a:ln>
      </xdr:spPr>
    </xdr:pic>
    <xdr:clientData/>
  </xdr:twoCellAnchor>
  <xdr:twoCellAnchor>
    <xdr:from>
      <xdr:col>12</xdr:col>
      <xdr:colOff>2028825</xdr:colOff>
      <xdr:row>49</xdr:row>
      <xdr:rowOff>85725</xdr:rowOff>
    </xdr:from>
    <xdr:to>
      <xdr:col>12</xdr:col>
      <xdr:colOff>2828925</xdr:colOff>
      <xdr:row>50</xdr:row>
      <xdr:rowOff>114300</xdr:rowOff>
    </xdr:to>
    <xdr:pic>
      <xdr:nvPicPr>
        <xdr:cNvPr id="8" name="Picture 8"/>
        <xdr:cNvPicPr preferRelativeResize="1">
          <a:picLocks noChangeAspect="1"/>
        </xdr:cNvPicPr>
      </xdr:nvPicPr>
      <xdr:blipFill>
        <a:blip r:link="rId2"/>
        <a:stretch>
          <a:fillRect/>
        </a:stretch>
      </xdr:blipFill>
      <xdr:spPr>
        <a:xfrm>
          <a:off x="16087725" y="9667875"/>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123825</xdr:rowOff>
    </xdr:from>
    <xdr:to>
      <xdr:col>1</xdr:col>
      <xdr:colOff>9525</xdr:colOff>
      <xdr:row>50</xdr:row>
      <xdr:rowOff>161925</xdr:rowOff>
    </xdr:to>
    <xdr:pic>
      <xdr:nvPicPr>
        <xdr:cNvPr id="1" name="Picture 1"/>
        <xdr:cNvPicPr preferRelativeResize="1">
          <a:picLocks noChangeAspect="1"/>
        </xdr:cNvPicPr>
      </xdr:nvPicPr>
      <xdr:blipFill>
        <a:blip r:link="rId1"/>
        <a:stretch>
          <a:fillRect/>
        </a:stretch>
      </xdr:blipFill>
      <xdr:spPr>
        <a:xfrm>
          <a:off x="9525" y="9705975"/>
          <a:ext cx="314325" cy="238125"/>
        </a:xfrm>
        <a:prstGeom prst="rect">
          <a:avLst/>
        </a:prstGeom>
        <a:noFill/>
        <a:ln w="9525" cmpd="sng">
          <a:noFill/>
        </a:ln>
      </xdr:spPr>
    </xdr:pic>
    <xdr:clientData/>
  </xdr:twoCellAnchor>
  <xdr:twoCellAnchor>
    <xdr:from>
      <xdr:col>0</xdr:col>
      <xdr:colOff>66675</xdr:colOff>
      <xdr:row>102</xdr:row>
      <xdr:rowOff>85725</xdr:rowOff>
    </xdr:from>
    <xdr:to>
      <xdr:col>1</xdr:col>
      <xdr:colOff>66675</xdr:colOff>
      <xdr:row>103</xdr:row>
      <xdr:rowOff>161925</xdr:rowOff>
    </xdr:to>
    <xdr:pic>
      <xdr:nvPicPr>
        <xdr:cNvPr id="2" name="Picture 2"/>
        <xdr:cNvPicPr preferRelativeResize="1">
          <a:picLocks noChangeAspect="1"/>
        </xdr:cNvPicPr>
      </xdr:nvPicPr>
      <xdr:blipFill>
        <a:blip r:link="rId1"/>
        <a:stretch>
          <a:fillRect/>
        </a:stretch>
      </xdr:blipFill>
      <xdr:spPr>
        <a:xfrm>
          <a:off x="66675" y="20869275"/>
          <a:ext cx="314325" cy="228600"/>
        </a:xfrm>
        <a:prstGeom prst="rect">
          <a:avLst/>
        </a:prstGeom>
        <a:noFill/>
        <a:ln w="9525" cmpd="sng">
          <a:noFill/>
        </a:ln>
      </xdr:spPr>
    </xdr:pic>
    <xdr:clientData/>
  </xdr:twoCellAnchor>
  <xdr:twoCellAnchor>
    <xdr:from>
      <xdr:col>0</xdr:col>
      <xdr:colOff>66675</xdr:colOff>
      <xdr:row>151</xdr:row>
      <xdr:rowOff>123825</xdr:rowOff>
    </xdr:from>
    <xdr:to>
      <xdr:col>1</xdr:col>
      <xdr:colOff>66675</xdr:colOff>
      <xdr:row>152</xdr:row>
      <xdr:rowOff>200025</xdr:rowOff>
    </xdr:to>
    <xdr:pic>
      <xdr:nvPicPr>
        <xdr:cNvPr id="3" name="Picture 3"/>
        <xdr:cNvPicPr preferRelativeResize="1">
          <a:picLocks noChangeAspect="1"/>
        </xdr:cNvPicPr>
      </xdr:nvPicPr>
      <xdr:blipFill>
        <a:blip r:link="rId1"/>
        <a:stretch>
          <a:fillRect/>
        </a:stretch>
      </xdr:blipFill>
      <xdr:spPr>
        <a:xfrm>
          <a:off x="66675" y="30060900"/>
          <a:ext cx="314325" cy="247650"/>
        </a:xfrm>
        <a:prstGeom prst="rect">
          <a:avLst/>
        </a:prstGeom>
        <a:noFill/>
        <a:ln w="9525" cmpd="sng">
          <a:noFill/>
        </a:ln>
      </xdr:spPr>
    </xdr:pic>
    <xdr:clientData/>
  </xdr:twoCellAnchor>
  <xdr:twoCellAnchor>
    <xdr:from>
      <xdr:col>0</xdr:col>
      <xdr:colOff>0</xdr:colOff>
      <xdr:row>198</xdr:row>
      <xdr:rowOff>104775</xdr:rowOff>
    </xdr:from>
    <xdr:to>
      <xdr:col>1</xdr:col>
      <xdr:colOff>0</xdr:colOff>
      <xdr:row>199</xdr:row>
      <xdr:rowOff>142875</xdr:rowOff>
    </xdr:to>
    <xdr:pic>
      <xdr:nvPicPr>
        <xdr:cNvPr id="4" name="Picture 4"/>
        <xdr:cNvPicPr preferRelativeResize="1">
          <a:picLocks noChangeAspect="1"/>
        </xdr:cNvPicPr>
      </xdr:nvPicPr>
      <xdr:blipFill>
        <a:blip r:link="rId1"/>
        <a:stretch>
          <a:fillRect/>
        </a:stretch>
      </xdr:blipFill>
      <xdr:spPr>
        <a:xfrm>
          <a:off x="0" y="39462075"/>
          <a:ext cx="314325" cy="238125"/>
        </a:xfrm>
        <a:prstGeom prst="rect">
          <a:avLst/>
        </a:prstGeom>
        <a:noFill/>
        <a:ln w="9525" cmpd="sng">
          <a:noFill/>
        </a:ln>
      </xdr:spPr>
    </xdr:pic>
    <xdr:clientData/>
  </xdr:twoCellAnchor>
  <xdr:twoCellAnchor>
    <xdr:from>
      <xdr:col>12</xdr:col>
      <xdr:colOff>1724025</xdr:colOff>
      <xdr:row>198</xdr:row>
      <xdr:rowOff>104775</xdr:rowOff>
    </xdr:from>
    <xdr:to>
      <xdr:col>12</xdr:col>
      <xdr:colOff>2524125</xdr:colOff>
      <xdr:row>199</xdr:row>
      <xdr:rowOff>133350</xdr:rowOff>
    </xdr:to>
    <xdr:pic>
      <xdr:nvPicPr>
        <xdr:cNvPr id="5" name="Picture 5"/>
        <xdr:cNvPicPr preferRelativeResize="1">
          <a:picLocks noChangeAspect="1"/>
        </xdr:cNvPicPr>
      </xdr:nvPicPr>
      <xdr:blipFill>
        <a:blip r:link="rId2"/>
        <a:stretch>
          <a:fillRect/>
        </a:stretch>
      </xdr:blipFill>
      <xdr:spPr>
        <a:xfrm>
          <a:off x="15782925" y="39462075"/>
          <a:ext cx="800100" cy="228600"/>
        </a:xfrm>
        <a:prstGeom prst="rect">
          <a:avLst/>
        </a:prstGeom>
        <a:noFill/>
        <a:ln w="9525" cmpd="sng">
          <a:noFill/>
        </a:ln>
      </xdr:spPr>
    </xdr:pic>
    <xdr:clientData/>
  </xdr:twoCellAnchor>
  <xdr:twoCellAnchor>
    <xdr:from>
      <xdr:col>12</xdr:col>
      <xdr:colOff>1771650</xdr:colOff>
      <xdr:row>151</xdr:row>
      <xdr:rowOff>104775</xdr:rowOff>
    </xdr:from>
    <xdr:to>
      <xdr:col>12</xdr:col>
      <xdr:colOff>2571750</xdr:colOff>
      <xdr:row>152</xdr:row>
      <xdr:rowOff>161925</xdr:rowOff>
    </xdr:to>
    <xdr:pic>
      <xdr:nvPicPr>
        <xdr:cNvPr id="6" name="Picture 6"/>
        <xdr:cNvPicPr preferRelativeResize="1">
          <a:picLocks noChangeAspect="1"/>
        </xdr:cNvPicPr>
      </xdr:nvPicPr>
      <xdr:blipFill>
        <a:blip r:link="rId2"/>
        <a:stretch>
          <a:fillRect/>
        </a:stretch>
      </xdr:blipFill>
      <xdr:spPr>
        <a:xfrm>
          <a:off x="15830550" y="30041850"/>
          <a:ext cx="800100" cy="228600"/>
        </a:xfrm>
        <a:prstGeom prst="rect">
          <a:avLst/>
        </a:prstGeom>
        <a:noFill/>
        <a:ln w="9525" cmpd="sng">
          <a:noFill/>
        </a:ln>
      </xdr:spPr>
    </xdr:pic>
    <xdr:clientData/>
  </xdr:twoCellAnchor>
  <xdr:twoCellAnchor>
    <xdr:from>
      <xdr:col>12</xdr:col>
      <xdr:colOff>1619250</xdr:colOff>
      <xdr:row>101</xdr:row>
      <xdr:rowOff>133350</xdr:rowOff>
    </xdr:from>
    <xdr:to>
      <xdr:col>12</xdr:col>
      <xdr:colOff>2419350</xdr:colOff>
      <xdr:row>103</xdr:row>
      <xdr:rowOff>57150</xdr:rowOff>
    </xdr:to>
    <xdr:pic>
      <xdr:nvPicPr>
        <xdr:cNvPr id="7" name="Picture 7"/>
        <xdr:cNvPicPr preferRelativeResize="1">
          <a:picLocks noChangeAspect="1"/>
        </xdr:cNvPicPr>
      </xdr:nvPicPr>
      <xdr:blipFill>
        <a:blip r:link="rId2"/>
        <a:stretch>
          <a:fillRect/>
        </a:stretch>
      </xdr:blipFill>
      <xdr:spPr>
        <a:xfrm>
          <a:off x="15678150" y="20764500"/>
          <a:ext cx="800100" cy="228600"/>
        </a:xfrm>
        <a:prstGeom prst="rect">
          <a:avLst/>
        </a:prstGeom>
        <a:noFill/>
        <a:ln w="9525" cmpd="sng">
          <a:noFill/>
        </a:ln>
      </xdr:spPr>
    </xdr:pic>
    <xdr:clientData/>
  </xdr:twoCellAnchor>
  <xdr:twoCellAnchor>
    <xdr:from>
      <xdr:col>12</xdr:col>
      <xdr:colOff>1714500</xdr:colOff>
      <xdr:row>49</xdr:row>
      <xdr:rowOff>66675</xdr:rowOff>
    </xdr:from>
    <xdr:to>
      <xdr:col>12</xdr:col>
      <xdr:colOff>2514600</xdr:colOff>
      <xdr:row>50</xdr:row>
      <xdr:rowOff>95250</xdr:rowOff>
    </xdr:to>
    <xdr:pic>
      <xdr:nvPicPr>
        <xdr:cNvPr id="8" name="Picture 8"/>
        <xdr:cNvPicPr preferRelativeResize="1">
          <a:picLocks noChangeAspect="1"/>
        </xdr:cNvPicPr>
      </xdr:nvPicPr>
      <xdr:blipFill>
        <a:blip r:link="rId2"/>
        <a:stretch>
          <a:fillRect/>
        </a:stretch>
      </xdr:blipFill>
      <xdr:spPr>
        <a:xfrm>
          <a:off x="15773400" y="9648825"/>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152400</xdr:rowOff>
    </xdr:from>
    <xdr:to>
      <xdr:col>1</xdr:col>
      <xdr:colOff>0</xdr:colOff>
      <xdr:row>50</xdr:row>
      <xdr:rowOff>190500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66675</xdr:colOff>
      <xdr:row>102</xdr:row>
      <xdr:rowOff>104775</xdr:rowOff>
    </xdr:from>
    <xdr:to>
      <xdr:col>1</xdr:col>
      <xdr:colOff>66675</xdr:colOff>
      <xdr:row>103</xdr:row>
      <xdr:rowOff>190500</xdr:rowOff>
    </xdr:to>
    <xdr:pic>
      <xdr:nvPicPr>
        <xdr:cNvPr id="2" name="Picture 2"/>
        <xdr:cNvPicPr preferRelativeResize="1">
          <a:picLocks noChangeAspect="1"/>
        </xdr:cNvPicPr>
      </xdr:nvPicPr>
      <xdr:blipFill>
        <a:blip r:link="rId1"/>
        <a:stretch>
          <a:fillRect/>
        </a:stretch>
      </xdr:blipFill>
      <xdr:spPr>
        <a:xfrm>
          <a:off x="66675" y="20888325"/>
          <a:ext cx="314325" cy="238125"/>
        </a:xfrm>
        <a:prstGeom prst="rect">
          <a:avLst/>
        </a:prstGeom>
        <a:noFill/>
        <a:ln w="9525" cmpd="sng">
          <a:noFill/>
        </a:ln>
      </xdr:spPr>
    </xdr:pic>
    <xdr:clientData/>
  </xdr:twoCellAnchor>
  <xdr:twoCellAnchor>
    <xdr:from>
      <xdr:col>0</xdr:col>
      <xdr:colOff>38100</xdr:colOff>
      <xdr:row>151</xdr:row>
      <xdr:rowOff>180975</xdr:rowOff>
    </xdr:from>
    <xdr:to>
      <xdr:col>1</xdr:col>
      <xdr:colOff>38100</xdr:colOff>
      <xdr:row>152</xdr:row>
      <xdr:rowOff>228600</xdr:rowOff>
    </xdr:to>
    <xdr:pic>
      <xdr:nvPicPr>
        <xdr:cNvPr id="3" name="Picture 3"/>
        <xdr:cNvPicPr preferRelativeResize="1">
          <a:picLocks noChangeAspect="1"/>
        </xdr:cNvPicPr>
      </xdr:nvPicPr>
      <xdr:blipFill>
        <a:blip r:link="rId1"/>
        <a:stretch>
          <a:fillRect/>
        </a:stretch>
      </xdr:blipFill>
      <xdr:spPr>
        <a:xfrm>
          <a:off x="38100" y="30127575"/>
          <a:ext cx="314325" cy="238125"/>
        </a:xfrm>
        <a:prstGeom prst="rect">
          <a:avLst/>
        </a:prstGeom>
        <a:noFill/>
        <a:ln w="9525" cmpd="sng">
          <a:noFill/>
        </a:ln>
      </xdr:spPr>
    </xdr:pic>
    <xdr:clientData/>
  </xdr:twoCellAnchor>
  <xdr:twoCellAnchor>
    <xdr:from>
      <xdr:col>0</xdr:col>
      <xdr:colOff>38100</xdr:colOff>
      <xdr:row>198</xdr:row>
      <xdr:rowOff>123825</xdr:rowOff>
    </xdr:from>
    <xdr:to>
      <xdr:col>1</xdr:col>
      <xdr:colOff>38100</xdr:colOff>
      <xdr:row>199</xdr:row>
      <xdr:rowOff>161925</xdr:rowOff>
    </xdr:to>
    <xdr:pic>
      <xdr:nvPicPr>
        <xdr:cNvPr id="4" name="Picture 4"/>
        <xdr:cNvPicPr preferRelativeResize="1">
          <a:picLocks noChangeAspect="1"/>
        </xdr:cNvPicPr>
      </xdr:nvPicPr>
      <xdr:blipFill>
        <a:blip r:link="rId1"/>
        <a:stretch>
          <a:fillRect/>
        </a:stretch>
      </xdr:blipFill>
      <xdr:spPr>
        <a:xfrm>
          <a:off x="38100" y="39509700"/>
          <a:ext cx="314325" cy="238125"/>
        </a:xfrm>
        <a:prstGeom prst="rect">
          <a:avLst/>
        </a:prstGeom>
        <a:noFill/>
        <a:ln w="9525" cmpd="sng">
          <a:noFill/>
        </a:ln>
      </xdr:spPr>
    </xdr:pic>
    <xdr:clientData/>
  </xdr:twoCellAnchor>
  <xdr:twoCellAnchor>
    <xdr:from>
      <xdr:col>12</xdr:col>
      <xdr:colOff>1724025</xdr:colOff>
      <xdr:row>198</xdr:row>
      <xdr:rowOff>66675</xdr:rowOff>
    </xdr:from>
    <xdr:to>
      <xdr:col>12</xdr:col>
      <xdr:colOff>2524125</xdr:colOff>
      <xdr:row>199</xdr:row>
      <xdr:rowOff>95250</xdr:rowOff>
    </xdr:to>
    <xdr:pic>
      <xdr:nvPicPr>
        <xdr:cNvPr id="5" name="Picture 5"/>
        <xdr:cNvPicPr preferRelativeResize="1">
          <a:picLocks noChangeAspect="1"/>
        </xdr:cNvPicPr>
      </xdr:nvPicPr>
      <xdr:blipFill>
        <a:blip r:link="rId2"/>
        <a:stretch>
          <a:fillRect/>
        </a:stretch>
      </xdr:blipFill>
      <xdr:spPr>
        <a:xfrm>
          <a:off x="15782925" y="39452550"/>
          <a:ext cx="800100" cy="228600"/>
        </a:xfrm>
        <a:prstGeom prst="rect">
          <a:avLst/>
        </a:prstGeom>
        <a:noFill/>
        <a:ln w="9525" cmpd="sng">
          <a:noFill/>
        </a:ln>
      </xdr:spPr>
    </xdr:pic>
    <xdr:clientData/>
  </xdr:twoCellAnchor>
  <xdr:twoCellAnchor>
    <xdr:from>
      <xdr:col>12</xdr:col>
      <xdr:colOff>1743075</xdr:colOff>
      <xdr:row>151</xdr:row>
      <xdr:rowOff>123825</xdr:rowOff>
    </xdr:from>
    <xdr:to>
      <xdr:col>12</xdr:col>
      <xdr:colOff>2543175</xdr:colOff>
      <xdr:row>152</xdr:row>
      <xdr:rowOff>161925</xdr:rowOff>
    </xdr:to>
    <xdr:pic>
      <xdr:nvPicPr>
        <xdr:cNvPr id="6" name="Picture 6"/>
        <xdr:cNvPicPr preferRelativeResize="1">
          <a:picLocks noChangeAspect="1"/>
        </xdr:cNvPicPr>
      </xdr:nvPicPr>
      <xdr:blipFill>
        <a:blip r:link="rId2"/>
        <a:stretch>
          <a:fillRect/>
        </a:stretch>
      </xdr:blipFill>
      <xdr:spPr>
        <a:xfrm>
          <a:off x="15801975" y="30070425"/>
          <a:ext cx="800100" cy="228600"/>
        </a:xfrm>
        <a:prstGeom prst="rect">
          <a:avLst/>
        </a:prstGeom>
        <a:noFill/>
        <a:ln w="9525" cmpd="sng">
          <a:noFill/>
        </a:ln>
      </xdr:spPr>
    </xdr:pic>
    <xdr:clientData/>
  </xdr:twoCellAnchor>
  <xdr:twoCellAnchor>
    <xdr:from>
      <xdr:col>12</xdr:col>
      <xdr:colOff>1704975</xdr:colOff>
      <xdr:row>102</xdr:row>
      <xdr:rowOff>28575</xdr:rowOff>
    </xdr:from>
    <xdr:to>
      <xdr:col>12</xdr:col>
      <xdr:colOff>2505075</xdr:colOff>
      <xdr:row>103</xdr:row>
      <xdr:rowOff>104775</xdr:rowOff>
    </xdr:to>
    <xdr:pic>
      <xdr:nvPicPr>
        <xdr:cNvPr id="7" name="Picture 7"/>
        <xdr:cNvPicPr preferRelativeResize="1">
          <a:picLocks noChangeAspect="1"/>
        </xdr:cNvPicPr>
      </xdr:nvPicPr>
      <xdr:blipFill>
        <a:blip r:link="rId2"/>
        <a:stretch>
          <a:fillRect/>
        </a:stretch>
      </xdr:blipFill>
      <xdr:spPr>
        <a:xfrm>
          <a:off x="15763875" y="20812125"/>
          <a:ext cx="800100" cy="228600"/>
        </a:xfrm>
        <a:prstGeom prst="rect">
          <a:avLst/>
        </a:prstGeom>
        <a:noFill/>
        <a:ln w="9525" cmpd="sng">
          <a:noFill/>
        </a:ln>
      </xdr:spPr>
    </xdr:pic>
    <xdr:clientData/>
  </xdr:twoCellAnchor>
  <xdr:twoCellAnchor>
    <xdr:from>
      <xdr:col>12</xdr:col>
      <xdr:colOff>1676400</xdr:colOff>
      <xdr:row>49</xdr:row>
      <xdr:rowOff>57150</xdr:rowOff>
    </xdr:from>
    <xdr:to>
      <xdr:col>12</xdr:col>
      <xdr:colOff>2476500</xdr:colOff>
      <xdr:row>50</xdr:row>
      <xdr:rowOff>85725</xdr:rowOff>
    </xdr:to>
    <xdr:pic>
      <xdr:nvPicPr>
        <xdr:cNvPr id="8" name="Picture 8"/>
        <xdr:cNvPicPr preferRelativeResize="1">
          <a:picLocks noChangeAspect="1"/>
        </xdr:cNvPicPr>
      </xdr:nvPicPr>
      <xdr:blipFill>
        <a:blip r:link="rId2"/>
        <a:stretch>
          <a:fillRect/>
        </a:stretch>
      </xdr:blipFill>
      <xdr:spPr>
        <a:xfrm>
          <a:off x="15735300" y="963930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152400</xdr:rowOff>
    </xdr:from>
    <xdr:to>
      <xdr:col>1</xdr:col>
      <xdr:colOff>38100</xdr:colOff>
      <xdr:row>50</xdr:row>
      <xdr:rowOff>190500</xdr:rowOff>
    </xdr:to>
    <xdr:pic>
      <xdr:nvPicPr>
        <xdr:cNvPr id="1" name="Picture 1"/>
        <xdr:cNvPicPr preferRelativeResize="1">
          <a:picLocks noChangeAspect="1"/>
        </xdr:cNvPicPr>
      </xdr:nvPicPr>
      <xdr:blipFill>
        <a:blip r:link="rId1"/>
        <a:stretch>
          <a:fillRect/>
        </a:stretch>
      </xdr:blipFill>
      <xdr:spPr>
        <a:xfrm>
          <a:off x="38100" y="9734550"/>
          <a:ext cx="314325" cy="238125"/>
        </a:xfrm>
        <a:prstGeom prst="rect">
          <a:avLst/>
        </a:prstGeom>
        <a:noFill/>
        <a:ln w="9525" cmpd="sng">
          <a:noFill/>
        </a:ln>
      </xdr:spPr>
    </xdr:pic>
    <xdr:clientData/>
  </xdr:twoCellAnchor>
  <xdr:twoCellAnchor>
    <xdr:from>
      <xdr:col>0</xdr:col>
      <xdr:colOff>9525</xdr:colOff>
      <xdr:row>102</xdr:row>
      <xdr:rowOff>95250</xdr:rowOff>
    </xdr:from>
    <xdr:to>
      <xdr:col>1</xdr:col>
      <xdr:colOff>9525</xdr:colOff>
      <xdr:row>103</xdr:row>
      <xdr:rowOff>180975</xdr:rowOff>
    </xdr:to>
    <xdr:pic>
      <xdr:nvPicPr>
        <xdr:cNvPr id="2" name="Picture 2"/>
        <xdr:cNvPicPr preferRelativeResize="1">
          <a:picLocks noChangeAspect="1"/>
        </xdr:cNvPicPr>
      </xdr:nvPicPr>
      <xdr:blipFill>
        <a:blip r:link="rId1"/>
        <a:stretch>
          <a:fillRect/>
        </a:stretch>
      </xdr:blipFill>
      <xdr:spPr>
        <a:xfrm>
          <a:off x="9525" y="20878800"/>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28575</xdr:colOff>
      <xdr:row>198</xdr:row>
      <xdr:rowOff>152400</xdr:rowOff>
    </xdr:from>
    <xdr:to>
      <xdr:col>1</xdr:col>
      <xdr:colOff>28575</xdr:colOff>
      <xdr:row>199</xdr:row>
      <xdr:rowOff>190500</xdr:rowOff>
    </xdr:to>
    <xdr:pic>
      <xdr:nvPicPr>
        <xdr:cNvPr id="4" name="Picture 4"/>
        <xdr:cNvPicPr preferRelativeResize="1">
          <a:picLocks noChangeAspect="1"/>
        </xdr:cNvPicPr>
      </xdr:nvPicPr>
      <xdr:blipFill>
        <a:blip r:link="rId1"/>
        <a:stretch>
          <a:fillRect/>
        </a:stretch>
      </xdr:blipFill>
      <xdr:spPr>
        <a:xfrm>
          <a:off x="28575" y="39538275"/>
          <a:ext cx="314325" cy="238125"/>
        </a:xfrm>
        <a:prstGeom prst="rect">
          <a:avLst/>
        </a:prstGeom>
        <a:noFill/>
        <a:ln w="9525" cmpd="sng">
          <a:noFill/>
        </a:ln>
      </xdr:spPr>
    </xdr:pic>
    <xdr:clientData/>
  </xdr:twoCellAnchor>
  <xdr:twoCellAnchor>
    <xdr:from>
      <xdr:col>12</xdr:col>
      <xdr:colOff>1933575</xdr:colOff>
      <xdr:row>198</xdr:row>
      <xdr:rowOff>85725</xdr:rowOff>
    </xdr:from>
    <xdr:to>
      <xdr:col>12</xdr:col>
      <xdr:colOff>2733675</xdr:colOff>
      <xdr:row>199</xdr:row>
      <xdr:rowOff>114300</xdr:rowOff>
    </xdr:to>
    <xdr:pic>
      <xdr:nvPicPr>
        <xdr:cNvPr id="5" name="Picture 5"/>
        <xdr:cNvPicPr preferRelativeResize="1">
          <a:picLocks noChangeAspect="1"/>
        </xdr:cNvPicPr>
      </xdr:nvPicPr>
      <xdr:blipFill>
        <a:blip r:link="rId2"/>
        <a:stretch>
          <a:fillRect/>
        </a:stretch>
      </xdr:blipFill>
      <xdr:spPr>
        <a:xfrm>
          <a:off x="15992475" y="39471600"/>
          <a:ext cx="800100" cy="228600"/>
        </a:xfrm>
        <a:prstGeom prst="rect">
          <a:avLst/>
        </a:prstGeom>
        <a:noFill/>
        <a:ln w="9525" cmpd="sng">
          <a:noFill/>
        </a:ln>
      </xdr:spPr>
    </xdr:pic>
    <xdr:clientData/>
  </xdr:twoCellAnchor>
  <xdr:twoCellAnchor>
    <xdr:from>
      <xdr:col>12</xdr:col>
      <xdr:colOff>2000250</xdr:colOff>
      <xdr:row>151</xdr:row>
      <xdr:rowOff>123825</xdr:rowOff>
    </xdr:from>
    <xdr:to>
      <xdr:col>12</xdr:col>
      <xdr:colOff>2800350</xdr:colOff>
      <xdr:row>152</xdr:row>
      <xdr:rowOff>161925</xdr:rowOff>
    </xdr:to>
    <xdr:pic>
      <xdr:nvPicPr>
        <xdr:cNvPr id="6" name="Picture 6"/>
        <xdr:cNvPicPr preferRelativeResize="1">
          <a:picLocks noChangeAspect="1"/>
        </xdr:cNvPicPr>
      </xdr:nvPicPr>
      <xdr:blipFill>
        <a:blip r:link="rId2"/>
        <a:stretch>
          <a:fillRect/>
        </a:stretch>
      </xdr:blipFill>
      <xdr:spPr>
        <a:xfrm>
          <a:off x="16059150" y="30070425"/>
          <a:ext cx="800100" cy="228600"/>
        </a:xfrm>
        <a:prstGeom prst="rect">
          <a:avLst/>
        </a:prstGeom>
        <a:noFill/>
        <a:ln w="9525" cmpd="sng">
          <a:noFill/>
        </a:ln>
      </xdr:spPr>
    </xdr:pic>
    <xdr:clientData/>
  </xdr:twoCellAnchor>
  <xdr:twoCellAnchor>
    <xdr:from>
      <xdr:col>12</xdr:col>
      <xdr:colOff>1905000</xdr:colOff>
      <xdr:row>101</xdr:row>
      <xdr:rowOff>133350</xdr:rowOff>
    </xdr:from>
    <xdr:to>
      <xdr:col>12</xdr:col>
      <xdr:colOff>2705100</xdr:colOff>
      <xdr:row>103</xdr:row>
      <xdr:rowOff>57150</xdr:rowOff>
    </xdr:to>
    <xdr:pic>
      <xdr:nvPicPr>
        <xdr:cNvPr id="7" name="Picture 7"/>
        <xdr:cNvPicPr preferRelativeResize="1">
          <a:picLocks noChangeAspect="1"/>
        </xdr:cNvPicPr>
      </xdr:nvPicPr>
      <xdr:blipFill>
        <a:blip r:link="rId2"/>
        <a:stretch>
          <a:fillRect/>
        </a:stretch>
      </xdr:blipFill>
      <xdr:spPr>
        <a:xfrm>
          <a:off x="15963900" y="20764500"/>
          <a:ext cx="800100" cy="228600"/>
        </a:xfrm>
        <a:prstGeom prst="rect">
          <a:avLst/>
        </a:prstGeom>
        <a:noFill/>
        <a:ln w="9525" cmpd="sng">
          <a:noFill/>
        </a:ln>
      </xdr:spPr>
    </xdr:pic>
    <xdr:clientData/>
  </xdr:twoCellAnchor>
  <xdr:twoCellAnchor>
    <xdr:from>
      <xdr:col>12</xdr:col>
      <xdr:colOff>1943100</xdr:colOff>
      <xdr:row>49</xdr:row>
      <xdr:rowOff>85725</xdr:rowOff>
    </xdr:from>
    <xdr:to>
      <xdr:col>12</xdr:col>
      <xdr:colOff>2743200</xdr:colOff>
      <xdr:row>50</xdr:row>
      <xdr:rowOff>114300</xdr:rowOff>
    </xdr:to>
    <xdr:pic>
      <xdr:nvPicPr>
        <xdr:cNvPr id="8" name="Picture 8"/>
        <xdr:cNvPicPr preferRelativeResize="1">
          <a:picLocks noChangeAspect="1"/>
        </xdr:cNvPicPr>
      </xdr:nvPicPr>
      <xdr:blipFill>
        <a:blip r:link="rId2"/>
        <a:stretch>
          <a:fillRect/>
        </a:stretch>
      </xdr:blipFill>
      <xdr:spPr>
        <a:xfrm>
          <a:off x="16002000" y="966787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49</xdr:row>
      <xdr:rowOff>123825</xdr:rowOff>
    </xdr:from>
    <xdr:to>
      <xdr:col>1</xdr:col>
      <xdr:colOff>85725</xdr:colOff>
      <xdr:row>50</xdr:row>
      <xdr:rowOff>161925</xdr:rowOff>
    </xdr:to>
    <xdr:pic>
      <xdr:nvPicPr>
        <xdr:cNvPr id="1" name="Picture 1"/>
        <xdr:cNvPicPr preferRelativeResize="1">
          <a:picLocks noChangeAspect="1"/>
        </xdr:cNvPicPr>
      </xdr:nvPicPr>
      <xdr:blipFill>
        <a:blip r:link="rId1"/>
        <a:stretch>
          <a:fillRect/>
        </a:stretch>
      </xdr:blipFill>
      <xdr:spPr>
        <a:xfrm>
          <a:off x="85725" y="9705975"/>
          <a:ext cx="314325" cy="238125"/>
        </a:xfrm>
        <a:prstGeom prst="rect">
          <a:avLst/>
        </a:prstGeom>
        <a:noFill/>
        <a:ln w="9525" cmpd="sng">
          <a:noFill/>
        </a:ln>
      </xdr:spPr>
    </xdr:pic>
    <xdr:clientData/>
  </xdr:twoCellAnchor>
  <xdr:twoCellAnchor>
    <xdr:from>
      <xdr:col>0</xdr:col>
      <xdr:colOff>57150</xdr:colOff>
      <xdr:row>102</xdr:row>
      <xdr:rowOff>85725</xdr:rowOff>
    </xdr:from>
    <xdr:to>
      <xdr:col>1</xdr:col>
      <xdr:colOff>57150</xdr:colOff>
      <xdr:row>103</xdr:row>
      <xdr:rowOff>171450</xdr:rowOff>
    </xdr:to>
    <xdr:pic>
      <xdr:nvPicPr>
        <xdr:cNvPr id="2" name="Picture 2"/>
        <xdr:cNvPicPr preferRelativeResize="1">
          <a:picLocks noChangeAspect="1"/>
        </xdr:cNvPicPr>
      </xdr:nvPicPr>
      <xdr:blipFill>
        <a:blip r:link="rId1"/>
        <a:stretch>
          <a:fillRect/>
        </a:stretch>
      </xdr:blipFill>
      <xdr:spPr>
        <a:xfrm>
          <a:off x="57150"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38100</xdr:colOff>
      <xdr:row>198</xdr:row>
      <xdr:rowOff>104775</xdr:rowOff>
    </xdr:from>
    <xdr:to>
      <xdr:col>1</xdr:col>
      <xdr:colOff>38100</xdr:colOff>
      <xdr:row>199</xdr:row>
      <xdr:rowOff>142875</xdr:rowOff>
    </xdr:to>
    <xdr:pic>
      <xdr:nvPicPr>
        <xdr:cNvPr id="4" name="Picture 4"/>
        <xdr:cNvPicPr preferRelativeResize="1">
          <a:picLocks noChangeAspect="1"/>
        </xdr:cNvPicPr>
      </xdr:nvPicPr>
      <xdr:blipFill>
        <a:blip r:link="rId1"/>
        <a:stretch>
          <a:fillRect/>
        </a:stretch>
      </xdr:blipFill>
      <xdr:spPr>
        <a:xfrm>
          <a:off x="38100" y="39490650"/>
          <a:ext cx="314325" cy="238125"/>
        </a:xfrm>
        <a:prstGeom prst="rect">
          <a:avLst/>
        </a:prstGeom>
        <a:noFill/>
        <a:ln w="9525" cmpd="sng">
          <a:noFill/>
        </a:ln>
      </xdr:spPr>
    </xdr:pic>
    <xdr:clientData/>
  </xdr:twoCellAnchor>
  <xdr:twoCellAnchor>
    <xdr:from>
      <xdr:col>12</xdr:col>
      <xdr:colOff>1704975</xdr:colOff>
      <xdr:row>198</xdr:row>
      <xdr:rowOff>152400</xdr:rowOff>
    </xdr:from>
    <xdr:to>
      <xdr:col>12</xdr:col>
      <xdr:colOff>2505075</xdr:colOff>
      <xdr:row>199</xdr:row>
      <xdr:rowOff>180975</xdr:rowOff>
    </xdr:to>
    <xdr:pic>
      <xdr:nvPicPr>
        <xdr:cNvPr id="5" name="Picture 5"/>
        <xdr:cNvPicPr preferRelativeResize="1">
          <a:picLocks noChangeAspect="1"/>
        </xdr:cNvPicPr>
      </xdr:nvPicPr>
      <xdr:blipFill>
        <a:blip r:link="rId2"/>
        <a:stretch>
          <a:fillRect/>
        </a:stretch>
      </xdr:blipFill>
      <xdr:spPr>
        <a:xfrm>
          <a:off x="15763875" y="39538275"/>
          <a:ext cx="800100" cy="228600"/>
        </a:xfrm>
        <a:prstGeom prst="rect">
          <a:avLst/>
        </a:prstGeom>
        <a:noFill/>
        <a:ln w="9525" cmpd="sng">
          <a:noFill/>
        </a:ln>
      </xdr:spPr>
    </xdr:pic>
    <xdr:clientData/>
  </xdr:twoCellAnchor>
  <xdr:twoCellAnchor>
    <xdr:from>
      <xdr:col>12</xdr:col>
      <xdr:colOff>1752600</xdr:colOff>
      <xdr:row>151</xdr:row>
      <xdr:rowOff>123825</xdr:rowOff>
    </xdr:from>
    <xdr:to>
      <xdr:col>12</xdr:col>
      <xdr:colOff>2552700</xdr:colOff>
      <xdr:row>152</xdr:row>
      <xdr:rowOff>161925</xdr:rowOff>
    </xdr:to>
    <xdr:pic>
      <xdr:nvPicPr>
        <xdr:cNvPr id="6" name="Picture 6"/>
        <xdr:cNvPicPr preferRelativeResize="1">
          <a:picLocks noChangeAspect="1"/>
        </xdr:cNvPicPr>
      </xdr:nvPicPr>
      <xdr:blipFill>
        <a:blip r:link="rId2"/>
        <a:stretch>
          <a:fillRect/>
        </a:stretch>
      </xdr:blipFill>
      <xdr:spPr>
        <a:xfrm>
          <a:off x="15811500" y="30070425"/>
          <a:ext cx="800100" cy="228600"/>
        </a:xfrm>
        <a:prstGeom prst="rect">
          <a:avLst/>
        </a:prstGeom>
        <a:noFill/>
        <a:ln w="9525" cmpd="sng">
          <a:noFill/>
        </a:ln>
      </xdr:spPr>
    </xdr:pic>
    <xdr:clientData/>
  </xdr:twoCellAnchor>
  <xdr:twoCellAnchor>
    <xdr:from>
      <xdr:col>12</xdr:col>
      <xdr:colOff>1657350</xdr:colOff>
      <xdr:row>102</xdr:row>
      <xdr:rowOff>28575</xdr:rowOff>
    </xdr:from>
    <xdr:to>
      <xdr:col>12</xdr:col>
      <xdr:colOff>2457450</xdr:colOff>
      <xdr:row>103</xdr:row>
      <xdr:rowOff>104775</xdr:rowOff>
    </xdr:to>
    <xdr:pic>
      <xdr:nvPicPr>
        <xdr:cNvPr id="7" name="Picture 7"/>
        <xdr:cNvPicPr preferRelativeResize="1">
          <a:picLocks noChangeAspect="1"/>
        </xdr:cNvPicPr>
      </xdr:nvPicPr>
      <xdr:blipFill>
        <a:blip r:link="rId2"/>
        <a:stretch>
          <a:fillRect/>
        </a:stretch>
      </xdr:blipFill>
      <xdr:spPr>
        <a:xfrm>
          <a:off x="15716250" y="20812125"/>
          <a:ext cx="800100" cy="228600"/>
        </a:xfrm>
        <a:prstGeom prst="rect">
          <a:avLst/>
        </a:prstGeom>
        <a:noFill/>
        <a:ln w="9525" cmpd="sng">
          <a:noFill/>
        </a:ln>
      </xdr:spPr>
    </xdr:pic>
    <xdr:clientData/>
  </xdr:twoCellAnchor>
  <xdr:twoCellAnchor>
    <xdr:from>
      <xdr:col>12</xdr:col>
      <xdr:colOff>1676400</xdr:colOff>
      <xdr:row>49</xdr:row>
      <xdr:rowOff>85725</xdr:rowOff>
    </xdr:from>
    <xdr:to>
      <xdr:col>12</xdr:col>
      <xdr:colOff>2476500</xdr:colOff>
      <xdr:row>50</xdr:row>
      <xdr:rowOff>114300</xdr:rowOff>
    </xdr:to>
    <xdr:pic>
      <xdr:nvPicPr>
        <xdr:cNvPr id="8" name="Picture 8"/>
        <xdr:cNvPicPr preferRelativeResize="1">
          <a:picLocks noChangeAspect="1"/>
        </xdr:cNvPicPr>
      </xdr:nvPicPr>
      <xdr:blipFill>
        <a:blip r:link="rId2"/>
        <a:stretch>
          <a:fillRect/>
        </a:stretch>
      </xdr:blipFill>
      <xdr:spPr>
        <a:xfrm>
          <a:off x="15735300" y="9667875"/>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180975</xdr:rowOff>
    </xdr:from>
    <xdr:to>
      <xdr:col>1</xdr:col>
      <xdr:colOff>38100</xdr:colOff>
      <xdr:row>50</xdr:row>
      <xdr:rowOff>219075</xdr:rowOff>
    </xdr:to>
    <xdr:pic>
      <xdr:nvPicPr>
        <xdr:cNvPr id="1" name="Picture 1"/>
        <xdr:cNvPicPr preferRelativeResize="1">
          <a:picLocks noChangeAspect="1"/>
        </xdr:cNvPicPr>
      </xdr:nvPicPr>
      <xdr:blipFill>
        <a:blip r:link="rId1"/>
        <a:stretch>
          <a:fillRect/>
        </a:stretch>
      </xdr:blipFill>
      <xdr:spPr>
        <a:xfrm>
          <a:off x="38100" y="9763125"/>
          <a:ext cx="314325" cy="238125"/>
        </a:xfrm>
        <a:prstGeom prst="rect">
          <a:avLst/>
        </a:prstGeom>
        <a:noFill/>
        <a:ln w="9525" cmpd="sng">
          <a:noFill/>
        </a:ln>
      </xdr:spPr>
    </xdr:pic>
    <xdr:clientData/>
  </xdr:twoCellAnchor>
  <xdr:twoCellAnchor>
    <xdr:from>
      <xdr:col>0</xdr:col>
      <xdr:colOff>9525</xdr:colOff>
      <xdr:row>102</xdr:row>
      <xdr:rowOff>95250</xdr:rowOff>
    </xdr:from>
    <xdr:to>
      <xdr:col>1</xdr:col>
      <xdr:colOff>9525</xdr:colOff>
      <xdr:row>103</xdr:row>
      <xdr:rowOff>180975</xdr:rowOff>
    </xdr:to>
    <xdr:pic>
      <xdr:nvPicPr>
        <xdr:cNvPr id="2" name="Picture 2"/>
        <xdr:cNvPicPr preferRelativeResize="1">
          <a:picLocks noChangeAspect="1"/>
        </xdr:cNvPicPr>
      </xdr:nvPicPr>
      <xdr:blipFill>
        <a:blip r:link="rId1"/>
        <a:stretch>
          <a:fillRect/>
        </a:stretch>
      </xdr:blipFill>
      <xdr:spPr>
        <a:xfrm>
          <a:off x="9525" y="20878800"/>
          <a:ext cx="314325" cy="238125"/>
        </a:xfrm>
        <a:prstGeom prst="rect">
          <a:avLst/>
        </a:prstGeom>
        <a:noFill/>
        <a:ln w="9525" cmpd="sng">
          <a:noFill/>
        </a:ln>
      </xdr:spPr>
    </xdr:pic>
    <xdr:clientData/>
  </xdr:twoCellAnchor>
  <xdr:twoCellAnchor>
    <xdr:from>
      <xdr:col>0</xdr:col>
      <xdr:colOff>66675</xdr:colOff>
      <xdr:row>151</xdr:row>
      <xdr:rowOff>152400</xdr:rowOff>
    </xdr:from>
    <xdr:to>
      <xdr:col>1</xdr:col>
      <xdr:colOff>66675</xdr:colOff>
      <xdr:row>152</xdr:row>
      <xdr:rowOff>200025</xdr:rowOff>
    </xdr:to>
    <xdr:pic>
      <xdr:nvPicPr>
        <xdr:cNvPr id="3" name="Picture 3"/>
        <xdr:cNvPicPr preferRelativeResize="1">
          <a:picLocks noChangeAspect="1"/>
        </xdr:cNvPicPr>
      </xdr:nvPicPr>
      <xdr:blipFill>
        <a:blip r:link="rId1"/>
        <a:stretch>
          <a:fillRect/>
        </a:stretch>
      </xdr:blipFill>
      <xdr:spPr>
        <a:xfrm>
          <a:off x="66675" y="30099000"/>
          <a:ext cx="314325" cy="238125"/>
        </a:xfrm>
        <a:prstGeom prst="rect">
          <a:avLst/>
        </a:prstGeom>
        <a:noFill/>
        <a:ln w="9525" cmpd="sng">
          <a:noFill/>
        </a:ln>
      </xdr:spPr>
    </xdr:pic>
    <xdr:clientData/>
  </xdr:twoCellAnchor>
  <xdr:twoCellAnchor>
    <xdr:from>
      <xdr:col>0</xdr:col>
      <xdr:colOff>38100</xdr:colOff>
      <xdr:row>198</xdr:row>
      <xdr:rowOff>123825</xdr:rowOff>
    </xdr:from>
    <xdr:to>
      <xdr:col>1</xdr:col>
      <xdr:colOff>38100</xdr:colOff>
      <xdr:row>199</xdr:row>
      <xdr:rowOff>161925</xdr:rowOff>
    </xdr:to>
    <xdr:pic>
      <xdr:nvPicPr>
        <xdr:cNvPr id="4" name="Picture 4"/>
        <xdr:cNvPicPr preferRelativeResize="1">
          <a:picLocks noChangeAspect="1"/>
        </xdr:cNvPicPr>
      </xdr:nvPicPr>
      <xdr:blipFill>
        <a:blip r:link="rId1"/>
        <a:stretch>
          <a:fillRect/>
        </a:stretch>
      </xdr:blipFill>
      <xdr:spPr>
        <a:xfrm>
          <a:off x="38100" y="39509700"/>
          <a:ext cx="314325" cy="238125"/>
        </a:xfrm>
        <a:prstGeom prst="rect">
          <a:avLst/>
        </a:prstGeom>
        <a:noFill/>
        <a:ln w="9525" cmpd="sng">
          <a:noFill/>
        </a:ln>
      </xdr:spPr>
    </xdr:pic>
    <xdr:clientData/>
  </xdr:twoCellAnchor>
  <xdr:twoCellAnchor>
    <xdr:from>
      <xdr:col>12</xdr:col>
      <xdr:colOff>2247900</xdr:colOff>
      <xdr:row>198</xdr:row>
      <xdr:rowOff>85725</xdr:rowOff>
    </xdr:from>
    <xdr:to>
      <xdr:col>12</xdr:col>
      <xdr:colOff>3048000</xdr:colOff>
      <xdr:row>199</xdr:row>
      <xdr:rowOff>114300</xdr:rowOff>
    </xdr:to>
    <xdr:pic>
      <xdr:nvPicPr>
        <xdr:cNvPr id="5" name="Picture 5"/>
        <xdr:cNvPicPr preferRelativeResize="1">
          <a:picLocks noChangeAspect="1"/>
        </xdr:cNvPicPr>
      </xdr:nvPicPr>
      <xdr:blipFill>
        <a:blip r:link="rId2"/>
        <a:stretch>
          <a:fillRect/>
        </a:stretch>
      </xdr:blipFill>
      <xdr:spPr>
        <a:xfrm>
          <a:off x="16306800" y="39471600"/>
          <a:ext cx="800100" cy="228600"/>
        </a:xfrm>
        <a:prstGeom prst="rect">
          <a:avLst/>
        </a:prstGeom>
        <a:noFill/>
        <a:ln w="9525" cmpd="sng">
          <a:noFill/>
        </a:ln>
      </xdr:spPr>
    </xdr:pic>
    <xdr:clientData/>
  </xdr:twoCellAnchor>
  <xdr:twoCellAnchor>
    <xdr:from>
      <xdr:col>12</xdr:col>
      <xdr:colOff>2200275</xdr:colOff>
      <xdr:row>151</xdr:row>
      <xdr:rowOff>104775</xdr:rowOff>
    </xdr:from>
    <xdr:to>
      <xdr:col>12</xdr:col>
      <xdr:colOff>3000375</xdr:colOff>
      <xdr:row>152</xdr:row>
      <xdr:rowOff>142875</xdr:rowOff>
    </xdr:to>
    <xdr:pic>
      <xdr:nvPicPr>
        <xdr:cNvPr id="6" name="Picture 6"/>
        <xdr:cNvPicPr preferRelativeResize="1">
          <a:picLocks noChangeAspect="1"/>
        </xdr:cNvPicPr>
      </xdr:nvPicPr>
      <xdr:blipFill>
        <a:blip r:link="rId2"/>
        <a:stretch>
          <a:fillRect/>
        </a:stretch>
      </xdr:blipFill>
      <xdr:spPr>
        <a:xfrm>
          <a:off x="16259175" y="30051375"/>
          <a:ext cx="800100" cy="228600"/>
        </a:xfrm>
        <a:prstGeom prst="rect">
          <a:avLst/>
        </a:prstGeom>
        <a:noFill/>
        <a:ln w="9525" cmpd="sng">
          <a:noFill/>
        </a:ln>
      </xdr:spPr>
    </xdr:pic>
    <xdr:clientData/>
  </xdr:twoCellAnchor>
  <xdr:twoCellAnchor>
    <xdr:from>
      <xdr:col>12</xdr:col>
      <xdr:colOff>2276475</xdr:colOff>
      <xdr:row>102</xdr:row>
      <xdr:rowOff>85725</xdr:rowOff>
    </xdr:from>
    <xdr:to>
      <xdr:col>12</xdr:col>
      <xdr:colOff>3076575</xdr:colOff>
      <xdr:row>103</xdr:row>
      <xdr:rowOff>161925</xdr:rowOff>
    </xdr:to>
    <xdr:pic>
      <xdr:nvPicPr>
        <xdr:cNvPr id="7" name="Picture 7"/>
        <xdr:cNvPicPr preferRelativeResize="1">
          <a:picLocks noChangeAspect="1"/>
        </xdr:cNvPicPr>
      </xdr:nvPicPr>
      <xdr:blipFill>
        <a:blip r:link="rId2"/>
        <a:stretch>
          <a:fillRect/>
        </a:stretch>
      </xdr:blipFill>
      <xdr:spPr>
        <a:xfrm>
          <a:off x="16335375" y="20869275"/>
          <a:ext cx="800100" cy="228600"/>
        </a:xfrm>
        <a:prstGeom prst="rect">
          <a:avLst/>
        </a:prstGeom>
        <a:noFill/>
        <a:ln w="9525" cmpd="sng">
          <a:noFill/>
        </a:ln>
      </xdr:spPr>
    </xdr:pic>
    <xdr:clientData/>
  </xdr:twoCellAnchor>
  <xdr:twoCellAnchor>
    <xdr:from>
      <xdr:col>12</xdr:col>
      <xdr:colOff>2295525</xdr:colOff>
      <xdr:row>49</xdr:row>
      <xdr:rowOff>123825</xdr:rowOff>
    </xdr:from>
    <xdr:to>
      <xdr:col>12</xdr:col>
      <xdr:colOff>3095625</xdr:colOff>
      <xdr:row>50</xdr:row>
      <xdr:rowOff>152400</xdr:rowOff>
    </xdr:to>
    <xdr:pic>
      <xdr:nvPicPr>
        <xdr:cNvPr id="8" name="Picture 8"/>
        <xdr:cNvPicPr preferRelativeResize="1">
          <a:picLocks noChangeAspect="1"/>
        </xdr:cNvPicPr>
      </xdr:nvPicPr>
      <xdr:blipFill>
        <a:blip r:link="rId2"/>
        <a:stretch>
          <a:fillRect/>
        </a:stretch>
      </xdr:blipFill>
      <xdr:spPr>
        <a:xfrm>
          <a:off x="16354425" y="970597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102</xdr:row>
      <xdr:rowOff>85725</xdr:rowOff>
    </xdr:from>
    <xdr:to>
      <xdr:col>1</xdr:col>
      <xdr:colOff>85725</xdr:colOff>
      <xdr:row>103</xdr:row>
      <xdr:rowOff>171450</xdr:rowOff>
    </xdr:to>
    <xdr:pic>
      <xdr:nvPicPr>
        <xdr:cNvPr id="2" name="Picture 2"/>
        <xdr:cNvPicPr preferRelativeResize="1">
          <a:picLocks noChangeAspect="1"/>
        </xdr:cNvPicPr>
      </xdr:nvPicPr>
      <xdr:blipFill>
        <a:blip r:link="rId1"/>
        <a:stretch>
          <a:fillRect/>
        </a:stretch>
      </xdr:blipFill>
      <xdr:spPr>
        <a:xfrm>
          <a:off x="85725"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66675</xdr:colOff>
      <xdr:row>198</xdr:row>
      <xdr:rowOff>123825</xdr:rowOff>
    </xdr:from>
    <xdr:to>
      <xdr:col>1</xdr:col>
      <xdr:colOff>66675</xdr:colOff>
      <xdr:row>199</xdr:row>
      <xdr:rowOff>161925</xdr:rowOff>
    </xdr:to>
    <xdr:pic>
      <xdr:nvPicPr>
        <xdr:cNvPr id="4" name="Picture 4"/>
        <xdr:cNvPicPr preferRelativeResize="1">
          <a:picLocks noChangeAspect="1"/>
        </xdr:cNvPicPr>
      </xdr:nvPicPr>
      <xdr:blipFill>
        <a:blip r:link="rId1"/>
        <a:stretch>
          <a:fillRect/>
        </a:stretch>
      </xdr:blipFill>
      <xdr:spPr>
        <a:xfrm>
          <a:off x="66675" y="39509700"/>
          <a:ext cx="314325" cy="238125"/>
        </a:xfrm>
        <a:prstGeom prst="rect">
          <a:avLst/>
        </a:prstGeom>
        <a:noFill/>
        <a:ln w="9525" cmpd="sng">
          <a:noFill/>
        </a:ln>
      </xdr:spPr>
    </xdr:pic>
    <xdr:clientData/>
  </xdr:twoCellAnchor>
  <xdr:twoCellAnchor>
    <xdr:from>
      <xdr:col>12</xdr:col>
      <xdr:colOff>1905000</xdr:colOff>
      <xdr:row>198</xdr:row>
      <xdr:rowOff>95250</xdr:rowOff>
    </xdr:from>
    <xdr:to>
      <xdr:col>12</xdr:col>
      <xdr:colOff>2705100</xdr:colOff>
      <xdr:row>199</xdr:row>
      <xdr:rowOff>123825</xdr:rowOff>
    </xdr:to>
    <xdr:pic>
      <xdr:nvPicPr>
        <xdr:cNvPr id="5" name="Picture 5"/>
        <xdr:cNvPicPr preferRelativeResize="1">
          <a:picLocks noChangeAspect="1"/>
        </xdr:cNvPicPr>
      </xdr:nvPicPr>
      <xdr:blipFill>
        <a:blip r:link="rId2"/>
        <a:stretch>
          <a:fillRect/>
        </a:stretch>
      </xdr:blipFill>
      <xdr:spPr>
        <a:xfrm>
          <a:off x="15963900" y="39481125"/>
          <a:ext cx="800100" cy="228600"/>
        </a:xfrm>
        <a:prstGeom prst="rect">
          <a:avLst/>
        </a:prstGeom>
        <a:noFill/>
        <a:ln w="9525" cmpd="sng">
          <a:noFill/>
        </a:ln>
      </xdr:spPr>
    </xdr:pic>
    <xdr:clientData/>
  </xdr:twoCellAnchor>
  <xdr:twoCellAnchor>
    <xdr:from>
      <xdr:col>12</xdr:col>
      <xdr:colOff>2085975</xdr:colOff>
      <xdr:row>151</xdr:row>
      <xdr:rowOff>152400</xdr:rowOff>
    </xdr:from>
    <xdr:to>
      <xdr:col>12</xdr:col>
      <xdr:colOff>2886075</xdr:colOff>
      <xdr:row>152</xdr:row>
      <xdr:rowOff>190500</xdr:rowOff>
    </xdr:to>
    <xdr:pic>
      <xdr:nvPicPr>
        <xdr:cNvPr id="6" name="Picture 6"/>
        <xdr:cNvPicPr preferRelativeResize="1">
          <a:picLocks noChangeAspect="1"/>
        </xdr:cNvPicPr>
      </xdr:nvPicPr>
      <xdr:blipFill>
        <a:blip r:link="rId2"/>
        <a:stretch>
          <a:fillRect/>
        </a:stretch>
      </xdr:blipFill>
      <xdr:spPr>
        <a:xfrm>
          <a:off x="16144875" y="30099000"/>
          <a:ext cx="800100" cy="228600"/>
        </a:xfrm>
        <a:prstGeom prst="rect">
          <a:avLst/>
        </a:prstGeom>
        <a:noFill/>
        <a:ln w="9525" cmpd="sng">
          <a:noFill/>
        </a:ln>
      </xdr:spPr>
    </xdr:pic>
    <xdr:clientData/>
  </xdr:twoCellAnchor>
  <xdr:twoCellAnchor>
    <xdr:from>
      <xdr:col>12</xdr:col>
      <xdr:colOff>1933575</xdr:colOff>
      <xdr:row>102</xdr:row>
      <xdr:rowOff>0</xdr:rowOff>
    </xdr:from>
    <xdr:to>
      <xdr:col>12</xdr:col>
      <xdr:colOff>2733675</xdr:colOff>
      <xdr:row>103</xdr:row>
      <xdr:rowOff>76200</xdr:rowOff>
    </xdr:to>
    <xdr:pic>
      <xdr:nvPicPr>
        <xdr:cNvPr id="7" name="Picture 7"/>
        <xdr:cNvPicPr preferRelativeResize="1">
          <a:picLocks noChangeAspect="1"/>
        </xdr:cNvPicPr>
      </xdr:nvPicPr>
      <xdr:blipFill>
        <a:blip r:link="rId2"/>
        <a:stretch>
          <a:fillRect/>
        </a:stretch>
      </xdr:blipFill>
      <xdr:spPr>
        <a:xfrm>
          <a:off x="15992475" y="20783550"/>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85725</xdr:colOff>
      <xdr:row>102</xdr:row>
      <xdr:rowOff>85725</xdr:rowOff>
    </xdr:from>
    <xdr:to>
      <xdr:col>1</xdr:col>
      <xdr:colOff>85725</xdr:colOff>
      <xdr:row>103</xdr:row>
      <xdr:rowOff>171450</xdr:rowOff>
    </xdr:to>
    <xdr:pic>
      <xdr:nvPicPr>
        <xdr:cNvPr id="2" name="Picture 2"/>
        <xdr:cNvPicPr preferRelativeResize="1">
          <a:picLocks noChangeAspect="1"/>
        </xdr:cNvPicPr>
      </xdr:nvPicPr>
      <xdr:blipFill>
        <a:blip r:link="rId1"/>
        <a:stretch>
          <a:fillRect/>
        </a:stretch>
      </xdr:blipFill>
      <xdr:spPr>
        <a:xfrm>
          <a:off x="85725" y="20869275"/>
          <a:ext cx="314325" cy="238125"/>
        </a:xfrm>
        <a:prstGeom prst="rect">
          <a:avLst/>
        </a:prstGeom>
        <a:noFill/>
        <a:ln w="9525" cmpd="sng">
          <a:noFill/>
        </a:ln>
      </xdr:spPr>
    </xdr:pic>
    <xdr:clientData/>
  </xdr:twoCellAnchor>
  <xdr:twoCellAnchor>
    <xdr:from>
      <xdr:col>0</xdr:col>
      <xdr:colOff>0</xdr:colOff>
      <xdr:row>151</xdr:row>
      <xdr:rowOff>161925</xdr:rowOff>
    </xdr:from>
    <xdr:to>
      <xdr:col>1</xdr:col>
      <xdr:colOff>0</xdr:colOff>
      <xdr:row>152</xdr:row>
      <xdr:rowOff>209550</xdr:rowOff>
    </xdr:to>
    <xdr:pic>
      <xdr:nvPicPr>
        <xdr:cNvPr id="3" name="Picture 3"/>
        <xdr:cNvPicPr preferRelativeResize="1">
          <a:picLocks noChangeAspect="1"/>
        </xdr:cNvPicPr>
      </xdr:nvPicPr>
      <xdr:blipFill>
        <a:blip r:link="rId1"/>
        <a:stretch>
          <a:fillRect/>
        </a:stretch>
      </xdr:blipFill>
      <xdr:spPr>
        <a:xfrm>
          <a:off x="0" y="30108525"/>
          <a:ext cx="314325" cy="238125"/>
        </a:xfrm>
        <a:prstGeom prst="rect">
          <a:avLst/>
        </a:prstGeom>
        <a:noFill/>
        <a:ln w="9525" cmpd="sng">
          <a:noFill/>
        </a:ln>
      </xdr:spPr>
    </xdr:pic>
    <xdr:clientData/>
  </xdr:twoCellAnchor>
  <xdr:twoCellAnchor>
    <xdr:from>
      <xdr:col>0</xdr:col>
      <xdr:colOff>66675</xdr:colOff>
      <xdr:row>198</xdr:row>
      <xdr:rowOff>123825</xdr:rowOff>
    </xdr:from>
    <xdr:to>
      <xdr:col>1</xdr:col>
      <xdr:colOff>66675</xdr:colOff>
      <xdr:row>199</xdr:row>
      <xdr:rowOff>161925</xdr:rowOff>
    </xdr:to>
    <xdr:pic>
      <xdr:nvPicPr>
        <xdr:cNvPr id="4" name="Picture 4"/>
        <xdr:cNvPicPr preferRelativeResize="1">
          <a:picLocks noChangeAspect="1"/>
        </xdr:cNvPicPr>
      </xdr:nvPicPr>
      <xdr:blipFill>
        <a:blip r:link="rId1"/>
        <a:stretch>
          <a:fillRect/>
        </a:stretch>
      </xdr:blipFill>
      <xdr:spPr>
        <a:xfrm>
          <a:off x="66675" y="39509700"/>
          <a:ext cx="314325" cy="238125"/>
        </a:xfrm>
        <a:prstGeom prst="rect">
          <a:avLst/>
        </a:prstGeom>
        <a:noFill/>
        <a:ln w="9525" cmpd="sng">
          <a:noFill/>
        </a:ln>
      </xdr:spPr>
    </xdr:pic>
    <xdr:clientData/>
  </xdr:twoCellAnchor>
  <xdr:twoCellAnchor>
    <xdr:from>
      <xdr:col>12</xdr:col>
      <xdr:colOff>1905000</xdr:colOff>
      <xdr:row>198</xdr:row>
      <xdr:rowOff>95250</xdr:rowOff>
    </xdr:from>
    <xdr:to>
      <xdr:col>12</xdr:col>
      <xdr:colOff>2705100</xdr:colOff>
      <xdr:row>199</xdr:row>
      <xdr:rowOff>123825</xdr:rowOff>
    </xdr:to>
    <xdr:pic>
      <xdr:nvPicPr>
        <xdr:cNvPr id="5" name="Picture 5"/>
        <xdr:cNvPicPr preferRelativeResize="1">
          <a:picLocks noChangeAspect="1"/>
        </xdr:cNvPicPr>
      </xdr:nvPicPr>
      <xdr:blipFill>
        <a:blip r:link="rId2"/>
        <a:stretch>
          <a:fillRect/>
        </a:stretch>
      </xdr:blipFill>
      <xdr:spPr>
        <a:xfrm>
          <a:off x="15963900" y="39481125"/>
          <a:ext cx="800100" cy="228600"/>
        </a:xfrm>
        <a:prstGeom prst="rect">
          <a:avLst/>
        </a:prstGeom>
        <a:noFill/>
        <a:ln w="9525" cmpd="sng">
          <a:noFill/>
        </a:ln>
      </xdr:spPr>
    </xdr:pic>
    <xdr:clientData/>
  </xdr:twoCellAnchor>
  <xdr:twoCellAnchor>
    <xdr:from>
      <xdr:col>12</xdr:col>
      <xdr:colOff>2085975</xdr:colOff>
      <xdr:row>151</xdr:row>
      <xdr:rowOff>152400</xdr:rowOff>
    </xdr:from>
    <xdr:to>
      <xdr:col>12</xdr:col>
      <xdr:colOff>2886075</xdr:colOff>
      <xdr:row>152</xdr:row>
      <xdr:rowOff>190500</xdr:rowOff>
    </xdr:to>
    <xdr:pic>
      <xdr:nvPicPr>
        <xdr:cNvPr id="6" name="Picture 6"/>
        <xdr:cNvPicPr preferRelativeResize="1">
          <a:picLocks noChangeAspect="1"/>
        </xdr:cNvPicPr>
      </xdr:nvPicPr>
      <xdr:blipFill>
        <a:blip r:link="rId2"/>
        <a:stretch>
          <a:fillRect/>
        </a:stretch>
      </xdr:blipFill>
      <xdr:spPr>
        <a:xfrm>
          <a:off x="16144875" y="30099000"/>
          <a:ext cx="800100" cy="228600"/>
        </a:xfrm>
        <a:prstGeom prst="rect">
          <a:avLst/>
        </a:prstGeom>
        <a:noFill/>
        <a:ln w="9525" cmpd="sng">
          <a:noFill/>
        </a:ln>
      </xdr:spPr>
    </xdr:pic>
    <xdr:clientData/>
  </xdr:twoCellAnchor>
  <xdr:twoCellAnchor>
    <xdr:from>
      <xdr:col>12</xdr:col>
      <xdr:colOff>1933575</xdr:colOff>
      <xdr:row>102</xdr:row>
      <xdr:rowOff>0</xdr:rowOff>
    </xdr:from>
    <xdr:to>
      <xdr:col>12</xdr:col>
      <xdr:colOff>2733675</xdr:colOff>
      <xdr:row>103</xdr:row>
      <xdr:rowOff>76200</xdr:rowOff>
    </xdr:to>
    <xdr:pic>
      <xdr:nvPicPr>
        <xdr:cNvPr id="7" name="Picture 7"/>
        <xdr:cNvPicPr preferRelativeResize="1">
          <a:picLocks noChangeAspect="1"/>
        </xdr:cNvPicPr>
      </xdr:nvPicPr>
      <xdr:blipFill>
        <a:blip r:link="rId2"/>
        <a:stretch>
          <a:fillRect/>
        </a:stretch>
      </xdr:blipFill>
      <xdr:spPr>
        <a:xfrm>
          <a:off x="15992475" y="20783550"/>
          <a:ext cx="800100" cy="228600"/>
        </a:xfrm>
        <a:prstGeom prst="rect">
          <a:avLst/>
        </a:prstGeom>
        <a:noFill/>
        <a:ln w="9525" cmpd="sng">
          <a:noFill/>
        </a:ln>
      </xdr:spPr>
    </xdr:pic>
    <xdr:clientData/>
  </xdr:twoCellAnchor>
  <xdr:twoCellAnchor>
    <xdr:from>
      <xdr:col>12</xdr:col>
      <xdr:colOff>1962150</xdr:colOff>
      <xdr:row>49</xdr:row>
      <xdr:rowOff>104775</xdr:rowOff>
    </xdr:from>
    <xdr:to>
      <xdr:col>12</xdr:col>
      <xdr:colOff>2762250</xdr:colOff>
      <xdr:row>50</xdr:row>
      <xdr:rowOff>133350</xdr:rowOff>
    </xdr:to>
    <xdr:pic>
      <xdr:nvPicPr>
        <xdr:cNvPr id="8" name="Picture 8"/>
        <xdr:cNvPicPr preferRelativeResize="1">
          <a:picLocks noChangeAspect="1"/>
        </xdr:cNvPicPr>
      </xdr:nvPicPr>
      <xdr:blipFill>
        <a:blip r:link="rId2"/>
        <a:stretch>
          <a:fillRect/>
        </a:stretch>
      </xdr:blipFill>
      <xdr:spPr>
        <a:xfrm>
          <a:off x="16021050" y="9686925"/>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66406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37128</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1</v>
      </c>
      <c r="D30" s="35"/>
      <c r="E30" s="36"/>
      <c r="F30" s="35">
        <v>306000</v>
      </c>
      <c r="G30" s="35"/>
      <c r="H30" s="35">
        <v>34000</v>
      </c>
      <c r="I30" s="35"/>
      <c r="J30" s="35"/>
      <c r="K30" s="37"/>
      <c r="L30" s="35">
        <f>H30+F30</f>
        <v>340000</v>
      </c>
      <c r="M30" s="38"/>
      <c r="N30" s="6"/>
    </row>
    <row r="31" spans="1:14" ht="12.75" customHeight="1">
      <c r="A31" s="32"/>
      <c r="B31" s="33" t="s">
        <v>20</v>
      </c>
      <c r="C31" s="40">
        <v>0.977987</v>
      </c>
      <c r="D31" s="41"/>
      <c r="E31" s="42"/>
      <c r="F31" s="41">
        <f>F29*C31</f>
        <v>299264.022</v>
      </c>
      <c r="G31" s="41"/>
      <c r="H31" s="41">
        <f>H29</f>
        <v>34000</v>
      </c>
      <c r="I31" s="41"/>
      <c r="J31" s="41"/>
      <c r="K31" s="43"/>
      <c r="L31" s="41">
        <f>H31+F31+D31</f>
        <v>333264.022</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0.0560678</v>
      </c>
      <c r="G33" s="46"/>
      <c r="H33" s="45">
        <v>0.0612678</v>
      </c>
      <c r="I33" s="46"/>
      <c r="J33" s="45"/>
      <c r="K33" s="31"/>
      <c r="L33" s="46">
        <f>SUMPRODUCT(F33:H33,F29:H29)/L29</f>
        <v>0.056587799999999994</v>
      </c>
      <c r="M33" s="28"/>
      <c r="N33" s="6"/>
    </row>
    <row r="34" spans="1:14" ht="15.75">
      <c r="A34" s="27"/>
      <c r="B34" s="28" t="s">
        <v>23</v>
      </c>
      <c r="C34" s="28"/>
      <c r="D34" s="45"/>
      <c r="E34" s="28"/>
      <c r="F34" s="45">
        <v>0</v>
      </c>
      <c r="G34" s="46"/>
      <c r="H34" s="45">
        <v>0</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28"/>
      <c r="I39" s="28"/>
      <c r="J39" s="28"/>
      <c r="K39" s="28"/>
      <c r="L39" s="46">
        <f>H29/F29</f>
        <v>0.1111111111111111</v>
      </c>
      <c r="M39" s="28"/>
      <c r="N39" s="6"/>
    </row>
    <row r="40" spans="1:14" ht="15.75">
      <c r="A40" s="27"/>
      <c r="B40" s="28" t="s">
        <v>28</v>
      </c>
      <c r="C40" s="28"/>
      <c r="D40" s="28"/>
      <c r="E40" s="28"/>
      <c r="F40" s="28"/>
      <c r="G40" s="28"/>
      <c r="H40" s="28"/>
      <c r="I40" s="28"/>
      <c r="J40" s="28"/>
      <c r="K40" s="28"/>
      <c r="L40" s="46">
        <f>H31/F31</f>
        <v>0.1136120532390626</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37110</v>
      </c>
      <c r="M44" s="28"/>
      <c r="N44" s="6"/>
    </row>
    <row r="45" spans="1:14" ht="15.75">
      <c r="A45" s="27"/>
      <c r="B45" s="28" t="s">
        <v>32</v>
      </c>
      <c r="C45" s="28"/>
      <c r="D45" s="28"/>
      <c r="E45" s="28"/>
      <c r="F45" s="28"/>
      <c r="G45" s="28"/>
      <c r="H45" s="28"/>
      <c r="I45" s="28">
        <v>0</v>
      </c>
      <c r="J45" s="51"/>
      <c r="K45" s="52"/>
      <c r="L45" s="53"/>
      <c r="M45" s="28"/>
      <c r="N45" s="6"/>
    </row>
    <row r="46" spans="1:14" ht="15.75">
      <c r="A46" s="27"/>
      <c r="B46" s="28" t="s">
        <v>33</v>
      </c>
      <c r="C46" s="28"/>
      <c r="D46" s="28"/>
      <c r="E46" s="28"/>
      <c r="F46" s="28"/>
      <c r="G46" s="28"/>
      <c r="H46" s="28"/>
      <c r="I46" s="28">
        <f>L46-J46+1</f>
        <v>102</v>
      </c>
      <c r="J46" s="53">
        <v>37008</v>
      </c>
      <c r="K46" s="52"/>
      <c r="L46" s="53">
        <v>37109</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37106</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36</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s="140" customFormat="1" ht="63">
      <c r="A55" s="134"/>
      <c r="B55" s="135" t="s">
        <v>38</v>
      </c>
      <c r="C55" s="136" t="s">
        <v>146</v>
      </c>
      <c r="D55" s="136" t="s">
        <v>148</v>
      </c>
      <c r="E55" s="136"/>
      <c r="F55" s="136" t="s">
        <v>159</v>
      </c>
      <c r="G55" s="136"/>
      <c r="H55" s="136" t="s">
        <v>169</v>
      </c>
      <c r="I55" s="136"/>
      <c r="J55" s="136" t="s">
        <v>176</v>
      </c>
      <c r="K55" s="136"/>
      <c r="L55" s="137" t="s">
        <v>188</v>
      </c>
      <c r="M55" s="138"/>
      <c r="N55" s="139"/>
    </row>
    <row r="56" spans="1:14" ht="15.75">
      <c r="A56" s="27"/>
      <c r="B56" s="28" t="s">
        <v>39</v>
      </c>
      <c r="C56" s="38">
        <v>280068</v>
      </c>
      <c r="D56" s="38">
        <v>280068</v>
      </c>
      <c r="E56" s="38"/>
      <c r="F56" s="38">
        <f>6736+211+1341+196+15-250</f>
        <v>8249</v>
      </c>
      <c r="G56" s="38"/>
      <c r="H56" s="38">
        <f>59682+211+1341+15+196</f>
        <v>61445</v>
      </c>
      <c r="I56" s="38"/>
      <c r="J56" s="38">
        <v>0</v>
      </c>
      <c r="K56" s="38"/>
      <c r="L56" s="60">
        <f>D56-F56+H56-J56</f>
        <v>333264</v>
      </c>
      <c r="M56" s="28"/>
      <c r="N56" s="6"/>
    </row>
    <row r="57" spans="1:14" ht="15.75">
      <c r="A57" s="27"/>
      <c r="B57" s="28" t="s">
        <v>40</v>
      </c>
      <c r="C57" s="38">
        <v>250</v>
      </c>
      <c r="D57" s="38">
        <v>250</v>
      </c>
      <c r="E57" s="38"/>
      <c r="F57" s="38">
        <v>250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280318</v>
      </c>
      <c r="E59" s="38"/>
      <c r="F59" s="38">
        <f>SUM(F56:F58)</f>
        <v>8499</v>
      </c>
      <c r="G59" s="38"/>
      <c r="H59" s="38">
        <f>SUM(H56:H58)</f>
        <v>61445</v>
      </c>
      <c r="I59" s="38"/>
      <c r="J59" s="38">
        <f>SUM(J56:J58)</f>
        <v>0</v>
      </c>
      <c r="K59" s="38"/>
      <c r="L59" s="61">
        <f>SUM(L56:L58)</f>
        <v>333264</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59682</v>
      </c>
      <c r="E69" s="38"/>
      <c r="F69" s="38"/>
      <c r="G69" s="38"/>
      <c r="H69" s="38">
        <v>-59682</v>
      </c>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340000</v>
      </c>
      <c r="E71" s="38"/>
      <c r="F71" s="61"/>
      <c r="G71" s="38"/>
      <c r="H71" s="61"/>
      <c r="I71" s="38"/>
      <c r="J71" s="61"/>
      <c r="K71" s="38"/>
      <c r="L71" s="61">
        <f>SUM(L59:L70)</f>
        <v>333264</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v>37103</v>
      </c>
      <c r="E75" s="28"/>
      <c r="F75" s="28"/>
      <c r="G75" s="28"/>
      <c r="H75" s="28"/>
      <c r="I75" s="28"/>
      <c r="J75" s="38">
        <v>8249</v>
      </c>
      <c r="K75" s="28"/>
      <c r="L75" s="60"/>
      <c r="M75" s="28"/>
      <c r="N75" s="6"/>
    </row>
    <row r="76" spans="1:14" ht="15.75">
      <c r="A76" s="27"/>
      <c r="B76" s="28" t="s">
        <v>50</v>
      </c>
      <c r="C76" s="28"/>
      <c r="D76" s="28"/>
      <c r="E76" s="28"/>
      <c r="F76" s="28"/>
      <c r="G76" s="28"/>
      <c r="H76" s="28"/>
      <c r="I76" s="28"/>
      <c r="J76" s="38"/>
      <c r="K76" s="28"/>
      <c r="L76" s="60">
        <f>7629+218</f>
        <v>7847</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8249</v>
      </c>
      <c r="K78" s="28"/>
      <c r="L78" s="61">
        <f>SUM(L74:L77)</f>
        <v>7847</v>
      </c>
      <c r="M78" s="28"/>
      <c r="N78" s="6"/>
    </row>
    <row r="79" spans="1:14" ht="15.75">
      <c r="A79" s="27"/>
      <c r="B79" s="28" t="s">
        <v>53</v>
      </c>
      <c r="C79" s="28"/>
      <c r="D79" s="28"/>
      <c r="E79" s="28"/>
      <c r="F79" s="28"/>
      <c r="G79" s="28"/>
      <c r="H79" s="28"/>
      <c r="I79" s="28"/>
      <c r="J79" s="38">
        <v>250</v>
      </c>
      <c r="K79" s="28"/>
      <c r="L79" s="60">
        <v>-250</v>
      </c>
      <c r="M79" s="28"/>
      <c r="N79" s="6"/>
    </row>
    <row r="80" spans="1:14" ht="15.75">
      <c r="A80" s="27"/>
      <c r="B80" s="28" t="s">
        <v>54</v>
      </c>
      <c r="C80" s="28"/>
      <c r="D80" s="28"/>
      <c r="E80" s="28"/>
      <c r="F80" s="28"/>
      <c r="G80" s="28"/>
      <c r="H80" s="28"/>
      <c r="I80" s="28"/>
      <c r="J80" s="38">
        <f>J78+J79</f>
        <v>8499</v>
      </c>
      <c r="K80" s="28"/>
      <c r="L80" s="61">
        <f>L78+L79</f>
        <v>7597</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-1450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v>-243</v>
      </c>
      <c r="M84" s="28"/>
      <c r="N84" s="6"/>
    </row>
    <row r="85" spans="1:14" ht="15.75">
      <c r="A85" s="27">
        <v>4</v>
      </c>
      <c r="B85" s="28" t="s">
        <v>59</v>
      </c>
      <c r="C85" s="28"/>
      <c r="D85" s="28"/>
      <c r="E85" s="28"/>
      <c r="F85" s="28"/>
      <c r="G85" s="28"/>
      <c r="H85" s="28"/>
      <c r="I85" s="28"/>
      <c r="J85" s="28"/>
      <c r="K85" s="28"/>
      <c r="L85" s="60">
        <v>-159</v>
      </c>
      <c r="M85" s="28"/>
      <c r="N85" s="6"/>
    </row>
    <row r="86" spans="1:14" ht="15.75">
      <c r="A86" s="27">
        <v>5</v>
      </c>
      <c r="B86" s="28" t="s">
        <v>60</v>
      </c>
      <c r="C86" s="28"/>
      <c r="D86" s="28"/>
      <c r="E86" s="28"/>
      <c r="F86" s="28"/>
      <c r="G86" s="28"/>
      <c r="H86" s="28"/>
      <c r="I86" s="28"/>
      <c r="J86" s="28"/>
      <c r="K86" s="28"/>
      <c r="L86" s="60">
        <v>-4794</v>
      </c>
      <c r="M86" s="28"/>
      <c r="N86" s="6"/>
    </row>
    <row r="87" spans="1:14" ht="15.75">
      <c r="A87" s="27">
        <v>6</v>
      </c>
      <c r="B87" s="28" t="s">
        <v>61</v>
      </c>
      <c r="C87" s="28"/>
      <c r="D87" s="28"/>
      <c r="E87" s="28"/>
      <c r="F87" s="28"/>
      <c r="G87" s="28"/>
      <c r="H87" s="28"/>
      <c r="I87" s="28"/>
      <c r="J87" s="28"/>
      <c r="K87" s="28"/>
      <c r="L87" s="60">
        <v>-582</v>
      </c>
      <c r="M87" s="28"/>
      <c r="N87" s="6"/>
    </row>
    <row r="88" spans="1:14" ht="15.75">
      <c r="A88" s="27">
        <v>7</v>
      </c>
      <c r="B88" s="28" t="s">
        <v>62</v>
      </c>
      <c r="C88" s="28"/>
      <c r="D88" s="28"/>
      <c r="E88" s="28"/>
      <c r="F88" s="28"/>
      <c r="G88" s="28"/>
      <c r="H88" s="28"/>
      <c r="I88" s="28"/>
      <c r="J88" s="28"/>
      <c r="K88" s="28"/>
      <c r="L88" s="60">
        <v>-3</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v>-202</v>
      </c>
      <c r="M93" s="28"/>
      <c r="N93" s="6"/>
    </row>
    <row r="94" spans="1:14" ht="15.75">
      <c r="A94" s="27">
        <v>13</v>
      </c>
      <c r="B94" s="28" t="s">
        <v>68</v>
      </c>
      <c r="C94" s="28"/>
      <c r="D94" s="28"/>
      <c r="E94" s="28"/>
      <c r="F94" s="28"/>
      <c r="G94" s="28"/>
      <c r="H94" s="28"/>
      <c r="I94" s="28"/>
      <c r="J94" s="28"/>
      <c r="K94" s="28"/>
      <c r="L94" s="60">
        <f>-SUM(L80:L93)</f>
        <v>-159</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-226</v>
      </c>
      <c r="K96" s="38"/>
      <c r="L96" s="60"/>
      <c r="M96" s="28"/>
      <c r="N96" s="6"/>
    </row>
    <row r="97" spans="1:14" ht="15.75">
      <c r="A97" s="27"/>
      <c r="B97" s="28" t="s">
        <v>71</v>
      </c>
      <c r="C97" s="28"/>
      <c r="D97" s="28"/>
      <c r="E97" s="28"/>
      <c r="F97" s="28"/>
      <c r="G97" s="28"/>
      <c r="H97" s="28"/>
      <c r="I97" s="28"/>
      <c r="J97" s="38">
        <f>-H141</f>
        <v>-1537</v>
      </c>
      <c r="K97" s="38"/>
      <c r="L97" s="60"/>
      <c r="M97" s="28"/>
      <c r="N97" s="6"/>
    </row>
    <row r="98" spans="1:14" ht="15.75">
      <c r="A98" s="27"/>
      <c r="B98" s="28" t="s">
        <v>72</v>
      </c>
      <c r="C98" s="28"/>
      <c r="D98" s="28"/>
      <c r="E98" s="28"/>
      <c r="F98" s="28"/>
      <c r="G98" s="28"/>
      <c r="H98" s="28"/>
      <c r="I98" s="28"/>
      <c r="J98" s="38">
        <v>-6736</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-8499</v>
      </c>
      <c r="K100" s="38"/>
      <c r="L100" s="38">
        <f>SUM(L81:L99)</f>
        <v>-7597</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5.75" customHeight="1" thickBot="1">
      <c r="A104" s="119"/>
      <c r="B104" s="120" t="s">
        <v>36</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333264</v>
      </c>
      <c r="M134" s="28"/>
      <c r="N134" s="6"/>
    </row>
    <row r="135" spans="1:14" ht="15.75">
      <c r="A135" s="27"/>
      <c r="B135" s="28" t="s">
        <v>97</v>
      </c>
      <c r="C135" s="73"/>
      <c r="D135" s="28"/>
      <c r="E135" s="28"/>
      <c r="F135" s="28"/>
      <c r="G135" s="28"/>
      <c r="H135" s="28"/>
      <c r="I135" s="28"/>
      <c r="J135" s="28"/>
      <c r="K135" s="28"/>
      <c r="L135" s="60">
        <f>L31</f>
        <v>333264.022</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0</v>
      </c>
      <c r="I140" s="28"/>
      <c r="J140" s="60">
        <v>0</v>
      </c>
      <c r="K140" s="28"/>
      <c r="L140" s="60">
        <f>J140+H140</f>
        <v>0</v>
      </c>
      <c r="M140" s="28"/>
      <c r="N140" s="6"/>
    </row>
    <row r="141" spans="1:14" ht="15.75">
      <c r="A141" s="27"/>
      <c r="B141" s="28" t="s">
        <v>101</v>
      </c>
      <c r="C141" s="28"/>
      <c r="D141" s="28"/>
      <c r="E141" s="28"/>
      <c r="F141" s="28"/>
      <c r="G141" s="28"/>
      <c r="H141" s="60">
        <v>1537</v>
      </c>
      <c r="I141" s="28"/>
      <c r="J141" s="60">
        <v>226</v>
      </c>
      <c r="K141" s="28"/>
      <c r="L141" s="60">
        <f>J141+H141</f>
        <v>1763</v>
      </c>
      <c r="M141" s="28"/>
      <c r="N141" s="6"/>
    </row>
    <row r="142" spans="1:14" ht="15.75">
      <c r="A142" s="27"/>
      <c r="B142" s="28" t="s">
        <v>102</v>
      </c>
      <c r="C142" s="28"/>
      <c r="D142" s="28"/>
      <c r="E142" s="28"/>
      <c r="F142" s="28"/>
      <c r="G142" s="28"/>
      <c r="H142" s="60">
        <f>H141+H140</f>
        <v>1537</v>
      </c>
      <c r="I142" s="28"/>
      <c r="J142" s="60">
        <f>J141+J140</f>
        <v>226</v>
      </c>
      <c r="K142" s="28"/>
      <c r="L142" s="60">
        <f>J142+H142</f>
        <v>1763</v>
      </c>
      <c r="M142" s="28"/>
      <c r="N142" s="6"/>
    </row>
    <row r="143" spans="1:14" ht="15.75">
      <c r="A143" s="27"/>
      <c r="B143" s="28" t="s">
        <v>103</v>
      </c>
      <c r="C143" s="28"/>
      <c r="D143" s="28"/>
      <c r="E143" s="28"/>
      <c r="F143" s="28"/>
      <c r="G143" s="28"/>
      <c r="H143" s="60">
        <f>H139-H142-J142</f>
        <v>48237</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1.1973299958281185</v>
      </c>
      <c r="M147" s="28" t="s">
        <v>192</v>
      </c>
      <c r="N147" s="6"/>
    </row>
    <row r="148" spans="1:14" ht="15.75">
      <c r="A148" s="27"/>
      <c r="B148" s="28" t="s">
        <v>106</v>
      </c>
      <c r="C148" s="28"/>
      <c r="D148" s="28"/>
      <c r="E148" s="28"/>
      <c r="F148" s="28"/>
      <c r="G148" s="28"/>
      <c r="H148" s="28"/>
      <c r="I148" s="28"/>
      <c r="J148" s="28"/>
      <c r="K148" s="28"/>
      <c r="L148" s="66">
        <f>L147</f>
        <v>1.1973299958281185</v>
      </c>
      <c r="M148" s="28" t="s">
        <v>192</v>
      </c>
      <c r="N148" s="6"/>
    </row>
    <row r="149" spans="1:14" ht="15.75">
      <c r="A149" s="27"/>
      <c r="B149" s="28" t="s">
        <v>107</v>
      </c>
      <c r="C149" s="28"/>
      <c r="D149" s="28"/>
      <c r="E149" s="28"/>
      <c r="F149" s="28"/>
      <c r="G149" s="28"/>
      <c r="H149" s="28"/>
      <c r="I149" s="28"/>
      <c r="J149" s="28"/>
      <c r="K149" s="28"/>
      <c r="L149" s="66">
        <f>(L80+SUM(L82:L86))/-L87</f>
        <v>1.6254295532646048</v>
      </c>
      <c r="M149" s="28" t="s">
        <v>192</v>
      </c>
      <c r="N149" s="6"/>
    </row>
    <row r="150" spans="1:14" ht="15.75">
      <c r="A150" s="27"/>
      <c r="B150" s="28" t="s">
        <v>108</v>
      </c>
      <c r="C150" s="28"/>
      <c r="D150" s="28"/>
      <c r="E150" s="28"/>
      <c r="F150" s="28"/>
      <c r="G150" s="28"/>
      <c r="H150" s="28"/>
      <c r="I150" s="28"/>
      <c r="J150" s="28"/>
      <c r="K150" s="28"/>
      <c r="L150" s="75">
        <f>L149</f>
        <v>1.6254295532646048</v>
      </c>
      <c r="M150" s="28" t="s">
        <v>192</v>
      </c>
      <c r="N150" s="6"/>
    </row>
    <row r="151" spans="1:14" ht="12.75" customHeight="1">
      <c r="A151" s="27"/>
      <c r="B151" s="28"/>
      <c r="C151" s="28"/>
      <c r="D151" s="28"/>
      <c r="E151" s="28"/>
      <c r="F151" s="28"/>
      <c r="G151" s="28"/>
      <c r="H151" s="28"/>
      <c r="I151" s="28"/>
      <c r="J151" s="28"/>
      <c r="K151" s="28"/>
      <c r="L151" s="28"/>
      <c r="M151" s="28"/>
      <c r="N151" s="6"/>
    </row>
    <row r="152" spans="1:14" ht="12.75" customHeight="1">
      <c r="A152" s="7"/>
      <c r="B152" s="9"/>
      <c r="C152" s="9"/>
      <c r="D152" s="9"/>
      <c r="E152" s="9"/>
      <c r="F152" s="9"/>
      <c r="G152" s="9"/>
      <c r="H152" s="9"/>
      <c r="I152" s="9"/>
      <c r="J152" s="9"/>
      <c r="K152" s="9"/>
      <c r="L152" s="9"/>
      <c r="M152" s="9"/>
      <c r="N152" s="6"/>
    </row>
    <row r="153" spans="1:14" ht="15" customHeight="1" thickBot="1">
      <c r="A153" s="119"/>
      <c r="B153" s="120" t="s">
        <v>36</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37103</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f>L33</f>
        <v>0.056587799999999994</v>
      </c>
      <c r="K158" s="28"/>
      <c r="L158" s="28"/>
      <c r="M158" s="28"/>
      <c r="N158" s="6"/>
    </row>
    <row r="159" spans="1:14" ht="15.75">
      <c r="A159" s="83"/>
      <c r="B159" s="84" t="s">
        <v>112</v>
      </c>
      <c r="C159" s="85"/>
      <c r="D159" s="85"/>
      <c r="E159" s="85"/>
      <c r="F159" s="85"/>
      <c r="G159" s="72"/>
      <c r="H159" s="72"/>
      <c r="I159" s="72"/>
      <c r="J159" s="86">
        <f>J157-J158</f>
        <v>0.015312200000000012</v>
      </c>
      <c r="K159" s="28"/>
      <c r="L159" s="28"/>
      <c r="M159" s="28"/>
      <c r="N159" s="6"/>
    </row>
    <row r="160" spans="1:14" ht="15.75">
      <c r="A160" s="83"/>
      <c r="B160" s="84" t="s">
        <v>113</v>
      </c>
      <c r="C160" s="85"/>
      <c r="D160" s="85"/>
      <c r="E160" s="85"/>
      <c r="F160" s="85"/>
      <c r="G160" s="72"/>
      <c r="H160" s="72"/>
      <c r="I160" s="72"/>
      <c r="J160" s="86">
        <v>0.0703</v>
      </c>
      <c r="K160" s="28"/>
      <c r="L160" s="28"/>
      <c r="M160" s="28"/>
      <c r="N160" s="6"/>
    </row>
    <row r="161" spans="1:14" ht="15.75">
      <c r="A161" s="83"/>
      <c r="B161" s="84" t="s">
        <v>114</v>
      </c>
      <c r="C161" s="85"/>
      <c r="D161" s="85"/>
      <c r="E161" s="85"/>
      <c r="F161" s="85"/>
      <c r="G161" s="72"/>
      <c r="H161" s="72"/>
      <c r="I161" s="72"/>
      <c r="J161" s="86">
        <f>L33</f>
        <v>0.056587799999999994</v>
      </c>
      <c r="K161" s="28"/>
      <c r="L161" s="28"/>
      <c r="M161" s="28"/>
      <c r="N161" s="6"/>
    </row>
    <row r="162" spans="1:14" ht="15.75">
      <c r="A162" s="83"/>
      <c r="B162" s="84" t="s">
        <v>115</v>
      </c>
      <c r="C162" s="85"/>
      <c r="D162" s="85"/>
      <c r="E162" s="85"/>
      <c r="F162" s="85"/>
      <c r="G162" s="72"/>
      <c r="H162" s="72"/>
      <c r="I162" s="72"/>
      <c r="J162" s="86">
        <f>J160-J161</f>
        <v>0.013712200000000008</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20.23</v>
      </c>
      <c r="K166" s="28" t="s">
        <v>184</v>
      </c>
      <c r="L166" s="28"/>
      <c r="M166" s="28"/>
      <c r="N166" s="6"/>
    </row>
    <row r="167" spans="1:14" ht="15.75">
      <c r="A167" s="83"/>
      <c r="B167" s="84" t="s">
        <v>120</v>
      </c>
      <c r="C167" s="85"/>
      <c r="D167" s="85"/>
      <c r="E167" s="85"/>
      <c r="F167" s="85"/>
      <c r="G167" s="72"/>
      <c r="H167" s="72"/>
      <c r="I167" s="72"/>
      <c r="J167" s="86">
        <f>F59/D71</f>
        <v>0.02499705882352941</v>
      </c>
      <c r="K167" s="28"/>
      <c r="L167" s="28"/>
      <c r="M167" s="28"/>
      <c r="N167" s="6"/>
    </row>
    <row r="168" spans="1:14" ht="15.75">
      <c r="A168" s="83"/>
      <c r="B168" s="84" t="s">
        <v>121</v>
      </c>
      <c r="C168" s="85"/>
      <c r="D168" s="85"/>
      <c r="E168" s="85"/>
      <c r="F168" s="85"/>
      <c r="G168" s="72"/>
      <c r="H168" s="72"/>
      <c r="I168" s="72"/>
      <c r="J168" s="86">
        <v>0.0963</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8</v>
      </c>
      <c r="J171" s="95">
        <v>399</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5209</v>
      </c>
      <c r="I186" s="104">
        <f>H186/H191</f>
        <v>0.9933257055682685</v>
      </c>
      <c r="J186" s="60">
        <v>331703</v>
      </c>
      <c r="K186" s="105">
        <f>J186/J191</f>
        <v>0.9953160257333525</v>
      </c>
      <c r="L186" s="89"/>
      <c r="M186" s="98"/>
      <c r="N186" s="6"/>
    </row>
    <row r="187" spans="1:14" ht="15.75">
      <c r="A187" s="27"/>
      <c r="B187" s="61" t="s">
        <v>138</v>
      </c>
      <c r="C187" s="104"/>
      <c r="D187" s="61"/>
      <c r="E187" s="104"/>
      <c r="F187" s="28"/>
      <c r="G187" s="106"/>
      <c r="H187" s="61">
        <v>11</v>
      </c>
      <c r="I187" s="104">
        <f>H187/H191</f>
        <v>0.002097635392829901</v>
      </c>
      <c r="J187" s="60">
        <v>565</v>
      </c>
      <c r="K187" s="105">
        <f>J187/J191</f>
        <v>0.0016953526333477362</v>
      </c>
      <c r="L187" s="89"/>
      <c r="M187" s="98"/>
      <c r="N187" s="6"/>
    </row>
    <row r="188" spans="1:14" ht="15.75">
      <c r="A188" s="27"/>
      <c r="B188" s="61" t="s">
        <v>139</v>
      </c>
      <c r="C188" s="104"/>
      <c r="D188" s="61"/>
      <c r="E188" s="104"/>
      <c r="F188" s="28"/>
      <c r="G188" s="106"/>
      <c r="H188" s="61">
        <v>7</v>
      </c>
      <c r="I188" s="104">
        <f>H188/H191</f>
        <v>0.0013348588863463006</v>
      </c>
      <c r="J188" s="60">
        <v>350</v>
      </c>
      <c r="K188" s="105">
        <f>J188/J191</f>
        <v>0.0010502184454366508</v>
      </c>
      <c r="L188" s="89"/>
      <c r="M188" s="98"/>
      <c r="N188" s="6"/>
    </row>
    <row r="189" spans="1:14" ht="15.75">
      <c r="A189" s="27"/>
      <c r="B189" s="61" t="s">
        <v>140</v>
      </c>
      <c r="C189" s="104"/>
      <c r="D189" s="61"/>
      <c r="E189" s="104"/>
      <c r="F189" s="28"/>
      <c r="G189" s="106"/>
      <c r="H189" s="61">
        <f>10+3+4</f>
        <v>17</v>
      </c>
      <c r="I189" s="104">
        <f>H189/H191</f>
        <v>0.0032418001525553013</v>
      </c>
      <c r="J189" s="60">
        <f>303+215+128</f>
        <v>646</v>
      </c>
      <c r="K189" s="105">
        <f>J189/$J191</f>
        <v>0.0019384031878630756</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5244</v>
      </c>
      <c r="I191" s="108">
        <f>SUM(I186:I190)</f>
        <v>1</v>
      </c>
      <c r="J191" s="60">
        <f>SUM(J186:J190)</f>
        <v>333264</v>
      </c>
      <c r="K191" s="108">
        <f>SUM(K186:K190)</f>
        <v>1</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
        <v>36</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0.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6"/>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37945</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26"/>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26"/>
      <c r="L22" s="126"/>
      <c r="M22" s="9"/>
      <c r="N22" s="6"/>
    </row>
    <row r="23" spans="1:14" ht="15.75">
      <c r="A23" s="7"/>
      <c r="B23" s="9" t="s">
        <v>13</v>
      </c>
      <c r="C23" s="132" t="s">
        <v>145</v>
      </c>
      <c r="D23" s="25"/>
      <c r="E23" s="25"/>
      <c r="F23" s="25" t="s">
        <v>153</v>
      </c>
      <c r="G23" s="25"/>
      <c r="H23" s="25" t="s">
        <v>164</v>
      </c>
      <c r="I23" s="25"/>
      <c r="J23" s="25"/>
      <c r="K23" s="126"/>
      <c r="L23" s="126"/>
      <c r="M23" s="9"/>
      <c r="N23" s="6"/>
    </row>
    <row r="24" spans="1:14" ht="15.75">
      <c r="A24" s="27"/>
      <c r="B24" s="28" t="s">
        <v>14</v>
      </c>
      <c r="C24" s="29"/>
      <c r="D24" s="30"/>
      <c r="E24" s="30"/>
      <c r="F24" s="30" t="s">
        <v>154</v>
      </c>
      <c r="G24" s="30"/>
      <c r="H24" s="30" t="s">
        <v>165</v>
      </c>
      <c r="I24" s="30"/>
      <c r="J24" s="30"/>
      <c r="K24" s="127"/>
      <c r="L24" s="127"/>
      <c r="M24" s="28"/>
      <c r="N24" s="6"/>
    </row>
    <row r="25" spans="1:14" ht="15.75">
      <c r="A25" s="32"/>
      <c r="B25" s="33" t="s">
        <v>15</v>
      </c>
      <c r="C25" s="33"/>
      <c r="D25" s="34"/>
      <c r="E25" s="34"/>
      <c r="F25" s="34" t="s">
        <v>153</v>
      </c>
      <c r="G25" s="34"/>
      <c r="H25" s="34" t="s">
        <v>202</v>
      </c>
      <c r="I25" s="34"/>
      <c r="J25" s="30"/>
      <c r="K25" s="127"/>
      <c r="L25" s="127"/>
      <c r="M25" s="28"/>
      <c r="N25" s="6"/>
    </row>
    <row r="26" spans="1:14" ht="15.75">
      <c r="A26" s="32"/>
      <c r="B26" s="33" t="s">
        <v>16</v>
      </c>
      <c r="C26" s="33"/>
      <c r="D26" s="34"/>
      <c r="E26" s="34"/>
      <c r="F26" s="34" t="s">
        <v>154</v>
      </c>
      <c r="G26" s="34"/>
      <c r="H26" s="34" t="s">
        <v>201</v>
      </c>
      <c r="I26" s="34"/>
      <c r="J26" s="30"/>
      <c r="K26" s="127"/>
      <c r="L26" s="127"/>
      <c r="M26" s="28"/>
      <c r="N26" s="6"/>
    </row>
    <row r="27" spans="1:14" ht="15.75">
      <c r="A27" s="27"/>
      <c r="B27" s="28" t="s">
        <v>17</v>
      </c>
      <c r="C27" s="28"/>
      <c r="D27" s="29"/>
      <c r="E27" s="30"/>
      <c r="F27" s="29" t="s">
        <v>155</v>
      </c>
      <c r="G27" s="30"/>
      <c r="H27" s="29" t="s">
        <v>166</v>
      </c>
      <c r="I27" s="30"/>
      <c r="J27" s="29"/>
      <c r="K27" s="127"/>
      <c r="L27" s="127"/>
      <c r="M27" s="28"/>
      <c r="N27" s="6"/>
    </row>
    <row r="28" spans="1:14" ht="15.75">
      <c r="A28" s="27"/>
      <c r="B28" s="28"/>
      <c r="C28" s="28"/>
      <c r="D28" s="28"/>
      <c r="E28" s="30"/>
      <c r="F28" s="30"/>
      <c r="G28" s="30"/>
      <c r="H28" s="30"/>
      <c r="I28" s="30"/>
      <c r="J28" s="30"/>
      <c r="K28" s="127"/>
      <c r="L28" s="127"/>
      <c r="M28" s="28"/>
      <c r="N28" s="6"/>
    </row>
    <row r="29" spans="1:14" ht="15.75">
      <c r="A29" s="27"/>
      <c r="B29" s="28" t="s">
        <v>18</v>
      </c>
      <c r="C29" s="28"/>
      <c r="D29" s="35"/>
      <c r="E29" s="36"/>
      <c r="F29" s="35">
        <v>306000</v>
      </c>
      <c r="G29" s="35"/>
      <c r="H29" s="35">
        <v>34000</v>
      </c>
      <c r="I29" s="35"/>
      <c r="J29" s="35"/>
      <c r="K29" s="128"/>
      <c r="L29" s="35">
        <f>H29+F29</f>
        <v>340000</v>
      </c>
      <c r="M29" s="38"/>
      <c r="N29" s="6"/>
    </row>
    <row r="30" spans="1:14" ht="15.75">
      <c r="A30" s="27"/>
      <c r="B30" s="28" t="s">
        <v>19</v>
      </c>
      <c r="C30" s="39">
        <v>0.825258</v>
      </c>
      <c r="D30" s="35"/>
      <c r="E30" s="36"/>
      <c r="F30" s="35">
        <f>306000*C30</f>
        <v>252528.948</v>
      </c>
      <c r="G30" s="35"/>
      <c r="H30" s="35">
        <v>34000</v>
      </c>
      <c r="I30" s="35"/>
      <c r="J30" s="35"/>
      <c r="K30" s="128"/>
      <c r="L30" s="35">
        <f>H30+F30</f>
        <v>286528.948</v>
      </c>
      <c r="M30" s="38"/>
      <c r="N30" s="6"/>
    </row>
    <row r="31" spans="1:14" ht="12.75" customHeight="1">
      <c r="A31" s="32"/>
      <c r="B31" s="33" t="s">
        <v>20</v>
      </c>
      <c r="C31" s="40">
        <v>0.796785</v>
      </c>
      <c r="D31" s="41"/>
      <c r="E31" s="42"/>
      <c r="F31" s="41">
        <f>F29*C31</f>
        <v>243816.21</v>
      </c>
      <c r="G31" s="41"/>
      <c r="H31" s="41">
        <f>H29</f>
        <v>34000</v>
      </c>
      <c r="I31" s="41"/>
      <c r="J31" s="41"/>
      <c r="K31" s="43"/>
      <c r="L31" s="41">
        <f>H31+F31+D31</f>
        <v>277816.20999999996</v>
      </c>
      <c r="M31" s="38"/>
      <c r="N31" s="6"/>
    </row>
    <row r="32" spans="1:14" ht="15.75">
      <c r="A32" s="27"/>
      <c r="B32" s="28" t="s">
        <v>21</v>
      </c>
      <c r="C32" s="44"/>
      <c r="D32" s="29"/>
      <c r="E32" s="28"/>
      <c r="F32" s="29" t="s">
        <v>156</v>
      </c>
      <c r="G32" s="29"/>
      <c r="H32" s="29" t="s">
        <v>167</v>
      </c>
      <c r="I32" s="29"/>
      <c r="J32" s="29"/>
      <c r="K32" s="127"/>
      <c r="L32" s="127"/>
      <c r="M32" s="28"/>
      <c r="N32" s="6"/>
    </row>
    <row r="33" spans="1:14" ht="15.75">
      <c r="A33" s="27"/>
      <c r="B33" s="28" t="s">
        <v>22</v>
      </c>
      <c r="C33" s="28"/>
      <c r="D33" s="45"/>
      <c r="E33" s="28"/>
      <c r="F33" s="45">
        <v>0.0377</v>
      </c>
      <c r="G33" s="46"/>
      <c r="H33" s="45">
        <v>0.0429</v>
      </c>
      <c r="I33" s="46"/>
      <c r="J33" s="45"/>
      <c r="K33" s="127"/>
      <c r="L33" s="46">
        <f>SUMPRODUCT(F33:H33,F30:H30)/L30</f>
        <v>0.038317040620970695</v>
      </c>
      <c r="M33" s="28"/>
      <c r="N33" s="6"/>
    </row>
    <row r="34" spans="1:14" ht="15.75">
      <c r="A34" s="27"/>
      <c r="B34" s="28" t="s">
        <v>23</v>
      </c>
      <c r="C34" s="28"/>
      <c r="D34" s="45"/>
      <c r="E34" s="28"/>
      <c r="F34" s="45">
        <v>0.0388125</v>
      </c>
      <c r="G34" s="46"/>
      <c r="H34" s="45">
        <v>0.0440125</v>
      </c>
      <c r="I34" s="46"/>
      <c r="J34" s="45"/>
      <c r="K34" s="127"/>
      <c r="L34" s="127"/>
      <c r="M34" s="28"/>
      <c r="N34" s="6"/>
    </row>
    <row r="35" spans="1:14" ht="15.75">
      <c r="A35" s="27"/>
      <c r="B35" s="28" t="s">
        <v>24</v>
      </c>
      <c r="C35" s="28"/>
      <c r="D35" s="29"/>
      <c r="E35" s="28"/>
      <c r="F35" s="29" t="s">
        <v>157</v>
      </c>
      <c r="G35" s="29"/>
      <c r="H35" s="29" t="s">
        <v>157</v>
      </c>
      <c r="I35" s="29"/>
      <c r="J35" s="29"/>
      <c r="K35" s="127"/>
      <c r="L35" s="127"/>
      <c r="M35" s="28"/>
      <c r="N35" s="6"/>
    </row>
    <row r="36" spans="1:14" ht="15.75">
      <c r="A36" s="27"/>
      <c r="B36" s="28" t="s">
        <v>25</v>
      </c>
      <c r="C36" s="28"/>
      <c r="D36" s="29"/>
      <c r="E36" s="28"/>
      <c r="F36" s="151">
        <v>39209</v>
      </c>
      <c r="G36" s="29"/>
      <c r="H36" s="151">
        <v>39209</v>
      </c>
      <c r="I36" s="29"/>
      <c r="J36" s="29"/>
      <c r="K36" s="127"/>
      <c r="L36" s="127"/>
      <c r="M36" s="28"/>
      <c r="N36" s="6"/>
    </row>
    <row r="37" spans="1:14" ht="15.75">
      <c r="A37" s="27"/>
      <c r="B37" s="28" t="s">
        <v>26</v>
      </c>
      <c r="C37" s="28"/>
      <c r="D37" s="29"/>
      <c r="E37" s="28"/>
      <c r="F37" s="29" t="s">
        <v>158</v>
      </c>
      <c r="G37" s="29"/>
      <c r="H37" s="29" t="s">
        <v>168</v>
      </c>
      <c r="I37" s="29"/>
      <c r="J37" s="29"/>
      <c r="K37" s="127"/>
      <c r="L37" s="127"/>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0.13944930076634363</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37932</v>
      </c>
      <c r="M44" s="28"/>
      <c r="N44" s="6"/>
    </row>
    <row r="45" spans="1:14" ht="15.75">
      <c r="A45" s="27"/>
      <c r="B45" s="28" t="s">
        <v>32</v>
      </c>
      <c r="C45" s="28"/>
      <c r="D45" s="28"/>
      <c r="E45" s="28"/>
      <c r="F45" s="28"/>
      <c r="G45" s="28"/>
      <c r="H45" s="28"/>
      <c r="I45" s="28">
        <f>L45-J45+1</f>
        <v>92</v>
      </c>
      <c r="J45" s="53">
        <v>37748</v>
      </c>
      <c r="K45" s="52"/>
      <c r="L45" s="53">
        <v>37839</v>
      </c>
      <c r="M45" s="28"/>
      <c r="N45" s="6"/>
    </row>
    <row r="46" spans="1:14" ht="15.75">
      <c r="A46" s="27"/>
      <c r="B46" s="28" t="s">
        <v>33</v>
      </c>
      <c r="C46" s="28"/>
      <c r="D46" s="28"/>
      <c r="E46" s="28"/>
      <c r="F46" s="28"/>
      <c r="G46" s="28"/>
      <c r="H46" s="28"/>
      <c r="I46" s="28">
        <f>L46-J46+1</f>
        <v>92</v>
      </c>
      <c r="J46" s="53">
        <v>37840</v>
      </c>
      <c r="K46" s="52"/>
      <c r="L46" s="53">
        <v>37931</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37928</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203</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286529</v>
      </c>
      <c r="E56" s="38"/>
      <c r="F56" s="38">
        <f>8712+6873+40+1</f>
        <v>15626</v>
      </c>
      <c r="G56" s="38"/>
      <c r="H56" s="38">
        <f>6873+40</f>
        <v>6913</v>
      </c>
      <c r="I56" s="38"/>
      <c r="J56" s="38">
        <v>0</v>
      </c>
      <c r="K56" s="38"/>
      <c r="L56" s="60">
        <f>D56-F56+H56-J56</f>
        <v>277816</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286529</v>
      </c>
      <c r="E59" s="38"/>
      <c r="F59" s="38">
        <f>SUM(F56:F58)</f>
        <v>15626</v>
      </c>
      <c r="G59" s="38"/>
      <c r="H59" s="38">
        <f>SUM(H56:H58)</f>
        <v>6913</v>
      </c>
      <c r="I59" s="38"/>
      <c r="J59" s="38">
        <f>SUM(J56:J58)</f>
        <v>0</v>
      </c>
      <c r="K59" s="38"/>
      <c r="L59" s="61">
        <f>SUM(L56:L58)</f>
        <v>277816</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286529</v>
      </c>
      <c r="E71" s="38"/>
      <c r="F71" s="61"/>
      <c r="G71" s="38"/>
      <c r="H71" s="61"/>
      <c r="I71" s="38"/>
      <c r="J71" s="61"/>
      <c r="K71" s="38"/>
      <c r="L71" s="61">
        <f>SUM(L59:L70)</f>
        <v>277816</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37925</v>
      </c>
      <c r="E75" s="28"/>
      <c r="F75" s="28"/>
      <c r="G75" s="28"/>
      <c r="H75" s="28"/>
      <c r="I75" s="28"/>
      <c r="J75" s="38">
        <v>15626</v>
      </c>
      <c r="K75" s="28"/>
      <c r="L75" s="60"/>
      <c r="M75" s="28"/>
      <c r="N75" s="6"/>
    </row>
    <row r="76" spans="1:14" ht="15.75">
      <c r="A76" s="27"/>
      <c r="B76" s="28" t="s">
        <v>50</v>
      </c>
      <c r="C76" s="28"/>
      <c r="D76" s="28"/>
      <c r="E76" s="28"/>
      <c r="F76" s="28"/>
      <c r="G76" s="28"/>
      <c r="H76" s="28"/>
      <c r="I76" s="28"/>
      <c r="J76" s="38"/>
      <c r="K76" s="28"/>
      <c r="L76" s="60">
        <f>4351-19</f>
        <v>4332</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15626</v>
      </c>
      <c r="K78" s="28"/>
      <c r="L78" s="61">
        <f>SUM(L74:L77)</f>
        <v>4332</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15626</v>
      </c>
      <c r="K80" s="28"/>
      <c r="L80" s="61">
        <f>L78+L79</f>
        <v>4332</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-217-8</f>
        <v>-225</v>
      </c>
      <c r="M84" s="28"/>
      <c r="N84" s="6"/>
    </row>
    <row r="85" spans="1:14" ht="15.75">
      <c r="A85" s="27">
        <v>4</v>
      </c>
      <c r="B85" s="28" t="s">
        <v>59</v>
      </c>
      <c r="C85" s="28"/>
      <c r="D85" s="28"/>
      <c r="E85" s="28"/>
      <c r="F85" s="28"/>
      <c r="G85" s="28"/>
      <c r="H85" s="28"/>
      <c r="I85" s="28"/>
      <c r="J85" s="28"/>
      <c r="K85" s="28"/>
      <c r="L85" s="60">
        <v>-377</v>
      </c>
      <c r="M85" s="28"/>
      <c r="N85" s="6"/>
    </row>
    <row r="86" spans="1:14" ht="15.75">
      <c r="A86" s="27">
        <v>5</v>
      </c>
      <c r="B86" s="28" t="s">
        <v>60</v>
      </c>
      <c r="C86" s="28"/>
      <c r="D86" s="28"/>
      <c r="E86" s="28"/>
      <c r="F86" s="28"/>
      <c r="G86" s="28"/>
      <c r="H86" s="28"/>
      <c r="I86" s="28"/>
      <c r="J86" s="28"/>
      <c r="K86" s="28"/>
      <c r="L86" s="60">
        <v>-2400</v>
      </c>
      <c r="M86" s="28"/>
      <c r="N86" s="6"/>
    </row>
    <row r="87" spans="1:14" ht="15.75">
      <c r="A87" s="27">
        <v>6</v>
      </c>
      <c r="B87" s="28" t="s">
        <v>61</v>
      </c>
      <c r="C87" s="28"/>
      <c r="D87" s="28"/>
      <c r="E87" s="28"/>
      <c r="F87" s="28"/>
      <c r="G87" s="28"/>
      <c r="H87" s="28"/>
      <c r="I87" s="28"/>
      <c r="J87" s="28"/>
      <c r="K87" s="28"/>
      <c r="L87" s="60">
        <v>-368</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-22-164</f>
        <v>-186</v>
      </c>
      <c r="M93" s="28"/>
      <c r="N93" s="6"/>
    </row>
    <row r="94" spans="1:14" ht="15.75">
      <c r="A94" s="27">
        <v>13</v>
      </c>
      <c r="B94" s="28" t="s">
        <v>68</v>
      </c>
      <c r="C94" s="28"/>
      <c r="D94" s="28"/>
      <c r="E94" s="28"/>
      <c r="F94" s="28"/>
      <c r="G94" s="28"/>
      <c r="H94" s="28"/>
      <c r="I94" s="28"/>
      <c r="J94" s="28"/>
      <c r="K94" s="28"/>
      <c r="L94" s="60">
        <f>-SUM(L80:L93)</f>
        <v>-766</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-40</v>
      </c>
      <c r="K96" s="38"/>
      <c r="L96" s="60"/>
      <c r="M96" s="28"/>
      <c r="N96" s="6"/>
    </row>
    <row r="97" spans="1:14" ht="15.75">
      <c r="A97" s="27"/>
      <c r="B97" s="28" t="s">
        <v>71</v>
      </c>
      <c r="C97" s="28"/>
      <c r="D97" s="28"/>
      <c r="E97" s="28"/>
      <c r="F97" s="28"/>
      <c r="G97" s="28"/>
      <c r="H97" s="28"/>
      <c r="I97" s="28"/>
      <c r="J97" s="38">
        <f>-H141</f>
        <v>-6873</v>
      </c>
      <c r="K97" s="38"/>
      <c r="L97" s="60"/>
      <c r="M97" s="28"/>
      <c r="N97" s="6"/>
    </row>
    <row r="98" spans="1:14" ht="15.75">
      <c r="A98" s="27"/>
      <c r="B98" s="28" t="s">
        <v>72</v>
      </c>
      <c r="C98" s="28"/>
      <c r="D98" s="28"/>
      <c r="E98" s="28"/>
      <c r="F98" s="28"/>
      <c r="G98" s="28"/>
      <c r="H98" s="28"/>
      <c r="I98" s="28"/>
      <c r="J98" s="38">
        <v>-8713</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-15626</v>
      </c>
      <c r="K100" s="38"/>
      <c r="L100" s="38">
        <f>SUM(L81:L99)</f>
        <v>-4332</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OCTOBER 2003</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127"/>
      <c r="D120" s="127"/>
      <c r="E120" s="127"/>
      <c r="F120" s="127"/>
      <c r="G120" s="127"/>
      <c r="H120" s="127"/>
      <c r="I120" s="127"/>
      <c r="J120" s="127"/>
      <c r="K120" s="127"/>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277816</v>
      </c>
      <c r="M134" s="28"/>
      <c r="N134" s="6"/>
    </row>
    <row r="135" spans="1:14" ht="15.75">
      <c r="A135" s="27"/>
      <c r="B135" s="28" t="s">
        <v>97</v>
      </c>
      <c r="C135" s="73"/>
      <c r="D135" s="28"/>
      <c r="E135" s="28"/>
      <c r="F135" s="28"/>
      <c r="G135" s="28"/>
      <c r="H135" s="28"/>
      <c r="I135" s="28"/>
      <c r="J135" s="28"/>
      <c r="K135" s="28"/>
      <c r="L135" s="60">
        <f>L31</f>
        <v>277816.20999999996</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f>'July 2003'!H142</f>
        <v>33638</v>
      </c>
      <c r="I140" s="28"/>
      <c r="J140" s="60">
        <f>'July 2003'!J142</f>
        <v>845</v>
      </c>
      <c r="K140" s="28"/>
      <c r="L140" s="60">
        <f>J140+H140</f>
        <v>34483</v>
      </c>
      <c r="M140" s="28"/>
      <c r="N140" s="6"/>
    </row>
    <row r="141" spans="1:14" ht="15.75">
      <c r="A141" s="27"/>
      <c r="B141" s="28" t="s">
        <v>101</v>
      </c>
      <c r="C141" s="28"/>
      <c r="D141" s="28"/>
      <c r="E141" s="28"/>
      <c r="F141" s="28"/>
      <c r="G141" s="28"/>
      <c r="H141" s="60">
        <v>6873</v>
      </c>
      <c r="I141" s="28"/>
      <c r="J141" s="60">
        <v>40</v>
      </c>
      <c r="K141" s="28"/>
      <c r="L141" s="60">
        <f>J141+H141</f>
        <v>6913</v>
      </c>
      <c r="M141" s="28"/>
      <c r="N141" s="6"/>
    </row>
    <row r="142" spans="1:14" ht="15.75">
      <c r="A142" s="27"/>
      <c r="B142" s="28" t="s">
        <v>102</v>
      </c>
      <c r="C142" s="28"/>
      <c r="D142" s="28"/>
      <c r="E142" s="28"/>
      <c r="F142" s="28"/>
      <c r="G142" s="28"/>
      <c r="H142" s="60">
        <f>H141+H140</f>
        <v>40511</v>
      </c>
      <c r="I142" s="28"/>
      <c r="J142" s="60">
        <f>J141+J140</f>
        <v>885</v>
      </c>
      <c r="K142" s="28"/>
      <c r="L142" s="60">
        <f>J142+H142</f>
        <v>41396</v>
      </c>
      <c r="M142" s="28"/>
      <c r="N142" s="6"/>
    </row>
    <row r="143" spans="1:14" ht="15.75">
      <c r="A143" s="27"/>
      <c r="B143" s="28" t="s">
        <v>103</v>
      </c>
      <c r="C143" s="28"/>
      <c r="D143" s="28"/>
      <c r="E143" s="28"/>
      <c r="F143" s="28"/>
      <c r="G143" s="28"/>
      <c r="H143" s="60">
        <f>H139-H142-J142</f>
        <v>8604</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1.5520833333333333</v>
      </c>
      <c r="M147" s="28" t="s">
        <v>192</v>
      </c>
      <c r="N147" s="6"/>
    </row>
    <row r="148" spans="1:14" ht="15.75">
      <c r="A148" s="27"/>
      <c r="B148" s="28" t="s">
        <v>106</v>
      </c>
      <c r="C148" s="28"/>
      <c r="D148" s="28"/>
      <c r="E148" s="28"/>
      <c r="F148" s="28"/>
      <c r="G148" s="28"/>
      <c r="H148" s="28"/>
      <c r="I148" s="28"/>
      <c r="J148" s="28"/>
      <c r="K148" s="28"/>
      <c r="L148" s="66">
        <v>1.45</v>
      </c>
      <c r="M148" s="28" t="s">
        <v>192</v>
      </c>
      <c r="N148" s="6"/>
    </row>
    <row r="149" spans="1:14" ht="15.75">
      <c r="A149" s="27"/>
      <c r="B149" s="28" t="s">
        <v>107</v>
      </c>
      <c r="C149" s="28"/>
      <c r="D149" s="28"/>
      <c r="E149" s="28"/>
      <c r="F149" s="28"/>
      <c r="G149" s="28"/>
      <c r="H149" s="28"/>
      <c r="I149" s="28"/>
      <c r="J149" s="28"/>
      <c r="K149" s="28"/>
      <c r="L149" s="66">
        <f>(L80+SUM(L82:L86))/-L87</f>
        <v>3.6005434782608696</v>
      </c>
      <c r="M149" s="28" t="s">
        <v>192</v>
      </c>
      <c r="N149" s="6"/>
    </row>
    <row r="150" spans="1:14" ht="15.75">
      <c r="A150" s="27"/>
      <c r="B150" s="28" t="s">
        <v>108</v>
      </c>
      <c r="C150" s="28"/>
      <c r="D150" s="28"/>
      <c r="E150" s="28"/>
      <c r="F150" s="28"/>
      <c r="G150" s="28"/>
      <c r="H150" s="28"/>
      <c r="I150" s="28"/>
      <c r="J150" s="28"/>
      <c r="K150" s="28"/>
      <c r="L150" s="75">
        <v>3.31</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OCTOBER 2003</v>
      </c>
      <c r="C153" s="121"/>
      <c r="D153" s="121"/>
      <c r="E153" s="121"/>
      <c r="F153" s="121"/>
      <c r="G153" s="121"/>
      <c r="H153" s="121"/>
      <c r="I153" s="121"/>
      <c r="J153" s="121"/>
      <c r="K153" s="121"/>
      <c r="L153" s="121"/>
      <c r="M153" s="124"/>
      <c r="N153" s="6"/>
    </row>
    <row r="154" spans="1:14" ht="15.75">
      <c r="A154" s="2"/>
      <c r="B154" s="129"/>
      <c r="C154" s="129"/>
      <c r="D154" s="129"/>
      <c r="E154" s="129"/>
      <c r="F154" s="129"/>
      <c r="G154" s="129"/>
      <c r="H154" s="129"/>
      <c r="I154" s="129"/>
      <c r="J154" s="129"/>
      <c r="K154" s="129"/>
      <c r="L154" s="129"/>
      <c r="M154" s="129"/>
      <c r="N154" s="6"/>
    </row>
    <row r="155" spans="1:14" ht="15.75">
      <c r="A155" s="77"/>
      <c r="B155" s="58" t="s">
        <v>109</v>
      </c>
      <c r="C155" s="78"/>
      <c r="D155" s="78"/>
      <c r="E155" s="78"/>
      <c r="F155" s="78"/>
      <c r="G155" s="21"/>
      <c r="H155" s="21"/>
      <c r="I155" s="21"/>
      <c r="J155" s="21">
        <v>37925</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0.0567</v>
      </c>
      <c r="K160" s="28"/>
      <c r="L160" s="28"/>
      <c r="M160" s="28"/>
      <c r="N160" s="6"/>
    </row>
    <row r="161" spans="1:14" ht="15.75">
      <c r="A161" s="83"/>
      <c r="B161" s="84" t="s">
        <v>114</v>
      </c>
      <c r="C161" s="85"/>
      <c r="D161" s="85"/>
      <c r="E161" s="85"/>
      <c r="F161" s="85"/>
      <c r="G161" s="72"/>
      <c r="H161" s="72"/>
      <c r="I161" s="72"/>
      <c r="J161" s="86">
        <f>L33</f>
        <v>0.038317040620970695</v>
      </c>
      <c r="K161" s="28"/>
      <c r="L161" s="28"/>
      <c r="M161" s="28"/>
      <c r="N161" s="6"/>
    </row>
    <row r="162" spans="1:14" ht="15.75">
      <c r="A162" s="83"/>
      <c r="B162" s="84" t="s">
        <v>115</v>
      </c>
      <c r="C162" s="85"/>
      <c r="D162" s="85"/>
      <c r="E162" s="85"/>
      <c r="F162" s="85"/>
      <c r="G162" s="72"/>
      <c r="H162" s="72"/>
      <c r="I162" s="72"/>
      <c r="J162" s="86">
        <f>J160-J161</f>
        <v>0.018382959379029305</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18.14</v>
      </c>
      <c r="K166" s="28" t="s">
        <v>184</v>
      </c>
      <c r="L166" s="28"/>
      <c r="M166" s="28"/>
      <c r="N166" s="6"/>
    </row>
    <row r="167" spans="1:14" ht="15.75">
      <c r="A167" s="83"/>
      <c r="B167" s="84" t="s">
        <v>120</v>
      </c>
      <c r="C167" s="85"/>
      <c r="D167" s="85"/>
      <c r="E167" s="85"/>
      <c r="F167" s="85"/>
      <c r="G167" s="72"/>
      <c r="H167" s="72"/>
      <c r="I167" s="72"/>
      <c r="J167" s="86">
        <f>F56/'July 2003'!L56</f>
        <v>0.054535492044435294</v>
      </c>
      <c r="K167" s="28"/>
      <c r="L167" s="28"/>
      <c r="M167" s="28"/>
      <c r="N167" s="6"/>
    </row>
    <row r="168" spans="1:14" ht="15.75">
      <c r="A168" s="83"/>
      <c r="B168" s="84" t="s">
        <v>121</v>
      </c>
      <c r="C168" s="85"/>
      <c r="D168" s="85"/>
      <c r="E168" s="85"/>
      <c r="F168" s="85"/>
      <c r="G168" s="72"/>
      <c r="H168" s="72"/>
      <c r="I168" s="72"/>
      <c r="J168" s="86">
        <v>0.1275</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21</v>
      </c>
      <c r="J171" s="95">
        <v>776</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3906</v>
      </c>
      <c r="I186" s="104">
        <f>H186/H191</f>
        <v>0.9893617021276596</v>
      </c>
      <c r="J186" s="60">
        <v>275719</v>
      </c>
      <c r="K186" s="105">
        <f>J186/J191</f>
        <v>0.9924518386270049</v>
      </c>
      <c r="L186" s="89"/>
      <c r="M186" s="98"/>
      <c r="N186" s="6"/>
    </row>
    <row r="187" spans="1:14" ht="15.75">
      <c r="A187" s="27"/>
      <c r="B187" s="61" t="s">
        <v>138</v>
      </c>
      <c r="C187" s="104"/>
      <c r="D187" s="61"/>
      <c r="E187" s="104"/>
      <c r="F187" s="28"/>
      <c r="G187" s="106"/>
      <c r="H187" s="61">
        <v>13</v>
      </c>
      <c r="I187" s="104">
        <f>H187/H191</f>
        <v>0.003292806484295846</v>
      </c>
      <c r="J187" s="60">
        <v>1083</v>
      </c>
      <c r="K187" s="105">
        <f>J187/J191</f>
        <v>0.0038982635989287875</v>
      </c>
      <c r="L187" s="89"/>
      <c r="M187" s="98"/>
      <c r="N187" s="6"/>
    </row>
    <row r="188" spans="1:14" ht="15.75">
      <c r="A188" s="27"/>
      <c r="B188" s="61" t="s">
        <v>139</v>
      </c>
      <c r="C188" s="104"/>
      <c r="D188" s="61"/>
      <c r="E188" s="104"/>
      <c r="F188" s="28"/>
      <c r="G188" s="106"/>
      <c r="H188" s="61">
        <v>6</v>
      </c>
      <c r="I188" s="104">
        <f>H188/H191</f>
        <v>0.001519756838905775</v>
      </c>
      <c r="J188" s="60">
        <v>178</v>
      </c>
      <c r="K188" s="105">
        <f>J188/J191</f>
        <v>0.0006407118380510841</v>
      </c>
      <c r="L188" s="89"/>
      <c r="M188" s="98"/>
      <c r="N188" s="6"/>
    </row>
    <row r="189" spans="1:14" ht="15.75">
      <c r="A189" s="27"/>
      <c r="B189" s="61" t="s">
        <v>140</v>
      </c>
      <c r="C189" s="104"/>
      <c r="D189" s="61"/>
      <c r="E189" s="104"/>
      <c r="F189" s="28"/>
      <c r="G189" s="106"/>
      <c r="H189" s="61">
        <v>23</v>
      </c>
      <c r="I189" s="104">
        <f>H189/H191</f>
        <v>0.005825734549138805</v>
      </c>
      <c r="J189" s="60">
        <v>836</v>
      </c>
      <c r="K189" s="105">
        <f>J189/$J191</f>
        <v>0.0030091859360152043</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3948</v>
      </c>
      <c r="I191" s="108">
        <f>SUM(I186:I190)</f>
        <v>1</v>
      </c>
      <c r="J191" s="60">
        <f>SUM(J186:J190)</f>
        <v>277816</v>
      </c>
      <c r="K191" s="108">
        <f>SUM(K186:K190)</f>
        <v>0.9999999999999999</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26"/>
      <c r="K194" s="126"/>
      <c r="L194" s="126"/>
      <c r="M194" s="126"/>
      <c r="N194" s="6"/>
    </row>
    <row r="195" spans="1:14" ht="15.75">
      <c r="A195" s="130"/>
      <c r="B195" s="126"/>
      <c r="C195" s="126"/>
      <c r="D195" s="9"/>
      <c r="E195" s="9"/>
      <c r="F195" s="9"/>
      <c r="G195" s="126"/>
      <c r="H195" s="126"/>
      <c r="I195" s="126"/>
      <c r="J195" s="126"/>
      <c r="K195" s="126"/>
      <c r="L195" s="126"/>
      <c r="M195" s="126"/>
      <c r="N195" s="6"/>
    </row>
    <row r="196" spans="1:14" ht="15.75">
      <c r="A196" s="130"/>
      <c r="B196" s="15" t="s">
        <v>142</v>
      </c>
      <c r="C196" s="115"/>
      <c r="D196" s="116" t="s">
        <v>150</v>
      </c>
      <c r="E196" s="15"/>
      <c r="F196" s="15" t="s">
        <v>161</v>
      </c>
      <c r="G196" s="115"/>
      <c r="H196" s="115"/>
      <c r="I196" s="126"/>
      <c r="J196" s="126"/>
      <c r="K196" s="126"/>
      <c r="L196" s="126"/>
      <c r="M196" s="126"/>
      <c r="N196" s="6"/>
    </row>
    <row r="197" spans="1:14" ht="15.75">
      <c r="A197" s="130"/>
      <c r="B197" s="15" t="s">
        <v>143</v>
      </c>
      <c r="C197" s="115"/>
      <c r="D197" s="116" t="s">
        <v>151</v>
      </c>
      <c r="E197" s="15"/>
      <c r="F197" s="15" t="s">
        <v>162</v>
      </c>
      <c r="G197" s="115"/>
      <c r="H197" s="115"/>
      <c r="I197" s="126"/>
      <c r="J197" s="126"/>
      <c r="K197" s="126"/>
      <c r="L197" s="126"/>
      <c r="M197" s="126"/>
      <c r="N197" s="6"/>
    </row>
    <row r="198" spans="1:14" ht="15.75">
      <c r="A198" s="130"/>
      <c r="B198" s="15"/>
      <c r="C198" s="115"/>
      <c r="D198" s="116"/>
      <c r="E198" s="15"/>
      <c r="F198" s="15"/>
      <c r="G198" s="115"/>
      <c r="H198" s="115"/>
      <c r="I198" s="126"/>
      <c r="J198" s="126"/>
      <c r="K198" s="126"/>
      <c r="L198" s="126"/>
      <c r="M198" s="126"/>
      <c r="N198" s="6"/>
    </row>
    <row r="199" spans="1:14" ht="15.75">
      <c r="A199" s="130"/>
      <c r="B199" s="15"/>
      <c r="C199" s="115"/>
      <c r="D199" s="116"/>
      <c r="E199" s="15"/>
      <c r="F199" s="15"/>
      <c r="G199" s="115"/>
      <c r="H199" s="115"/>
      <c r="I199" s="126"/>
      <c r="J199" s="126"/>
      <c r="K199" s="126"/>
      <c r="L199" s="126"/>
      <c r="M199" s="126"/>
      <c r="N199" s="6"/>
    </row>
    <row r="200" spans="1:14" ht="18.75">
      <c r="A200" s="130"/>
      <c r="B200" s="56" t="str">
        <f>B153</f>
        <v>PM3 INVESTOR REPORT QUARTER ENDING OCTOBER 2003</v>
      </c>
      <c r="C200" s="115"/>
      <c r="D200" s="116"/>
      <c r="E200" s="15"/>
      <c r="F200" s="15"/>
      <c r="G200" s="115"/>
      <c r="H200" s="115"/>
      <c r="I200" s="126"/>
      <c r="J200" s="126"/>
      <c r="K200" s="126"/>
      <c r="L200" s="126"/>
      <c r="M200" s="126"/>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1.xml><?xml version="1.0" encoding="utf-8"?>
<worksheet xmlns="http://schemas.openxmlformats.org/spreadsheetml/2006/main" xmlns:r="http://schemas.openxmlformats.org/officeDocument/2006/relationships">
  <dimension ref="A1:N202"/>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6"/>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38033</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26"/>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26"/>
      <c r="L22" s="126"/>
      <c r="M22" s="9"/>
      <c r="N22" s="6"/>
    </row>
    <row r="23" spans="1:14" ht="15.75">
      <c r="A23" s="7"/>
      <c r="B23" s="9" t="s">
        <v>13</v>
      </c>
      <c r="C23" s="132" t="s">
        <v>145</v>
      </c>
      <c r="D23" s="25"/>
      <c r="E23" s="25"/>
      <c r="F23" s="25" t="s">
        <v>153</v>
      </c>
      <c r="G23" s="25"/>
      <c r="H23" s="25" t="s">
        <v>164</v>
      </c>
      <c r="I23" s="25"/>
      <c r="J23" s="25"/>
      <c r="K23" s="126"/>
      <c r="L23" s="126"/>
      <c r="M23" s="9"/>
      <c r="N23" s="6"/>
    </row>
    <row r="24" spans="1:14" ht="15.75">
      <c r="A24" s="27"/>
      <c r="B24" s="28" t="s">
        <v>14</v>
      </c>
      <c r="C24" s="29"/>
      <c r="D24" s="30"/>
      <c r="E24" s="30"/>
      <c r="F24" s="30" t="s">
        <v>154</v>
      </c>
      <c r="G24" s="30"/>
      <c r="H24" s="30" t="s">
        <v>165</v>
      </c>
      <c r="I24" s="30"/>
      <c r="J24" s="30"/>
      <c r="K24" s="127"/>
      <c r="L24" s="127"/>
      <c r="M24" s="28"/>
      <c r="N24" s="6"/>
    </row>
    <row r="25" spans="1:14" ht="15.75">
      <c r="A25" s="32"/>
      <c r="B25" s="33" t="s">
        <v>15</v>
      </c>
      <c r="C25" s="33"/>
      <c r="D25" s="34"/>
      <c r="E25" s="34"/>
      <c r="F25" s="34" t="s">
        <v>153</v>
      </c>
      <c r="G25" s="34"/>
      <c r="H25" s="34" t="s">
        <v>202</v>
      </c>
      <c r="I25" s="34"/>
      <c r="J25" s="30"/>
      <c r="K25" s="127"/>
      <c r="L25" s="127"/>
      <c r="M25" s="28"/>
      <c r="N25" s="6"/>
    </row>
    <row r="26" spans="1:14" ht="15.75">
      <c r="A26" s="32"/>
      <c r="B26" s="33" t="s">
        <v>16</v>
      </c>
      <c r="C26" s="33"/>
      <c r="D26" s="34"/>
      <c r="E26" s="34"/>
      <c r="F26" s="34" t="s">
        <v>154</v>
      </c>
      <c r="G26" s="34"/>
      <c r="H26" s="34" t="s">
        <v>201</v>
      </c>
      <c r="I26" s="34"/>
      <c r="J26" s="30"/>
      <c r="K26" s="127"/>
      <c r="L26" s="127"/>
      <c r="M26" s="28"/>
      <c r="N26" s="6"/>
    </row>
    <row r="27" spans="1:14" ht="15.75">
      <c r="A27" s="27"/>
      <c r="B27" s="28" t="s">
        <v>17</v>
      </c>
      <c r="C27" s="28"/>
      <c r="D27" s="29"/>
      <c r="E27" s="30"/>
      <c r="F27" s="29" t="s">
        <v>155</v>
      </c>
      <c r="G27" s="30"/>
      <c r="H27" s="29" t="s">
        <v>166</v>
      </c>
      <c r="I27" s="30"/>
      <c r="J27" s="29"/>
      <c r="K27" s="127"/>
      <c r="L27" s="127"/>
      <c r="M27" s="28"/>
      <c r="N27" s="6"/>
    </row>
    <row r="28" spans="1:14" ht="15.75">
      <c r="A28" s="27"/>
      <c r="B28" s="28"/>
      <c r="C28" s="28"/>
      <c r="D28" s="28"/>
      <c r="E28" s="30"/>
      <c r="F28" s="30"/>
      <c r="G28" s="30"/>
      <c r="H28" s="30"/>
      <c r="I28" s="30"/>
      <c r="J28" s="30"/>
      <c r="K28" s="127"/>
      <c r="L28" s="127"/>
      <c r="M28" s="28"/>
      <c r="N28" s="6"/>
    </row>
    <row r="29" spans="1:14" ht="15.75">
      <c r="A29" s="27"/>
      <c r="B29" s="28" t="s">
        <v>18</v>
      </c>
      <c r="C29" s="28"/>
      <c r="D29" s="35"/>
      <c r="E29" s="36"/>
      <c r="F29" s="35">
        <v>306000</v>
      </c>
      <c r="G29" s="35"/>
      <c r="H29" s="35">
        <v>34000</v>
      </c>
      <c r="I29" s="35"/>
      <c r="J29" s="35"/>
      <c r="K29" s="128"/>
      <c r="L29" s="35">
        <f>H29+F29</f>
        <v>340000</v>
      </c>
      <c r="M29" s="38"/>
      <c r="N29" s="6"/>
    </row>
    <row r="30" spans="1:14" ht="15.75">
      <c r="A30" s="27"/>
      <c r="B30" s="28" t="s">
        <v>19</v>
      </c>
      <c r="C30" s="39">
        <v>0.796785</v>
      </c>
      <c r="D30" s="35"/>
      <c r="E30" s="36"/>
      <c r="F30" s="35">
        <f>306000*C30</f>
        <v>243816.21</v>
      </c>
      <c r="G30" s="35"/>
      <c r="H30" s="35">
        <v>34000</v>
      </c>
      <c r="I30" s="35"/>
      <c r="J30" s="35"/>
      <c r="K30" s="128"/>
      <c r="L30" s="35">
        <f>H30+F30</f>
        <v>277816.20999999996</v>
      </c>
      <c r="M30" s="38"/>
      <c r="N30" s="6"/>
    </row>
    <row r="31" spans="1:14" ht="12.75" customHeight="1">
      <c r="A31" s="32"/>
      <c r="B31" s="33" t="s">
        <v>20</v>
      </c>
      <c r="C31" s="40">
        <v>0.766734</v>
      </c>
      <c r="D31" s="41"/>
      <c r="E31" s="42"/>
      <c r="F31" s="41">
        <f>F29*C31</f>
        <v>234620.60400000002</v>
      </c>
      <c r="G31" s="41"/>
      <c r="H31" s="41">
        <f>H29</f>
        <v>34000</v>
      </c>
      <c r="I31" s="41"/>
      <c r="J31" s="41"/>
      <c r="K31" s="43"/>
      <c r="L31" s="41">
        <f>H31+F31+D31</f>
        <v>268620.60400000005</v>
      </c>
      <c r="M31" s="38"/>
      <c r="N31" s="6"/>
    </row>
    <row r="32" spans="1:14" ht="15.75">
      <c r="A32" s="27"/>
      <c r="B32" s="28" t="s">
        <v>21</v>
      </c>
      <c r="C32" s="44"/>
      <c r="D32" s="29"/>
      <c r="E32" s="28"/>
      <c r="F32" s="29" t="s">
        <v>156</v>
      </c>
      <c r="G32" s="29"/>
      <c r="H32" s="29" t="s">
        <v>167</v>
      </c>
      <c r="I32" s="29"/>
      <c r="J32" s="29"/>
      <c r="K32" s="127"/>
      <c r="L32" s="127"/>
      <c r="M32" s="28"/>
      <c r="N32" s="6"/>
    </row>
    <row r="33" spans="1:14" ht="15.75">
      <c r="A33" s="27"/>
      <c r="B33" s="28" t="s">
        <v>22</v>
      </c>
      <c r="C33" s="28"/>
      <c r="D33" s="45"/>
      <c r="E33" s="28"/>
      <c r="F33" s="45">
        <v>0.042625</v>
      </c>
      <c r="G33" s="46"/>
      <c r="H33" s="45">
        <v>0.047825</v>
      </c>
      <c r="I33" s="46"/>
      <c r="J33" s="45"/>
      <c r="K33" s="127"/>
      <c r="L33" s="46">
        <f>SUMPRODUCT(F33:H33,F30:H30)/L30</f>
        <v>0.043261391951355185</v>
      </c>
      <c r="M33" s="28"/>
      <c r="N33" s="6"/>
    </row>
    <row r="34" spans="1:14" ht="15.75">
      <c r="A34" s="27"/>
      <c r="B34" s="28" t="s">
        <v>23</v>
      </c>
      <c r="C34" s="28"/>
      <c r="D34" s="45"/>
      <c r="E34" s="28"/>
      <c r="F34" s="45">
        <v>0.0377</v>
      </c>
      <c r="G34" s="46"/>
      <c r="H34" s="45">
        <v>0.0429</v>
      </c>
      <c r="I34" s="46"/>
      <c r="J34" s="45"/>
      <c r="K34" s="127"/>
      <c r="L34" s="127"/>
      <c r="M34" s="28"/>
      <c r="N34" s="6"/>
    </row>
    <row r="35" spans="1:14" ht="15.75">
      <c r="A35" s="27"/>
      <c r="B35" s="28" t="s">
        <v>24</v>
      </c>
      <c r="C35" s="28"/>
      <c r="D35" s="29"/>
      <c r="E35" s="28"/>
      <c r="F35" s="29" t="s">
        <v>157</v>
      </c>
      <c r="G35" s="29"/>
      <c r="H35" s="29" t="s">
        <v>157</v>
      </c>
      <c r="I35" s="29"/>
      <c r="J35" s="29"/>
      <c r="K35" s="127"/>
      <c r="L35" s="127"/>
      <c r="M35" s="28"/>
      <c r="N35" s="6"/>
    </row>
    <row r="36" spans="1:14" ht="15.75">
      <c r="A36" s="27"/>
      <c r="B36" s="28" t="s">
        <v>25</v>
      </c>
      <c r="C36" s="28"/>
      <c r="D36" s="29"/>
      <c r="E36" s="28"/>
      <c r="F36" s="151">
        <v>39209</v>
      </c>
      <c r="G36" s="29"/>
      <c r="H36" s="151">
        <v>39209</v>
      </c>
      <c r="I36" s="29"/>
      <c r="J36" s="29"/>
      <c r="K36" s="127"/>
      <c r="L36" s="127"/>
      <c r="M36" s="28"/>
      <c r="N36" s="6"/>
    </row>
    <row r="37" spans="1:14" ht="15.75">
      <c r="A37" s="27"/>
      <c r="B37" s="28" t="s">
        <v>26</v>
      </c>
      <c r="C37" s="28"/>
      <c r="D37" s="29"/>
      <c r="E37" s="28"/>
      <c r="F37" s="29" t="s">
        <v>158</v>
      </c>
      <c r="G37" s="29"/>
      <c r="H37" s="29" t="s">
        <v>168</v>
      </c>
      <c r="I37" s="29"/>
      <c r="J37" s="29"/>
      <c r="K37" s="127"/>
      <c r="L37" s="127"/>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0.14491480893127356</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38026</v>
      </c>
      <c r="M44" s="28"/>
      <c r="N44" s="6"/>
    </row>
    <row r="45" spans="1:14" ht="15.75">
      <c r="A45" s="27"/>
      <c r="B45" s="28" t="s">
        <v>32</v>
      </c>
      <c r="C45" s="28"/>
      <c r="D45" s="28"/>
      <c r="E45" s="28"/>
      <c r="F45" s="28"/>
      <c r="G45" s="28"/>
      <c r="H45" s="28"/>
      <c r="I45" s="28">
        <f>L45-J45+1</f>
        <v>92</v>
      </c>
      <c r="J45" s="53">
        <v>37840</v>
      </c>
      <c r="K45" s="52"/>
      <c r="L45" s="53">
        <v>37931</v>
      </c>
      <c r="M45" s="28"/>
      <c r="N45" s="6"/>
    </row>
    <row r="46" spans="1:14" ht="15.75">
      <c r="A46" s="27"/>
      <c r="B46" s="28" t="s">
        <v>33</v>
      </c>
      <c r="C46" s="28"/>
      <c r="D46" s="28"/>
      <c r="E46" s="28"/>
      <c r="F46" s="28"/>
      <c r="G46" s="28"/>
      <c r="H46" s="28"/>
      <c r="I46" s="28">
        <f>L46-J46+1</f>
        <v>94</v>
      </c>
      <c r="J46" s="53">
        <v>37932</v>
      </c>
      <c r="K46" s="52"/>
      <c r="L46" s="53">
        <v>38025</v>
      </c>
      <c r="M46" s="28"/>
      <c r="N46" s="6"/>
    </row>
    <row r="47" spans="1:14" ht="15.75">
      <c r="A47" s="27"/>
      <c r="B47" s="28" t="s">
        <v>34</v>
      </c>
      <c r="C47" s="28"/>
      <c r="D47" s="28"/>
      <c r="E47" s="28"/>
      <c r="F47" s="28"/>
      <c r="G47" s="28"/>
      <c r="H47" s="28"/>
      <c r="I47" s="28"/>
      <c r="J47" s="53"/>
      <c r="K47" s="52"/>
      <c r="L47" s="53" t="s">
        <v>206</v>
      </c>
      <c r="M47" s="28"/>
      <c r="N47" s="6"/>
    </row>
    <row r="48" spans="1:14" ht="15.75">
      <c r="A48" s="27"/>
      <c r="B48" s="28" t="s">
        <v>35</v>
      </c>
      <c r="C48" s="28"/>
      <c r="D48" s="28"/>
      <c r="E48" s="28"/>
      <c r="F48" s="28"/>
      <c r="G48" s="28"/>
      <c r="H48" s="28"/>
      <c r="I48" s="28"/>
      <c r="J48" s="53"/>
      <c r="K48" s="52"/>
      <c r="L48" s="53">
        <v>38020</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204</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277816</v>
      </c>
      <c r="E56" s="38"/>
      <c r="F56" s="38">
        <f>9196+22+4375</f>
        <v>13593</v>
      </c>
      <c r="G56" s="38"/>
      <c r="H56" s="38">
        <f>4375+23</f>
        <v>4398</v>
      </c>
      <c r="I56" s="38"/>
      <c r="J56" s="38">
        <v>0</v>
      </c>
      <c r="K56" s="38"/>
      <c r="L56" s="60">
        <f>D56-F56+H56-J56</f>
        <v>268621</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277816</v>
      </c>
      <c r="E59" s="38"/>
      <c r="F59" s="38">
        <f>SUM(F56:F58)</f>
        <v>13593</v>
      </c>
      <c r="G59" s="38"/>
      <c r="H59" s="38">
        <f>SUM(H56:H58)</f>
        <v>4398</v>
      </c>
      <c r="I59" s="38"/>
      <c r="J59" s="38">
        <f>SUM(J56:J58)</f>
        <v>0</v>
      </c>
      <c r="K59" s="38"/>
      <c r="L59" s="61">
        <f>SUM(L56:L58)</f>
        <v>268621</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277816</v>
      </c>
      <c r="E71" s="38"/>
      <c r="F71" s="61"/>
      <c r="G71" s="38"/>
      <c r="H71" s="61"/>
      <c r="I71" s="38"/>
      <c r="J71" s="61"/>
      <c r="K71" s="38"/>
      <c r="L71" s="61">
        <f>SUM(L59:L70)</f>
        <v>268621</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38017</v>
      </c>
      <c r="E75" s="28"/>
      <c r="F75" s="28"/>
      <c r="G75" s="28"/>
      <c r="H75" s="28"/>
      <c r="I75" s="28"/>
      <c r="J75" s="38">
        <v>13593</v>
      </c>
      <c r="K75" s="28"/>
      <c r="L75" s="60"/>
      <c r="M75" s="28"/>
      <c r="N75" s="6"/>
    </row>
    <row r="76" spans="1:14" ht="15.75">
      <c r="A76" s="27"/>
      <c r="B76" s="28" t="s">
        <v>50</v>
      </c>
      <c r="C76" s="28"/>
      <c r="D76" s="28"/>
      <c r="E76" s="28"/>
      <c r="F76" s="28"/>
      <c r="G76" s="28"/>
      <c r="H76" s="28"/>
      <c r="I76" s="28"/>
      <c r="J76" s="38"/>
      <c r="K76" s="28"/>
      <c r="L76" s="60">
        <f>4215-14-19</f>
        <v>4182</v>
      </c>
      <c r="M76" s="28"/>
      <c r="N76" s="6"/>
    </row>
    <row r="77" spans="1:14" ht="15.75">
      <c r="A77" s="27"/>
      <c r="B77" s="28" t="s">
        <v>51</v>
      </c>
      <c r="C77" s="28"/>
      <c r="D77" s="28"/>
      <c r="E77" s="28"/>
      <c r="F77" s="28"/>
      <c r="G77" s="28"/>
      <c r="H77" s="28"/>
      <c r="I77" s="28"/>
      <c r="J77" s="38"/>
      <c r="K77" s="28"/>
      <c r="L77" s="60">
        <v>19</v>
      </c>
      <c r="M77" s="28"/>
      <c r="N77" s="6"/>
    </row>
    <row r="78" spans="1:14" ht="15.75">
      <c r="A78" s="27"/>
      <c r="B78" s="28" t="s">
        <v>52</v>
      </c>
      <c r="C78" s="28"/>
      <c r="D78" s="28"/>
      <c r="E78" s="28"/>
      <c r="F78" s="28"/>
      <c r="G78" s="28"/>
      <c r="H78" s="28"/>
      <c r="I78" s="28"/>
      <c r="J78" s="38">
        <f>SUM(J74:J77)</f>
        <v>13593</v>
      </c>
      <c r="K78" s="28"/>
      <c r="L78" s="61">
        <f>SUM(L74:L77)</f>
        <v>4201</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13593</v>
      </c>
      <c r="K80" s="28"/>
      <c r="L80" s="61">
        <f>L78+L79</f>
        <v>4201</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-211-8</f>
        <v>-219</v>
      </c>
      <c r="M84" s="28"/>
      <c r="N84" s="6"/>
    </row>
    <row r="85" spans="1:14" ht="15.75">
      <c r="A85" s="27">
        <v>4</v>
      </c>
      <c r="B85" s="28" t="s">
        <v>59</v>
      </c>
      <c r="C85" s="28"/>
      <c r="D85" s="28"/>
      <c r="E85" s="28"/>
      <c r="F85" s="28"/>
      <c r="G85" s="28"/>
      <c r="H85" s="28"/>
      <c r="I85" s="28"/>
      <c r="J85" s="28"/>
      <c r="K85" s="28"/>
      <c r="L85" s="60">
        <v>-200</v>
      </c>
      <c r="M85" s="28"/>
      <c r="N85" s="6"/>
    </row>
    <row r="86" spans="1:14" ht="15.75">
      <c r="A86" s="27">
        <v>5</v>
      </c>
      <c r="B86" s="28" t="s">
        <v>60</v>
      </c>
      <c r="C86" s="28"/>
      <c r="D86" s="28"/>
      <c r="E86" s="28"/>
      <c r="F86" s="28"/>
      <c r="G86" s="28"/>
      <c r="H86" s="28"/>
      <c r="I86" s="28"/>
      <c r="J86" s="28"/>
      <c r="K86" s="28"/>
      <c r="L86" s="60">
        <v>-2669</v>
      </c>
      <c r="M86" s="28"/>
      <c r="N86" s="6"/>
    </row>
    <row r="87" spans="1:14" ht="15.75">
      <c r="A87" s="27">
        <v>6</v>
      </c>
      <c r="B87" s="28" t="s">
        <v>61</v>
      </c>
      <c r="C87" s="28"/>
      <c r="D87" s="28"/>
      <c r="E87" s="28"/>
      <c r="F87" s="28"/>
      <c r="G87" s="28"/>
      <c r="H87" s="28"/>
      <c r="I87" s="28"/>
      <c r="J87" s="28"/>
      <c r="K87" s="28"/>
      <c r="L87" s="60">
        <v>-418</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-20-164</f>
        <v>-184</v>
      </c>
      <c r="M93" s="28"/>
      <c r="N93" s="6"/>
    </row>
    <row r="94" spans="1:14" ht="15.75">
      <c r="A94" s="27">
        <v>13</v>
      </c>
      <c r="B94" s="28" t="s">
        <v>68</v>
      </c>
      <c r="C94" s="28"/>
      <c r="D94" s="28"/>
      <c r="E94" s="28"/>
      <c r="F94" s="28"/>
      <c r="G94" s="28"/>
      <c r="H94" s="28"/>
      <c r="I94" s="28"/>
      <c r="J94" s="28"/>
      <c r="K94" s="28"/>
      <c r="L94" s="60">
        <f>-SUM(L80:L93)</f>
        <v>-501</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-23</v>
      </c>
      <c r="K96" s="38"/>
      <c r="L96" s="60"/>
      <c r="M96" s="28"/>
      <c r="N96" s="6"/>
    </row>
    <row r="97" spans="1:14" ht="15.75">
      <c r="A97" s="27"/>
      <c r="B97" s="28" t="s">
        <v>71</v>
      </c>
      <c r="C97" s="28"/>
      <c r="D97" s="28"/>
      <c r="E97" s="28"/>
      <c r="F97" s="28"/>
      <c r="G97" s="28"/>
      <c r="H97" s="28"/>
      <c r="I97" s="28"/>
      <c r="J97" s="38">
        <f>-H141</f>
        <v>-4375</v>
      </c>
      <c r="K97" s="38"/>
      <c r="L97" s="60"/>
      <c r="M97" s="28"/>
      <c r="N97" s="6"/>
    </row>
    <row r="98" spans="1:14" ht="15.75">
      <c r="A98" s="27"/>
      <c r="B98" s="28" t="s">
        <v>72</v>
      </c>
      <c r="C98" s="28"/>
      <c r="D98" s="28"/>
      <c r="E98" s="28"/>
      <c r="F98" s="28"/>
      <c r="G98" s="28"/>
      <c r="H98" s="28"/>
      <c r="I98" s="28"/>
      <c r="J98" s="38">
        <v>-9195</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-13593</v>
      </c>
      <c r="K100" s="38"/>
      <c r="L100" s="38">
        <f>SUM(L81:L99)</f>
        <v>-4201</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JANUARY 2004</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127"/>
      <c r="D120" s="127"/>
      <c r="E120" s="127"/>
      <c r="F120" s="127"/>
      <c r="G120" s="127"/>
      <c r="H120" s="127"/>
      <c r="I120" s="127"/>
      <c r="J120" s="127"/>
      <c r="K120" s="127"/>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268621</v>
      </c>
      <c r="M134" s="28"/>
      <c r="N134" s="6"/>
    </row>
    <row r="135" spans="1:14" ht="15.75">
      <c r="A135" s="27"/>
      <c r="B135" s="28" t="s">
        <v>97</v>
      </c>
      <c r="C135" s="73"/>
      <c r="D135" s="28"/>
      <c r="E135" s="28"/>
      <c r="F135" s="28"/>
      <c r="G135" s="28"/>
      <c r="H135" s="28"/>
      <c r="I135" s="28"/>
      <c r="J135" s="28"/>
      <c r="K135" s="28"/>
      <c r="L135" s="60">
        <f>L31</f>
        <v>268620.60400000005</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f>'Oct 2003'!H142</f>
        <v>40511</v>
      </c>
      <c r="I140" s="28"/>
      <c r="J140" s="60">
        <f>'Oct 2003'!J142</f>
        <v>885</v>
      </c>
      <c r="K140" s="28"/>
      <c r="L140" s="60">
        <f>J140+H140</f>
        <v>41396</v>
      </c>
      <c r="M140" s="28"/>
      <c r="N140" s="6"/>
    </row>
    <row r="141" spans="1:14" ht="15.75">
      <c r="A141" s="27"/>
      <c r="B141" s="28" t="s">
        <v>101</v>
      </c>
      <c r="C141" s="28"/>
      <c r="D141" s="28"/>
      <c r="E141" s="28"/>
      <c r="F141" s="28"/>
      <c r="G141" s="28"/>
      <c r="H141" s="60">
        <v>4375</v>
      </c>
      <c r="I141" s="28"/>
      <c r="J141" s="60">
        <v>23</v>
      </c>
      <c r="K141" s="28"/>
      <c r="L141" s="60">
        <f>J141+H141</f>
        <v>4398</v>
      </c>
      <c r="M141" s="28"/>
      <c r="N141" s="6"/>
    </row>
    <row r="142" spans="1:14" ht="15.75">
      <c r="A142" s="27"/>
      <c r="B142" s="28" t="s">
        <v>102</v>
      </c>
      <c r="C142" s="28"/>
      <c r="D142" s="28"/>
      <c r="E142" s="28"/>
      <c r="F142" s="28"/>
      <c r="G142" s="28"/>
      <c r="H142" s="60">
        <f>H141+H140</f>
        <v>44886</v>
      </c>
      <c r="I142" s="28"/>
      <c r="J142" s="60">
        <f>J141+J140</f>
        <v>908</v>
      </c>
      <c r="K142" s="28"/>
      <c r="L142" s="60">
        <f>J142+H142</f>
        <v>45794</v>
      </c>
      <c r="M142" s="28"/>
      <c r="N142" s="6"/>
    </row>
    <row r="143" spans="1:14" ht="15.75">
      <c r="A143" s="27"/>
      <c r="B143" s="28" t="s">
        <v>103</v>
      </c>
      <c r="C143" s="28"/>
      <c r="D143" s="28"/>
      <c r="E143" s="28"/>
      <c r="F143" s="28"/>
      <c r="G143" s="28"/>
      <c r="H143" s="60">
        <f>H139-H142-J142</f>
        <v>4206</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1.4151367553390783</v>
      </c>
      <c r="M147" s="28" t="s">
        <v>192</v>
      </c>
      <c r="N147" s="6"/>
    </row>
    <row r="148" spans="1:14" ht="15.75">
      <c r="A148" s="27"/>
      <c r="B148" s="28" t="s">
        <v>106</v>
      </c>
      <c r="C148" s="28"/>
      <c r="D148" s="28"/>
      <c r="E148" s="28"/>
      <c r="F148" s="28"/>
      <c r="G148" s="28"/>
      <c r="H148" s="28"/>
      <c r="I148" s="28"/>
      <c r="J148" s="28"/>
      <c r="K148" s="28"/>
      <c r="L148" s="66">
        <v>1.44</v>
      </c>
      <c r="M148" s="28" t="s">
        <v>192</v>
      </c>
      <c r="N148" s="6"/>
    </row>
    <row r="149" spans="1:14" ht="15.75">
      <c r="A149" s="27"/>
      <c r="B149" s="28" t="s">
        <v>107</v>
      </c>
      <c r="C149" s="28"/>
      <c r="D149" s="28"/>
      <c r="E149" s="28"/>
      <c r="F149" s="28"/>
      <c r="G149" s="28"/>
      <c r="H149" s="28"/>
      <c r="I149" s="28"/>
      <c r="J149" s="28"/>
      <c r="K149" s="28"/>
      <c r="L149" s="66">
        <f>(L80+SUM(L82:L86))/-L87</f>
        <v>2.650717703349282</v>
      </c>
      <c r="M149" s="28" t="s">
        <v>192</v>
      </c>
      <c r="N149" s="6"/>
    </row>
    <row r="150" spans="1:14" ht="15.75">
      <c r="A150" s="27"/>
      <c r="B150" s="28" t="s">
        <v>108</v>
      </c>
      <c r="C150" s="28"/>
      <c r="D150" s="28"/>
      <c r="E150" s="28"/>
      <c r="F150" s="28"/>
      <c r="G150" s="28"/>
      <c r="H150" s="28"/>
      <c r="I150" s="28"/>
      <c r="J150" s="28"/>
      <c r="K150" s="28"/>
      <c r="L150" s="75">
        <v>3.25</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JANUARY 2004</v>
      </c>
      <c r="C153" s="121"/>
      <c r="D153" s="121"/>
      <c r="E153" s="121"/>
      <c r="F153" s="121"/>
      <c r="G153" s="121"/>
      <c r="H153" s="121"/>
      <c r="I153" s="121"/>
      <c r="J153" s="121"/>
      <c r="K153" s="121"/>
      <c r="L153" s="121"/>
      <c r="M153" s="124"/>
      <c r="N153" s="6"/>
    </row>
    <row r="154" spans="1:14" ht="15.75">
      <c r="A154" s="2"/>
      <c r="B154" s="129"/>
      <c r="C154" s="129"/>
      <c r="D154" s="129"/>
      <c r="E154" s="129"/>
      <c r="F154" s="129"/>
      <c r="G154" s="129"/>
      <c r="H154" s="129"/>
      <c r="I154" s="129"/>
      <c r="J154" s="129"/>
      <c r="K154" s="129"/>
      <c r="L154" s="129"/>
      <c r="M154" s="129"/>
      <c r="N154" s="6"/>
    </row>
    <row r="155" spans="1:14" ht="15.75">
      <c r="A155" s="77"/>
      <c r="B155" s="58" t="s">
        <v>109</v>
      </c>
      <c r="C155" s="78"/>
      <c r="D155" s="78"/>
      <c r="E155" s="78"/>
      <c r="F155" s="78"/>
      <c r="G155" s="21"/>
      <c r="H155" s="21"/>
      <c r="I155" s="21"/>
      <c r="J155" s="21">
        <v>38017</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0.0583</v>
      </c>
      <c r="K160" s="28"/>
      <c r="L160" s="28"/>
      <c r="M160" s="28"/>
      <c r="N160" s="6"/>
    </row>
    <row r="161" spans="1:14" ht="15.75">
      <c r="A161" s="83"/>
      <c r="B161" s="84" t="s">
        <v>114</v>
      </c>
      <c r="C161" s="85"/>
      <c r="D161" s="85"/>
      <c r="E161" s="85"/>
      <c r="F161" s="85"/>
      <c r="G161" s="72"/>
      <c r="H161" s="72"/>
      <c r="I161" s="72"/>
      <c r="J161" s="86">
        <f>L33</f>
        <v>0.043261391951355185</v>
      </c>
      <c r="K161" s="28"/>
      <c r="L161" s="28"/>
      <c r="M161" s="28"/>
      <c r="N161" s="6"/>
    </row>
    <row r="162" spans="1:14" ht="15.75">
      <c r="A162" s="83"/>
      <c r="B162" s="84" t="s">
        <v>115</v>
      </c>
      <c r="C162" s="85"/>
      <c r="D162" s="85"/>
      <c r="E162" s="85"/>
      <c r="F162" s="85"/>
      <c r="G162" s="72"/>
      <c r="H162" s="72"/>
      <c r="I162" s="72"/>
      <c r="J162" s="86">
        <f>J160-J161</f>
        <v>0.015038608048644812</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17.92</v>
      </c>
      <c r="K166" s="28" t="s">
        <v>184</v>
      </c>
      <c r="L166" s="28"/>
      <c r="M166" s="28"/>
      <c r="N166" s="6"/>
    </row>
    <row r="167" spans="1:14" ht="15.75">
      <c r="A167" s="83"/>
      <c r="B167" s="84" t="s">
        <v>120</v>
      </c>
      <c r="C167" s="85"/>
      <c r="D167" s="85"/>
      <c r="E167" s="85"/>
      <c r="F167" s="85"/>
      <c r="G167" s="72"/>
      <c r="H167" s="72"/>
      <c r="I167" s="72"/>
      <c r="J167" s="86">
        <f>F56/'Oct 2003'!L56</f>
        <v>0.048928067497912286</v>
      </c>
      <c r="K167" s="28"/>
      <c r="L167" s="28"/>
      <c r="M167" s="28"/>
      <c r="N167" s="6"/>
    </row>
    <row r="168" spans="1:14" ht="15.75">
      <c r="A168" s="83"/>
      <c r="B168" s="84" t="s">
        <v>121</v>
      </c>
      <c r="C168" s="85"/>
      <c r="D168" s="85"/>
      <c r="E168" s="85"/>
      <c r="F168" s="85"/>
      <c r="G168" s="72"/>
      <c r="H168" s="72"/>
      <c r="I168" s="72"/>
      <c r="J168" s="86">
        <v>0.1326</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22</v>
      </c>
      <c r="J171" s="95">
        <v>1387</v>
      </c>
      <c r="K171" s="28"/>
      <c r="L171" s="89"/>
      <c r="M171" s="96"/>
      <c r="N171" s="6"/>
    </row>
    <row r="172" spans="1:14" ht="15.75">
      <c r="A172" s="94"/>
      <c r="B172" s="84" t="s">
        <v>205</v>
      </c>
      <c r="C172" s="61"/>
      <c r="D172" s="61"/>
      <c r="E172" s="61"/>
      <c r="F172" s="28"/>
      <c r="G172" s="28"/>
      <c r="H172" s="28"/>
      <c r="I172" s="29">
        <v>1</v>
      </c>
      <c r="J172" s="95">
        <v>501</v>
      </c>
      <c r="K172" s="28"/>
      <c r="L172" s="89"/>
      <c r="M172" s="96"/>
      <c r="N172" s="6"/>
    </row>
    <row r="173" spans="1:14" ht="15.75">
      <c r="A173" s="94"/>
      <c r="B173" s="84" t="s">
        <v>124</v>
      </c>
      <c r="C173" s="61"/>
      <c r="D173" s="61"/>
      <c r="E173" s="61"/>
      <c r="F173" s="28"/>
      <c r="G173" s="28"/>
      <c r="H173" s="28"/>
      <c r="I173" s="29">
        <v>1</v>
      </c>
      <c r="J173" s="95">
        <v>57</v>
      </c>
      <c r="K173" s="28"/>
      <c r="L173" s="89"/>
      <c r="M173" s="96"/>
      <c r="N173" s="6"/>
    </row>
    <row r="174" spans="1:14" ht="15.75">
      <c r="A174" s="94"/>
      <c r="B174" s="145" t="s">
        <v>125</v>
      </c>
      <c r="C174" s="61"/>
      <c r="D174" s="61"/>
      <c r="E174" s="61"/>
      <c r="F174" s="28"/>
      <c r="G174" s="28"/>
      <c r="H174" s="28"/>
      <c r="I174" s="28"/>
      <c r="J174" s="95">
        <v>0</v>
      </c>
      <c r="K174" s="28"/>
      <c r="L174" s="89"/>
      <c r="M174" s="96"/>
      <c r="N174" s="6"/>
    </row>
    <row r="175" spans="1:14" ht="15.75">
      <c r="A175" s="94"/>
      <c r="B175" s="145" t="s">
        <v>126</v>
      </c>
      <c r="C175" s="61"/>
      <c r="D175" s="61"/>
      <c r="E175" s="61"/>
      <c r="F175" s="28"/>
      <c r="G175" s="28"/>
      <c r="H175" s="28"/>
      <c r="I175" s="28"/>
      <c r="J175" s="95">
        <v>59682</v>
      </c>
      <c r="K175" s="28"/>
      <c r="L175" s="89"/>
      <c r="M175" s="96"/>
      <c r="N175" s="6"/>
    </row>
    <row r="176" spans="1:14" ht="15.75">
      <c r="A176" s="97"/>
      <c r="B176" s="145" t="s">
        <v>127</v>
      </c>
      <c r="C176" s="61"/>
      <c r="D176" s="84"/>
      <c r="E176" s="84"/>
      <c r="F176" s="84"/>
      <c r="G176" s="28"/>
      <c r="H176" s="28"/>
      <c r="I176" s="28"/>
      <c r="J176" s="95">
        <v>0</v>
      </c>
      <c r="K176" s="152"/>
      <c r="L176" s="89"/>
      <c r="M176" s="98"/>
      <c r="N176" s="6"/>
    </row>
    <row r="177" spans="1:14" ht="15.75">
      <c r="A177" s="94"/>
      <c r="B177" s="84" t="s">
        <v>128</v>
      </c>
      <c r="C177" s="61"/>
      <c r="D177" s="61"/>
      <c r="E177" s="61"/>
      <c r="F177" s="61"/>
      <c r="G177" s="28"/>
      <c r="H177" s="28"/>
      <c r="I177" s="28"/>
      <c r="J177" s="95">
        <v>0</v>
      </c>
      <c r="K177" s="28"/>
      <c r="L177" s="89"/>
      <c r="M177" s="98"/>
      <c r="N177" s="6"/>
    </row>
    <row r="178" spans="1:14" ht="15.75">
      <c r="A178" s="94"/>
      <c r="B178" s="84" t="s">
        <v>129</v>
      </c>
      <c r="C178" s="61"/>
      <c r="D178" s="61"/>
      <c r="E178" s="61"/>
      <c r="F178" s="61"/>
      <c r="G178" s="28"/>
      <c r="H178" s="28"/>
      <c r="I178" s="28"/>
      <c r="J178" s="95">
        <v>0</v>
      </c>
      <c r="K178" s="28"/>
      <c r="L178" s="89"/>
      <c r="M178" s="98"/>
      <c r="N178" s="6"/>
    </row>
    <row r="179" spans="1:14" ht="15.75">
      <c r="A179" s="94"/>
      <c r="B179" s="84" t="s">
        <v>130</v>
      </c>
      <c r="C179" s="61"/>
      <c r="D179" s="61"/>
      <c r="E179" s="61"/>
      <c r="F179" s="61"/>
      <c r="G179" s="28"/>
      <c r="H179" s="28"/>
      <c r="I179" s="28"/>
      <c r="J179" s="95">
        <v>0</v>
      </c>
      <c r="K179" s="28"/>
      <c r="L179" s="89"/>
      <c r="M179" s="98"/>
      <c r="N179" s="6"/>
    </row>
    <row r="180" spans="1:14" ht="15.75">
      <c r="A180" s="97"/>
      <c r="B180" s="145" t="s">
        <v>131</v>
      </c>
      <c r="C180" s="61"/>
      <c r="D180" s="84"/>
      <c r="E180" s="84"/>
      <c r="F180" s="84"/>
      <c r="G180" s="28"/>
      <c r="H180" s="28"/>
      <c r="I180" s="28"/>
      <c r="J180" s="95"/>
      <c r="K180" s="28"/>
      <c r="L180" s="89"/>
      <c r="M180" s="98"/>
      <c r="N180" s="6"/>
    </row>
    <row r="181" spans="1:14" ht="15.75">
      <c r="A181" s="97"/>
      <c r="B181" s="84" t="s">
        <v>132</v>
      </c>
      <c r="C181" s="61"/>
      <c r="D181" s="84"/>
      <c r="E181" s="84"/>
      <c r="F181" s="84"/>
      <c r="G181" s="28"/>
      <c r="H181" s="28"/>
      <c r="I181" s="28"/>
      <c r="J181" s="95">
        <v>0</v>
      </c>
      <c r="K181" s="28"/>
      <c r="L181" s="89"/>
      <c r="M181" s="98"/>
      <c r="N181" s="6"/>
    </row>
    <row r="182" spans="1:14" ht="15.75">
      <c r="A182" s="94"/>
      <c r="B182" s="84" t="s">
        <v>133</v>
      </c>
      <c r="C182" s="61"/>
      <c r="D182" s="99"/>
      <c r="E182" s="99"/>
      <c r="F182" s="100"/>
      <c r="G182" s="28"/>
      <c r="H182" s="28"/>
      <c r="I182" s="28"/>
      <c r="J182" s="95">
        <v>0</v>
      </c>
      <c r="K182" s="28"/>
      <c r="L182" s="89"/>
      <c r="M182" s="98"/>
      <c r="N182" s="6"/>
    </row>
    <row r="183" spans="1:14" ht="15.75">
      <c r="A183" s="94"/>
      <c r="B183" s="84" t="s">
        <v>134</v>
      </c>
      <c r="C183" s="61"/>
      <c r="D183" s="99"/>
      <c r="E183" s="99"/>
      <c r="F183" s="100"/>
      <c r="G183" s="28"/>
      <c r="H183" s="28"/>
      <c r="I183" s="28"/>
      <c r="J183" s="95">
        <v>0</v>
      </c>
      <c r="K183" s="28"/>
      <c r="L183" s="89"/>
      <c r="M183" s="98"/>
      <c r="N183" s="6"/>
    </row>
    <row r="184" spans="1:14" ht="15.75">
      <c r="A184" s="94"/>
      <c r="B184" s="84" t="s">
        <v>135</v>
      </c>
      <c r="C184" s="61"/>
      <c r="D184" s="101"/>
      <c r="E184" s="99"/>
      <c r="F184" s="100"/>
      <c r="G184" s="28"/>
      <c r="H184" s="28"/>
      <c r="I184" s="28"/>
      <c r="J184" s="102">
        <v>0</v>
      </c>
      <c r="K184" s="28"/>
      <c r="L184" s="89"/>
      <c r="M184" s="98"/>
      <c r="N184" s="6"/>
    </row>
    <row r="185" spans="1:14" ht="15.75">
      <c r="A185" s="94"/>
      <c r="B185" s="84"/>
      <c r="C185" s="61"/>
      <c r="D185" s="101"/>
      <c r="E185" s="99"/>
      <c r="F185" s="100"/>
      <c r="G185" s="28"/>
      <c r="H185" s="28"/>
      <c r="I185" s="28"/>
      <c r="J185" s="102"/>
      <c r="K185" s="28"/>
      <c r="L185" s="89"/>
      <c r="M185" s="98"/>
      <c r="N185" s="6"/>
    </row>
    <row r="186" spans="1:14" ht="15.75">
      <c r="A186" s="7"/>
      <c r="B186" s="16" t="s">
        <v>136</v>
      </c>
      <c r="C186" s="19"/>
      <c r="D186" s="93"/>
      <c r="E186" s="19"/>
      <c r="F186" s="93"/>
      <c r="G186" s="19"/>
      <c r="H186" s="93" t="s">
        <v>171</v>
      </c>
      <c r="I186" s="19" t="s">
        <v>172</v>
      </c>
      <c r="J186" s="93" t="s">
        <v>182</v>
      </c>
      <c r="K186" s="19" t="s">
        <v>172</v>
      </c>
      <c r="L186" s="17"/>
      <c r="M186" s="103"/>
      <c r="N186" s="6"/>
    </row>
    <row r="187" spans="1:14" ht="15.75">
      <c r="A187" s="27"/>
      <c r="B187" s="61" t="s">
        <v>137</v>
      </c>
      <c r="C187" s="104"/>
      <c r="D187" s="61"/>
      <c r="E187" s="104"/>
      <c r="F187" s="28"/>
      <c r="G187" s="104"/>
      <c r="H187" s="61">
        <v>3695</v>
      </c>
      <c r="I187" s="104">
        <f>H187/H192</f>
        <v>0.9895554365291912</v>
      </c>
      <c r="J187" s="60">
        <v>265875</v>
      </c>
      <c r="K187" s="105">
        <f>J187/J192</f>
        <v>0.9897774187423917</v>
      </c>
      <c r="L187" s="89"/>
      <c r="M187" s="98"/>
      <c r="N187" s="6"/>
    </row>
    <row r="188" spans="1:14" ht="15.75">
      <c r="A188" s="27"/>
      <c r="B188" s="61" t="s">
        <v>138</v>
      </c>
      <c r="C188" s="104"/>
      <c r="D188" s="61"/>
      <c r="E188" s="104"/>
      <c r="F188" s="28"/>
      <c r="G188" s="106"/>
      <c r="H188" s="61">
        <v>10</v>
      </c>
      <c r="I188" s="104">
        <f>H188/H192</f>
        <v>0.002678093197643278</v>
      </c>
      <c r="J188" s="60">
        <v>589</v>
      </c>
      <c r="K188" s="105">
        <f>J188/J192</f>
        <v>0.0021926803935656556</v>
      </c>
      <c r="L188" s="89"/>
      <c r="M188" s="98"/>
      <c r="N188" s="6"/>
    </row>
    <row r="189" spans="1:14" ht="15.75">
      <c r="A189" s="27"/>
      <c r="B189" s="61" t="s">
        <v>139</v>
      </c>
      <c r="C189" s="104"/>
      <c r="D189" s="61"/>
      <c r="E189" s="104"/>
      <c r="F189" s="28"/>
      <c r="G189" s="106"/>
      <c r="H189" s="61">
        <v>6</v>
      </c>
      <c r="I189" s="104">
        <f>H189/H192</f>
        <v>0.0016068559185859668</v>
      </c>
      <c r="J189" s="60">
        <v>479</v>
      </c>
      <c r="K189" s="105">
        <f>J189/J192</f>
        <v>0.0017831815085194381</v>
      </c>
      <c r="L189" s="89"/>
      <c r="M189" s="98"/>
      <c r="N189" s="6"/>
    </row>
    <row r="190" spans="1:14" ht="15.75">
      <c r="A190" s="27"/>
      <c r="B190" s="61" t="s">
        <v>140</v>
      </c>
      <c r="C190" s="104"/>
      <c r="D190" s="61"/>
      <c r="E190" s="104"/>
      <c r="F190" s="28"/>
      <c r="G190" s="106"/>
      <c r="H190" s="61">
        <v>23</v>
      </c>
      <c r="I190" s="104">
        <f>H190/H192</f>
        <v>0.006159614354579539</v>
      </c>
      <c r="J190" s="60">
        <v>1678</v>
      </c>
      <c r="K190" s="105">
        <f>J190/$J192</f>
        <v>0.006246719355523209</v>
      </c>
      <c r="L190" s="89"/>
      <c r="M190" s="98"/>
      <c r="N190" s="6"/>
    </row>
    <row r="191" spans="1:14" ht="15.75">
      <c r="A191" s="27"/>
      <c r="B191" s="61"/>
      <c r="C191" s="107"/>
      <c r="D191" s="96"/>
      <c r="E191" s="107"/>
      <c r="F191" s="28"/>
      <c r="G191" s="107"/>
      <c r="H191" s="96"/>
      <c r="I191" s="107"/>
      <c r="J191" s="60"/>
      <c r="K191" s="105"/>
      <c r="L191" s="89"/>
      <c r="M191" s="98"/>
      <c r="N191" s="6"/>
    </row>
    <row r="192" spans="1:14" ht="15.75">
      <c r="A192" s="27"/>
      <c r="B192" s="28"/>
      <c r="C192" s="28"/>
      <c r="D192" s="28"/>
      <c r="E192" s="28"/>
      <c r="F192" s="28"/>
      <c r="G192" s="28"/>
      <c r="H192" s="38">
        <f>SUM(H187:H190)</f>
        <v>3734</v>
      </c>
      <c r="I192" s="108">
        <f>SUM(I187:I191)</f>
        <v>1</v>
      </c>
      <c r="J192" s="60">
        <f>SUM(J187:J191)</f>
        <v>268621</v>
      </c>
      <c r="K192" s="108">
        <f>SUM(K187:K191)</f>
        <v>1</v>
      </c>
      <c r="L192" s="28"/>
      <c r="M192" s="28"/>
      <c r="N192" s="6"/>
    </row>
    <row r="193" spans="1:14" ht="15.75">
      <c r="A193" s="27"/>
      <c r="B193" s="28"/>
      <c r="C193" s="28"/>
      <c r="D193" s="28"/>
      <c r="E193" s="28"/>
      <c r="F193" s="28"/>
      <c r="G193" s="28"/>
      <c r="H193" s="38"/>
      <c r="I193" s="108"/>
      <c r="J193" s="60"/>
      <c r="K193" s="108"/>
      <c r="L193" s="28"/>
      <c r="M193" s="28"/>
      <c r="N193" s="6"/>
    </row>
    <row r="194" spans="1:14" ht="15.75">
      <c r="A194" s="7"/>
      <c r="B194" s="9"/>
      <c r="C194" s="9"/>
      <c r="D194" s="9"/>
      <c r="E194" s="9"/>
      <c r="F194" s="9"/>
      <c r="G194" s="9"/>
      <c r="H194" s="62"/>
      <c r="I194" s="109"/>
      <c r="J194" s="110"/>
      <c r="K194" s="109"/>
      <c r="L194" s="9"/>
      <c r="M194" s="9"/>
      <c r="N194" s="6"/>
    </row>
    <row r="195" spans="1:14" ht="15.75">
      <c r="A195" s="111"/>
      <c r="B195" s="16" t="s">
        <v>141</v>
      </c>
      <c r="C195" s="112"/>
      <c r="D195" s="19" t="s">
        <v>149</v>
      </c>
      <c r="E195" s="17"/>
      <c r="F195" s="16" t="s">
        <v>160</v>
      </c>
      <c r="G195" s="113"/>
      <c r="H195" s="113"/>
      <c r="I195" s="113"/>
      <c r="J195" s="126"/>
      <c r="K195" s="126"/>
      <c r="L195" s="126"/>
      <c r="M195" s="126"/>
      <c r="N195" s="6"/>
    </row>
    <row r="196" spans="1:14" ht="15.75">
      <c r="A196" s="130"/>
      <c r="B196" s="126"/>
      <c r="C196" s="126"/>
      <c r="D196" s="9"/>
      <c r="E196" s="9"/>
      <c r="F196" s="9"/>
      <c r="G196" s="126"/>
      <c r="H196" s="126"/>
      <c r="I196" s="126"/>
      <c r="J196" s="126"/>
      <c r="K196" s="126"/>
      <c r="L196" s="126"/>
      <c r="M196" s="126"/>
      <c r="N196" s="6"/>
    </row>
    <row r="197" spans="1:14" ht="15.75">
      <c r="A197" s="130"/>
      <c r="B197" s="15" t="s">
        <v>142</v>
      </c>
      <c r="C197" s="115"/>
      <c r="D197" s="116" t="s">
        <v>150</v>
      </c>
      <c r="E197" s="15"/>
      <c r="F197" s="15" t="s">
        <v>161</v>
      </c>
      <c r="G197" s="115"/>
      <c r="H197" s="115"/>
      <c r="I197" s="126"/>
      <c r="J197" s="126"/>
      <c r="K197" s="126"/>
      <c r="L197" s="126"/>
      <c r="M197" s="126"/>
      <c r="N197" s="6"/>
    </row>
    <row r="198" spans="1:14" ht="15.75">
      <c r="A198" s="130"/>
      <c r="B198" s="15" t="s">
        <v>143</v>
      </c>
      <c r="C198" s="115"/>
      <c r="D198" s="116" t="s">
        <v>151</v>
      </c>
      <c r="E198" s="15"/>
      <c r="F198" s="15" t="s">
        <v>162</v>
      </c>
      <c r="G198" s="115"/>
      <c r="H198" s="115"/>
      <c r="I198" s="126"/>
      <c r="J198" s="126"/>
      <c r="K198" s="126"/>
      <c r="L198" s="126"/>
      <c r="M198" s="126"/>
      <c r="N198" s="6"/>
    </row>
    <row r="199" spans="1:14" ht="15.75">
      <c r="A199" s="130"/>
      <c r="B199" s="15"/>
      <c r="C199" s="115"/>
      <c r="D199" s="116"/>
      <c r="E199" s="15"/>
      <c r="F199" s="15"/>
      <c r="G199" s="115"/>
      <c r="H199" s="115"/>
      <c r="I199" s="126"/>
      <c r="J199" s="126"/>
      <c r="K199" s="126"/>
      <c r="L199" s="126"/>
      <c r="M199" s="126"/>
      <c r="N199" s="6"/>
    </row>
    <row r="200" spans="1:14" ht="15.75">
      <c r="A200" s="130"/>
      <c r="B200" s="15"/>
      <c r="C200" s="115"/>
      <c r="D200" s="116"/>
      <c r="E200" s="15"/>
      <c r="F200" s="15"/>
      <c r="G200" s="115"/>
      <c r="H200" s="115"/>
      <c r="I200" s="126"/>
      <c r="J200" s="126"/>
      <c r="K200" s="126"/>
      <c r="L200" s="126"/>
      <c r="M200" s="126"/>
      <c r="N200" s="6"/>
    </row>
    <row r="201" spans="1:14" ht="18.75">
      <c r="A201" s="130"/>
      <c r="B201" s="56" t="str">
        <f>B153</f>
        <v>PM3 INVESTOR REPORT QUARTER ENDING JANUARY 2004</v>
      </c>
      <c r="C201" s="115"/>
      <c r="D201" s="116"/>
      <c r="E201" s="15"/>
      <c r="F201" s="15"/>
      <c r="G201" s="115"/>
      <c r="H201" s="115"/>
      <c r="I201" s="126"/>
      <c r="J201" s="126"/>
      <c r="K201" s="126"/>
      <c r="L201" s="126"/>
      <c r="M201" s="126"/>
      <c r="N201" s="6"/>
    </row>
    <row r="202" spans="1:13" ht="15">
      <c r="A202" s="117"/>
      <c r="B202" s="117"/>
      <c r="C202" s="117"/>
      <c r="D202" s="117"/>
      <c r="E202" s="117"/>
      <c r="F202" s="117"/>
      <c r="G202" s="117"/>
      <c r="H202" s="117"/>
      <c r="I202" s="117"/>
      <c r="J202" s="117"/>
      <c r="K202" s="117"/>
      <c r="L202" s="117"/>
      <c r="M202"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2.xml><?xml version="1.0" encoding="utf-8"?>
<worksheet xmlns="http://schemas.openxmlformats.org/spreadsheetml/2006/main" xmlns:r="http://schemas.openxmlformats.org/officeDocument/2006/relationships">
  <dimension ref="A1:N202"/>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6"/>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38127</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26"/>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26"/>
      <c r="L22" s="126"/>
      <c r="M22" s="9"/>
      <c r="N22" s="6"/>
    </row>
    <row r="23" spans="1:14" ht="15.75">
      <c r="A23" s="7"/>
      <c r="B23" s="9" t="s">
        <v>13</v>
      </c>
      <c r="C23" s="132" t="s">
        <v>145</v>
      </c>
      <c r="D23" s="25"/>
      <c r="E23" s="25"/>
      <c r="F23" s="25" t="s">
        <v>153</v>
      </c>
      <c r="G23" s="25"/>
      <c r="H23" s="25" t="s">
        <v>164</v>
      </c>
      <c r="I23" s="25"/>
      <c r="J23" s="25"/>
      <c r="K23" s="126"/>
      <c r="L23" s="126"/>
      <c r="M23" s="9"/>
      <c r="N23" s="6"/>
    </row>
    <row r="24" spans="1:14" ht="15.75">
      <c r="A24" s="27"/>
      <c r="B24" s="28" t="s">
        <v>14</v>
      </c>
      <c r="C24" s="29"/>
      <c r="D24" s="30"/>
      <c r="E24" s="30"/>
      <c r="F24" s="30" t="s">
        <v>154</v>
      </c>
      <c r="G24" s="30"/>
      <c r="H24" s="30" t="s">
        <v>165</v>
      </c>
      <c r="I24" s="30"/>
      <c r="J24" s="30"/>
      <c r="K24" s="127"/>
      <c r="L24" s="127"/>
      <c r="M24" s="28"/>
      <c r="N24" s="6"/>
    </row>
    <row r="25" spans="1:14" ht="15.75">
      <c r="A25" s="32"/>
      <c r="B25" s="33" t="s">
        <v>15</v>
      </c>
      <c r="C25" s="33"/>
      <c r="D25" s="34"/>
      <c r="E25" s="34"/>
      <c r="F25" s="34" t="s">
        <v>153</v>
      </c>
      <c r="G25" s="34"/>
      <c r="H25" s="34" t="s">
        <v>202</v>
      </c>
      <c r="I25" s="34"/>
      <c r="J25" s="30"/>
      <c r="K25" s="127"/>
      <c r="L25" s="127"/>
      <c r="M25" s="28"/>
      <c r="N25" s="6"/>
    </row>
    <row r="26" spans="1:14" ht="15.75">
      <c r="A26" s="32"/>
      <c r="B26" s="33" t="s">
        <v>16</v>
      </c>
      <c r="C26" s="33"/>
      <c r="D26" s="34"/>
      <c r="E26" s="34"/>
      <c r="F26" s="34" t="s">
        <v>154</v>
      </c>
      <c r="G26" s="34"/>
      <c r="H26" s="34" t="s">
        <v>201</v>
      </c>
      <c r="I26" s="34"/>
      <c r="J26" s="30"/>
      <c r="K26" s="127"/>
      <c r="L26" s="127"/>
      <c r="M26" s="28"/>
      <c r="N26" s="6"/>
    </row>
    <row r="27" spans="1:14" ht="15.75">
      <c r="A27" s="27"/>
      <c r="B27" s="28" t="s">
        <v>17</v>
      </c>
      <c r="C27" s="28"/>
      <c r="D27" s="29"/>
      <c r="E27" s="30"/>
      <c r="F27" s="29" t="s">
        <v>155</v>
      </c>
      <c r="G27" s="30"/>
      <c r="H27" s="29" t="s">
        <v>166</v>
      </c>
      <c r="I27" s="30"/>
      <c r="J27" s="29"/>
      <c r="K27" s="127"/>
      <c r="L27" s="127"/>
      <c r="M27" s="28"/>
      <c r="N27" s="6"/>
    </row>
    <row r="28" spans="1:14" ht="15.75">
      <c r="A28" s="27"/>
      <c r="B28" s="28"/>
      <c r="C28" s="28"/>
      <c r="D28" s="28"/>
      <c r="E28" s="30"/>
      <c r="F28" s="30"/>
      <c r="G28" s="30"/>
      <c r="H28" s="30"/>
      <c r="I28" s="30"/>
      <c r="J28" s="30"/>
      <c r="K28" s="127"/>
      <c r="L28" s="127"/>
      <c r="M28" s="28"/>
      <c r="N28" s="6"/>
    </row>
    <row r="29" spans="1:14" ht="15.75">
      <c r="A29" s="27"/>
      <c r="B29" s="28" t="s">
        <v>18</v>
      </c>
      <c r="C29" s="28"/>
      <c r="D29" s="35"/>
      <c r="E29" s="36"/>
      <c r="F29" s="35">
        <v>306000</v>
      </c>
      <c r="G29" s="35"/>
      <c r="H29" s="35">
        <v>34000</v>
      </c>
      <c r="I29" s="35"/>
      <c r="J29" s="35"/>
      <c r="K29" s="128"/>
      <c r="L29" s="35">
        <f>H29+F29</f>
        <v>340000</v>
      </c>
      <c r="M29" s="38"/>
      <c r="N29" s="6"/>
    </row>
    <row r="30" spans="1:14" ht="15.75">
      <c r="A30" s="27"/>
      <c r="B30" s="28" t="s">
        <v>19</v>
      </c>
      <c r="C30" s="39">
        <v>0.766734</v>
      </c>
      <c r="D30" s="35"/>
      <c r="E30" s="36"/>
      <c r="F30" s="35">
        <f>306000*C30</f>
        <v>234620.60400000002</v>
      </c>
      <c r="G30" s="35"/>
      <c r="H30" s="35">
        <v>34000</v>
      </c>
      <c r="I30" s="35"/>
      <c r="J30" s="35"/>
      <c r="K30" s="128"/>
      <c r="L30" s="35">
        <f>H30+F30</f>
        <v>268620.60400000005</v>
      </c>
      <c r="M30" s="38"/>
      <c r="N30" s="6"/>
    </row>
    <row r="31" spans="1:14" ht="12.75" customHeight="1">
      <c r="A31" s="32"/>
      <c r="B31" s="33" t="s">
        <v>20</v>
      </c>
      <c r="C31" s="40">
        <v>0.729479</v>
      </c>
      <c r="D31" s="41"/>
      <c r="E31" s="42"/>
      <c r="F31" s="41">
        <f>F29*C31</f>
        <v>223220.574</v>
      </c>
      <c r="G31" s="41"/>
      <c r="H31" s="41">
        <f>H29</f>
        <v>34000</v>
      </c>
      <c r="I31" s="41"/>
      <c r="J31" s="41"/>
      <c r="K31" s="43"/>
      <c r="L31" s="41">
        <f>H31+F31+D31</f>
        <v>257220.574</v>
      </c>
      <c r="M31" s="38"/>
      <c r="N31" s="6"/>
    </row>
    <row r="32" spans="1:14" ht="15.75">
      <c r="A32" s="27"/>
      <c r="B32" s="28" t="s">
        <v>21</v>
      </c>
      <c r="C32" s="44"/>
      <c r="D32" s="29"/>
      <c r="E32" s="28"/>
      <c r="F32" s="29" t="s">
        <v>156</v>
      </c>
      <c r="G32" s="29"/>
      <c r="H32" s="29" t="s">
        <v>167</v>
      </c>
      <c r="I32" s="29"/>
      <c r="J32" s="29"/>
      <c r="K32" s="127"/>
      <c r="L32" s="127"/>
      <c r="M32" s="28"/>
      <c r="N32" s="6"/>
    </row>
    <row r="33" spans="1:14" ht="15.75">
      <c r="A33" s="27"/>
      <c r="B33" s="28" t="s">
        <v>22</v>
      </c>
      <c r="C33" s="28"/>
      <c r="D33" s="45"/>
      <c r="E33" s="28"/>
      <c r="F33" s="45">
        <v>0.0443578</v>
      </c>
      <c r="G33" s="46"/>
      <c r="H33" s="45">
        <v>0.0495578</v>
      </c>
      <c r="I33" s="46"/>
      <c r="J33" s="45"/>
      <c r="K33" s="127"/>
      <c r="L33" s="46">
        <f>SUMPRODUCT(F33:H33,F30:H30)/L30</f>
        <v>0.045015977360065795</v>
      </c>
      <c r="M33" s="28"/>
      <c r="N33" s="6"/>
    </row>
    <row r="34" spans="1:14" ht="15.75">
      <c r="A34" s="27"/>
      <c r="B34" s="28" t="s">
        <v>23</v>
      </c>
      <c r="C34" s="28"/>
      <c r="D34" s="45"/>
      <c r="E34" s="28"/>
      <c r="F34" s="45">
        <v>0.042625</v>
      </c>
      <c r="G34" s="46"/>
      <c r="H34" s="45">
        <v>0.047825</v>
      </c>
      <c r="I34" s="46"/>
      <c r="J34" s="45"/>
      <c r="K34" s="127"/>
      <c r="L34" s="127"/>
      <c r="M34" s="28"/>
      <c r="N34" s="6"/>
    </row>
    <row r="35" spans="1:14" ht="15.75">
      <c r="A35" s="27"/>
      <c r="B35" s="28" t="s">
        <v>24</v>
      </c>
      <c r="C35" s="28"/>
      <c r="D35" s="29"/>
      <c r="E35" s="28"/>
      <c r="F35" s="29" t="s">
        <v>157</v>
      </c>
      <c r="G35" s="29"/>
      <c r="H35" s="29" t="s">
        <v>157</v>
      </c>
      <c r="I35" s="29"/>
      <c r="J35" s="29"/>
      <c r="K35" s="127"/>
      <c r="L35" s="127"/>
      <c r="M35" s="28"/>
      <c r="N35" s="6"/>
    </row>
    <row r="36" spans="1:14" ht="15.75">
      <c r="A36" s="27"/>
      <c r="B36" s="28" t="s">
        <v>25</v>
      </c>
      <c r="C36" s="28"/>
      <c r="D36" s="29"/>
      <c r="E36" s="28"/>
      <c r="F36" s="151">
        <v>39209</v>
      </c>
      <c r="G36" s="29"/>
      <c r="H36" s="151">
        <v>39209</v>
      </c>
      <c r="I36" s="29"/>
      <c r="J36" s="29"/>
      <c r="K36" s="127"/>
      <c r="L36" s="127"/>
      <c r="M36" s="28"/>
      <c r="N36" s="6"/>
    </row>
    <row r="37" spans="1:14" ht="15.75">
      <c r="A37" s="27"/>
      <c r="B37" s="28" t="s">
        <v>26</v>
      </c>
      <c r="C37" s="28"/>
      <c r="D37" s="29"/>
      <c r="E37" s="28"/>
      <c r="F37" s="29" t="s">
        <v>158</v>
      </c>
      <c r="G37" s="29"/>
      <c r="H37" s="29" t="s">
        <v>168</v>
      </c>
      <c r="I37" s="29"/>
      <c r="J37" s="29"/>
      <c r="K37" s="127"/>
      <c r="L37" s="127"/>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0.15231570903495661</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38114</v>
      </c>
      <c r="M44" s="28"/>
      <c r="N44" s="6"/>
    </row>
    <row r="45" spans="1:14" ht="15.75">
      <c r="A45" s="27"/>
      <c r="B45" s="28" t="s">
        <v>32</v>
      </c>
      <c r="C45" s="28"/>
      <c r="D45" s="28"/>
      <c r="E45" s="28"/>
      <c r="F45" s="28"/>
      <c r="G45" s="28"/>
      <c r="H45" s="28"/>
      <c r="I45" s="28">
        <f>L45-J45+1</f>
        <v>94</v>
      </c>
      <c r="J45" s="53">
        <v>37932</v>
      </c>
      <c r="K45" s="52"/>
      <c r="L45" s="53">
        <v>38025</v>
      </c>
      <c r="M45" s="28"/>
      <c r="N45" s="6"/>
    </row>
    <row r="46" spans="1:14" ht="15.75">
      <c r="A46" s="27"/>
      <c r="B46" s="28" t="s">
        <v>33</v>
      </c>
      <c r="C46" s="28"/>
      <c r="D46" s="28"/>
      <c r="E46" s="28"/>
      <c r="F46" s="28"/>
      <c r="G46" s="28"/>
      <c r="H46" s="28"/>
      <c r="I46" s="28">
        <f>L46-J46+1</f>
        <v>88</v>
      </c>
      <c r="J46" s="53">
        <v>38026</v>
      </c>
      <c r="K46" s="52"/>
      <c r="L46" s="53">
        <v>38113</v>
      </c>
      <c r="M46" s="28"/>
      <c r="N46" s="6"/>
    </row>
    <row r="47" spans="1:14" ht="15.75">
      <c r="A47" s="27"/>
      <c r="B47" s="28" t="s">
        <v>34</v>
      </c>
      <c r="C47" s="28"/>
      <c r="D47" s="28"/>
      <c r="E47" s="28"/>
      <c r="F47" s="28"/>
      <c r="G47" s="28"/>
      <c r="H47" s="28"/>
      <c r="I47" s="28"/>
      <c r="J47" s="53"/>
      <c r="K47" s="52"/>
      <c r="L47" s="53" t="s">
        <v>206</v>
      </c>
      <c r="M47" s="28"/>
      <c r="N47" s="6"/>
    </row>
    <row r="48" spans="1:14" ht="15.75">
      <c r="A48" s="27"/>
      <c r="B48" s="28" t="s">
        <v>35</v>
      </c>
      <c r="C48" s="28"/>
      <c r="D48" s="28"/>
      <c r="E48" s="28"/>
      <c r="F48" s="28"/>
      <c r="G48" s="28"/>
      <c r="H48" s="28"/>
      <c r="I48" s="28"/>
      <c r="J48" s="53"/>
      <c r="K48" s="52"/>
      <c r="L48" s="53">
        <v>38111</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207</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268621</v>
      </c>
      <c r="E56" s="38"/>
      <c r="F56" s="38">
        <f>11400+4450-259+5+10</f>
        <v>15606</v>
      </c>
      <c r="G56" s="38"/>
      <c r="H56" s="38">
        <f>4450-259+5+10</f>
        <v>4206</v>
      </c>
      <c r="I56" s="38"/>
      <c r="J56" s="38">
        <v>0</v>
      </c>
      <c r="K56" s="38"/>
      <c r="L56" s="60">
        <f>D56-F56+H56-J56</f>
        <v>257221</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268621</v>
      </c>
      <c r="E59" s="38"/>
      <c r="F59" s="38">
        <f>SUM(F56:F58)</f>
        <v>15606</v>
      </c>
      <c r="G59" s="38"/>
      <c r="H59" s="38">
        <f>SUM(H56:H58)</f>
        <v>4206</v>
      </c>
      <c r="I59" s="38"/>
      <c r="J59" s="38">
        <f>SUM(J56:J58)</f>
        <v>0</v>
      </c>
      <c r="K59" s="38"/>
      <c r="L59" s="61">
        <f>SUM(L56:L58)</f>
        <v>257221</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268621</v>
      </c>
      <c r="E71" s="38"/>
      <c r="F71" s="61"/>
      <c r="G71" s="38"/>
      <c r="H71" s="61"/>
      <c r="I71" s="38"/>
      <c r="J71" s="61"/>
      <c r="K71" s="38"/>
      <c r="L71" s="61">
        <f>SUM(L59:L70)</f>
        <v>257221</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38107</v>
      </c>
      <c r="E75" s="28"/>
      <c r="F75" s="28"/>
      <c r="G75" s="28"/>
      <c r="H75" s="28"/>
      <c r="I75" s="28"/>
      <c r="J75" s="38">
        <v>15606</v>
      </c>
      <c r="K75" s="28"/>
      <c r="L75" s="60"/>
      <c r="M75" s="28"/>
      <c r="N75" s="6"/>
    </row>
    <row r="76" spans="1:14" ht="15.75">
      <c r="A76" s="27"/>
      <c r="B76" s="28" t="s">
        <v>50</v>
      </c>
      <c r="C76" s="28"/>
      <c r="D76" s="28"/>
      <c r="E76" s="28"/>
      <c r="F76" s="28"/>
      <c r="G76" s="28"/>
      <c r="H76" s="28"/>
      <c r="I76" s="28"/>
      <c r="J76" s="38"/>
      <c r="K76" s="28"/>
      <c r="L76" s="60">
        <f>4186-20</f>
        <v>4166</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15606</v>
      </c>
      <c r="K78" s="28"/>
      <c r="L78" s="61">
        <f>SUM(L74:L77)</f>
        <v>4166</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15606</v>
      </c>
      <c r="K80" s="28"/>
      <c r="L80" s="61">
        <f>L78+L79</f>
        <v>4166</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-199-8</f>
        <v>-207</v>
      </c>
      <c r="M84" s="28"/>
      <c r="N84" s="6"/>
    </row>
    <row r="85" spans="1:14" ht="15.75">
      <c r="A85" s="27">
        <v>4</v>
      </c>
      <c r="B85" s="28" t="s">
        <v>59</v>
      </c>
      <c r="C85" s="28"/>
      <c r="D85" s="28"/>
      <c r="E85" s="28"/>
      <c r="F85" s="28"/>
      <c r="G85" s="28"/>
      <c r="H85" s="28"/>
      <c r="I85" s="28"/>
      <c r="J85" s="28"/>
      <c r="K85" s="28"/>
      <c r="L85" s="60">
        <v>-103</v>
      </c>
      <c r="M85" s="28"/>
      <c r="N85" s="6"/>
    </row>
    <row r="86" spans="1:14" ht="15.75">
      <c r="A86" s="27">
        <v>5</v>
      </c>
      <c r="B86" s="28" t="s">
        <v>60</v>
      </c>
      <c r="C86" s="28"/>
      <c r="D86" s="28"/>
      <c r="E86" s="28"/>
      <c r="F86" s="28"/>
      <c r="G86" s="28"/>
      <c r="H86" s="28"/>
      <c r="I86" s="28"/>
      <c r="J86" s="28"/>
      <c r="K86" s="28"/>
      <c r="L86" s="60">
        <v>-2502</v>
      </c>
      <c r="M86" s="28"/>
      <c r="N86" s="6"/>
    </row>
    <row r="87" spans="1:14" ht="15.75">
      <c r="A87" s="27">
        <v>6</v>
      </c>
      <c r="B87" s="28" t="s">
        <v>61</v>
      </c>
      <c r="C87" s="28"/>
      <c r="D87" s="28"/>
      <c r="E87" s="28"/>
      <c r="F87" s="28"/>
      <c r="G87" s="28"/>
      <c r="H87" s="28"/>
      <c r="I87" s="28"/>
      <c r="J87" s="28"/>
      <c r="K87" s="28"/>
      <c r="L87" s="60">
        <v>-405</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-16-164</f>
        <v>-180</v>
      </c>
      <c r="M93" s="28"/>
      <c r="N93" s="6"/>
    </row>
    <row r="94" spans="1:14" ht="15.75">
      <c r="A94" s="27">
        <v>13</v>
      </c>
      <c r="B94" s="28" t="s">
        <v>68</v>
      </c>
      <c r="C94" s="28"/>
      <c r="D94" s="28"/>
      <c r="E94" s="28"/>
      <c r="F94" s="28"/>
      <c r="G94" s="28"/>
      <c r="H94" s="28"/>
      <c r="I94" s="28"/>
      <c r="J94" s="28"/>
      <c r="K94" s="28"/>
      <c r="L94" s="60">
        <f>-SUM(L80:L93)</f>
        <v>-759</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-5</v>
      </c>
      <c r="K96" s="38"/>
      <c r="L96" s="60"/>
      <c r="M96" s="28"/>
      <c r="N96" s="6"/>
    </row>
    <row r="97" spans="1:14" ht="15.75">
      <c r="A97" s="27"/>
      <c r="B97" s="28" t="s">
        <v>71</v>
      </c>
      <c r="C97" s="28"/>
      <c r="D97" s="28"/>
      <c r="E97" s="28"/>
      <c r="F97" s="28"/>
      <c r="G97" s="28"/>
      <c r="H97" s="28"/>
      <c r="I97" s="28"/>
      <c r="J97" s="38">
        <f>-H141</f>
        <v>-4201</v>
      </c>
      <c r="K97" s="38"/>
      <c r="L97" s="60"/>
      <c r="M97" s="28"/>
      <c r="N97" s="6"/>
    </row>
    <row r="98" spans="1:14" ht="15.75">
      <c r="A98" s="27"/>
      <c r="B98" s="28" t="s">
        <v>72</v>
      </c>
      <c r="C98" s="28"/>
      <c r="D98" s="28"/>
      <c r="E98" s="28"/>
      <c r="F98" s="28"/>
      <c r="G98" s="28"/>
      <c r="H98" s="28"/>
      <c r="I98" s="28"/>
      <c r="J98" s="38">
        <v>-11400</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-15606</v>
      </c>
      <c r="K100" s="38"/>
      <c r="L100" s="38">
        <f>SUM(L81:L99)</f>
        <v>-4166</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APRIL 2004</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127"/>
      <c r="D120" s="127"/>
      <c r="E120" s="127"/>
      <c r="F120" s="127"/>
      <c r="G120" s="127"/>
      <c r="H120" s="127"/>
      <c r="I120" s="127"/>
      <c r="J120" s="127"/>
      <c r="K120" s="127"/>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257221</v>
      </c>
      <c r="M134" s="28"/>
      <c r="N134" s="6"/>
    </row>
    <row r="135" spans="1:14" ht="15.75">
      <c r="A135" s="27"/>
      <c r="B135" s="28" t="s">
        <v>97</v>
      </c>
      <c r="C135" s="73"/>
      <c r="D135" s="28"/>
      <c r="E135" s="28"/>
      <c r="F135" s="28"/>
      <c r="G135" s="28"/>
      <c r="H135" s="28"/>
      <c r="I135" s="28"/>
      <c r="J135" s="28"/>
      <c r="K135" s="28"/>
      <c r="L135" s="60">
        <f>L31</f>
        <v>257220.574</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f>'Jan 2004'!H142</f>
        <v>44886</v>
      </c>
      <c r="I140" s="28"/>
      <c r="J140" s="60">
        <f>'Jan 2004'!J142</f>
        <v>908</v>
      </c>
      <c r="K140" s="28"/>
      <c r="L140" s="60">
        <f>J140+H140</f>
        <v>45794</v>
      </c>
      <c r="M140" s="28"/>
      <c r="N140" s="6"/>
    </row>
    <row r="141" spans="1:14" ht="15.75">
      <c r="A141" s="27"/>
      <c r="B141" s="28" t="s">
        <v>101</v>
      </c>
      <c r="C141" s="28"/>
      <c r="D141" s="28"/>
      <c r="E141" s="28"/>
      <c r="F141" s="28"/>
      <c r="G141" s="28"/>
      <c r="H141" s="60">
        <v>4201</v>
      </c>
      <c r="I141" s="28"/>
      <c r="J141" s="60">
        <v>5</v>
      </c>
      <c r="K141" s="28"/>
      <c r="L141" s="60">
        <f>J141+H141</f>
        <v>4206</v>
      </c>
      <c r="M141" s="28"/>
      <c r="N141" s="6"/>
    </row>
    <row r="142" spans="1:14" ht="15.75">
      <c r="A142" s="27"/>
      <c r="B142" s="28" t="s">
        <v>102</v>
      </c>
      <c r="C142" s="28"/>
      <c r="D142" s="28"/>
      <c r="E142" s="28"/>
      <c r="F142" s="28"/>
      <c r="G142" s="28"/>
      <c r="H142" s="60">
        <f>H141+H140</f>
        <v>49087</v>
      </c>
      <c r="I142" s="28"/>
      <c r="J142" s="60">
        <f>J141+J140</f>
        <v>913</v>
      </c>
      <c r="K142" s="28"/>
      <c r="L142" s="60">
        <f>J142+H142</f>
        <v>50000</v>
      </c>
      <c r="M142" s="28"/>
      <c r="N142" s="6"/>
    </row>
    <row r="143" spans="1:14" ht="15.75">
      <c r="A143" s="27"/>
      <c r="B143" s="28" t="s">
        <v>103</v>
      </c>
      <c r="C143" s="28"/>
      <c r="D143" s="28"/>
      <c r="E143" s="28"/>
      <c r="F143" s="28"/>
      <c r="G143" s="28"/>
      <c r="H143" s="60">
        <f>H139-H142-J142</f>
        <v>0</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1.5391686650679457</v>
      </c>
      <c r="M147" s="28" t="s">
        <v>192</v>
      </c>
      <c r="N147" s="6"/>
    </row>
    <row r="148" spans="1:14" ht="15.75">
      <c r="A148" s="27"/>
      <c r="B148" s="28" t="s">
        <v>106</v>
      </c>
      <c r="C148" s="28"/>
      <c r="D148" s="28"/>
      <c r="E148" s="28"/>
      <c r="F148" s="28"/>
      <c r="G148" s="28"/>
      <c r="H148" s="28"/>
      <c r="I148" s="28"/>
      <c r="J148" s="28"/>
      <c r="K148" s="28"/>
      <c r="L148" s="66">
        <v>1.45</v>
      </c>
      <c r="M148" s="28" t="s">
        <v>192</v>
      </c>
      <c r="N148" s="6"/>
    </row>
    <row r="149" spans="1:14" ht="15.75">
      <c r="A149" s="27"/>
      <c r="B149" s="28" t="s">
        <v>107</v>
      </c>
      <c r="C149" s="28"/>
      <c r="D149" s="28"/>
      <c r="E149" s="28"/>
      <c r="F149" s="28"/>
      <c r="G149" s="28"/>
      <c r="H149" s="28"/>
      <c r="I149" s="28"/>
      <c r="J149" s="28"/>
      <c r="K149" s="28"/>
      <c r="L149" s="66">
        <f>(L80+SUM(L82:L86))/-L87</f>
        <v>3.330864197530864</v>
      </c>
      <c r="M149" s="28" t="s">
        <v>192</v>
      </c>
      <c r="N149" s="6"/>
    </row>
    <row r="150" spans="1:14" ht="15.75">
      <c r="A150" s="27"/>
      <c r="B150" s="28" t="s">
        <v>108</v>
      </c>
      <c r="C150" s="28"/>
      <c r="D150" s="28"/>
      <c r="E150" s="28"/>
      <c r="F150" s="28"/>
      <c r="G150" s="28"/>
      <c r="H150" s="28"/>
      <c r="I150" s="28"/>
      <c r="J150" s="28"/>
      <c r="K150" s="28"/>
      <c r="L150" s="75">
        <v>3.26</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APRIL 2004</v>
      </c>
      <c r="C153" s="121"/>
      <c r="D153" s="121"/>
      <c r="E153" s="121"/>
      <c r="F153" s="121"/>
      <c r="G153" s="121"/>
      <c r="H153" s="121"/>
      <c r="I153" s="121"/>
      <c r="J153" s="121"/>
      <c r="K153" s="121"/>
      <c r="L153" s="121"/>
      <c r="M153" s="124"/>
      <c r="N153" s="6"/>
    </row>
    <row r="154" spans="1:14" ht="15.75">
      <c r="A154" s="2"/>
      <c r="B154" s="129"/>
      <c r="C154" s="129"/>
      <c r="D154" s="129"/>
      <c r="E154" s="129"/>
      <c r="F154" s="129"/>
      <c r="G154" s="129"/>
      <c r="H154" s="129"/>
      <c r="I154" s="129"/>
      <c r="J154" s="129"/>
      <c r="K154" s="129"/>
      <c r="L154" s="129"/>
      <c r="M154" s="129"/>
      <c r="N154" s="6"/>
    </row>
    <row r="155" spans="1:14" ht="15.75">
      <c r="A155" s="77"/>
      <c r="B155" s="58" t="s">
        <v>109</v>
      </c>
      <c r="C155" s="78"/>
      <c r="D155" s="78"/>
      <c r="E155" s="78"/>
      <c r="F155" s="78"/>
      <c r="G155" s="21"/>
      <c r="H155" s="21"/>
      <c r="I155" s="21"/>
      <c r="J155" s="21">
        <v>38107</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0.0606</v>
      </c>
      <c r="K160" s="28"/>
      <c r="L160" s="28"/>
      <c r="M160" s="28"/>
      <c r="N160" s="6"/>
    </row>
    <row r="161" spans="1:14" ht="15.75">
      <c r="A161" s="83"/>
      <c r="B161" s="84" t="s">
        <v>114</v>
      </c>
      <c r="C161" s="85"/>
      <c r="D161" s="85"/>
      <c r="E161" s="85"/>
      <c r="F161" s="85"/>
      <c r="G161" s="72"/>
      <c r="H161" s="72"/>
      <c r="I161" s="72"/>
      <c r="J161" s="86">
        <f>L33</f>
        <v>0.045015977360065795</v>
      </c>
      <c r="K161" s="28"/>
      <c r="L161" s="28"/>
      <c r="M161" s="28"/>
      <c r="N161" s="6"/>
    </row>
    <row r="162" spans="1:14" ht="15.75">
      <c r="A162" s="83"/>
      <c r="B162" s="84" t="s">
        <v>115</v>
      </c>
      <c r="C162" s="85"/>
      <c r="D162" s="85"/>
      <c r="E162" s="85"/>
      <c r="F162" s="85"/>
      <c r="G162" s="72"/>
      <c r="H162" s="72"/>
      <c r="I162" s="72"/>
      <c r="J162" s="86">
        <f>J160-J161</f>
        <v>0.015584022639934206</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17.64</v>
      </c>
      <c r="K166" s="28" t="s">
        <v>184</v>
      </c>
      <c r="L166" s="28"/>
      <c r="M166" s="28"/>
      <c r="N166" s="6"/>
    </row>
    <row r="167" spans="1:14" ht="15.75">
      <c r="A167" s="83"/>
      <c r="B167" s="84" t="s">
        <v>120</v>
      </c>
      <c r="C167" s="85"/>
      <c r="D167" s="85"/>
      <c r="E167" s="85"/>
      <c r="F167" s="85"/>
      <c r="G167" s="72"/>
      <c r="H167" s="72"/>
      <c r="I167" s="72"/>
      <c r="J167" s="86">
        <f>F56/'Jan 2004'!L56</f>
        <v>0.05809672363664792</v>
      </c>
      <c r="K167" s="28"/>
      <c r="L167" s="28"/>
      <c r="M167" s="28"/>
      <c r="N167" s="6"/>
    </row>
    <row r="168" spans="1:14" ht="15.75">
      <c r="A168" s="83"/>
      <c r="B168" s="84" t="s">
        <v>121</v>
      </c>
      <c r="C168" s="85"/>
      <c r="D168" s="85"/>
      <c r="E168" s="85"/>
      <c r="F168" s="85"/>
      <c r="G168" s="72"/>
      <c r="H168" s="72"/>
      <c r="I168" s="72"/>
      <c r="J168" s="86">
        <v>0.1396</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17</v>
      </c>
      <c r="J171" s="95">
        <v>664</v>
      </c>
      <c r="K171" s="28"/>
      <c r="L171" s="89"/>
      <c r="M171" s="96"/>
      <c r="N171" s="6"/>
    </row>
    <row r="172" spans="1:14" ht="15.75">
      <c r="A172" s="94"/>
      <c r="B172" s="84" t="s">
        <v>205</v>
      </c>
      <c r="C172" s="61"/>
      <c r="D172" s="61"/>
      <c r="E172" s="61"/>
      <c r="F172" s="28"/>
      <c r="G172" s="28"/>
      <c r="H172" s="28"/>
      <c r="I172" s="29">
        <v>1</v>
      </c>
      <c r="J172" s="95">
        <v>501</v>
      </c>
      <c r="K172" s="28"/>
      <c r="L172" s="89"/>
      <c r="M172" s="96"/>
      <c r="N172" s="6"/>
    </row>
    <row r="173" spans="1:14" ht="15.75">
      <c r="A173" s="94"/>
      <c r="B173" s="84" t="s">
        <v>124</v>
      </c>
      <c r="C173" s="61"/>
      <c r="D173" s="61"/>
      <c r="E173" s="61"/>
      <c r="F173" s="28"/>
      <c r="G173" s="28"/>
      <c r="H173" s="28"/>
      <c r="I173" s="29">
        <v>1</v>
      </c>
      <c r="J173" s="95">
        <v>59</v>
      </c>
      <c r="K173" s="28"/>
      <c r="L173" s="89"/>
      <c r="M173" s="96"/>
      <c r="N173" s="6"/>
    </row>
    <row r="174" spans="1:14" ht="15.75">
      <c r="A174" s="94"/>
      <c r="B174" s="145" t="s">
        <v>125</v>
      </c>
      <c r="C174" s="61"/>
      <c r="D174" s="61"/>
      <c r="E174" s="61"/>
      <c r="F174" s="28"/>
      <c r="G174" s="28"/>
      <c r="H174" s="28"/>
      <c r="I174" s="28"/>
      <c r="J174" s="95">
        <v>0</v>
      </c>
      <c r="K174" s="28"/>
      <c r="L174" s="89"/>
      <c r="M174" s="96"/>
      <c r="N174" s="6"/>
    </row>
    <row r="175" spans="1:14" ht="15.75">
      <c r="A175" s="94"/>
      <c r="B175" s="145" t="s">
        <v>126</v>
      </c>
      <c r="C175" s="61"/>
      <c r="D175" s="61"/>
      <c r="E175" s="61"/>
      <c r="F175" s="28"/>
      <c r="G175" s="28"/>
      <c r="H175" s="28"/>
      <c r="I175" s="28"/>
      <c r="J175" s="95">
        <v>59682</v>
      </c>
      <c r="K175" s="28"/>
      <c r="L175" s="89"/>
      <c r="M175" s="96"/>
      <c r="N175" s="6"/>
    </row>
    <row r="176" spans="1:14" ht="15.75">
      <c r="A176" s="97"/>
      <c r="B176" s="145" t="s">
        <v>127</v>
      </c>
      <c r="C176" s="61"/>
      <c r="D176" s="84"/>
      <c r="E176" s="84"/>
      <c r="F176" s="84"/>
      <c r="G176" s="28"/>
      <c r="H176" s="28"/>
      <c r="I176" s="28"/>
      <c r="J176" s="95">
        <v>0</v>
      </c>
      <c r="K176" s="28"/>
      <c r="L176" s="89"/>
      <c r="M176" s="98"/>
      <c r="N176" s="6"/>
    </row>
    <row r="177" spans="1:14" ht="15.75">
      <c r="A177" s="94"/>
      <c r="B177" s="84" t="s">
        <v>128</v>
      </c>
      <c r="C177" s="61"/>
      <c r="D177" s="61"/>
      <c r="E177" s="61"/>
      <c r="F177" s="61"/>
      <c r="G177" s="28"/>
      <c r="H177" s="28"/>
      <c r="I177" s="28"/>
      <c r="J177" s="95">
        <v>0</v>
      </c>
      <c r="K177" s="28"/>
      <c r="L177" s="89"/>
      <c r="M177" s="98"/>
      <c r="N177" s="6"/>
    </row>
    <row r="178" spans="1:14" ht="15.75">
      <c r="A178" s="94"/>
      <c r="B178" s="84" t="s">
        <v>129</v>
      </c>
      <c r="C178" s="61"/>
      <c r="D178" s="61"/>
      <c r="E178" s="61"/>
      <c r="F178" s="61"/>
      <c r="G178" s="28"/>
      <c r="H178" s="28"/>
      <c r="I178" s="28"/>
      <c r="J178" s="95">
        <v>0</v>
      </c>
      <c r="K178" s="28"/>
      <c r="L178" s="89"/>
      <c r="M178" s="98"/>
      <c r="N178" s="6"/>
    </row>
    <row r="179" spans="1:14" ht="15.75">
      <c r="A179" s="94"/>
      <c r="B179" s="84" t="s">
        <v>130</v>
      </c>
      <c r="C179" s="61"/>
      <c r="D179" s="61"/>
      <c r="E179" s="61"/>
      <c r="F179" s="61"/>
      <c r="G179" s="28"/>
      <c r="H179" s="28"/>
      <c r="I179" s="28"/>
      <c r="J179" s="95">
        <v>0</v>
      </c>
      <c r="K179" s="28"/>
      <c r="L179" s="89"/>
      <c r="M179" s="98"/>
      <c r="N179" s="6"/>
    </row>
    <row r="180" spans="1:14" ht="15.75">
      <c r="A180" s="97"/>
      <c r="B180" s="145" t="s">
        <v>131</v>
      </c>
      <c r="C180" s="61"/>
      <c r="D180" s="84"/>
      <c r="E180" s="84"/>
      <c r="F180" s="84"/>
      <c r="G180" s="28"/>
      <c r="H180" s="28"/>
      <c r="I180" s="28"/>
      <c r="J180" s="95"/>
      <c r="K180" s="28"/>
      <c r="L180" s="89"/>
      <c r="M180" s="98"/>
      <c r="N180" s="6"/>
    </row>
    <row r="181" spans="1:14" ht="15.75">
      <c r="A181" s="97"/>
      <c r="B181" s="84" t="s">
        <v>132</v>
      </c>
      <c r="C181" s="61"/>
      <c r="D181" s="84"/>
      <c r="E181" s="84"/>
      <c r="F181" s="84"/>
      <c r="G181" s="28"/>
      <c r="H181" s="28"/>
      <c r="I181" s="28"/>
      <c r="J181" s="95">
        <v>0</v>
      </c>
      <c r="K181" s="28"/>
      <c r="L181" s="89"/>
      <c r="M181" s="98"/>
      <c r="N181" s="6"/>
    </row>
    <row r="182" spans="1:14" ht="15.75">
      <c r="A182" s="94"/>
      <c r="B182" s="84" t="s">
        <v>133</v>
      </c>
      <c r="C182" s="61"/>
      <c r="D182" s="99"/>
      <c r="E182" s="99"/>
      <c r="F182" s="100"/>
      <c r="G182" s="28"/>
      <c r="H182" s="28"/>
      <c r="I182" s="28"/>
      <c r="J182" s="95">
        <v>0</v>
      </c>
      <c r="K182" s="28"/>
      <c r="L182" s="89"/>
      <c r="M182" s="98"/>
      <c r="N182" s="6"/>
    </row>
    <row r="183" spans="1:14" ht="15.75">
      <c r="A183" s="94"/>
      <c r="B183" s="84" t="s">
        <v>134</v>
      </c>
      <c r="C183" s="61"/>
      <c r="D183" s="99"/>
      <c r="E183" s="99"/>
      <c r="F183" s="100"/>
      <c r="G183" s="28"/>
      <c r="H183" s="28"/>
      <c r="I183" s="28"/>
      <c r="J183" s="95">
        <v>0</v>
      </c>
      <c r="K183" s="28"/>
      <c r="L183" s="89"/>
      <c r="M183" s="98"/>
      <c r="N183" s="6"/>
    </row>
    <row r="184" spans="1:14" ht="15.75">
      <c r="A184" s="94"/>
      <c r="B184" s="84" t="s">
        <v>135</v>
      </c>
      <c r="C184" s="61"/>
      <c r="D184" s="101"/>
      <c r="E184" s="99"/>
      <c r="F184" s="100"/>
      <c r="G184" s="28"/>
      <c r="H184" s="28"/>
      <c r="I184" s="28"/>
      <c r="J184" s="102">
        <v>0</v>
      </c>
      <c r="K184" s="28"/>
      <c r="L184" s="89"/>
      <c r="M184" s="98"/>
      <c r="N184" s="6"/>
    </row>
    <row r="185" spans="1:14" ht="15.75">
      <c r="A185" s="94"/>
      <c r="B185" s="84"/>
      <c r="C185" s="61"/>
      <c r="D185" s="101"/>
      <c r="E185" s="99"/>
      <c r="F185" s="100"/>
      <c r="G185" s="28"/>
      <c r="H185" s="28"/>
      <c r="I185" s="28"/>
      <c r="J185" s="102"/>
      <c r="K185" s="28"/>
      <c r="L185" s="89"/>
      <c r="M185" s="98"/>
      <c r="N185" s="6"/>
    </row>
    <row r="186" spans="1:14" ht="15.75">
      <c r="A186" s="7"/>
      <c r="B186" s="16" t="s">
        <v>136</v>
      </c>
      <c r="C186" s="19"/>
      <c r="D186" s="93"/>
      <c r="E186" s="19"/>
      <c r="F186" s="93"/>
      <c r="G186" s="19"/>
      <c r="H186" s="93" t="s">
        <v>171</v>
      </c>
      <c r="I186" s="19" t="s">
        <v>172</v>
      </c>
      <c r="J186" s="93" t="s">
        <v>182</v>
      </c>
      <c r="K186" s="19" t="s">
        <v>172</v>
      </c>
      <c r="L186" s="17"/>
      <c r="M186" s="103"/>
      <c r="N186" s="6"/>
    </row>
    <row r="187" spans="1:14" ht="15.75">
      <c r="A187" s="27"/>
      <c r="B187" s="61" t="s">
        <v>137</v>
      </c>
      <c r="C187" s="104"/>
      <c r="D187" s="61"/>
      <c r="E187" s="104"/>
      <c r="F187" s="28"/>
      <c r="G187" s="104"/>
      <c r="H187" s="61">
        <v>3501</v>
      </c>
      <c r="I187" s="104">
        <f>H187/H192</f>
        <v>0.9875881523272214</v>
      </c>
      <c r="J187" s="60">
        <v>254337</v>
      </c>
      <c r="K187" s="105">
        <f>J187/J192</f>
        <v>0.9887878516917359</v>
      </c>
      <c r="L187" s="89"/>
      <c r="M187" s="98"/>
      <c r="N187" s="6"/>
    </row>
    <row r="188" spans="1:14" ht="15.75">
      <c r="A188" s="27"/>
      <c r="B188" s="61" t="s">
        <v>138</v>
      </c>
      <c r="C188" s="104"/>
      <c r="D188" s="61"/>
      <c r="E188" s="104"/>
      <c r="F188" s="28"/>
      <c r="G188" s="106"/>
      <c r="H188" s="61">
        <v>11</v>
      </c>
      <c r="I188" s="104">
        <f>H188/H192</f>
        <v>0.0031029619181946405</v>
      </c>
      <c r="J188" s="60">
        <v>717</v>
      </c>
      <c r="K188" s="105">
        <f>J188/J192</f>
        <v>0.002787486247234868</v>
      </c>
      <c r="L188" s="89"/>
      <c r="M188" s="98"/>
      <c r="N188" s="6"/>
    </row>
    <row r="189" spans="1:14" ht="15.75">
      <c r="A189" s="27"/>
      <c r="B189" s="61" t="s">
        <v>139</v>
      </c>
      <c r="C189" s="104"/>
      <c r="D189" s="61"/>
      <c r="E189" s="104"/>
      <c r="F189" s="28"/>
      <c r="G189" s="106"/>
      <c r="H189" s="61">
        <v>8</v>
      </c>
      <c r="I189" s="104">
        <f>H189/H192</f>
        <v>0.002256699576868829</v>
      </c>
      <c r="J189" s="60">
        <v>429</v>
      </c>
      <c r="K189" s="105">
        <f>J189/J192</f>
        <v>0.0016678264993915737</v>
      </c>
      <c r="L189" s="89"/>
      <c r="M189" s="98"/>
      <c r="N189" s="6"/>
    </row>
    <row r="190" spans="1:14" ht="15.75">
      <c r="A190" s="27"/>
      <c r="B190" s="61" t="s">
        <v>140</v>
      </c>
      <c r="C190" s="104"/>
      <c r="D190" s="61"/>
      <c r="E190" s="104"/>
      <c r="F190" s="28"/>
      <c r="G190" s="106"/>
      <c r="H190" s="61">
        <v>25</v>
      </c>
      <c r="I190" s="104">
        <f>H190/H192</f>
        <v>0.007052186177715092</v>
      </c>
      <c r="J190" s="60">
        <v>1738</v>
      </c>
      <c r="K190" s="105">
        <f>J190/$J192</f>
        <v>0.0067568355616376575</v>
      </c>
      <c r="L190" s="89"/>
      <c r="M190" s="98"/>
      <c r="N190" s="6"/>
    </row>
    <row r="191" spans="1:14" ht="15.75">
      <c r="A191" s="27"/>
      <c r="B191" s="61"/>
      <c r="C191" s="107"/>
      <c r="D191" s="96"/>
      <c r="E191" s="107"/>
      <c r="F191" s="28"/>
      <c r="G191" s="107"/>
      <c r="H191" s="96"/>
      <c r="I191" s="107"/>
      <c r="J191" s="60"/>
      <c r="K191" s="105"/>
      <c r="L191" s="89"/>
      <c r="M191" s="98"/>
      <c r="N191" s="6"/>
    </row>
    <row r="192" spans="1:14" ht="15.75">
      <c r="A192" s="27"/>
      <c r="B192" s="28"/>
      <c r="C192" s="28"/>
      <c r="D192" s="28"/>
      <c r="E192" s="28"/>
      <c r="F192" s="28"/>
      <c r="G192" s="28"/>
      <c r="H192" s="38">
        <f>SUM(H187:H190)</f>
        <v>3545</v>
      </c>
      <c r="I192" s="108">
        <f>SUM(I187:I191)</f>
        <v>0.9999999999999999</v>
      </c>
      <c r="J192" s="60">
        <f>SUM(J187:J191)</f>
        <v>257221</v>
      </c>
      <c r="K192" s="108">
        <f>SUM(K187:K191)</f>
        <v>1</v>
      </c>
      <c r="L192" s="28"/>
      <c r="M192" s="28"/>
      <c r="N192" s="6"/>
    </row>
    <row r="193" spans="1:14" ht="15.75">
      <c r="A193" s="27"/>
      <c r="B193" s="28"/>
      <c r="C193" s="28"/>
      <c r="D193" s="28"/>
      <c r="E193" s="28"/>
      <c r="F193" s="28"/>
      <c r="G193" s="28"/>
      <c r="H193" s="38"/>
      <c r="I193" s="108"/>
      <c r="J193" s="60"/>
      <c r="K193" s="108"/>
      <c r="L193" s="28"/>
      <c r="M193" s="28"/>
      <c r="N193" s="6"/>
    </row>
    <row r="194" spans="1:14" ht="15.75">
      <c r="A194" s="7"/>
      <c r="B194" s="9"/>
      <c r="C194" s="9"/>
      <c r="D194" s="9"/>
      <c r="E194" s="9"/>
      <c r="F194" s="9"/>
      <c r="G194" s="9"/>
      <c r="H194" s="62"/>
      <c r="I194" s="109"/>
      <c r="J194" s="110"/>
      <c r="K194" s="109"/>
      <c r="L194" s="9"/>
      <c r="M194" s="9"/>
      <c r="N194" s="6"/>
    </row>
    <row r="195" spans="1:14" ht="15.75">
      <c r="A195" s="111"/>
      <c r="B195" s="16" t="s">
        <v>141</v>
      </c>
      <c r="C195" s="112"/>
      <c r="D195" s="19" t="s">
        <v>149</v>
      </c>
      <c r="E195" s="17"/>
      <c r="F195" s="16" t="s">
        <v>160</v>
      </c>
      <c r="G195" s="113"/>
      <c r="H195" s="113"/>
      <c r="I195" s="113"/>
      <c r="J195" s="126"/>
      <c r="K195" s="126"/>
      <c r="L195" s="126"/>
      <c r="M195" s="126"/>
      <c r="N195" s="6"/>
    </row>
    <row r="196" spans="1:14" ht="15.75">
      <c r="A196" s="130"/>
      <c r="B196" s="126"/>
      <c r="C196" s="126"/>
      <c r="D196" s="9"/>
      <c r="E196" s="9"/>
      <c r="F196" s="9"/>
      <c r="G196" s="126"/>
      <c r="H196" s="126"/>
      <c r="I196" s="126"/>
      <c r="J196" s="126"/>
      <c r="K196" s="126"/>
      <c r="L196" s="126"/>
      <c r="M196" s="126"/>
      <c r="N196" s="6"/>
    </row>
    <row r="197" spans="1:14" ht="15.75">
      <c r="A197" s="130"/>
      <c r="B197" s="15" t="s">
        <v>142</v>
      </c>
      <c r="C197" s="115"/>
      <c r="D197" s="116" t="s">
        <v>150</v>
      </c>
      <c r="E197" s="15"/>
      <c r="F197" s="15" t="s">
        <v>161</v>
      </c>
      <c r="G197" s="115"/>
      <c r="H197" s="115"/>
      <c r="I197" s="126"/>
      <c r="J197" s="126"/>
      <c r="K197" s="126"/>
      <c r="L197" s="126"/>
      <c r="M197" s="126"/>
      <c r="N197" s="6"/>
    </row>
    <row r="198" spans="1:14" ht="15.75">
      <c r="A198" s="130"/>
      <c r="B198" s="15" t="s">
        <v>143</v>
      </c>
      <c r="C198" s="115"/>
      <c r="D198" s="116" t="s">
        <v>151</v>
      </c>
      <c r="E198" s="15"/>
      <c r="F198" s="15" t="s">
        <v>162</v>
      </c>
      <c r="G198" s="115"/>
      <c r="H198" s="115"/>
      <c r="I198" s="126"/>
      <c r="J198" s="126"/>
      <c r="K198" s="126"/>
      <c r="L198" s="126"/>
      <c r="M198" s="126"/>
      <c r="N198" s="6"/>
    </row>
    <row r="199" spans="1:14" ht="15.75">
      <c r="A199" s="130"/>
      <c r="B199" s="15"/>
      <c r="C199" s="115"/>
      <c r="D199" s="116"/>
      <c r="E199" s="15"/>
      <c r="F199" s="15"/>
      <c r="G199" s="115"/>
      <c r="H199" s="115"/>
      <c r="I199" s="126"/>
      <c r="J199" s="126"/>
      <c r="K199" s="126"/>
      <c r="L199" s="126"/>
      <c r="M199" s="126"/>
      <c r="N199" s="6"/>
    </row>
    <row r="200" spans="1:14" ht="15.75">
      <c r="A200" s="130"/>
      <c r="B200" s="15"/>
      <c r="C200" s="115"/>
      <c r="D200" s="116"/>
      <c r="E200" s="15"/>
      <c r="F200" s="15"/>
      <c r="G200" s="115"/>
      <c r="H200" s="115"/>
      <c r="I200" s="126"/>
      <c r="J200" s="126"/>
      <c r="K200" s="126"/>
      <c r="L200" s="126"/>
      <c r="M200" s="126"/>
      <c r="N200" s="6"/>
    </row>
    <row r="201" spans="1:14" ht="18.75">
      <c r="A201" s="130"/>
      <c r="B201" s="56" t="str">
        <f>B153</f>
        <v>PM3 INVESTOR REPORT QUARTER ENDING APRIL 2004</v>
      </c>
      <c r="C201" s="115"/>
      <c r="D201" s="116"/>
      <c r="E201" s="15"/>
      <c r="F201" s="15"/>
      <c r="G201" s="115"/>
      <c r="H201" s="115"/>
      <c r="I201" s="126"/>
      <c r="J201" s="126"/>
      <c r="K201" s="126"/>
      <c r="L201" s="126"/>
      <c r="M201" s="126"/>
      <c r="N201" s="6"/>
    </row>
    <row r="202" spans="1:13" ht="15">
      <c r="A202" s="117"/>
      <c r="B202" s="117"/>
      <c r="C202" s="117"/>
      <c r="D202" s="117"/>
      <c r="E202" s="117"/>
      <c r="F202" s="117"/>
      <c r="G202" s="117"/>
      <c r="H202" s="117"/>
      <c r="I202" s="117"/>
      <c r="J202" s="117"/>
      <c r="K202" s="117"/>
      <c r="L202" s="117"/>
      <c r="M202"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3.xml><?xml version="1.0" encoding="utf-8"?>
<worksheet xmlns="http://schemas.openxmlformats.org/spreadsheetml/2006/main" xmlns:r="http://schemas.openxmlformats.org/officeDocument/2006/relationships">
  <dimension ref="A1:N202"/>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6"/>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38215</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26"/>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26"/>
      <c r="L22" s="126"/>
      <c r="M22" s="9"/>
      <c r="N22" s="6"/>
    </row>
    <row r="23" spans="1:14" ht="15.75">
      <c r="A23" s="7"/>
      <c r="B23" s="9" t="s">
        <v>13</v>
      </c>
      <c r="C23" s="132" t="s">
        <v>145</v>
      </c>
      <c r="D23" s="25"/>
      <c r="E23" s="25"/>
      <c r="F23" s="25" t="s">
        <v>153</v>
      </c>
      <c r="G23" s="25"/>
      <c r="H23" s="25" t="s">
        <v>164</v>
      </c>
      <c r="I23" s="25"/>
      <c r="J23" s="25"/>
      <c r="K23" s="126"/>
      <c r="L23" s="126"/>
      <c r="M23" s="9"/>
      <c r="N23" s="6"/>
    </row>
    <row r="24" spans="1:14" ht="15.75">
      <c r="A24" s="27"/>
      <c r="B24" s="28" t="s">
        <v>14</v>
      </c>
      <c r="C24" s="29"/>
      <c r="D24" s="30"/>
      <c r="E24" s="30"/>
      <c r="F24" s="30" t="s">
        <v>154</v>
      </c>
      <c r="G24" s="30"/>
      <c r="H24" s="30" t="s">
        <v>165</v>
      </c>
      <c r="I24" s="30"/>
      <c r="J24" s="30"/>
      <c r="K24" s="127"/>
      <c r="L24" s="127"/>
      <c r="M24" s="28"/>
      <c r="N24" s="6"/>
    </row>
    <row r="25" spans="1:14" ht="15.75">
      <c r="A25" s="32"/>
      <c r="B25" s="33" t="s">
        <v>15</v>
      </c>
      <c r="C25" s="33"/>
      <c r="D25" s="34"/>
      <c r="E25" s="34"/>
      <c r="F25" s="34" t="s">
        <v>153</v>
      </c>
      <c r="G25" s="34"/>
      <c r="H25" s="34" t="s">
        <v>202</v>
      </c>
      <c r="I25" s="34"/>
      <c r="J25" s="30"/>
      <c r="K25" s="127"/>
      <c r="L25" s="127"/>
      <c r="M25" s="28"/>
      <c r="N25" s="6"/>
    </row>
    <row r="26" spans="1:14" ht="15.75">
      <c r="A26" s="32"/>
      <c r="B26" s="33" t="s">
        <v>16</v>
      </c>
      <c r="C26" s="33"/>
      <c r="D26" s="34"/>
      <c r="E26" s="34"/>
      <c r="F26" s="34" t="s">
        <v>154</v>
      </c>
      <c r="G26" s="34"/>
      <c r="H26" s="34" t="s">
        <v>201</v>
      </c>
      <c r="I26" s="34"/>
      <c r="J26" s="30"/>
      <c r="K26" s="127"/>
      <c r="L26" s="127"/>
      <c r="M26" s="28"/>
      <c r="N26" s="6"/>
    </row>
    <row r="27" spans="1:14" ht="15.75">
      <c r="A27" s="27"/>
      <c r="B27" s="28" t="s">
        <v>17</v>
      </c>
      <c r="C27" s="28"/>
      <c r="D27" s="29"/>
      <c r="E27" s="30"/>
      <c r="F27" s="29" t="s">
        <v>155</v>
      </c>
      <c r="G27" s="30"/>
      <c r="H27" s="29" t="s">
        <v>166</v>
      </c>
      <c r="I27" s="30"/>
      <c r="J27" s="29"/>
      <c r="K27" s="127"/>
      <c r="L27" s="127"/>
      <c r="M27" s="28"/>
      <c r="N27" s="6"/>
    </row>
    <row r="28" spans="1:14" ht="15.75">
      <c r="A28" s="27"/>
      <c r="B28" s="28"/>
      <c r="C28" s="28"/>
      <c r="D28" s="28"/>
      <c r="E28" s="30"/>
      <c r="F28" s="30"/>
      <c r="G28" s="30"/>
      <c r="H28" s="30"/>
      <c r="I28" s="30"/>
      <c r="J28" s="30"/>
      <c r="K28" s="127"/>
      <c r="L28" s="127"/>
      <c r="M28" s="28"/>
      <c r="N28" s="6"/>
    </row>
    <row r="29" spans="1:14" ht="15.75">
      <c r="A29" s="27"/>
      <c r="B29" s="28" t="s">
        <v>18</v>
      </c>
      <c r="C29" s="28"/>
      <c r="D29" s="35"/>
      <c r="E29" s="36"/>
      <c r="F29" s="35">
        <v>306000</v>
      </c>
      <c r="G29" s="35"/>
      <c r="H29" s="35">
        <v>34000</v>
      </c>
      <c r="I29" s="35"/>
      <c r="J29" s="35"/>
      <c r="K29" s="128"/>
      <c r="L29" s="35">
        <f>H29+F29</f>
        <v>340000</v>
      </c>
      <c r="M29" s="38"/>
      <c r="N29" s="6"/>
    </row>
    <row r="30" spans="1:14" ht="15.75">
      <c r="A30" s="27"/>
      <c r="B30" s="28" t="s">
        <v>19</v>
      </c>
      <c r="C30" s="39">
        <v>0.729479</v>
      </c>
      <c r="D30" s="35"/>
      <c r="E30" s="36"/>
      <c r="F30" s="35">
        <f>306000*C30</f>
        <v>223220.574</v>
      </c>
      <c r="G30" s="35"/>
      <c r="H30" s="35">
        <v>34000</v>
      </c>
      <c r="I30" s="35"/>
      <c r="J30" s="35"/>
      <c r="K30" s="128"/>
      <c r="L30" s="35">
        <f>H30+F30</f>
        <v>257220.574</v>
      </c>
      <c r="M30" s="38"/>
      <c r="N30" s="6"/>
    </row>
    <row r="31" spans="1:14" ht="12.75" customHeight="1">
      <c r="A31" s="32"/>
      <c r="B31" s="33" t="s">
        <v>20</v>
      </c>
      <c r="C31" s="40">
        <v>0.666688</v>
      </c>
      <c r="D31" s="41"/>
      <c r="E31" s="42"/>
      <c r="F31" s="41">
        <f>F29*C31</f>
        <v>204006.528</v>
      </c>
      <c r="G31" s="41"/>
      <c r="H31" s="41">
        <f>H29</f>
        <v>34000</v>
      </c>
      <c r="I31" s="41"/>
      <c r="J31" s="41"/>
      <c r="K31" s="43"/>
      <c r="L31" s="41">
        <f>H31+F31+D31</f>
        <v>238006.528</v>
      </c>
      <c r="M31" s="38"/>
      <c r="N31" s="6"/>
    </row>
    <row r="32" spans="1:14" ht="15.75">
      <c r="A32" s="27"/>
      <c r="B32" s="28" t="s">
        <v>21</v>
      </c>
      <c r="C32" s="44"/>
      <c r="D32" s="29"/>
      <c r="E32" s="28"/>
      <c r="F32" s="29" t="s">
        <v>156</v>
      </c>
      <c r="G32" s="29"/>
      <c r="H32" s="29" t="s">
        <v>167</v>
      </c>
      <c r="I32" s="29"/>
      <c r="J32" s="29"/>
      <c r="K32" s="127"/>
      <c r="L32" s="127"/>
      <c r="M32" s="28"/>
      <c r="N32" s="6"/>
    </row>
    <row r="33" spans="1:14" ht="15.75">
      <c r="A33" s="27"/>
      <c r="B33" s="28" t="s">
        <v>22</v>
      </c>
      <c r="C33" s="28"/>
      <c r="D33" s="45"/>
      <c r="E33" s="28"/>
      <c r="F33" s="45">
        <v>0.0472875</v>
      </c>
      <c r="G33" s="46"/>
      <c r="H33" s="45">
        <v>0.0524875</v>
      </c>
      <c r="I33" s="46"/>
      <c r="J33" s="45"/>
      <c r="K33" s="127"/>
      <c r="L33" s="46">
        <f>SUMPRODUCT(F33:H33,F30:H30)/L30</f>
        <v>0.04797484781689742</v>
      </c>
      <c r="M33" s="28"/>
      <c r="N33" s="6"/>
    </row>
    <row r="34" spans="1:14" ht="15.75">
      <c r="A34" s="27"/>
      <c r="B34" s="28" t="s">
        <v>23</v>
      </c>
      <c r="C34" s="28"/>
      <c r="D34" s="45"/>
      <c r="E34" s="28"/>
      <c r="F34" s="45">
        <v>0.0443578</v>
      </c>
      <c r="G34" s="46"/>
      <c r="H34" s="45">
        <v>0.0495578</v>
      </c>
      <c r="I34" s="46"/>
      <c r="J34" s="45"/>
      <c r="K34" s="127"/>
      <c r="L34" s="127"/>
      <c r="M34" s="28"/>
      <c r="N34" s="6"/>
    </row>
    <row r="35" spans="1:14" ht="15.75">
      <c r="A35" s="27"/>
      <c r="B35" s="28" t="s">
        <v>24</v>
      </c>
      <c r="C35" s="28"/>
      <c r="D35" s="29"/>
      <c r="E35" s="28"/>
      <c r="F35" s="29" t="s">
        <v>157</v>
      </c>
      <c r="G35" s="29"/>
      <c r="H35" s="29" t="s">
        <v>157</v>
      </c>
      <c r="I35" s="29"/>
      <c r="J35" s="29"/>
      <c r="K35" s="127"/>
      <c r="L35" s="127"/>
      <c r="M35" s="28"/>
      <c r="N35" s="6"/>
    </row>
    <row r="36" spans="1:14" ht="15.75">
      <c r="A36" s="27"/>
      <c r="B36" s="28" t="s">
        <v>25</v>
      </c>
      <c r="C36" s="28"/>
      <c r="D36" s="29"/>
      <c r="E36" s="28"/>
      <c r="F36" s="151">
        <v>39209</v>
      </c>
      <c r="G36" s="29"/>
      <c r="H36" s="151">
        <v>39209</v>
      </c>
      <c r="I36" s="29"/>
      <c r="J36" s="29"/>
      <c r="K36" s="127"/>
      <c r="L36" s="127"/>
      <c r="M36" s="28"/>
      <c r="N36" s="6"/>
    </row>
    <row r="37" spans="1:14" ht="15.75">
      <c r="A37" s="27"/>
      <c r="B37" s="28" t="s">
        <v>26</v>
      </c>
      <c r="C37" s="28"/>
      <c r="D37" s="29"/>
      <c r="E37" s="28"/>
      <c r="F37" s="29" t="s">
        <v>158</v>
      </c>
      <c r="G37" s="29"/>
      <c r="H37" s="29" t="s">
        <v>168</v>
      </c>
      <c r="I37" s="29"/>
      <c r="J37" s="29"/>
      <c r="K37" s="127"/>
      <c r="L37" s="127"/>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0.16666133350399454</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38208</v>
      </c>
      <c r="M44" s="28"/>
      <c r="N44" s="6"/>
    </row>
    <row r="45" spans="1:14" ht="15.75">
      <c r="A45" s="27"/>
      <c r="B45" s="28" t="s">
        <v>32</v>
      </c>
      <c r="C45" s="28"/>
      <c r="D45" s="28"/>
      <c r="E45" s="28"/>
      <c r="F45" s="28"/>
      <c r="G45" s="28"/>
      <c r="H45" s="28"/>
      <c r="I45" s="28">
        <f>L45-J45+1</f>
        <v>88</v>
      </c>
      <c r="J45" s="53">
        <v>38026</v>
      </c>
      <c r="K45" s="52"/>
      <c r="L45" s="53">
        <v>38113</v>
      </c>
      <c r="M45" s="28"/>
      <c r="N45" s="6"/>
    </row>
    <row r="46" spans="1:14" ht="15.75">
      <c r="A46" s="27"/>
      <c r="B46" s="28" t="s">
        <v>33</v>
      </c>
      <c r="C46" s="28"/>
      <c r="D46" s="28"/>
      <c r="E46" s="28"/>
      <c r="F46" s="28"/>
      <c r="G46" s="28"/>
      <c r="H46" s="28"/>
      <c r="I46" s="28">
        <f>L46-J46+1</f>
        <v>94</v>
      </c>
      <c r="J46" s="53">
        <v>38114</v>
      </c>
      <c r="K46" s="52"/>
      <c r="L46" s="53">
        <v>38207</v>
      </c>
      <c r="M46" s="28"/>
      <c r="N46" s="6"/>
    </row>
    <row r="47" spans="1:14" ht="15.75">
      <c r="A47" s="27"/>
      <c r="B47" s="28" t="s">
        <v>34</v>
      </c>
      <c r="C47" s="28"/>
      <c r="D47" s="28"/>
      <c r="E47" s="28"/>
      <c r="F47" s="28"/>
      <c r="G47" s="28"/>
      <c r="H47" s="28"/>
      <c r="I47" s="28"/>
      <c r="J47" s="53"/>
      <c r="K47" s="52"/>
      <c r="L47" s="53" t="s">
        <v>206</v>
      </c>
      <c r="M47" s="28"/>
      <c r="N47" s="6"/>
    </row>
    <row r="48" spans="1:14" ht="15.75">
      <c r="A48" s="27"/>
      <c r="B48" s="28" t="s">
        <v>35</v>
      </c>
      <c r="C48" s="28"/>
      <c r="D48" s="28"/>
      <c r="E48" s="28"/>
      <c r="F48" s="28"/>
      <c r="G48" s="28"/>
      <c r="H48" s="28"/>
      <c r="I48" s="28"/>
      <c r="J48" s="53"/>
      <c r="K48" s="52"/>
      <c r="L48" s="53">
        <v>38202</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208</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f>+'April 2004'!L56</f>
        <v>257221</v>
      </c>
      <c r="E56" s="38"/>
      <c r="F56" s="38">
        <v>19214</v>
      </c>
      <c r="G56" s="38"/>
      <c r="H56" s="38">
        <v>0</v>
      </c>
      <c r="I56" s="38"/>
      <c r="J56" s="38">
        <v>0</v>
      </c>
      <c r="K56" s="38"/>
      <c r="L56" s="60">
        <f>D56-F56+H56-J56</f>
        <v>238007</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257221</v>
      </c>
      <c r="E59" s="38"/>
      <c r="F59" s="38">
        <f>SUM(F56:F58)</f>
        <v>19214</v>
      </c>
      <c r="G59" s="38"/>
      <c r="H59" s="38">
        <f>SUM(H56:H58)</f>
        <v>0</v>
      </c>
      <c r="I59" s="38"/>
      <c r="J59" s="38">
        <f>SUM(J56:J58)</f>
        <v>0</v>
      </c>
      <c r="K59" s="38"/>
      <c r="L59" s="61">
        <f>SUM(L56:L58)</f>
        <v>238007</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257221</v>
      </c>
      <c r="E71" s="38"/>
      <c r="F71" s="61"/>
      <c r="G71" s="38"/>
      <c r="H71" s="61"/>
      <c r="I71" s="38"/>
      <c r="J71" s="61"/>
      <c r="K71" s="38"/>
      <c r="L71" s="61">
        <f>SUM(L59:L70)</f>
        <v>238007</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38198</v>
      </c>
      <c r="E75" s="28"/>
      <c r="F75" s="28"/>
      <c r="G75" s="28"/>
      <c r="H75" s="28"/>
      <c r="I75" s="28"/>
      <c r="J75" s="38">
        <v>19214</v>
      </c>
      <c r="K75" s="28"/>
      <c r="L75" s="60"/>
      <c r="M75" s="28"/>
      <c r="N75" s="6"/>
    </row>
    <row r="76" spans="1:14" ht="15.75">
      <c r="A76" s="27"/>
      <c r="B76" s="28" t="s">
        <v>50</v>
      </c>
      <c r="C76" s="28"/>
      <c r="D76" s="28"/>
      <c r="E76" s="28"/>
      <c r="F76" s="28"/>
      <c r="G76" s="28"/>
      <c r="H76" s="28"/>
      <c r="I76" s="28"/>
      <c r="J76" s="38"/>
      <c r="K76" s="28"/>
      <c r="L76" s="60">
        <f>4233-7</f>
        <v>4226</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19214</v>
      </c>
      <c r="K78" s="28"/>
      <c r="L78" s="61">
        <f>SUM(L74:L77)</f>
        <v>4226</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19214</v>
      </c>
      <c r="K80" s="28"/>
      <c r="L80" s="61">
        <f>L78+L79</f>
        <v>4226</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-195-8</f>
        <v>-203</v>
      </c>
      <c r="M84" s="28"/>
      <c r="N84" s="6"/>
    </row>
    <row r="85" spans="1:14" ht="15.75">
      <c r="A85" s="27">
        <v>4</v>
      </c>
      <c r="B85" s="28" t="s">
        <v>59</v>
      </c>
      <c r="C85" s="28"/>
      <c r="D85" s="28"/>
      <c r="E85" s="28"/>
      <c r="F85" s="28"/>
      <c r="G85" s="28"/>
      <c r="H85" s="28"/>
      <c r="I85" s="28"/>
      <c r="J85" s="28"/>
      <c r="K85" s="28"/>
      <c r="L85" s="60">
        <v>-75</v>
      </c>
      <c r="M85" s="28"/>
      <c r="N85" s="6"/>
    </row>
    <row r="86" spans="1:14" ht="15.75">
      <c r="A86" s="27">
        <v>5</v>
      </c>
      <c r="B86" s="28" t="s">
        <v>60</v>
      </c>
      <c r="C86" s="28"/>
      <c r="D86" s="28"/>
      <c r="E86" s="28"/>
      <c r="F86" s="28"/>
      <c r="G86" s="28"/>
      <c r="H86" s="28"/>
      <c r="I86" s="28"/>
      <c r="J86" s="28"/>
      <c r="K86" s="28"/>
      <c r="L86" s="60">
        <v>-2711</v>
      </c>
      <c r="M86" s="28"/>
      <c r="N86" s="6"/>
    </row>
    <row r="87" spans="1:14" ht="15.75">
      <c r="A87" s="27">
        <v>6</v>
      </c>
      <c r="B87" s="28" t="s">
        <v>61</v>
      </c>
      <c r="C87" s="28"/>
      <c r="D87" s="28"/>
      <c r="E87" s="28"/>
      <c r="F87" s="28"/>
      <c r="G87" s="28"/>
      <c r="H87" s="28"/>
      <c r="I87" s="28"/>
      <c r="J87" s="28"/>
      <c r="K87" s="28"/>
      <c r="L87" s="60">
        <v>-458</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-14-164</f>
        <v>-178</v>
      </c>
      <c r="M93" s="28"/>
      <c r="N93" s="6"/>
    </row>
    <row r="94" spans="1:14" ht="15.75">
      <c r="A94" s="27">
        <v>13</v>
      </c>
      <c r="B94" s="28" t="s">
        <v>68</v>
      </c>
      <c r="C94" s="28"/>
      <c r="D94" s="28"/>
      <c r="E94" s="28"/>
      <c r="F94" s="28"/>
      <c r="G94" s="28"/>
      <c r="H94" s="28"/>
      <c r="I94" s="28"/>
      <c r="J94" s="28"/>
      <c r="K94" s="28"/>
      <c r="L94" s="60">
        <f>-SUM(L80:L93)</f>
        <v>-591</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0</v>
      </c>
      <c r="K96" s="38"/>
      <c r="L96" s="60"/>
      <c r="M96" s="28"/>
      <c r="N96" s="6"/>
    </row>
    <row r="97" spans="1:14" ht="15.75">
      <c r="A97" s="27"/>
      <c r="B97" s="28" t="s">
        <v>71</v>
      </c>
      <c r="C97" s="28"/>
      <c r="D97" s="28"/>
      <c r="E97" s="28"/>
      <c r="F97" s="28"/>
      <c r="G97" s="28"/>
      <c r="H97" s="28"/>
      <c r="I97" s="28"/>
      <c r="J97" s="38">
        <f>-H141</f>
        <v>0</v>
      </c>
      <c r="K97" s="38"/>
      <c r="L97" s="60"/>
      <c r="M97" s="28"/>
      <c r="N97" s="6"/>
    </row>
    <row r="98" spans="1:14" ht="15.75">
      <c r="A98" s="27"/>
      <c r="B98" s="28" t="s">
        <v>72</v>
      </c>
      <c r="C98" s="28"/>
      <c r="D98" s="28"/>
      <c r="E98" s="28"/>
      <c r="F98" s="28"/>
      <c r="G98" s="28"/>
      <c r="H98" s="28"/>
      <c r="I98" s="28"/>
      <c r="J98" s="38">
        <v>-19214</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-19214</v>
      </c>
      <c r="K100" s="38"/>
      <c r="L100" s="38">
        <f>SUM(L81:L99)</f>
        <v>-4226</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JULY 2004</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127"/>
      <c r="D120" s="127"/>
      <c r="E120" s="127"/>
      <c r="F120" s="127"/>
      <c r="G120" s="127"/>
      <c r="H120" s="127"/>
      <c r="I120" s="127"/>
      <c r="J120" s="127"/>
      <c r="K120" s="127"/>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238007</v>
      </c>
      <c r="M134" s="28"/>
      <c r="N134" s="6"/>
    </row>
    <row r="135" spans="1:14" ht="15.75">
      <c r="A135" s="27"/>
      <c r="B135" s="28" t="s">
        <v>97</v>
      </c>
      <c r="C135" s="73"/>
      <c r="D135" s="28"/>
      <c r="E135" s="28"/>
      <c r="F135" s="28"/>
      <c r="G135" s="28"/>
      <c r="H135" s="28"/>
      <c r="I135" s="28"/>
      <c r="J135" s="28"/>
      <c r="K135" s="28"/>
      <c r="L135" s="60">
        <f>L31</f>
        <v>238006.528</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f>'April 2004'!H142</f>
        <v>49087</v>
      </c>
      <c r="I140" s="28"/>
      <c r="J140" s="60">
        <f>'April 2004'!J142</f>
        <v>913</v>
      </c>
      <c r="K140" s="28"/>
      <c r="L140" s="60">
        <f>J140+H140</f>
        <v>50000</v>
      </c>
      <c r="M140" s="28"/>
      <c r="N140" s="6"/>
    </row>
    <row r="141" spans="1:14" ht="15.75">
      <c r="A141" s="27"/>
      <c r="B141" s="28" t="s">
        <v>101</v>
      </c>
      <c r="C141" s="28"/>
      <c r="D141" s="28"/>
      <c r="E141" s="28"/>
      <c r="F141" s="28"/>
      <c r="G141" s="28"/>
      <c r="H141" s="60">
        <v>0</v>
      </c>
      <c r="I141" s="28"/>
      <c r="J141" s="60">
        <v>0</v>
      </c>
      <c r="K141" s="28"/>
      <c r="L141" s="60">
        <f>J141+H141</f>
        <v>0</v>
      </c>
      <c r="M141" s="28"/>
      <c r="N141" s="6"/>
    </row>
    <row r="142" spans="1:14" ht="15.75">
      <c r="A142" s="27"/>
      <c r="B142" s="28" t="s">
        <v>102</v>
      </c>
      <c r="C142" s="28"/>
      <c r="D142" s="28"/>
      <c r="E142" s="28"/>
      <c r="F142" s="28"/>
      <c r="G142" s="28"/>
      <c r="H142" s="60">
        <f>H141+H140</f>
        <v>49087</v>
      </c>
      <c r="I142" s="28"/>
      <c r="J142" s="60">
        <f>J141+J140</f>
        <v>913</v>
      </c>
      <c r="K142" s="28"/>
      <c r="L142" s="60">
        <f>J142+H142</f>
        <v>50000</v>
      </c>
      <c r="M142" s="28"/>
      <c r="N142" s="6"/>
    </row>
    <row r="143" spans="1:14" ht="15.75">
      <c r="A143" s="27"/>
      <c r="B143" s="28" t="s">
        <v>103</v>
      </c>
      <c r="C143" s="28"/>
      <c r="D143" s="28"/>
      <c r="E143" s="28"/>
      <c r="F143" s="28"/>
      <c r="G143" s="28"/>
      <c r="H143" s="60">
        <f>H139-H142-J142</f>
        <v>0</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1.4544448542973072</v>
      </c>
      <c r="M147" s="28" t="s">
        <v>192</v>
      </c>
      <c r="N147" s="6"/>
    </row>
    <row r="148" spans="1:14" ht="15.75">
      <c r="A148" s="27"/>
      <c r="B148" s="28" t="s">
        <v>106</v>
      </c>
      <c r="C148" s="28"/>
      <c r="D148" s="28"/>
      <c r="E148" s="28"/>
      <c r="F148" s="28"/>
      <c r="G148" s="28"/>
      <c r="H148" s="28"/>
      <c r="I148" s="28"/>
      <c r="J148" s="28"/>
      <c r="K148" s="28"/>
      <c r="L148" s="66">
        <v>1.45</v>
      </c>
      <c r="M148" s="28" t="s">
        <v>192</v>
      </c>
      <c r="N148" s="6"/>
    </row>
    <row r="149" spans="1:14" ht="15.75">
      <c r="A149" s="27"/>
      <c r="B149" s="28" t="s">
        <v>107</v>
      </c>
      <c r="C149" s="28"/>
      <c r="D149" s="28"/>
      <c r="E149" s="28"/>
      <c r="F149" s="28"/>
      <c r="G149" s="28"/>
      <c r="H149" s="28"/>
      <c r="I149" s="28"/>
      <c r="J149" s="28"/>
      <c r="K149" s="28"/>
      <c r="L149" s="66">
        <f>(L80+SUM(L82:L86))/-L87</f>
        <v>2.6899563318777293</v>
      </c>
      <c r="M149" s="28" t="s">
        <v>192</v>
      </c>
      <c r="N149" s="6"/>
    </row>
    <row r="150" spans="1:14" ht="15.75">
      <c r="A150" s="27"/>
      <c r="B150" s="28" t="s">
        <v>108</v>
      </c>
      <c r="C150" s="28"/>
      <c r="D150" s="28"/>
      <c r="E150" s="28"/>
      <c r="F150" s="28"/>
      <c r="G150" s="28"/>
      <c r="H150" s="28"/>
      <c r="I150" s="28"/>
      <c r="J150" s="28"/>
      <c r="K150" s="28"/>
      <c r="L150" s="75">
        <v>3.21</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JULY 2004</v>
      </c>
      <c r="C153" s="121"/>
      <c r="D153" s="121"/>
      <c r="E153" s="121"/>
      <c r="F153" s="121"/>
      <c r="G153" s="121"/>
      <c r="H153" s="121"/>
      <c r="I153" s="121"/>
      <c r="J153" s="121"/>
      <c r="K153" s="121"/>
      <c r="L153" s="121"/>
      <c r="M153" s="124"/>
      <c r="N153" s="6"/>
    </row>
    <row r="154" spans="1:14" ht="15.75">
      <c r="A154" s="2"/>
      <c r="B154" s="129"/>
      <c r="C154" s="129"/>
      <c r="D154" s="129"/>
      <c r="E154" s="129"/>
      <c r="F154" s="129"/>
      <c r="G154" s="129"/>
      <c r="H154" s="129"/>
      <c r="I154" s="129"/>
      <c r="J154" s="129"/>
      <c r="K154" s="129"/>
      <c r="L154" s="129"/>
      <c r="M154" s="129"/>
      <c r="N154" s="6"/>
    </row>
    <row r="155" spans="1:14" ht="15.75">
      <c r="A155" s="77"/>
      <c r="B155" s="58" t="s">
        <v>109</v>
      </c>
      <c r="C155" s="78"/>
      <c r="D155" s="78"/>
      <c r="E155" s="78"/>
      <c r="F155" s="78"/>
      <c r="G155" s="21"/>
      <c r="H155" s="21"/>
      <c r="I155" s="21"/>
      <c r="J155" s="21">
        <v>38198</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0.06497</v>
      </c>
      <c r="K160" s="28"/>
      <c r="L160" s="28"/>
      <c r="M160" s="28"/>
      <c r="N160" s="6"/>
    </row>
    <row r="161" spans="1:14" ht="15.75">
      <c r="A161" s="83"/>
      <c r="B161" s="84" t="s">
        <v>114</v>
      </c>
      <c r="C161" s="85"/>
      <c r="D161" s="85"/>
      <c r="E161" s="85"/>
      <c r="F161" s="85"/>
      <c r="G161" s="72"/>
      <c r="H161" s="72"/>
      <c r="I161" s="72"/>
      <c r="J161" s="86">
        <f>L33</f>
        <v>0.04797484781689742</v>
      </c>
      <c r="K161" s="28"/>
      <c r="L161" s="28"/>
      <c r="M161" s="28"/>
      <c r="N161" s="6"/>
    </row>
    <row r="162" spans="1:14" ht="15.75">
      <c r="A162" s="83"/>
      <c r="B162" s="84" t="s">
        <v>115</v>
      </c>
      <c r="C162" s="85"/>
      <c r="D162" s="85"/>
      <c r="E162" s="85"/>
      <c r="F162" s="85"/>
      <c r="G162" s="72"/>
      <c r="H162" s="72"/>
      <c r="I162" s="72"/>
      <c r="J162" s="86">
        <f>J160-J161</f>
        <v>0.01699515218310258</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17.39</v>
      </c>
      <c r="K166" s="28" t="s">
        <v>184</v>
      </c>
      <c r="L166" s="28"/>
      <c r="M166" s="28"/>
      <c r="N166" s="6"/>
    </row>
    <row r="167" spans="1:14" ht="15.75">
      <c r="A167" s="83"/>
      <c r="B167" s="84" t="s">
        <v>120</v>
      </c>
      <c r="C167" s="85"/>
      <c r="D167" s="85"/>
      <c r="E167" s="85"/>
      <c r="F167" s="85"/>
      <c r="G167" s="72"/>
      <c r="H167" s="72"/>
      <c r="I167" s="72"/>
      <c r="J167" s="86">
        <f>F56/'April 2004'!L56</f>
        <v>0.074698411093962</v>
      </c>
      <c r="K167" s="28"/>
      <c r="L167" s="28"/>
      <c r="M167" s="28"/>
      <c r="N167" s="6"/>
    </row>
    <row r="168" spans="1:14" ht="15.75">
      <c r="A168" s="83"/>
      <c r="B168" s="84" t="s">
        <v>121</v>
      </c>
      <c r="C168" s="85"/>
      <c r="D168" s="85"/>
      <c r="E168" s="85"/>
      <c r="F168" s="85"/>
      <c r="G168" s="72"/>
      <c r="H168" s="72"/>
      <c r="I168" s="72"/>
      <c r="J168" s="86">
        <v>0.1501</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17</v>
      </c>
      <c r="J171" s="95">
        <v>680</v>
      </c>
      <c r="K171" s="28"/>
      <c r="L171" s="89"/>
      <c r="M171" s="96"/>
      <c r="N171" s="6"/>
    </row>
    <row r="172" spans="1:14" ht="15.75">
      <c r="A172" s="94"/>
      <c r="B172" s="84" t="s">
        <v>205</v>
      </c>
      <c r="C172" s="61"/>
      <c r="D172" s="61"/>
      <c r="E172" s="61"/>
      <c r="F172" s="28"/>
      <c r="G172" s="28"/>
      <c r="H172" s="28"/>
      <c r="I172" s="29">
        <v>0</v>
      </c>
      <c r="J172" s="95">
        <v>0</v>
      </c>
      <c r="K172" s="28"/>
      <c r="L172" s="89"/>
      <c r="M172" s="96"/>
      <c r="N172" s="6"/>
    </row>
    <row r="173" spans="1:14" ht="15.75">
      <c r="A173" s="94"/>
      <c r="B173" s="84" t="s">
        <v>124</v>
      </c>
      <c r="C173" s="61"/>
      <c r="D173" s="61"/>
      <c r="E173" s="61"/>
      <c r="F173" s="28"/>
      <c r="G173" s="28"/>
      <c r="H173" s="28"/>
      <c r="I173" s="29">
        <v>1</v>
      </c>
      <c r="J173" s="95">
        <v>61</v>
      </c>
      <c r="K173" s="28"/>
      <c r="L173" s="89"/>
      <c r="M173" s="96"/>
      <c r="N173" s="6"/>
    </row>
    <row r="174" spans="1:14" ht="15.75">
      <c r="A174" s="94"/>
      <c r="B174" s="145" t="s">
        <v>125</v>
      </c>
      <c r="C174" s="61"/>
      <c r="D174" s="61"/>
      <c r="E174" s="61"/>
      <c r="F174" s="28"/>
      <c r="G174" s="28"/>
      <c r="H174" s="28"/>
      <c r="I174" s="28"/>
      <c r="J174" s="95">
        <v>0</v>
      </c>
      <c r="K174" s="28"/>
      <c r="L174" s="89"/>
      <c r="M174" s="96"/>
      <c r="N174" s="6"/>
    </row>
    <row r="175" spans="1:14" ht="15.75">
      <c r="A175" s="94"/>
      <c r="B175" s="145" t="s">
        <v>126</v>
      </c>
      <c r="C175" s="61"/>
      <c r="D175" s="61"/>
      <c r="E175" s="61"/>
      <c r="F175" s="28"/>
      <c r="G175" s="28"/>
      <c r="H175" s="28"/>
      <c r="I175" s="28"/>
      <c r="J175" s="95">
        <v>59682</v>
      </c>
      <c r="K175" s="28"/>
      <c r="L175" s="89"/>
      <c r="M175" s="96"/>
      <c r="N175" s="6"/>
    </row>
    <row r="176" spans="1:14" ht="15.75">
      <c r="A176" s="97"/>
      <c r="B176" s="145" t="s">
        <v>127</v>
      </c>
      <c r="C176" s="61"/>
      <c r="D176" s="84"/>
      <c r="E176" s="84"/>
      <c r="F176" s="84"/>
      <c r="G176" s="28"/>
      <c r="H176" s="28"/>
      <c r="I176" s="28"/>
      <c r="J176" s="95">
        <v>0</v>
      </c>
      <c r="K176" s="28"/>
      <c r="L176" s="89"/>
      <c r="M176" s="98"/>
      <c r="N176" s="6"/>
    </row>
    <row r="177" spans="1:14" ht="15.75">
      <c r="A177" s="94"/>
      <c r="B177" s="84" t="s">
        <v>128</v>
      </c>
      <c r="C177" s="61"/>
      <c r="D177" s="61"/>
      <c r="E177" s="61"/>
      <c r="F177" s="61"/>
      <c r="G177" s="28"/>
      <c r="H177" s="28"/>
      <c r="I177" s="28"/>
      <c r="J177" s="95">
        <v>0</v>
      </c>
      <c r="K177" s="28"/>
      <c r="L177" s="89"/>
      <c r="M177" s="98"/>
      <c r="N177" s="6"/>
    </row>
    <row r="178" spans="1:14" ht="15.75">
      <c r="A178" s="94"/>
      <c r="B178" s="84" t="s">
        <v>129</v>
      </c>
      <c r="C178" s="61"/>
      <c r="D178" s="61"/>
      <c r="E178" s="61"/>
      <c r="F178" s="61"/>
      <c r="G178" s="28"/>
      <c r="H178" s="28"/>
      <c r="I178" s="28"/>
      <c r="J178" s="95">
        <v>0</v>
      </c>
      <c r="K178" s="28"/>
      <c r="L178" s="89"/>
      <c r="M178" s="98"/>
      <c r="N178" s="6"/>
    </row>
    <row r="179" spans="1:14" ht="15.75">
      <c r="A179" s="94"/>
      <c r="B179" s="84" t="s">
        <v>130</v>
      </c>
      <c r="C179" s="61"/>
      <c r="D179" s="61"/>
      <c r="E179" s="61"/>
      <c r="F179" s="61"/>
      <c r="G179" s="28"/>
      <c r="H179" s="28"/>
      <c r="I179" s="28"/>
      <c r="J179" s="95">
        <v>0</v>
      </c>
      <c r="K179" s="28"/>
      <c r="L179" s="89"/>
      <c r="M179" s="98"/>
      <c r="N179" s="6"/>
    </row>
    <row r="180" spans="1:14" ht="15.75">
      <c r="A180" s="97"/>
      <c r="B180" s="145" t="s">
        <v>131</v>
      </c>
      <c r="C180" s="61"/>
      <c r="D180" s="84"/>
      <c r="E180" s="84"/>
      <c r="F180" s="84"/>
      <c r="G180" s="28"/>
      <c r="H180" s="28"/>
      <c r="I180" s="28"/>
      <c r="J180" s="95"/>
      <c r="K180" s="28"/>
      <c r="L180" s="89"/>
      <c r="M180" s="98"/>
      <c r="N180" s="6"/>
    </row>
    <row r="181" spans="1:14" ht="15.75">
      <c r="A181" s="97"/>
      <c r="B181" s="84" t="s">
        <v>132</v>
      </c>
      <c r="C181" s="61"/>
      <c r="D181" s="84"/>
      <c r="E181" s="84"/>
      <c r="F181" s="84"/>
      <c r="G181" s="28"/>
      <c r="H181" s="28"/>
      <c r="I181" s="28"/>
      <c r="J181" s="95">
        <v>0</v>
      </c>
      <c r="K181" s="28"/>
      <c r="L181" s="89"/>
      <c r="M181" s="98"/>
      <c r="N181" s="6"/>
    </row>
    <row r="182" spans="1:14" ht="15.75">
      <c r="A182" s="94"/>
      <c r="B182" s="84" t="s">
        <v>133</v>
      </c>
      <c r="C182" s="61"/>
      <c r="D182" s="99"/>
      <c r="E182" s="99"/>
      <c r="F182" s="100"/>
      <c r="G182" s="28"/>
      <c r="H182" s="28"/>
      <c r="I182" s="28"/>
      <c r="J182" s="95">
        <v>0</v>
      </c>
      <c r="K182" s="28"/>
      <c r="L182" s="89"/>
      <c r="M182" s="98"/>
      <c r="N182" s="6"/>
    </row>
    <row r="183" spans="1:14" ht="15.75">
      <c r="A183" s="94"/>
      <c r="B183" s="84" t="s">
        <v>134</v>
      </c>
      <c r="C183" s="61"/>
      <c r="D183" s="99"/>
      <c r="E183" s="99"/>
      <c r="F183" s="100"/>
      <c r="G183" s="28"/>
      <c r="H183" s="28"/>
      <c r="I183" s="28"/>
      <c r="J183" s="95">
        <v>0</v>
      </c>
      <c r="K183" s="28"/>
      <c r="L183" s="89"/>
      <c r="M183" s="98"/>
      <c r="N183" s="6"/>
    </row>
    <row r="184" spans="1:14" ht="15.75">
      <c r="A184" s="94"/>
      <c r="B184" s="84" t="s">
        <v>135</v>
      </c>
      <c r="C184" s="61"/>
      <c r="D184" s="101"/>
      <c r="E184" s="99"/>
      <c r="F184" s="100"/>
      <c r="G184" s="28"/>
      <c r="H184" s="28"/>
      <c r="I184" s="28"/>
      <c r="J184" s="102">
        <v>0</v>
      </c>
      <c r="K184" s="28"/>
      <c r="L184" s="89"/>
      <c r="M184" s="98"/>
      <c r="N184" s="6"/>
    </row>
    <row r="185" spans="1:14" ht="15.75">
      <c r="A185" s="94"/>
      <c r="B185" s="84"/>
      <c r="C185" s="61"/>
      <c r="D185" s="101"/>
      <c r="E185" s="99"/>
      <c r="F185" s="100"/>
      <c r="G185" s="28"/>
      <c r="H185" s="28"/>
      <c r="I185" s="28"/>
      <c r="J185" s="102"/>
      <c r="K185" s="28"/>
      <c r="L185" s="89"/>
      <c r="M185" s="98"/>
      <c r="N185" s="6"/>
    </row>
    <row r="186" spans="1:14" ht="15.75">
      <c r="A186" s="7"/>
      <c r="B186" s="16" t="s">
        <v>136</v>
      </c>
      <c r="C186" s="19"/>
      <c r="D186" s="93"/>
      <c r="E186" s="19"/>
      <c r="F186" s="93"/>
      <c r="G186" s="19"/>
      <c r="H186" s="93" t="s">
        <v>171</v>
      </c>
      <c r="I186" s="19" t="s">
        <v>172</v>
      </c>
      <c r="J186" s="93" t="s">
        <v>182</v>
      </c>
      <c r="K186" s="19" t="s">
        <v>172</v>
      </c>
      <c r="L186" s="17"/>
      <c r="M186" s="103"/>
      <c r="N186" s="6"/>
    </row>
    <row r="187" spans="1:14" ht="15.75">
      <c r="A187" s="27"/>
      <c r="B187" s="61" t="s">
        <v>137</v>
      </c>
      <c r="C187" s="104"/>
      <c r="D187" s="61"/>
      <c r="E187" s="104"/>
      <c r="F187" s="28"/>
      <c r="G187" s="104"/>
      <c r="H187" s="61">
        <v>3239</v>
      </c>
      <c r="I187" s="104">
        <f>H187/H192</f>
        <v>0.9865976241242765</v>
      </c>
      <c r="J187" s="60">
        <v>234456</v>
      </c>
      <c r="K187" s="105">
        <f>J187/J192</f>
        <v>0.9850802707483394</v>
      </c>
      <c r="L187" s="89"/>
      <c r="M187" s="98"/>
      <c r="N187" s="6"/>
    </row>
    <row r="188" spans="1:14" ht="15.75">
      <c r="A188" s="27"/>
      <c r="B188" s="61" t="s">
        <v>138</v>
      </c>
      <c r="C188" s="104"/>
      <c r="D188" s="61"/>
      <c r="E188" s="104"/>
      <c r="F188" s="28"/>
      <c r="G188" s="106"/>
      <c r="H188" s="61">
        <v>11</v>
      </c>
      <c r="I188" s="104">
        <f>H188/H192</f>
        <v>0.003350593968930856</v>
      </c>
      <c r="J188" s="60">
        <v>854</v>
      </c>
      <c r="K188" s="105">
        <f>J188/J192</f>
        <v>0.0035881297608893856</v>
      </c>
      <c r="L188" s="89"/>
      <c r="M188" s="98"/>
      <c r="N188" s="6"/>
    </row>
    <row r="189" spans="1:14" ht="15.75">
      <c r="A189" s="27"/>
      <c r="B189" s="61" t="s">
        <v>139</v>
      </c>
      <c r="C189" s="104"/>
      <c r="D189" s="61"/>
      <c r="E189" s="104"/>
      <c r="F189" s="28"/>
      <c r="G189" s="106"/>
      <c r="H189" s="61">
        <v>11</v>
      </c>
      <c r="I189" s="104">
        <f>H189/H192</f>
        <v>0.003350593968930856</v>
      </c>
      <c r="J189" s="60">
        <v>1016</v>
      </c>
      <c r="K189" s="105">
        <f>J189/J192</f>
        <v>0.004268782010613133</v>
      </c>
      <c r="L189" s="89"/>
      <c r="M189" s="98"/>
      <c r="N189" s="6"/>
    </row>
    <row r="190" spans="1:14" ht="15.75">
      <c r="A190" s="27"/>
      <c r="B190" s="61" t="s">
        <v>140</v>
      </c>
      <c r="C190" s="104"/>
      <c r="D190" s="61"/>
      <c r="E190" s="104"/>
      <c r="F190" s="28"/>
      <c r="G190" s="106"/>
      <c r="H190" s="61">
        <v>22</v>
      </c>
      <c r="I190" s="104">
        <f>H190/H192</f>
        <v>0.006701187937861712</v>
      </c>
      <c r="J190" s="60">
        <v>1681</v>
      </c>
      <c r="K190" s="105">
        <f>J190/$J192</f>
        <v>0.007062817480158147</v>
      </c>
      <c r="L190" s="89"/>
      <c r="M190" s="98"/>
      <c r="N190" s="6"/>
    </row>
    <row r="191" spans="1:14" ht="15.75">
      <c r="A191" s="27"/>
      <c r="B191" s="61"/>
      <c r="C191" s="107"/>
      <c r="D191" s="96"/>
      <c r="E191" s="107"/>
      <c r="F191" s="28"/>
      <c r="G191" s="107"/>
      <c r="H191" s="96"/>
      <c r="I191" s="107"/>
      <c r="J191" s="60"/>
      <c r="K191" s="105"/>
      <c r="L191" s="89"/>
      <c r="M191" s="98"/>
      <c r="N191" s="6"/>
    </row>
    <row r="192" spans="1:14" ht="15.75">
      <c r="A192" s="27"/>
      <c r="B192" s="28"/>
      <c r="C192" s="28"/>
      <c r="D192" s="28"/>
      <c r="E192" s="28"/>
      <c r="F192" s="28"/>
      <c r="G192" s="28"/>
      <c r="H192" s="38">
        <f>SUM(H187:H190)</f>
        <v>3283</v>
      </c>
      <c r="I192" s="108">
        <f>SUM(I187:I191)</f>
        <v>1</v>
      </c>
      <c r="J192" s="60">
        <f>SUM(J187:J191)</f>
        <v>238007</v>
      </c>
      <c r="K192" s="108">
        <f>SUM(K187:K191)</f>
        <v>1</v>
      </c>
      <c r="L192" s="28"/>
      <c r="M192" s="28"/>
      <c r="N192" s="6"/>
    </row>
    <row r="193" spans="1:14" ht="15.75">
      <c r="A193" s="27"/>
      <c r="B193" s="28"/>
      <c r="C193" s="28"/>
      <c r="D193" s="28"/>
      <c r="E193" s="28"/>
      <c r="F193" s="28"/>
      <c r="G193" s="28"/>
      <c r="H193" s="38"/>
      <c r="I193" s="108"/>
      <c r="J193" s="60"/>
      <c r="K193" s="108"/>
      <c r="L193" s="28"/>
      <c r="M193" s="28"/>
      <c r="N193" s="6"/>
    </row>
    <row r="194" spans="1:14" ht="15.75">
      <c r="A194" s="7"/>
      <c r="B194" s="9"/>
      <c r="C194" s="9"/>
      <c r="D194" s="9"/>
      <c r="E194" s="9"/>
      <c r="F194" s="9"/>
      <c r="G194" s="9"/>
      <c r="H194" s="62"/>
      <c r="I194" s="109"/>
      <c r="J194" s="110"/>
      <c r="K194" s="109"/>
      <c r="L194" s="9"/>
      <c r="M194" s="9"/>
      <c r="N194" s="6"/>
    </row>
    <row r="195" spans="1:14" ht="15.75">
      <c r="A195" s="111"/>
      <c r="B195" s="16" t="s">
        <v>141</v>
      </c>
      <c r="C195" s="112"/>
      <c r="D195" s="19" t="s">
        <v>149</v>
      </c>
      <c r="E195" s="17"/>
      <c r="F195" s="16" t="s">
        <v>160</v>
      </c>
      <c r="G195" s="113"/>
      <c r="H195" s="113"/>
      <c r="I195" s="113"/>
      <c r="J195" s="126"/>
      <c r="K195" s="126"/>
      <c r="L195" s="126"/>
      <c r="M195" s="126"/>
      <c r="N195" s="6"/>
    </row>
    <row r="196" spans="1:14" ht="15.75">
      <c r="A196" s="130"/>
      <c r="B196" s="126"/>
      <c r="C196" s="126"/>
      <c r="D196" s="9"/>
      <c r="E196" s="9"/>
      <c r="F196" s="9"/>
      <c r="G196" s="126"/>
      <c r="H196" s="126"/>
      <c r="I196" s="126"/>
      <c r="J196" s="126"/>
      <c r="K196" s="126"/>
      <c r="L196" s="126"/>
      <c r="M196" s="126"/>
      <c r="N196" s="6"/>
    </row>
    <row r="197" spans="1:14" ht="15.75">
      <c r="A197" s="130"/>
      <c r="B197" s="15" t="s">
        <v>142</v>
      </c>
      <c r="C197" s="115"/>
      <c r="D197" s="116" t="s">
        <v>150</v>
      </c>
      <c r="E197" s="15"/>
      <c r="F197" s="15" t="s">
        <v>161</v>
      </c>
      <c r="G197" s="115"/>
      <c r="H197" s="115"/>
      <c r="I197" s="126"/>
      <c r="J197" s="126"/>
      <c r="K197" s="126"/>
      <c r="L197" s="126"/>
      <c r="M197" s="126"/>
      <c r="N197" s="6"/>
    </row>
    <row r="198" spans="1:14" ht="15.75">
      <c r="A198" s="130"/>
      <c r="B198" s="15" t="s">
        <v>143</v>
      </c>
      <c r="C198" s="115"/>
      <c r="D198" s="116" t="s">
        <v>151</v>
      </c>
      <c r="E198" s="15"/>
      <c r="F198" s="15" t="s">
        <v>162</v>
      </c>
      <c r="G198" s="115"/>
      <c r="H198" s="115"/>
      <c r="I198" s="126"/>
      <c r="J198" s="126"/>
      <c r="K198" s="126"/>
      <c r="L198" s="126"/>
      <c r="M198" s="126"/>
      <c r="N198" s="6"/>
    </row>
    <row r="199" spans="1:14" ht="15.75">
      <c r="A199" s="130"/>
      <c r="B199" s="15"/>
      <c r="C199" s="115"/>
      <c r="D199" s="116"/>
      <c r="E199" s="15"/>
      <c r="F199" s="15"/>
      <c r="G199" s="115"/>
      <c r="H199" s="115"/>
      <c r="I199" s="126"/>
      <c r="J199" s="126"/>
      <c r="K199" s="126"/>
      <c r="L199" s="126"/>
      <c r="M199" s="126"/>
      <c r="N199" s="6"/>
    </row>
    <row r="200" spans="1:14" ht="15.75">
      <c r="A200" s="130"/>
      <c r="B200" s="15"/>
      <c r="C200" s="115"/>
      <c r="D200" s="116"/>
      <c r="E200" s="15"/>
      <c r="F200" s="15"/>
      <c r="G200" s="115"/>
      <c r="H200" s="115"/>
      <c r="I200" s="126"/>
      <c r="J200" s="126"/>
      <c r="K200" s="126"/>
      <c r="L200" s="126"/>
      <c r="M200" s="126"/>
      <c r="N200" s="6"/>
    </row>
    <row r="201" spans="1:14" ht="18.75">
      <c r="A201" s="130"/>
      <c r="B201" s="56" t="str">
        <f>B153</f>
        <v>PM3 INVESTOR REPORT QUARTER ENDING JULY 2004</v>
      </c>
      <c r="C201" s="115"/>
      <c r="D201" s="116"/>
      <c r="E201" s="15"/>
      <c r="F201" s="15"/>
      <c r="G201" s="115"/>
      <c r="H201" s="115"/>
      <c r="I201" s="126"/>
      <c r="J201" s="126"/>
      <c r="K201" s="126"/>
      <c r="L201" s="126"/>
      <c r="M201" s="126"/>
      <c r="N201" s="6"/>
    </row>
    <row r="202" spans="1:13" ht="15">
      <c r="A202" s="117"/>
      <c r="B202" s="117"/>
      <c r="C202" s="117"/>
      <c r="D202" s="117"/>
      <c r="E202" s="117"/>
      <c r="F202" s="117"/>
      <c r="G202" s="117"/>
      <c r="H202" s="117"/>
      <c r="I202" s="117"/>
      <c r="J202" s="117"/>
      <c r="K202" s="117"/>
      <c r="L202" s="117"/>
      <c r="M202"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4.xml><?xml version="1.0" encoding="utf-8"?>
<worksheet xmlns="http://schemas.openxmlformats.org/spreadsheetml/2006/main" xmlns:r="http://schemas.openxmlformats.org/officeDocument/2006/relationships">
  <dimension ref="A1:N204"/>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6"/>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38308</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26"/>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26"/>
      <c r="L22" s="126"/>
      <c r="M22" s="9"/>
      <c r="N22" s="6"/>
    </row>
    <row r="23" spans="1:14" ht="15.75">
      <c r="A23" s="7"/>
      <c r="B23" s="9" t="s">
        <v>13</v>
      </c>
      <c r="C23" s="132" t="s">
        <v>145</v>
      </c>
      <c r="D23" s="25"/>
      <c r="E23" s="25"/>
      <c r="F23" s="25" t="s">
        <v>153</v>
      </c>
      <c r="G23" s="25"/>
      <c r="H23" s="25" t="s">
        <v>164</v>
      </c>
      <c r="I23" s="25"/>
      <c r="J23" s="25"/>
      <c r="K23" s="126"/>
      <c r="L23" s="126"/>
      <c r="M23" s="9"/>
      <c r="N23" s="6"/>
    </row>
    <row r="24" spans="1:14" ht="15.75">
      <c r="A24" s="27"/>
      <c r="B24" s="28" t="s">
        <v>14</v>
      </c>
      <c r="C24" s="29"/>
      <c r="D24" s="30"/>
      <c r="E24" s="30"/>
      <c r="F24" s="30" t="s">
        <v>154</v>
      </c>
      <c r="G24" s="30"/>
      <c r="H24" s="30" t="s">
        <v>165</v>
      </c>
      <c r="I24" s="30"/>
      <c r="J24" s="30"/>
      <c r="K24" s="127"/>
      <c r="L24" s="127"/>
      <c r="M24" s="28"/>
      <c r="N24" s="6"/>
    </row>
    <row r="25" spans="1:14" ht="15.75">
      <c r="A25" s="32"/>
      <c r="B25" s="33" t="s">
        <v>15</v>
      </c>
      <c r="C25" s="33"/>
      <c r="D25" s="34"/>
      <c r="E25" s="34"/>
      <c r="F25" s="34" t="s">
        <v>153</v>
      </c>
      <c r="G25" s="34"/>
      <c r="H25" s="34" t="s">
        <v>202</v>
      </c>
      <c r="I25" s="34"/>
      <c r="J25" s="30"/>
      <c r="K25" s="127"/>
      <c r="L25" s="127"/>
      <c r="M25" s="28"/>
      <c r="N25" s="6"/>
    </row>
    <row r="26" spans="1:14" ht="15.75">
      <c r="A26" s="32"/>
      <c r="B26" s="33" t="s">
        <v>16</v>
      </c>
      <c r="C26" s="33"/>
      <c r="D26" s="34"/>
      <c r="E26" s="34"/>
      <c r="F26" s="34" t="s">
        <v>154</v>
      </c>
      <c r="G26" s="34"/>
      <c r="H26" s="34" t="s">
        <v>201</v>
      </c>
      <c r="I26" s="34"/>
      <c r="J26" s="30"/>
      <c r="K26" s="127"/>
      <c r="L26" s="127"/>
      <c r="M26" s="28"/>
      <c r="N26" s="6"/>
    </row>
    <row r="27" spans="1:14" ht="15.75">
      <c r="A27" s="27"/>
      <c r="B27" s="28" t="s">
        <v>17</v>
      </c>
      <c r="C27" s="28"/>
      <c r="D27" s="29"/>
      <c r="E27" s="30"/>
      <c r="F27" s="29" t="s">
        <v>155</v>
      </c>
      <c r="G27" s="30"/>
      <c r="H27" s="29" t="s">
        <v>166</v>
      </c>
      <c r="I27" s="30"/>
      <c r="J27" s="29"/>
      <c r="K27" s="127"/>
      <c r="L27" s="127"/>
      <c r="M27" s="28"/>
      <c r="N27" s="6"/>
    </row>
    <row r="28" spans="1:14" ht="15.75">
      <c r="A28" s="27"/>
      <c r="B28" s="28"/>
      <c r="C28" s="28"/>
      <c r="D28" s="28"/>
      <c r="E28" s="30"/>
      <c r="F28" s="30"/>
      <c r="G28" s="30"/>
      <c r="H28" s="30"/>
      <c r="I28" s="30"/>
      <c r="J28" s="30"/>
      <c r="K28" s="127"/>
      <c r="L28" s="127"/>
      <c r="M28" s="28"/>
      <c r="N28" s="6"/>
    </row>
    <row r="29" spans="1:14" ht="15.75">
      <c r="A29" s="27"/>
      <c r="B29" s="28" t="s">
        <v>18</v>
      </c>
      <c r="C29" s="28"/>
      <c r="D29" s="35"/>
      <c r="E29" s="36"/>
      <c r="F29" s="35">
        <v>306000</v>
      </c>
      <c r="G29" s="35"/>
      <c r="H29" s="35">
        <v>34000</v>
      </c>
      <c r="I29" s="35"/>
      <c r="J29" s="35"/>
      <c r="K29" s="128"/>
      <c r="L29" s="35">
        <f>H29+F29</f>
        <v>340000</v>
      </c>
      <c r="M29" s="38"/>
      <c r="N29" s="6"/>
    </row>
    <row r="30" spans="1:14" ht="15.75">
      <c r="A30" s="27"/>
      <c r="B30" s="28" t="s">
        <v>19</v>
      </c>
      <c r="C30" s="39">
        <v>0.666688</v>
      </c>
      <c r="D30" s="35"/>
      <c r="E30" s="36"/>
      <c r="F30" s="35">
        <f>306000*C30</f>
        <v>204006.528</v>
      </c>
      <c r="G30" s="35"/>
      <c r="H30" s="35">
        <v>34000</v>
      </c>
      <c r="I30" s="35"/>
      <c r="J30" s="35"/>
      <c r="K30" s="128"/>
      <c r="L30" s="35">
        <f>H30+F30</f>
        <v>238006.528</v>
      </c>
      <c r="M30" s="38"/>
      <c r="N30" s="6"/>
    </row>
    <row r="31" spans="1:14" ht="12.75" customHeight="1">
      <c r="A31" s="32"/>
      <c r="B31" s="33" t="s">
        <v>20</v>
      </c>
      <c r="C31" s="40">
        <v>0</v>
      </c>
      <c r="D31" s="41"/>
      <c r="E31" s="42"/>
      <c r="F31" s="41">
        <f>F29*C31</f>
        <v>0</v>
      </c>
      <c r="G31" s="41"/>
      <c r="H31" s="41">
        <v>0</v>
      </c>
      <c r="I31" s="41"/>
      <c r="J31" s="41"/>
      <c r="K31" s="43"/>
      <c r="L31" s="41">
        <f>H31+F31+D31</f>
        <v>0</v>
      </c>
      <c r="M31" s="38"/>
      <c r="N31" s="6"/>
    </row>
    <row r="32" spans="1:14" ht="15.75">
      <c r="A32" s="27"/>
      <c r="B32" s="28" t="s">
        <v>21</v>
      </c>
      <c r="C32" s="44"/>
      <c r="D32" s="29"/>
      <c r="E32" s="28"/>
      <c r="F32" s="29" t="s">
        <v>156</v>
      </c>
      <c r="G32" s="29"/>
      <c r="H32" s="29" t="s">
        <v>167</v>
      </c>
      <c r="I32" s="29"/>
      <c r="J32" s="29"/>
      <c r="K32" s="127"/>
      <c r="L32" s="127"/>
      <c r="M32" s="28"/>
      <c r="N32" s="6"/>
    </row>
    <row r="33" spans="1:14" ht="15.75">
      <c r="A33" s="27"/>
      <c r="B33" s="28" t="s">
        <v>22</v>
      </c>
      <c r="C33" s="28"/>
      <c r="D33" s="45"/>
      <c r="E33" s="28"/>
      <c r="F33" s="45">
        <v>0.0524</v>
      </c>
      <c r="G33" s="46"/>
      <c r="H33" s="45">
        <v>0.0576</v>
      </c>
      <c r="I33" s="46"/>
      <c r="J33" s="45"/>
      <c r="K33" s="127"/>
      <c r="L33" s="46">
        <f>SUMPRODUCT(F33:H33,F30:H30)/L30</f>
        <v>0.05314283676790579</v>
      </c>
      <c r="M33" s="28"/>
      <c r="N33" s="6"/>
    </row>
    <row r="34" spans="1:14" ht="15.75">
      <c r="A34" s="27"/>
      <c r="B34" s="28" t="s">
        <v>23</v>
      </c>
      <c r="C34" s="28"/>
      <c r="D34" s="45"/>
      <c r="E34" s="28"/>
      <c r="F34" s="45">
        <v>0.0472875</v>
      </c>
      <c r="G34" s="46"/>
      <c r="H34" s="45">
        <v>0.0524875</v>
      </c>
      <c r="I34" s="46"/>
      <c r="J34" s="45"/>
      <c r="K34" s="127"/>
      <c r="L34" s="127"/>
      <c r="M34" s="28"/>
      <c r="N34" s="6"/>
    </row>
    <row r="35" spans="1:14" ht="15.75">
      <c r="A35" s="27"/>
      <c r="B35" s="28" t="s">
        <v>24</v>
      </c>
      <c r="C35" s="28"/>
      <c r="D35" s="29"/>
      <c r="E35" s="28"/>
      <c r="F35" s="29" t="s">
        <v>157</v>
      </c>
      <c r="G35" s="29"/>
      <c r="H35" s="29" t="s">
        <v>157</v>
      </c>
      <c r="I35" s="29"/>
      <c r="J35" s="29"/>
      <c r="K35" s="127"/>
      <c r="L35" s="127"/>
      <c r="M35" s="28"/>
      <c r="N35" s="6"/>
    </row>
    <row r="36" spans="1:14" ht="15.75">
      <c r="A36" s="27"/>
      <c r="B36" s="28" t="s">
        <v>25</v>
      </c>
      <c r="C36" s="28"/>
      <c r="D36" s="29"/>
      <c r="E36" s="28"/>
      <c r="F36" s="151">
        <v>39209</v>
      </c>
      <c r="G36" s="29"/>
      <c r="H36" s="151">
        <v>39209</v>
      </c>
      <c r="I36" s="29"/>
      <c r="J36" s="29"/>
      <c r="K36" s="127"/>
      <c r="L36" s="127"/>
      <c r="M36" s="28"/>
      <c r="N36" s="6"/>
    </row>
    <row r="37" spans="1:14" ht="15.75">
      <c r="A37" s="27"/>
      <c r="B37" s="28" t="s">
        <v>26</v>
      </c>
      <c r="C37" s="28"/>
      <c r="D37" s="29"/>
      <c r="E37" s="28"/>
      <c r="F37" s="29" t="s">
        <v>158</v>
      </c>
      <c r="G37" s="29"/>
      <c r="H37" s="29" t="s">
        <v>168</v>
      </c>
      <c r="I37" s="29"/>
      <c r="J37" s="29"/>
      <c r="K37" s="127"/>
      <c r="L37" s="127"/>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v>0</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38299</v>
      </c>
      <c r="M44" s="28"/>
      <c r="N44" s="6"/>
    </row>
    <row r="45" spans="1:14" ht="15.75">
      <c r="A45" s="27"/>
      <c r="B45" s="28" t="s">
        <v>32</v>
      </c>
      <c r="C45" s="28"/>
      <c r="D45" s="28"/>
      <c r="E45" s="28"/>
      <c r="F45" s="28"/>
      <c r="G45" s="28"/>
      <c r="H45" s="28"/>
      <c r="I45" s="28">
        <f>L45-J45+1</f>
        <v>94</v>
      </c>
      <c r="J45" s="53">
        <v>38114</v>
      </c>
      <c r="K45" s="52"/>
      <c r="L45" s="53">
        <v>38207</v>
      </c>
      <c r="M45" s="28"/>
      <c r="N45" s="6"/>
    </row>
    <row r="46" spans="1:14" ht="15.75">
      <c r="A46" s="27"/>
      <c r="B46" s="28" t="s">
        <v>33</v>
      </c>
      <c r="C46" s="28"/>
      <c r="D46" s="28"/>
      <c r="E46" s="28"/>
      <c r="F46" s="28"/>
      <c r="G46" s="28"/>
      <c r="H46" s="28"/>
      <c r="I46" s="28">
        <f>L46-J46+1</f>
        <v>91</v>
      </c>
      <c r="J46" s="53">
        <v>38208</v>
      </c>
      <c r="K46" s="52"/>
      <c r="L46" s="53">
        <v>38298</v>
      </c>
      <c r="M46" s="28"/>
      <c r="N46" s="6"/>
    </row>
    <row r="47" spans="1:14" ht="15.75">
      <c r="A47" s="27"/>
      <c r="B47" s="28" t="s">
        <v>34</v>
      </c>
      <c r="C47" s="28"/>
      <c r="D47" s="28"/>
      <c r="E47" s="28"/>
      <c r="F47" s="28"/>
      <c r="G47" s="28"/>
      <c r="H47" s="28"/>
      <c r="I47" s="28"/>
      <c r="J47" s="53"/>
      <c r="K47" s="52"/>
      <c r="L47" s="53" t="s">
        <v>206</v>
      </c>
      <c r="M47" s="28"/>
      <c r="N47" s="6"/>
    </row>
    <row r="48" spans="1:14" ht="15.75">
      <c r="A48" s="27"/>
      <c r="B48" s="28" t="s">
        <v>35</v>
      </c>
      <c r="C48" s="28"/>
      <c r="D48" s="28"/>
      <c r="E48" s="28"/>
      <c r="F48" s="28"/>
      <c r="G48" s="28"/>
      <c r="H48" s="28"/>
      <c r="I48" s="28"/>
      <c r="J48" s="53"/>
      <c r="K48" s="52"/>
      <c r="L48" s="53">
        <v>38294</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209</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238007</v>
      </c>
      <c r="E56" s="38"/>
      <c r="F56" s="38">
        <v>238007</v>
      </c>
      <c r="G56" s="38"/>
      <c r="H56" s="38">
        <v>0</v>
      </c>
      <c r="I56" s="38"/>
      <c r="J56" s="38">
        <v>0</v>
      </c>
      <c r="K56" s="38"/>
      <c r="L56" s="60">
        <f>D56-F56+H56-J56</f>
        <v>0</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238007</v>
      </c>
      <c r="E59" s="38"/>
      <c r="F59" s="38">
        <f>SUM(F56:F58)</f>
        <v>238007</v>
      </c>
      <c r="G59" s="38"/>
      <c r="H59" s="38">
        <f>SUM(H56:H58)</f>
        <v>0</v>
      </c>
      <c r="I59" s="38"/>
      <c r="J59" s="38">
        <f>SUM(J56:J58)</f>
        <v>0</v>
      </c>
      <c r="K59" s="38"/>
      <c r="L59" s="61">
        <f>SUM(L56:L58)</f>
        <v>0</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L127</f>
        <v>0</v>
      </c>
      <c r="E70" s="38"/>
      <c r="F70" s="38"/>
      <c r="G70" s="38"/>
      <c r="H70" s="38"/>
      <c r="I70" s="38"/>
      <c r="J70" s="38"/>
      <c r="K70" s="38"/>
      <c r="L70" s="61">
        <f>SUM(C70:K70)</f>
        <v>0</v>
      </c>
      <c r="M70" s="28"/>
      <c r="N70" s="6"/>
    </row>
    <row r="71" spans="1:14" ht="15.75">
      <c r="A71" s="27"/>
      <c r="B71" s="28" t="s">
        <v>46</v>
      </c>
      <c r="C71" s="61">
        <f>SUM(C59:C70)</f>
        <v>340000</v>
      </c>
      <c r="D71" s="61">
        <f>SUM(D59:D70)</f>
        <v>238007</v>
      </c>
      <c r="E71" s="38"/>
      <c r="F71" s="61"/>
      <c r="G71" s="38"/>
      <c r="H71" s="61"/>
      <c r="I71" s="38"/>
      <c r="J71" s="61"/>
      <c r="K71" s="38"/>
      <c r="L71" s="61">
        <f>SUM(L59:L70)</f>
        <v>0</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J157</f>
        <v>38289</v>
      </c>
      <c r="E75" s="28"/>
      <c r="F75" s="28"/>
      <c r="G75" s="28"/>
      <c r="H75" s="28"/>
      <c r="I75" s="28"/>
      <c r="J75" s="38">
        <v>238007</v>
      </c>
      <c r="K75" s="28"/>
      <c r="L75" s="60"/>
      <c r="M75" s="28"/>
      <c r="N75" s="6"/>
    </row>
    <row r="76" spans="1:14" ht="15.75">
      <c r="A76" s="27"/>
      <c r="B76" s="28" t="s">
        <v>50</v>
      </c>
      <c r="C76" s="28"/>
      <c r="D76" s="28"/>
      <c r="E76" s="28"/>
      <c r="F76" s="28"/>
      <c r="G76" s="28"/>
      <c r="H76" s="28"/>
      <c r="I76" s="28"/>
      <c r="J76" s="38"/>
      <c r="K76" s="28"/>
      <c r="L76" s="60">
        <f>3809-15</f>
        <v>3794</v>
      </c>
      <c r="M76" s="28"/>
      <c r="N76" s="6"/>
    </row>
    <row r="77" spans="1:14" ht="15.75">
      <c r="A77" s="27"/>
      <c r="B77" s="28" t="s">
        <v>210</v>
      </c>
      <c r="C77" s="28"/>
      <c r="D77" s="28"/>
      <c r="E77" s="28"/>
      <c r="F77" s="28"/>
      <c r="G77" s="28"/>
      <c r="H77" s="28"/>
      <c r="I77" s="28"/>
      <c r="J77" s="38"/>
      <c r="K77" s="28"/>
      <c r="L77" s="60">
        <v>6800</v>
      </c>
      <c r="M77" s="28"/>
      <c r="N77" s="6"/>
    </row>
    <row r="78" spans="1:14" ht="15.75">
      <c r="A78" s="27"/>
      <c r="B78" s="28" t="s">
        <v>51</v>
      </c>
      <c r="C78" s="28"/>
      <c r="D78" s="28"/>
      <c r="E78" s="28"/>
      <c r="F78" s="28"/>
      <c r="G78" s="28"/>
      <c r="H78" s="28"/>
      <c r="I78" s="28"/>
      <c r="J78" s="38"/>
      <c r="K78" s="28"/>
      <c r="L78" s="60">
        <v>0</v>
      </c>
      <c r="M78" s="28"/>
      <c r="N78" s="6"/>
    </row>
    <row r="79" spans="1:14" ht="15.75">
      <c r="A79" s="27"/>
      <c r="B79" s="28" t="s">
        <v>52</v>
      </c>
      <c r="C79" s="28"/>
      <c r="D79" s="28"/>
      <c r="E79" s="28"/>
      <c r="F79" s="28"/>
      <c r="G79" s="28"/>
      <c r="H79" s="28"/>
      <c r="I79" s="28"/>
      <c r="J79" s="38">
        <f>SUM(J74:J78)</f>
        <v>238007</v>
      </c>
      <c r="K79" s="28"/>
      <c r="L79" s="61">
        <f>SUM(L74:L78)</f>
        <v>10594</v>
      </c>
      <c r="M79" s="28"/>
      <c r="N79" s="6"/>
    </row>
    <row r="80" spans="1:14" ht="15.75">
      <c r="A80" s="27"/>
      <c r="B80" s="28" t="s">
        <v>53</v>
      </c>
      <c r="C80" s="28"/>
      <c r="D80" s="28"/>
      <c r="E80" s="28"/>
      <c r="F80" s="28"/>
      <c r="G80" s="28"/>
      <c r="H80" s="28"/>
      <c r="I80" s="28"/>
      <c r="J80" s="38">
        <v>0</v>
      </c>
      <c r="K80" s="28"/>
      <c r="L80" s="60">
        <v>0</v>
      </c>
      <c r="M80" s="28"/>
      <c r="N80" s="6"/>
    </row>
    <row r="81" spans="1:14" ht="15.75">
      <c r="A81" s="27"/>
      <c r="B81" s="28" t="s">
        <v>54</v>
      </c>
      <c r="C81" s="28"/>
      <c r="D81" s="28"/>
      <c r="E81" s="28"/>
      <c r="F81" s="28"/>
      <c r="G81" s="28"/>
      <c r="H81" s="28"/>
      <c r="I81" s="28"/>
      <c r="J81" s="38">
        <f>J79+J80</f>
        <v>238007</v>
      </c>
      <c r="K81" s="28"/>
      <c r="L81" s="61">
        <f>L79+L80</f>
        <v>10594</v>
      </c>
      <c r="M81" s="28"/>
      <c r="N81" s="6"/>
    </row>
    <row r="82" spans="1:14" ht="15.75">
      <c r="A82" s="27"/>
      <c r="B82" s="141" t="s">
        <v>55</v>
      </c>
      <c r="C82" s="65"/>
      <c r="D82" s="28"/>
      <c r="E82" s="28"/>
      <c r="F82" s="28"/>
      <c r="G82" s="28"/>
      <c r="H82" s="28"/>
      <c r="I82" s="28"/>
      <c r="J82" s="38"/>
      <c r="K82" s="28"/>
      <c r="L82" s="60"/>
      <c r="M82" s="28"/>
      <c r="N82" s="6"/>
    </row>
    <row r="83" spans="1:14" ht="15.75">
      <c r="A83" s="27">
        <v>1</v>
      </c>
      <c r="B83" s="28" t="s">
        <v>56</v>
      </c>
      <c r="C83" s="28"/>
      <c r="D83" s="28"/>
      <c r="E83" s="28"/>
      <c r="F83" s="28"/>
      <c r="G83" s="28"/>
      <c r="H83" s="28"/>
      <c r="I83" s="28"/>
      <c r="J83" s="28"/>
      <c r="K83" s="28"/>
      <c r="L83" s="60">
        <v>0</v>
      </c>
      <c r="M83" s="28"/>
      <c r="N83" s="6"/>
    </row>
    <row r="84" spans="1:14" ht="15.75">
      <c r="A84" s="27">
        <v>2</v>
      </c>
      <c r="B84" s="28" t="s">
        <v>57</v>
      </c>
      <c r="C84" s="28"/>
      <c r="D84" s="28"/>
      <c r="E84" s="28"/>
      <c r="F84" s="28"/>
      <c r="G84" s="28"/>
      <c r="H84" s="28"/>
      <c r="I84" s="28"/>
      <c r="J84" s="28"/>
      <c r="K84" s="28"/>
      <c r="L84" s="60">
        <v>-5</v>
      </c>
      <c r="M84" s="28"/>
      <c r="N84" s="6"/>
    </row>
    <row r="85" spans="1:14" ht="15.75">
      <c r="A85" s="27">
        <v>3</v>
      </c>
      <c r="B85" s="28" t="s">
        <v>58</v>
      </c>
      <c r="C85" s="28"/>
      <c r="D85" s="28"/>
      <c r="E85" s="28"/>
      <c r="F85" s="28"/>
      <c r="G85" s="28"/>
      <c r="H85" s="28"/>
      <c r="I85" s="28"/>
      <c r="J85" s="28"/>
      <c r="K85" s="28"/>
      <c r="L85" s="60">
        <f>-180-8</f>
        <v>-188</v>
      </c>
      <c r="M85" s="28"/>
      <c r="N85" s="6"/>
    </row>
    <row r="86" spans="1:14" ht="15.75">
      <c r="A86" s="27">
        <v>4</v>
      </c>
      <c r="B86" s="28" t="s">
        <v>59</v>
      </c>
      <c r="C86" s="28"/>
      <c r="D86" s="28"/>
      <c r="E86" s="28"/>
      <c r="F86" s="28"/>
      <c r="G86" s="28"/>
      <c r="H86" s="28"/>
      <c r="I86" s="28"/>
      <c r="J86" s="28"/>
      <c r="K86" s="28"/>
      <c r="L86" s="60">
        <v>-34</v>
      </c>
      <c r="M86" s="28"/>
      <c r="N86" s="6"/>
    </row>
    <row r="87" spans="1:14" ht="15.75">
      <c r="A87" s="27">
        <v>5</v>
      </c>
      <c r="B87" s="28" t="s">
        <v>60</v>
      </c>
      <c r="C87" s="28"/>
      <c r="D87" s="28"/>
      <c r="E87" s="28"/>
      <c r="F87" s="28"/>
      <c r="G87" s="28"/>
      <c r="H87" s="28"/>
      <c r="I87" s="28"/>
      <c r="J87" s="28"/>
      <c r="K87" s="28"/>
      <c r="L87" s="60">
        <v>-2658</v>
      </c>
      <c r="M87" s="28"/>
      <c r="N87" s="6"/>
    </row>
    <row r="88" spans="1:14" ht="15.75">
      <c r="A88" s="27">
        <v>6</v>
      </c>
      <c r="B88" s="28" t="s">
        <v>61</v>
      </c>
      <c r="C88" s="28"/>
      <c r="D88" s="28"/>
      <c r="E88" s="28"/>
      <c r="F88" s="28"/>
      <c r="G88" s="28"/>
      <c r="H88" s="28"/>
      <c r="I88" s="28"/>
      <c r="J88" s="28"/>
      <c r="K88" s="28"/>
      <c r="L88" s="60">
        <v>-487</v>
      </c>
      <c r="M88" s="28"/>
      <c r="N88" s="6"/>
    </row>
    <row r="89" spans="1:14" ht="15.75">
      <c r="A89" s="27">
        <v>7</v>
      </c>
      <c r="B89" s="28" t="s">
        <v>62</v>
      </c>
      <c r="C89" s="28"/>
      <c r="D89" s="28"/>
      <c r="E89" s="28"/>
      <c r="F89" s="28"/>
      <c r="G89" s="28"/>
      <c r="H89" s="28"/>
      <c r="I89" s="28"/>
      <c r="J89" s="28"/>
      <c r="K89" s="28"/>
      <c r="L89" s="60">
        <v>-5</v>
      </c>
      <c r="M89" s="28"/>
      <c r="N89" s="6"/>
    </row>
    <row r="90" spans="1:14" ht="15.75">
      <c r="A90" s="27">
        <v>8</v>
      </c>
      <c r="B90" s="28" t="s">
        <v>63</v>
      </c>
      <c r="C90" s="28"/>
      <c r="D90" s="28"/>
      <c r="E90" s="28"/>
      <c r="F90" s="28"/>
      <c r="G90" s="28"/>
      <c r="H90" s="28"/>
      <c r="I90" s="28"/>
      <c r="J90" s="28"/>
      <c r="K90" s="28"/>
      <c r="L90" s="60">
        <v>0</v>
      </c>
      <c r="M90" s="28"/>
      <c r="N90" s="6"/>
    </row>
    <row r="91" spans="1:14" ht="15.75">
      <c r="A91" s="27">
        <v>9</v>
      </c>
      <c r="B91" s="28" t="s">
        <v>64</v>
      </c>
      <c r="C91" s="28"/>
      <c r="D91" s="28"/>
      <c r="E91" s="28"/>
      <c r="F91" s="28"/>
      <c r="G91" s="28"/>
      <c r="H91" s="28"/>
      <c r="I91" s="28"/>
      <c r="J91" s="28"/>
      <c r="K91" s="28"/>
      <c r="L91" s="60">
        <v>0</v>
      </c>
      <c r="M91" s="28"/>
      <c r="N91" s="6"/>
    </row>
    <row r="92" spans="1:14" ht="15.75">
      <c r="A92" s="27">
        <v>10</v>
      </c>
      <c r="B92" s="28" t="s">
        <v>65</v>
      </c>
      <c r="C92" s="28"/>
      <c r="D92" s="28"/>
      <c r="E92" s="28"/>
      <c r="F92" s="28"/>
      <c r="G92" s="28"/>
      <c r="H92" s="28"/>
      <c r="I92" s="28"/>
      <c r="J92" s="28"/>
      <c r="K92" s="28"/>
      <c r="L92" s="60">
        <v>0</v>
      </c>
      <c r="M92" s="28"/>
      <c r="N92" s="6"/>
    </row>
    <row r="93" spans="1:14" ht="15.75">
      <c r="A93" s="27">
        <v>11</v>
      </c>
      <c r="B93" s="28" t="s">
        <v>66</v>
      </c>
      <c r="C93" s="28"/>
      <c r="D93" s="28"/>
      <c r="E93" s="28"/>
      <c r="F93" s="28"/>
      <c r="G93" s="28"/>
      <c r="H93" s="28"/>
      <c r="I93" s="28"/>
      <c r="J93" s="28"/>
      <c r="K93" s="28"/>
      <c r="L93" s="60">
        <v>0</v>
      </c>
      <c r="M93" s="28"/>
      <c r="N93" s="6"/>
    </row>
    <row r="94" spans="1:14" ht="15.75">
      <c r="A94" s="27">
        <v>12</v>
      </c>
      <c r="B94" s="28" t="s">
        <v>67</v>
      </c>
      <c r="C94" s="28"/>
      <c r="D94" s="28"/>
      <c r="E94" s="28"/>
      <c r="F94" s="28"/>
      <c r="G94" s="28"/>
      <c r="H94" s="28"/>
      <c r="I94" s="28"/>
      <c r="J94" s="28"/>
      <c r="K94" s="28"/>
      <c r="L94" s="60">
        <f>-11-164</f>
        <v>-175</v>
      </c>
      <c r="M94" s="28"/>
      <c r="N94" s="6"/>
    </row>
    <row r="95" spans="1:14" ht="15.75">
      <c r="A95" s="27">
        <v>13</v>
      </c>
      <c r="B95" s="28" t="s">
        <v>68</v>
      </c>
      <c r="C95" s="28"/>
      <c r="D95" s="28"/>
      <c r="E95" s="28"/>
      <c r="F95" s="28"/>
      <c r="G95" s="28"/>
      <c r="H95" s="28"/>
      <c r="I95" s="28"/>
      <c r="J95" s="28"/>
      <c r="K95" s="28"/>
      <c r="L95" s="60">
        <f>-SUM(L81:L94)</f>
        <v>-7042</v>
      </c>
      <c r="M95" s="28"/>
      <c r="N95" s="6"/>
    </row>
    <row r="96" spans="1:14" ht="15.75">
      <c r="A96" s="27"/>
      <c r="B96" s="141" t="s">
        <v>69</v>
      </c>
      <c r="C96" s="65"/>
      <c r="D96" s="28"/>
      <c r="E96" s="28"/>
      <c r="F96" s="28"/>
      <c r="G96" s="28"/>
      <c r="H96" s="28"/>
      <c r="I96" s="28"/>
      <c r="J96" s="28"/>
      <c r="K96" s="28"/>
      <c r="L96" s="66"/>
      <c r="M96" s="28"/>
      <c r="N96" s="6"/>
    </row>
    <row r="97" spans="1:14" ht="15.75">
      <c r="A97" s="27"/>
      <c r="B97" s="28" t="s">
        <v>70</v>
      </c>
      <c r="C97" s="65"/>
      <c r="D97" s="28"/>
      <c r="E97" s="28"/>
      <c r="F97" s="28"/>
      <c r="G97" s="28"/>
      <c r="H97" s="28"/>
      <c r="I97" s="28"/>
      <c r="J97" s="38">
        <f>-J143</f>
        <v>0</v>
      </c>
      <c r="K97" s="38"/>
      <c r="L97" s="60"/>
      <c r="M97" s="28"/>
      <c r="N97" s="6"/>
    </row>
    <row r="98" spans="1:14" ht="15.75">
      <c r="A98" s="27"/>
      <c r="B98" s="28" t="s">
        <v>71</v>
      </c>
      <c r="C98" s="28"/>
      <c r="D98" s="28"/>
      <c r="E98" s="28"/>
      <c r="F98" s="28"/>
      <c r="G98" s="28"/>
      <c r="H98" s="28"/>
      <c r="I98" s="28"/>
      <c r="J98" s="38">
        <f>-H143</f>
        <v>0</v>
      </c>
      <c r="K98" s="38"/>
      <c r="L98" s="60"/>
      <c r="M98" s="28"/>
      <c r="N98" s="6"/>
    </row>
    <row r="99" spans="1:14" ht="15.75">
      <c r="A99" s="27"/>
      <c r="B99" s="28" t="s">
        <v>72</v>
      </c>
      <c r="C99" s="28"/>
      <c r="D99" s="28"/>
      <c r="E99" s="28"/>
      <c r="F99" s="28"/>
      <c r="G99" s="28"/>
      <c r="H99" s="28"/>
      <c r="I99" s="28"/>
      <c r="J99" s="38">
        <v>-204007</v>
      </c>
      <c r="K99" s="38"/>
      <c r="L99" s="60"/>
      <c r="M99" s="28"/>
      <c r="N99" s="6"/>
    </row>
    <row r="100" spans="1:14" ht="15.75">
      <c r="A100" s="27"/>
      <c r="B100" s="28" t="s">
        <v>73</v>
      </c>
      <c r="C100" s="28"/>
      <c r="D100" s="28"/>
      <c r="E100" s="28"/>
      <c r="F100" s="28"/>
      <c r="G100" s="28"/>
      <c r="H100" s="28"/>
      <c r="I100" s="28"/>
      <c r="J100" s="38">
        <v>-34000</v>
      </c>
      <c r="K100" s="38"/>
      <c r="L100" s="60"/>
      <c r="M100" s="28"/>
      <c r="N100" s="6"/>
    </row>
    <row r="101" spans="1:14" ht="15.75">
      <c r="A101" s="27"/>
      <c r="B101" s="28" t="s">
        <v>74</v>
      </c>
      <c r="C101" s="28"/>
      <c r="D101" s="28"/>
      <c r="E101" s="28"/>
      <c r="F101" s="28"/>
      <c r="G101" s="28"/>
      <c r="H101" s="28"/>
      <c r="I101" s="28"/>
      <c r="J101" s="38">
        <f>SUM(J82:J100)</f>
        <v>-238007</v>
      </c>
      <c r="K101" s="38"/>
      <c r="L101" s="38">
        <f>SUM(L82:L100)</f>
        <v>-10594</v>
      </c>
      <c r="M101" s="28"/>
      <c r="N101" s="6"/>
    </row>
    <row r="102" spans="1:14" ht="15.75">
      <c r="A102" s="27"/>
      <c r="B102" s="28" t="s">
        <v>75</v>
      </c>
      <c r="C102" s="28"/>
      <c r="D102" s="28"/>
      <c r="E102" s="28"/>
      <c r="F102" s="28"/>
      <c r="G102" s="28"/>
      <c r="H102" s="28"/>
      <c r="I102" s="28"/>
      <c r="J102" s="38">
        <f>J81+J101</f>
        <v>0</v>
      </c>
      <c r="K102" s="38"/>
      <c r="L102" s="38">
        <f>L81+L101</f>
        <v>0</v>
      </c>
      <c r="M102" s="28"/>
      <c r="N102" s="6"/>
    </row>
    <row r="103" spans="1:14" ht="12" customHeight="1">
      <c r="A103" s="7"/>
      <c r="B103" s="9"/>
      <c r="C103" s="9"/>
      <c r="D103" s="9"/>
      <c r="E103" s="9"/>
      <c r="F103" s="9"/>
      <c r="G103" s="9"/>
      <c r="H103" s="9"/>
      <c r="I103" s="9"/>
      <c r="J103" s="9"/>
      <c r="K103" s="9"/>
      <c r="L103" s="59"/>
      <c r="M103" s="9"/>
      <c r="N103" s="6"/>
    </row>
    <row r="104" spans="1:14" ht="12" customHeight="1">
      <c r="A104" s="7"/>
      <c r="B104" s="9"/>
      <c r="C104" s="9"/>
      <c r="D104" s="9"/>
      <c r="E104" s="9"/>
      <c r="F104" s="9"/>
      <c r="G104" s="9"/>
      <c r="H104" s="9"/>
      <c r="I104" s="9"/>
      <c r="J104" s="9"/>
      <c r="K104" s="9"/>
      <c r="L104" s="59"/>
      <c r="M104" s="9"/>
      <c r="N104" s="6"/>
    </row>
    <row r="105" spans="1:14" ht="18" customHeight="1" thickBot="1">
      <c r="A105" s="119"/>
      <c r="B105" s="120" t="str">
        <f>B51</f>
        <v>PM3 INVESTOR REPORT QUARTER ENDING OCTOBER 2004</v>
      </c>
      <c r="C105" s="121"/>
      <c r="D105" s="121"/>
      <c r="E105" s="121"/>
      <c r="F105" s="121"/>
      <c r="G105" s="121"/>
      <c r="H105" s="121"/>
      <c r="I105" s="121"/>
      <c r="J105" s="121"/>
      <c r="K105" s="121"/>
      <c r="L105" s="125"/>
      <c r="M105" s="124"/>
      <c r="N105" s="6"/>
    </row>
    <row r="106" spans="1:14" ht="12" customHeight="1">
      <c r="A106" s="2"/>
      <c r="B106" s="5"/>
      <c r="C106" s="5"/>
      <c r="D106" s="5"/>
      <c r="E106" s="5"/>
      <c r="F106" s="5"/>
      <c r="G106" s="5"/>
      <c r="H106" s="5"/>
      <c r="I106" s="5"/>
      <c r="J106" s="5"/>
      <c r="K106" s="5"/>
      <c r="L106" s="67"/>
      <c r="M106" s="5"/>
      <c r="N106" s="6"/>
    </row>
    <row r="107" spans="1:14" ht="15.75">
      <c r="A107" s="7"/>
      <c r="B107" s="58" t="s">
        <v>76</v>
      </c>
      <c r="C107" s="15"/>
      <c r="D107" s="9"/>
      <c r="E107" s="9"/>
      <c r="F107" s="9"/>
      <c r="G107" s="9"/>
      <c r="H107" s="9"/>
      <c r="I107" s="9"/>
      <c r="J107" s="9"/>
      <c r="K107" s="9"/>
      <c r="L107" s="59"/>
      <c r="M107" s="9"/>
      <c r="N107" s="6"/>
    </row>
    <row r="108" spans="1:14" ht="15.75">
      <c r="A108" s="7"/>
      <c r="B108" s="23"/>
      <c r="C108" s="15"/>
      <c r="D108" s="9"/>
      <c r="E108" s="9"/>
      <c r="F108" s="9"/>
      <c r="G108" s="9"/>
      <c r="H108" s="9"/>
      <c r="I108" s="9"/>
      <c r="J108" s="9"/>
      <c r="K108" s="9"/>
      <c r="L108" s="59"/>
      <c r="M108" s="9"/>
      <c r="N108" s="6"/>
    </row>
    <row r="109" spans="1:14" ht="15.75">
      <c r="A109" s="7"/>
      <c r="B109" s="142" t="s">
        <v>77</v>
      </c>
      <c r="C109" s="15"/>
      <c r="D109" s="9"/>
      <c r="E109" s="9"/>
      <c r="F109" s="9"/>
      <c r="G109" s="9"/>
      <c r="H109" s="9"/>
      <c r="I109" s="9"/>
      <c r="J109" s="9"/>
      <c r="K109" s="9"/>
      <c r="L109" s="59"/>
      <c r="M109" s="9"/>
      <c r="N109" s="6"/>
    </row>
    <row r="110" spans="1:14" ht="15.75">
      <c r="A110" s="27"/>
      <c r="B110" s="28" t="s">
        <v>78</v>
      </c>
      <c r="C110" s="28"/>
      <c r="D110" s="28"/>
      <c r="E110" s="28"/>
      <c r="F110" s="28"/>
      <c r="G110" s="28"/>
      <c r="H110" s="28"/>
      <c r="I110" s="28"/>
      <c r="J110" s="28"/>
      <c r="K110" s="28"/>
      <c r="L110" s="60">
        <v>6800</v>
      </c>
      <c r="M110" s="28"/>
      <c r="N110" s="6"/>
    </row>
    <row r="111" spans="1:14" ht="15.75">
      <c r="A111" s="27"/>
      <c r="B111" s="28" t="s">
        <v>79</v>
      </c>
      <c r="C111" s="28"/>
      <c r="D111" s="28"/>
      <c r="E111" s="28"/>
      <c r="F111" s="28"/>
      <c r="G111" s="28"/>
      <c r="H111" s="28"/>
      <c r="I111" s="28"/>
      <c r="J111" s="28"/>
      <c r="K111" s="28"/>
      <c r="L111" s="60">
        <v>6800</v>
      </c>
      <c r="M111" s="28"/>
      <c r="N111" s="6"/>
    </row>
    <row r="112" spans="1:14" ht="15.75">
      <c r="A112" s="27"/>
      <c r="B112" s="28" t="s">
        <v>80</v>
      </c>
      <c r="C112" s="28"/>
      <c r="D112" s="28"/>
      <c r="E112" s="28"/>
      <c r="F112" s="28"/>
      <c r="G112" s="28"/>
      <c r="H112" s="28"/>
      <c r="I112" s="28"/>
      <c r="J112" s="28"/>
      <c r="K112" s="28"/>
      <c r="L112" s="60">
        <v>0</v>
      </c>
      <c r="M112" s="28"/>
      <c r="N112" s="6"/>
    </row>
    <row r="113" spans="1:14" ht="15.75">
      <c r="A113" s="27"/>
      <c r="B113" s="28" t="s">
        <v>211</v>
      </c>
      <c r="C113" s="28"/>
      <c r="D113" s="28"/>
      <c r="E113" s="28"/>
      <c r="F113" s="28"/>
      <c r="G113" s="28"/>
      <c r="H113" s="28"/>
      <c r="I113" s="28"/>
      <c r="J113" s="28"/>
      <c r="K113" s="28"/>
      <c r="L113" s="60">
        <v>-6800</v>
      </c>
      <c r="M113" s="28"/>
      <c r="N113" s="6"/>
    </row>
    <row r="114" spans="1:14" ht="15.75">
      <c r="A114" s="27"/>
      <c r="B114" s="28" t="s">
        <v>81</v>
      </c>
      <c r="C114" s="28"/>
      <c r="D114" s="28"/>
      <c r="E114" s="28"/>
      <c r="F114" s="28"/>
      <c r="G114" s="28"/>
      <c r="H114" s="28"/>
      <c r="I114" s="28"/>
      <c r="J114" s="28"/>
      <c r="K114" s="28"/>
      <c r="L114" s="60">
        <v>0</v>
      </c>
      <c r="M114" s="28"/>
      <c r="N114" s="6"/>
    </row>
    <row r="115" spans="1:14" ht="15.75">
      <c r="A115" s="27"/>
      <c r="B115" s="28" t="s">
        <v>82</v>
      </c>
      <c r="C115" s="28"/>
      <c r="D115" s="28"/>
      <c r="E115" s="28"/>
      <c r="F115" s="28"/>
      <c r="G115" s="28"/>
      <c r="H115" s="28"/>
      <c r="I115" s="28"/>
      <c r="J115" s="28"/>
      <c r="K115" s="28"/>
      <c r="L115" s="60">
        <v>0</v>
      </c>
      <c r="M115" s="28"/>
      <c r="N115" s="6"/>
    </row>
    <row r="116" spans="1:14" ht="15.75">
      <c r="A116" s="27"/>
      <c r="B116" s="28" t="s">
        <v>60</v>
      </c>
      <c r="C116" s="28"/>
      <c r="D116" s="28"/>
      <c r="E116" s="28"/>
      <c r="F116" s="28"/>
      <c r="G116" s="28"/>
      <c r="H116" s="28"/>
      <c r="I116" s="28"/>
      <c r="J116" s="28"/>
      <c r="K116" s="28"/>
      <c r="L116" s="60">
        <v>0</v>
      </c>
      <c r="M116" s="28"/>
      <c r="N116" s="6"/>
    </row>
    <row r="117" spans="1:14" ht="15.75">
      <c r="A117" s="27"/>
      <c r="B117" s="28" t="s">
        <v>61</v>
      </c>
      <c r="C117" s="28"/>
      <c r="D117" s="28"/>
      <c r="E117" s="28"/>
      <c r="F117" s="28"/>
      <c r="G117" s="28"/>
      <c r="H117" s="28"/>
      <c r="I117" s="28"/>
      <c r="J117" s="28"/>
      <c r="K117" s="28"/>
      <c r="L117" s="60">
        <v>0</v>
      </c>
      <c r="M117" s="28"/>
      <c r="N117" s="6"/>
    </row>
    <row r="118" spans="1:14" ht="15.75">
      <c r="A118" s="27"/>
      <c r="B118" s="28" t="s">
        <v>83</v>
      </c>
      <c r="C118" s="28"/>
      <c r="D118" s="28"/>
      <c r="E118" s="28"/>
      <c r="F118" s="28"/>
      <c r="G118" s="28"/>
      <c r="H118" s="28"/>
      <c r="I118" s="28"/>
      <c r="J118" s="28"/>
      <c r="K118" s="28"/>
      <c r="L118" s="60">
        <f>SUM(L111:L117)</f>
        <v>0</v>
      </c>
      <c r="M118" s="28"/>
      <c r="N118" s="6"/>
    </row>
    <row r="119" spans="1:14" ht="15.75">
      <c r="A119" s="27"/>
      <c r="B119" s="28"/>
      <c r="C119" s="28"/>
      <c r="D119" s="28"/>
      <c r="E119" s="28"/>
      <c r="F119" s="28"/>
      <c r="G119" s="28"/>
      <c r="H119" s="28"/>
      <c r="I119" s="28"/>
      <c r="J119" s="28"/>
      <c r="K119" s="28"/>
      <c r="L119" s="68"/>
      <c r="M119" s="28"/>
      <c r="N119" s="6"/>
    </row>
    <row r="120" spans="1:14" ht="15.75">
      <c r="A120" s="7"/>
      <c r="B120" s="142" t="s">
        <v>84</v>
      </c>
      <c r="C120" s="9"/>
      <c r="D120" s="9"/>
      <c r="E120" s="9"/>
      <c r="F120" s="9"/>
      <c r="G120" s="9"/>
      <c r="H120" s="9"/>
      <c r="I120" s="9"/>
      <c r="J120" s="9"/>
      <c r="K120" s="9"/>
      <c r="L120" s="59"/>
      <c r="M120" s="9"/>
      <c r="N120" s="6"/>
    </row>
    <row r="121" spans="1:14" ht="15.75">
      <c r="A121" s="27"/>
      <c r="B121" s="28" t="s">
        <v>85</v>
      </c>
      <c r="C121" s="28"/>
      <c r="D121" s="69"/>
      <c r="E121" s="28"/>
      <c r="F121" s="28"/>
      <c r="G121" s="28"/>
      <c r="H121" s="28"/>
      <c r="I121" s="28"/>
      <c r="J121" s="28"/>
      <c r="K121" s="28"/>
      <c r="L121" s="70" t="s">
        <v>190</v>
      </c>
      <c r="M121" s="28"/>
      <c r="N121" s="6"/>
    </row>
    <row r="122" spans="1:14" ht="15.75">
      <c r="A122" s="27"/>
      <c r="B122" s="28" t="s">
        <v>86</v>
      </c>
      <c r="C122" s="127"/>
      <c r="D122" s="127"/>
      <c r="E122" s="127"/>
      <c r="F122" s="127"/>
      <c r="G122" s="127"/>
      <c r="H122" s="127"/>
      <c r="I122" s="127"/>
      <c r="J122" s="127"/>
      <c r="K122" s="127"/>
      <c r="L122" s="70" t="s">
        <v>190</v>
      </c>
      <c r="M122" s="28"/>
      <c r="N122" s="6"/>
    </row>
    <row r="123" spans="1:14" ht="15.75">
      <c r="A123" s="27"/>
      <c r="B123" s="28" t="s">
        <v>87</v>
      </c>
      <c r="C123" s="28"/>
      <c r="D123" s="28"/>
      <c r="E123" s="28"/>
      <c r="F123" s="28"/>
      <c r="G123" s="28"/>
      <c r="H123" s="28"/>
      <c r="I123" s="28"/>
      <c r="J123" s="28"/>
      <c r="K123" s="28"/>
      <c r="L123" s="70" t="s">
        <v>190</v>
      </c>
      <c r="M123" s="28"/>
      <c r="N123" s="6"/>
    </row>
    <row r="124" spans="1:14" ht="15.75">
      <c r="A124" s="27"/>
      <c r="B124" s="28" t="s">
        <v>88</v>
      </c>
      <c r="C124" s="28"/>
      <c r="D124" s="28"/>
      <c r="E124" s="28"/>
      <c r="F124" s="28"/>
      <c r="G124" s="28"/>
      <c r="H124" s="28"/>
      <c r="I124" s="28"/>
      <c r="J124" s="28"/>
      <c r="K124" s="28"/>
      <c r="L124" s="70" t="s">
        <v>190</v>
      </c>
      <c r="M124" s="28"/>
      <c r="N124" s="6"/>
    </row>
    <row r="125" spans="1:14" ht="15.75">
      <c r="A125" s="27"/>
      <c r="B125" s="28"/>
      <c r="C125" s="28"/>
      <c r="D125" s="28"/>
      <c r="E125" s="28"/>
      <c r="F125" s="28"/>
      <c r="G125" s="28"/>
      <c r="H125" s="28"/>
      <c r="I125" s="28"/>
      <c r="J125" s="28"/>
      <c r="K125" s="28"/>
      <c r="L125" s="68"/>
      <c r="M125" s="28"/>
      <c r="N125" s="6"/>
    </row>
    <row r="126" spans="1:14" ht="15.75">
      <c r="A126" s="7"/>
      <c r="B126" s="142" t="s">
        <v>89</v>
      </c>
      <c r="C126" s="15"/>
      <c r="D126" s="9"/>
      <c r="E126" s="9"/>
      <c r="F126" s="9"/>
      <c r="G126" s="9"/>
      <c r="H126" s="9"/>
      <c r="I126" s="9"/>
      <c r="J126" s="9"/>
      <c r="K126" s="9"/>
      <c r="L126" s="71"/>
      <c r="M126" s="9"/>
      <c r="N126" s="6"/>
    </row>
    <row r="127" spans="1:14" ht="15.75">
      <c r="A127" s="27"/>
      <c r="B127" s="28" t="s">
        <v>90</v>
      </c>
      <c r="C127" s="28"/>
      <c r="D127" s="28"/>
      <c r="E127" s="28"/>
      <c r="F127" s="28"/>
      <c r="G127" s="28"/>
      <c r="H127" s="28"/>
      <c r="I127" s="28"/>
      <c r="J127" s="28"/>
      <c r="K127" s="28"/>
      <c r="L127" s="60">
        <v>0</v>
      </c>
      <c r="M127" s="28"/>
      <c r="N127" s="6"/>
    </row>
    <row r="128" spans="1:14" ht="15.75">
      <c r="A128" s="27"/>
      <c r="B128" s="28" t="s">
        <v>91</v>
      </c>
      <c r="C128" s="28"/>
      <c r="D128" s="28"/>
      <c r="E128" s="28"/>
      <c r="F128" s="28"/>
      <c r="G128" s="28"/>
      <c r="H128" s="28"/>
      <c r="I128" s="28"/>
      <c r="J128" s="28"/>
      <c r="K128" s="28"/>
      <c r="L128" s="60">
        <v>0</v>
      </c>
      <c r="M128" s="28"/>
      <c r="N128" s="6"/>
    </row>
    <row r="129" spans="1:14" ht="15.75">
      <c r="A129" s="27"/>
      <c r="B129" s="28" t="s">
        <v>92</v>
      </c>
      <c r="C129" s="28"/>
      <c r="D129" s="28"/>
      <c r="E129" s="28"/>
      <c r="F129" s="28"/>
      <c r="G129" s="28"/>
      <c r="H129" s="28"/>
      <c r="I129" s="28"/>
      <c r="J129" s="28"/>
      <c r="K129" s="28"/>
      <c r="L129" s="60">
        <f>L128+L127</f>
        <v>0</v>
      </c>
      <c r="M129" s="28"/>
      <c r="N129" s="6"/>
    </row>
    <row r="130" spans="1:14" ht="15.75">
      <c r="A130" s="27"/>
      <c r="B130" s="28" t="s">
        <v>93</v>
      </c>
      <c r="C130" s="28"/>
      <c r="D130" s="28"/>
      <c r="E130" s="28"/>
      <c r="F130" s="28"/>
      <c r="G130" s="28"/>
      <c r="H130" s="72"/>
      <c r="I130" s="28"/>
      <c r="J130" s="28"/>
      <c r="K130" s="28"/>
      <c r="L130" s="60">
        <v>0</v>
      </c>
      <c r="M130" s="28"/>
      <c r="N130" s="6"/>
    </row>
    <row r="131" spans="1:14" ht="15.75">
      <c r="A131" s="27"/>
      <c r="B131" s="28" t="s">
        <v>94</v>
      </c>
      <c r="C131" s="28"/>
      <c r="D131" s="28"/>
      <c r="E131" s="28"/>
      <c r="F131" s="28"/>
      <c r="G131" s="28"/>
      <c r="H131" s="28"/>
      <c r="I131" s="28"/>
      <c r="J131" s="28"/>
      <c r="K131" s="28"/>
      <c r="L131" s="60">
        <f>L129+L130</f>
        <v>0</v>
      </c>
      <c r="M131" s="28"/>
      <c r="N131" s="6"/>
    </row>
    <row r="132" spans="1:14" ht="7.5" customHeight="1">
      <c r="A132" s="27"/>
      <c r="B132" s="28"/>
      <c r="C132" s="28"/>
      <c r="D132" s="28"/>
      <c r="E132" s="28"/>
      <c r="F132" s="28"/>
      <c r="G132" s="28"/>
      <c r="H132" s="28"/>
      <c r="I132" s="28"/>
      <c r="J132" s="28"/>
      <c r="K132" s="28"/>
      <c r="L132" s="68"/>
      <c r="M132" s="28"/>
      <c r="N132" s="6"/>
    </row>
    <row r="133" spans="1:14" ht="6" customHeight="1">
      <c r="A133" s="2"/>
      <c r="B133" s="5"/>
      <c r="C133" s="5"/>
      <c r="D133" s="5"/>
      <c r="E133" s="5"/>
      <c r="F133" s="5"/>
      <c r="G133" s="5"/>
      <c r="H133" s="5"/>
      <c r="I133" s="5"/>
      <c r="J133" s="5"/>
      <c r="K133" s="5"/>
      <c r="L133" s="67"/>
      <c r="M133" s="5"/>
      <c r="N133" s="6"/>
    </row>
    <row r="134" spans="1:14" ht="15.75">
      <c r="A134" s="7"/>
      <c r="B134" s="142" t="s">
        <v>95</v>
      </c>
      <c r="C134" s="15"/>
      <c r="D134" s="9"/>
      <c r="E134" s="9"/>
      <c r="F134" s="9"/>
      <c r="G134" s="9"/>
      <c r="H134" s="9"/>
      <c r="I134" s="9"/>
      <c r="J134" s="9"/>
      <c r="K134" s="9"/>
      <c r="L134" s="59"/>
      <c r="M134" s="9"/>
      <c r="N134" s="6"/>
    </row>
    <row r="135" spans="1:14" ht="15.75">
      <c r="A135" s="7"/>
      <c r="B135" s="23"/>
      <c r="C135" s="15"/>
      <c r="D135" s="9"/>
      <c r="E135" s="9"/>
      <c r="F135" s="9"/>
      <c r="G135" s="9"/>
      <c r="H135" s="9"/>
      <c r="I135" s="9"/>
      <c r="J135" s="9"/>
      <c r="K135" s="9"/>
      <c r="L135" s="59"/>
      <c r="M135" s="9"/>
      <c r="N135" s="6"/>
    </row>
    <row r="136" spans="1:14" ht="15.75">
      <c r="A136" s="27"/>
      <c r="B136" s="28" t="s">
        <v>96</v>
      </c>
      <c r="C136" s="73"/>
      <c r="D136" s="28"/>
      <c r="E136" s="28"/>
      <c r="F136" s="28"/>
      <c r="G136" s="28"/>
      <c r="H136" s="28"/>
      <c r="I136" s="28"/>
      <c r="J136" s="28"/>
      <c r="K136" s="28"/>
      <c r="L136" s="60">
        <f>L59</f>
        <v>0</v>
      </c>
      <c r="M136" s="28"/>
      <c r="N136" s="6"/>
    </row>
    <row r="137" spans="1:14" ht="15.75">
      <c r="A137" s="27"/>
      <c r="B137" s="28" t="s">
        <v>97</v>
      </c>
      <c r="C137" s="73"/>
      <c r="D137" s="28"/>
      <c r="E137" s="28"/>
      <c r="F137" s="28"/>
      <c r="G137" s="28"/>
      <c r="H137" s="28"/>
      <c r="I137" s="28"/>
      <c r="J137" s="28"/>
      <c r="K137" s="28"/>
      <c r="L137" s="60">
        <f>L31</f>
        <v>0</v>
      </c>
      <c r="M137" s="28"/>
      <c r="N137" s="6"/>
    </row>
    <row r="138" spans="1:14" ht="7.5" customHeight="1">
      <c r="A138" s="27"/>
      <c r="B138" s="28"/>
      <c r="C138" s="28"/>
      <c r="D138" s="28"/>
      <c r="E138" s="28"/>
      <c r="F138" s="28"/>
      <c r="G138" s="28"/>
      <c r="H138" s="28"/>
      <c r="I138" s="28"/>
      <c r="J138" s="28"/>
      <c r="K138" s="28"/>
      <c r="L138" s="68"/>
      <c r="M138" s="28"/>
      <c r="N138" s="6"/>
    </row>
    <row r="139" spans="1:14" ht="15.75">
      <c r="A139" s="2"/>
      <c r="B139" s="5"/>
      <c r="C139" s="5"/>
      <c r="D139" s="5"/>
      <c r="E139" s="5"/>
      <c r="F139" s="5"/>
      <c r="G139" s="5"/>
      <c r="H139" s="5"/>
      <c r="I139" s="5"/>
      <c r="J139" s="5"/>
      <c r="K139" s="5"/>
      <c r="L139" s="67"/>
      <c r="M139" s="5"/>
      <c r="N139" s="6"/>
    </row>
    <row r="140" spans="1:14" ht="15.75">
      <c r="A140" s="7"/>
      <c r="B140" s="142" t="s">
        <v>98</v>
      </c>
      <c r="C140" s="131"/>
      <c r="D140" s="131"/>
      <c r="E140" s="131"/>
      <c r="F140" s="131"/>
      <c r="G140" s="131"/>
      <c r="H140" s="143" t="s">
        <v>170</v>
      </c>
      <c r="I140" s="143"/>
      <c r="J140" s="143" t="s">
        <v>178</v>
      </c>
      <c r="K140" s="131"/>
      <c r="L140" s="144" t="s">
        <v>191</v>
      </c>
      <c r="M140" s="11"/>
      <c r="N140" s="6"/>
    </row>
    <row r="141" spans="1:14" ht="15.75">
      <c r="A141" s="27"/>
      <c r="B141" s="28" t="s">
        <v>99</v>
      </c>
      <c r="C141" s="28"/>
      <c r="D141" s="28"/>
      <c r="E141" s="28"/>
      <c r="F141" s="28"/>
      <c r="G141" s="28"/>
      <c r="H141" s="60">
        <v>50000</v>
      </c>
      <c r="I141" s="28"/>
      <c r="J141" s="47"/>
      <c r="K141" s="28"/>
      <c r="L141" s="60"/>
      <c r="M141" s="28"/>
      <c r="N141" s="6"/>
    </row>
    <row r="142" spans="1:14" ht="15.75">
      <c r="A142" s="27"/>
      <c r="B142" s="28" t="s">
        <v>100</v>
      </c>
      <c r="C142" s="28"/>
      <c r="D142" s="28"/>
      <c r="E142" s="28"/>
      <c r="F142" s="28"/>
      <c r="G142" s="28"/>
      <c r="H142" s="60">
        <f>'July 2004'!H142</f>
        <v>49087</v>
      </c>
      <c r="I142" s="28"/>
      <c r="J142" s="60">
        <f>'July 2004'!J142</f>
        <v>913</v>
      </c>
      <c r="K142" s="28"/>
      <c r="L142" s="60">
        <f>J142+H142</f>
        <v>50000</v>
      </c>
      <c r="M142" s="28"/>
      <c r="N142" s="6"/>
    </row>
    <row r="143" spans="1:14" ht="15.75">
      <c r="A143" s="27"/>
      <c r="B143" s="28" t="s">
        <v>101</v>
      </c>
      <c r="C143" s="28"/>
      <c r="D143" s="28"/>
      <c r="E143" s="28"/>
      <c r="F143" s="28"/>
      <c r="G143" s="28"/>
      <c r="H143" s="60">
        <v>0</v>
      </c>
      <c r="I143" s="28"/>
      <c r="J143" s="60">
        <v>0</v>
      </c>
      <c r="K143" s="28"/>
      <c r="L143" s="60">
        <f>J143+H143</f>
        <v>0</v>
      </c>
      <c r="M143" s="28"/>
      <c r="N143" s="6"/>
    </row>
    <row r="144" spans="1:14" ht="15.75">
      <c r="A144" s="27"/>
      <c r="B144" s="28" t="s">
        <v>102</v>
      </c>
      <c r="C144" s="28"/>
      <c r="D144" s="28"/>
      <c r="E144" s="28"/>
      <c r="F144" s="28"/>
      <c r="G144" s="28"/>
      <c r="H144" s="60">
        <f>H143+H142</f>
        <v>49087</v>
      </c>
      <c r="I144" s="28"/>
      <c r="J144" s="60">
        <f>J143+J142</f>
        <v>913</v>
      </c>
      <c r="K144" s="28"/>
      <c r="L144" s="60">
        <f>J144+H144</f>
        <v>50000</v>
      </c>
      <c r="M144" s="28"/>
      <c r="N144" s="6"/>
    </row>
    <row r="145" spans="1:14" ht="15.75">
      <c r="A145" s="27"/>
      <c r="B145" s="28" t="s">
        <v>103</v>
      </c>
      <c r="C145" s="28"/>
      <c r="D145" s="28"/>
      <c r="E145" s="28"/>
      <c r="F145" s="28"/>
      <c r="G145" s="28"/>
      <c r="H145" s="60">
        <f>H141-H144-J144</f>
        <v>0</v>
      </c>
      <c r="I145" s="28"/>
      <c r="J145" s="47"/>
      <c r="K145" s="28"/>
      <c r="L145" s="60"/>
      <c r="M145" s="28"/>
      <c r="N145" s="6"/>
    </row>
    <row r="146" spans="1:14" ht="7.5" customHeight="1">
      <c r="A146" s="27"/>
      <c r="B146" s="28"/>
      <c r="C146" s="28"/>
      <c r="D146" s="28"/>
      <c r="E146" s="28"/>
      <c r="F146" s="28"/>
      <c r="G146" s="28"/>
      <c r="H146" s="28"/>
      <c r="I146" s="28"/>
      <c r="J146" s="28"/>
      <c r="K146" s="28"/>
      <c r="L146" s="68"/>
      <c r="M146" s="28"/>
      <c r="N146" s="6"/>
    </row>
    <row r="147" spans="1:14" ht="9" customHeight="1">
      <c r="A147" s="2"/>
      <c r="B147" s="5"/>
      <c r="C147" s="5"/>
      <c r="D147" s="5"/>
      <c r="E147" s="5"/>
      <c r="F147" s="5"/>
      <c r="G147" s="5"/>
      <c r="H147" s="5"/>
      <c r="I147" s="5"/>
      <c r="J147" s="5"/>
      <c r="K147" s="5"/>
      <c r="L147" s="67"/>
      <c r="M147" s="5"/>
      <c r="N147" s="6"/>
    </row>
    <row r="148" spans="1:14" ht="15.75">
      <c r="A148" s="7"/>
      <c r="B148" s="142" t="s">
        <v>104</v>
      </c>
      <c r="C148" s="15"/>
      <c r="D148" s="9"/>
      <c r="E148" s="9"/>
      <c r="F148" s="9"/>
      <c r="G148" s="9"/>
      <c r="H148" s="9"/>
      <c r="I148" s="9"/>
      <c r="J148" s="9"/>
      <c r="K148" s="9"/>
      <c r="L148" s="74"/>
      <c r="M148" s="9"/>
      <c r="N148" s="6"/>
    </row>
    <row r="149" spans="1:14" ht="15.75">
      <c r="A149" s="27"/>
      <c r="B149" s="28" t="s">
        <v>105</v>
      </c>
      <c r="C149" s="28"/>
      <c r="D149" s="28"/>
      <c r="E149" s="28"/>
      <c r="F149" s="28"/>
      <c r="G149" s="28"/>
      <c r="H149" s="28"/>
      <c r="I149" s="28"/>
      <c r="J149" s="28"/>
      <c r="K149" s="28"/>
      <c r="L149" s="66">
        <f>(L81+L83+L84+L85+L86-L77)/-L87</f>
        <v>1.3419864559819412</v>
      </c>
      <c r="M149" s="28" t="s">
        <v>192</v>
      </c>
      <c r="N149" s="6"/>
    </row>
    <row r="150" spans="1:14" ht="15.75">
      <c r="A150" s="27"/>
      <c r="B150" s="28" t="s">
        <v>106</v>
      </c>
      <c r="C150" s="28"/>
      <c r="D150" s="28"/>
      <c r="E150" s="28"/>
      <c r="F150" s="28"/>
      <c r="G150" s="28"/>
      <c r="H150" s="28"/>
      <c r="I150" s="28"/>
      <c r="J150" s="28"/>
      <c r="K150" s="28"/>
      <c r="L150" s="66">
        <v>1.44</v>
      </c>
      <c r="M150" s="28" t="s">
        <v>192</v>
      </c>
      <c r="N150" s="6"/>
    </row>
    <row r="151" spans="1:14" ht="15.75">
      <c r="A151" s="27"/>
      <c r="B151" s="28" t="s">
        <v>107</v>
      </c>
      <c r="C151" s="28"/>
      <c r="D151" s="28"/>
      <c r="E151" s="28"/>
      <c r="F151" s="28"/>
      <c r="G151" s="28"/>
      <c r="H151" s="28"/>
      <c r="I151" s="28"/>
      <c r="J151" s="28"/>
      <c r="K151" s="28"/>
      <c r="L151" s="66">
        <f>((L81-L77)+SUM(L83:L87))/-L88</f>
        <v>1.8665297741273101</v>
      </c>
      <c r="M151" s="28" t="s">
        <v>192</v>
      </c>
      <c r="N151" s="6"/>
    </row>
    <row r="152" spans="1:14" ht="15.75">
      <c r="A152" s="27"/>
      <c r="B152" s="28" t="s">
        <v>108</v>
      </c>
      <c r="C152" s="28"/>
      <c r="D152" s="28"/>
      <c r="E152" s="28"/>
      <c r="F152" s="28"/>
      <c r="G152" s="28"/>
      <c r="H152" s="28"/>
      <c r="I152" s="28"/>
      <c r="J152" s="28"/>
      <c r="K152" s="28"/>
      <c r="L152" s="75">
        <v>3.1</v>
      </c>
      <c r="M152" s="28" t="s">
        <v>192</v>
      </c>
      <c r="N152" s="6"/>
    </row>
    <row r="153" spans="1:14" ht="12" customHeight="1">
      <c r="A153" s="27"/>
      <c r="B153" s="28"/>
      <c r="C153" s="28"/>
      <c r="D153" s="28"/>
      <c r="E153" s="28"/>
      <c r="F153" s="28"/>
      <c r="G153" s="28"/>
      <c r="H153" s="28"/>
      <c r="I153" s="28"/>
      <c r="J153" s="28"/>
      <c r="K153" s="28"/>
      <c r="L153" s="28"/>
      <c r="M153" s="28"/>
      <c r="N153" s="6"/>
    </row>
    <row r="154" spans="1:14" ht="15" customHeight="1">
      <c r="A154" s="7"/>
      <c r="B154" s="9"/>
      <c r="C154" s="9"/>
      <c r="D154" s="9"/>
      <c r="E154" s="9"/>
      <c r="F154" s="9"/>
      <c r="G154" s="9"/>
      <c r="H154" s="9"/>
      <c r="I154" s="9"/>
      <c r="J154" s="9"/>
      <c r="K154" s="9"/>
      <c r="L154" s="9"/>
      <c r="M154" s="9"/>
      <c r="N154" s="6"/>
    </row>
    <row r="155" spans="1:14" ht="19.5" thickBot="1">
      <c r="A155" s="119"/>
      <c r="B155" s="120" t="str">
        <f>B105</f>
        <v>PM3 INVESTOR REPORT QUARTER ENDING OCTOBER 2004</v>
      </c>
      <c r="C155" s="121"/>
      <c r="D155" s="121"/>
      <c r="E155" s="121"/>
      <c r="F155" s="121"/>
      <c r="G155" s="121"/>
      <c r="H155" s="121"/>
      <c r="I155" s="121"/>
      <c r="J155" s="121"/>
      <c r="K155" s="121"/>
      <c r="L155" s="121"/>
      <c r="M155" s="124"/>
      <c r="N155" s="6"/>
    </row>
    <row r="156" spans="1:14" ht="15.75">
      <c r="A156" s="2"/>
      <c r="B156" s="129"/>
      <c r="C156" s="129"/>
      <c r="D156" s="129"/>
      <c r="E156" s="129"/>
      <c r="F156" s="129"/>
      <c r="G156" s="129"/>
      <c r="H156" s="129"/>
      <c r="I156" s="129"/>
      <c r="J156" s="129"/>
      <c r="K156" s="129"/>
      <c r="L156" s="129"/>
      <c r="M156" s="129"/>
      <c r="N156" s="6"/>
    </row>
    <row r="157" spans="1:14" ht="15.75">
      <c r="A157" s="77"/>
      <c r="B157" s="58" t="s">
        <v>109</v>
      </c>
      <c r="C157" s="78"/>
      <c r="D157" s="78"/>
      <c r="E157" s="78"/>
      <c r="F157" s="78"/>
      <c r="G157" s="21"/>
      <c r="H157" s="21"/>
      <c r="I157" s="21"/>
      <c r="J157" s="21">
        <v>38289</v>
      </c>
      <c r="K157" s="17"/>
      <c r="L157" s="17"/>
      <c r="M157" s="9"/>
      <c r="N157" s="6"/>
    </row>
    <row r="158" spans="1:14" ht="15.75">
      <c r="A158" s="79"/>
      <c r="B158" s="80"/>
      <c r="C158" s="81"/>
      <c r="D158" s="81"/>
      <c r="E158" s="81"/>
      <c r="F158" s="81"/>
      <c r="G158" s="82"/>
      <c r="H158" s="82"/>
      <c r="I158" s="82"/>
      <c r="J158" s="82"/>
      <c r="K158" s="9"/>
      <c r="L158" s="9"/>
      <c r="M158" s="9"/>
      <c r="N158" s="6"/>
    </row>
    <row r="159" spans="1:14" ht="15.75">
      <c r="A159" s="83"/>
      <c r="B159" s="84" t="s">
        <v>110</v>
      </c>
      <c r="C159" s="85"/>
      <c r="D159" s="85"/>
      <c r="E159" s="85"/>
      <c r="F159" s="85"/>
      <c r="G159" s="72"/>
      <c r="H159" s="72"/>
      <c r="I159" s="72"/>
      <c r="J159" s="86">
        <v>0.0719</v>
      </c>
      <c r="K159" s="28"/>
      <c r="L159" s="28"/>
      <c r="M159" s="28"/>
      <c r="N159" s="6"/>
    </row>
    <row r="160" spans="1:14" ht="15.75">
      <c r="A160" s="83"/>
      <c r="B160" s="84" t="s">
        <v>111</v>
      </c>
      <c r="C160" s="85"/>
      <c r="D160" s="85"/>
      <c r="E160" s="85"/>
      <c r="F160" s="85"/>
      <c r="G160" s="72"/>
      <c r="H160" s="72"/>
      <c r="I160" s="72"/>
      <c r="J160" s="86">
        <v>0.0565878</v>
      </c>
      <c r="K160" s="28"/>
      <c r="L160" s="28"/>
      <c r="M160" s="28"/>
      <c r="N160" s="6"/>
    </row>
    <row r="161" spans="1:14" ht="15.75">
      <c r="A161" s="83"/>
      <c r="B161" s="84" t="s">
        <v>112</v>
      </c>
      <c r="C161" s="85"/>
      <c r="D161" s="85"/>
      <c r="E161" s="85"/>
      <c r="F161" s="85"/>
      <c r="G161" s="72"/>
      <c r="H161" s="72"/>
      <c r="I161" s="72"/>
      <c r="J161" s="86">
        <f>J159-J160</f>
        <v>0.015312200000000005</v>
      </c>
      <c r="K161" s="28"/>
      <c r="L161" s="28"/>
      <c r="M161" s="28"/>
      <c r="N161" s="6"/>
    </row>
    <row r="162" spans="1:14" ht="15.75">
      <c r="A162" s="83"/>
      <c r="B162" s="84" t="s">
        <v>113</v>
      </c>
      <c r="C162" s="85"/>
      <c r="D162" s="85"/>
      <c r="E162" s="85"/>
      <c r="F162" s="85"/>
      <c r="G162" s="72"/>
      <c r="H162" s="72"/>
      <c r="I162" s="72"/>
      <c r="J162" s="86">
        <v>0</v>
      </c>
      <c r="K162" s="28"/>
      <c r="L162" s="28"/>
      <c r="M162" s="28"/>
      <c r="N162" s="6"/>
    </row>
    <row r="163" spans="1:14" ht="15.75">
      <c r="A163" s="83"/>
      <c r="B163" s="84" t="s">
        <v>114</v>
      </c>
      <c r="C163" s="85"/>
      <c r="D163" s="85"/>
      <c r="E163" s="85"/>
      <c r="F163" s="85"/>
      <c r="G163" s="72"/>
      <c r="H163" s="72"/>
      <c r="I163" s="72"/>
      <c r="J163" s="86">
        <v>0</v>
      </c>
      <c r="K163" s="28"/>
      <c r="L163" s="28"/>
      <c r="M163" s="28"/>
      <c r="N163" s="6"/>
    </row>
    <row r="164" spans="1:14" ht="15.75">
      <c r="A164" s="83"/>
      <c r="B164" s="84" t="s">
        <v>115</v>
      </c>
      <c r="C164" s="85"/>
      <c r="D164" s="85"/>
      <c r="E164" s="85"/>
      <c r="F164" s="85"/>
      <c r="G164" s="72"/>
      <c r="H164" s="72"/>
      <c r="I164" s="72"/>
      <c r="J164" s="86">
        <f>J162-J163</f>
        <v>0</v>
      </c>
      <c r="K164" s="28"/>
      <c r="L164" s="28"/>
      <c r="M164" s="28"/>
      <c r="N164" s="6"/>
    </row>
    <row r="165" spans="1:14" ht="15.75">
      <c r="A165" s="83"/>
      <c r="B165" s="84" t="s">
        <v>116</v>
      </c>
      <c r="C165" s="85"/>
      <c r="D165" s="85"/>
      <c r="E165" s="85"/>
      <c r="F165" s="85"/>
      <c r="G165" s="72"/>
      <c r="H165" s="72"/>
      <c r="I165" s="72"/>
      <c r="J165" s="87" t="s">
        <v>179</v>
      </c>
      <c r="K165" s="28"/>
      <c r="L165" s="28"/>
      <c r="M165" s="28"/>
      <c r="N165" s="6"/>
    </row>
    <row r="166" spans="1:14" ht="15.75">
      <c r="A166" s="83"/>
      <c r="B166" s="84" t="s">
        <v>117</v>
      </c>
      <c r="C166" s="85"/>
      <c r="D166" s="85"/>
      <c r="E166" s="85"/>
      <c r="F166" s="85"/>
      <c r="G166" s="72"/>
      <c r="H166" s="72"/>
      <c r="I166" s="72"/>
      <c r="J166" s="87" t="s">
        <v>180</v>
      </c>
      <c r="K166" s="28"/>
      <c r="L166" s="28"/>
      <c r="M166" s="28"/>
      <c r="N166" s="6"/>
    </row>
    <row r="167" spans="1:14" ht="15.75">
      <c r="A167" s="83"/>
      <c r="B167" s="84" t="s">
        <v>118</v>
      </c>
      <c r="C167" s="85"/>
      <c r="D167" s="85"/>
      <c r="E167" s="85"/>
      <c r="F167" s="85"/>
      <c r="G167" s="72"/>
      <c r="H167" s="72"/>
      <c r="I167" s="72"/>
      <c r="J167" s="88">
        <v>0</v>
      </c>
      <c r="K167" s="28" t="s">
        <v>184</v>
      </c>
      <c r="L167" s="28"/>
      <c r="M167" s="28"/>
      <c r="N167" s="6"/>
    </row>
    <row r="168" spans="1:14" ht="15.75">
      <c r="A168" s="83"/>
      <c r="B168" s="84" t="s">
        <v>119</v>
      </c>
      <c r="C168" s="85"/>
      <c r="D168" s="85"/>
      <c r="E168" s="85"/>
      <c r="F168" s="85"/>
      <c r="G168" s="72"/>
      <c r="H168" s="72"/>
      <c r="I168" s="72"/>
      <c r="J168" s="88">
        <v>0</v>
      </c>
      <c r="K168" s="28" t="s">
        <v>184</v>
      </c>
      <c r="L168" s="28"/>
      <c r="M168" s="28"/>
      <c r="N168" s="6"/>
    </row>
    <row r="169" spans="1:14" ht="15.75">
      <c r="A169" s="83"/>
      <c r="B169" s="84" t="s">
        <v>120</v>
      </c>
      <c r="C169" s="85"/>
      <c r="D169" s="85"/>
      <c r="E169" s="85"/>
      <c r="F169" s="85"/>
      <c r="G169" s="72"/>
      <c r="H169" s="72"/>
      <c r="I169" s="72"/>
      <c r="J169" s="86">
        <f>F56/'July 2004'!L56</f>
        <v>1</v>
      </c>
      <c r="K169" s="28"/>
      <c r="L169" s="28"/>
      <c r="M169" s="28"/>
      <c r="N169" s="6"/>
    </row>
    <row r="170" spans="1:14" ht="15.75">
      <c r="A170" s="83"/>
      <c r="B170" s="84" t="s">
        <v>121</v>
      </c>
      <c r="C170" s="85"/>
      <c r="D170" s="85"/>
      <c r="E170" s="85"/>
      <c r="F170" s="85"/>
      <c r="G170" s="72"/>
      <c r="H170" s="72"/>
      <c r="I170" s="72"/>
      <c r="J170" s="86">
        <v>1</v>
      </c>
      <c r="K170" s="28"/>
      <c r="L170" s="28"/>
      <c r="M170" s="28"/>
      <c r="N170" s="6"/>
    </row>
    <row r="171" spans="1:14" ht="15.75">
      <c r="A171" s="83"/>
      <c r="B171" s="84"/>
      <c r="C171" s="84"/>
      <c r="D171" s="84"/>
      <c r="E171" s="84"/>
      <c r="F171" s="84"/>
      <c r="G171" s="28"/>
      <c r="H171" s="28"/>
      <c r="I171" s="28"/>
      <c r="J171" s="68"/>
      <c r="K171" s="28"/>
      <c r="L171" s="89"/>
      <c r="M171" s="28"/>
      <c r="N171" s="6"/>
    </row>
    <row r="172" spans="1:14" ht="15.75">
      <c r="A172" s="90"/>
      <c r="B172" s="16" t="s">
        <v>122</v>
      </c>
      <c r="C172" s="91"/>
      <c r="D172" s="92"/>
      <c r="E172" s="91"/>
      <c r="F172" s="92"/>
      <c r="G172" s="91"/>
      <c r="H172" s="92"/>
      <c r="I172" s="19" t="s">
        <v>171</v>
      </c>
      <c r="J172" s="93" t="s">
        <v>181</v>
      </c>
      <c r="K172" s="17"/>
      <c r="L172" s="9"/>
      <c r="M172" s="9"/>
      <c r="N172" s="6"/>
    </row>
    <row r="173" spans="1:14" ht="15.75">
      <c r="A173" s="94"/>
      <c r="B173" s="84" t="s">
        <v>123</v>
      </c>
      <c r="C173" s="61"/>
      <c r="D173" s="61"/>
      <c r="E173" s="61"/>
      <c r="F173" s="28"/>
      <c r="G173" s="28"/>
      <c r="H173" s="28"/>
      <c r="I173" s="29">
        <v>0</v>
      </c>
      <c r="J173" s="95">
        <v>0</v>
      </c>
      <c r="K173" s="28"/>
      <c r="L173" s="89"/>
      <c r="M173" s="96"/>
      <c r="N173" s="6"/>
    </row>
    <row r="174" spans="1:14" ht="15.75">
      <c r="A174" s="94"/>
      <c r="B174" s="84" t="s">
        <v>205</v>
      </c>
      <c r="C174" s="61"/>
      <c r="D174" s="61"/>
      <c r="E174" s="61"/>
      <c r="F174" s="28"/>
      <c r="G174" s="28"/>
      <c r="H174" s="28"/>
      <c r="I174" s="29">
        <v>0</v>
      </c>
      <c r="J174" s="95">
        <v>0</v>
      </c>
      <c r="K174" s="28"/>
      <c r="L174" s="89"/>
      <c r="M174" s="96"/>
      <c r="N174" s="6"/>
    </row>
    <row r="175" spans="1:14" ht="15.75">
      <c r="A175" s="94"/>
      <c r="B175" s="84" t="s">
        <v>124</v>
      </c>
      <c r="C175" s="61"/>
      <c r="D175" s="61"/>
      <c r="E175" s="61"/>
      <c r="F175" s="28"/>
      <c r="G175" s="28"/>
      <c r="H175" s="28"/>
      <c r="I175" s="29">
        <v>0</v>
      </c>
      <c r="J175" s="95">
        <v>0</v>
      </c>
      <c r="K175" s="28"/>
      <c r="L175" s="89"/>
      <c r="M175" s="96"/>
      <c r="N175" s="6"/>
    </row>
    <row r="176" spans="1:14" ht="15.75">
      <c r="A176" s="94"/>
      <c r="B176" s="145" t="s">
        <v>125</v>
      </c>
      <c r="C176" s="61"/>
      <c r="D176" s="61"/>
      <c r="E176" s="61"/>
      <c r="F176" s="28"/>
      <c r="G176" s="28"/>
      <c r="H176" s="28"/>
      <c r="I176" s="28"/>
      <c r="J176" s="95">
        <v>0</v>
      </c>
      <c r="K176" s="28"/>
      <c r="L176" s="89"/>
      <c r="M176" s="96"/>
      <c r="N176" s="6"/>
    </row>
    <row r="177" spans="1:14" ht="15.75">
      <c r="A177" s="94"/>
      <c r="B177" s="145" t="s">
        <v>126</v>
      </c>
      <c r="C177" s="61"/>
      <c r="D177" s="61"/>
      <c r="E177" s="61"/>
      <c r="F177" s="28"/>
      <c r="G177" s="28"/>
      <c r="H177" s="28"/>
      <c r="I177" s="28"/>
      <c r="J177" s="95">
        <v>59682</v>
      </c>
      <c r="K177" s="28"/>
      <c r="L177" s="89"/>
      <c r="M177" s="96"/>
      <c r="N177" s="6"/>
    </row>
    <row r="178" spans="1:14" ht="15.75">
      <c r="A178" s="97"/>
      <c r="B178" s="145" t="s">
        <v>127</v>
      </c>
      <c r="C178" s="61"/>
      <c r="D178" s="84"/>
      <c r="E178" s="84"/>
      <c r="F178" s="84"/>
      <c r="G178" s="28"/>
      <c r="H178" s="28"/>
      <c r="I178" s="28"/>
      <c r="J178" s="95">
        <v>0</v>
      </c>
      <c r="K178" s="28"/>
      <c r="L178" s="89"/>
      <c r="M178" s="98"/>
      <c r="N178" s="6"/>
    </row>
    <row r="179" spans="1:14" ht="15.75">
      <c r="A179" s="94"/>
      <c r="B179" s="84" t="s">
        <v>128</v>
      </c>
      <c r="C179" s="61"/>
      <c r="D179" s="61"/>
      <c r="E179" s="61"/>
      <c r="F179" s="61"/>
      <c r="G179" s="28"/>
      <c r="H179" s="28"/>
      <c r="I179" s="28"/>
      <c r="J179" s="95">
        <v>0</v>
      </c>
      <c r="K179" s="28"/>
      <c r="L179" s="89"/>
      <c r="M179" s="98"/>
      <c r="N179" s="6"/>
    </row>
    <row r="180" spans="1:14" ht="15.75">
      <c r="A180" s="94"/>
      <c r="B180" s="84" t="s">
        <v>129</v>
      </c>
      <c r="C180" s="61"/>
      <c r="D180" s="61"/>
      <c r="E180" s="61"/>
      <c r="F180" s="61"/>
      <c r="G180" s="28"/>
      <c r="H180" s="28"/>
      <c r="I180" s="28"/>
      <c r="J180" s="95">
        <f>+'July 2004'!J178</f>
        <v>0</v>
      </c>
      <c r="K180" s="28"/>
      <c r="L180" s="89"/>
      <c r="M180" s="98"/>
      <c r="N180" s="6"/>
    </row>
    <row r="181" spans="1:14" ht="15.75">
      <c r="A181" s="94"/>
      <c r="B181" s="84" t="s">
        <v>130</v>
      </c>
      <c r="C181" s="61"/>
      <c r="D181" s="61"/>
      <c r="E181" s="61"/>
      <c r="F181" s="61"/>
      <c r="G181" s="28"/>
      <c r="H181" s="28"/>
      <c r="I181" s="28"/>
      <c r="J181" s="95">
        <v>0</v>
      </c>
      <c r="K181" s="28"/>
      <c r="L181" s="89"/>
      <c r="M181" s="98"/>
      <c r="N181" s="6"/>
    </row>
    <row r="182" spans="1:14" ht="15.75">
      <c r="A182" s="97"/>
      <c r="B182" s="145" t="s">
        <v>131</v>
      </c>
      <c r="C182" s="61"/>
      <c r="D182" s="84"/>
      <c r="E182" s="84"/>
      <c r="F182" s="84"/>
      <c r="G182" s="28"/>
      <c r="H182" s="28"/>
      <c r="I182" s="28"/>
      <c r="J182" s="95"/>
      <c r="K182" s="28"/>
      <c r="L182" s="89"/>
      <c r="M182" s="98"/>
      <c r="N182" s="6"/>
    </row>
    <row r="183" spans="1:14" ht="15.75">
      <c r="A183" s="97"/>
      <c r="B183" s="84" t="s">
        <v>132</v>
      </c>
      <c r="C183" s="61"/>
      <c r="D183" s="84"/>
      <c r="E183" s="84"/>
      <c r="F183" s="84"/>
      <c r="G183" s="28"/>
      <c r="H183" s="28"/>
      <c r="I183" s="28"/>
      <c r="J183" s="95">
        <v>0</v>
      </c>
      <c r="K183" s="28"/>
      <c r="L183" s="89"/>
      <c r="M183" s="98"/>
      <c r="N183" s="6"/>
    </row>
    <row r="184" spans="1:14" ht="15.75">
      <c r="A184" s="94"/>
      <c r="B184" s="84" t="s">
        <v>133</v>
      </c>
      <c r="C184" s="61"/>
      <c r="D184" s="99"/>
      <c r="E184" s="99"/>
      <c r="F184" s="100"/>
      <c r="G184" s="28"/>
      <c r="H184" s="28"/>
      <c r="I184" s="28"/>
      <c r="J184" s="95">
        <v>0</v>
      </c>
      <c r="K184" s="28"/>
      <c r="L184" s="89"/>
      <c r="M184" s="98"/>
      <c r="N184" s="6"/>
    </row>
    <row r="185" spans="1:14" ht="15.75">
      <c r="A185" s="94"/>
      <c r="B185" s="84" t="s">
        <v>134</v>
      </c>
      <c r="C185" s="61"/>
      <c r="D185" s="99"/>
      <c r="E185" s="99"/>
      <c r="F185" s="100"/>
      <c r="G185" s="28"/>
      <c r="H185" s="28"/>
      <c r="I185" s="28"/>
      <c r="J185" s="95">
        <v>0</v>
      </c>
      <c r="K185" s="28"/>
      <c r="L185" s="89"/>
      <c r="M185" s="98"/>
      <c r="N185" s="6"/>
    </row>
    <row r="186" spans="1:14" ht="15.75">
      <c r="A186" s="94"/>
      <c r="B186" s="84" t="s">
        <v>135</v>
      </c>
      <c r="C186" s="61"/>
      <c r="D186" s="101"/>
      <c r="E186" s="99"/>
      <c r="F186" s="100"/>
      <c r="G186" s="28"/>
      <c r="H186" s="28"/>
      <c r="I186" s="28"/>
      <c r="J186" s="102">
        <v>0</v>
      </c>
      <c r="K186" s="28"/>
      <c r="L186" s="89"/>
      <c r="M186" s="98"/>
      <c r="N186" s="6"/>
    </row>
    <row r="187" spans="1:14" ht="15.75">
      <c r="A187" s="94"/>
      <c r="B187" s="84"/>
      <c r="C187" s="61"/>
      <c r="D187" s="101"/>
      <c r="E187" s="99"/>
      <c r="F187" s="100"/>
      <c r="G187" s="28"/>
      <c r="H187" s="28"/>
      <c r="I187" s="28"/>
      <c r="J187" s="102"/>
      <c r="K187" s="28"/>
      <c r="L187" s="89"/>
      <c r="M187" s="98"/>
      <c r="N187" s="6"/>
    </row>
    <row r="188" spans="1:14" ht="15.75">
      <c r="A188" s="7"/>
      <c r="B188" s="16" t="s">
        <v>136</v>
      </c>
      <c r="C188" s="19"/>
      <c r="D188" s="93"/>
      <c r="E188" s="19"/>
      <c r="F188" s="93"/>
      <c r="G188" s="19"/>
      <c r="H188" s="93" t="s">
        <v>171</v>
      </c>
      <c r="I188" s="19" t="s">
        <v>172</v>
      </c>
      <c r="J188" s="93" t="s">
        <v>182</v>
      </c>
      <c r="K188" s="19" t="s">
        <v>172</v>
      </c>
      <c r="L188" s="17"/>
      <c r="M188" s="103"/>
      <c r="N188" s="6"/>
    </row>
    <row r="189" spans="1:14" ht="15.75">
      <c r="A189" s="27"/>
      <c r="B189" s="61" t="s">
        <v>137</v>
      </c>
      <c r="C189" s="104"/>
      <c r="D189" s="61"/>
      <c r="E189" s="104"/>
      <c r="F189" s="28"/>
      <c r="G189" s="104"/>
      <c r="H189" s="61">
        <v>0</v>
      </c>
      <c r="I189" s="104">
        <v>0</v>
      </c>
      <c r="J189" s="60">
        <v>0</v>
      </c>
      <c r="K189" s="105">
        <v>0</v>
      </c>
      <c r="L189" s="89"/>
      <c r="M189" s="98"/>
      <c r="N189" s="6"/>
    </row>
    <row r="190" spans="1:14" ht="15.75">
      <c r="A190" s="27"/>
      <c r="B190" s="61" t="s">
        <v>138</v>
      </c>
      <c r="C190" s="104"/>
      <c r="D190" s="61"/>
      <c r="E190" s="104"/>
      <c r="F190" s="28"/>
      <c r="G190" s="106"/>
      <c r="H190" s="61">
        <v>0</v>
      </c>
      <c r="I190" s="104">
        <v>0</v>
      </c>
      <c r="J190" s="60">
        <v>0</v>
      </c>
      <c r="K190" s="105">
        <v>0</v>
      </c>
      <c r="L190" s="89"/>
      <c r="M190" s="98"/>
      <c r="N190" s="6"/>
    </row>
    <row r="191" spans="1:14" ht="15.75">
      <c r="A191" s="27"/>
      <c r="B191" s="61" t="s">
        <v>139</v>
      </c>
      <c r="C191" s="104"/>
      <c r="D191" s="61"/>
      <c r="E191" s="104"/>
      <c r="F191" s="28"/>
      <c r="G191" s="106"/>
      <c r="H191" s="61">
        <v>0</v>
      </c>
      <c r="I191" s="104">
        <v>0</v>
      </c>
      <c r="J191" s="60">
        <v>0</v>
      </c>
      <c r="K191" s="105">
        <v>0</v>
      </c>
      <c r="L191" s="89"/>
      <c r="M191" s="98"/>
      <c r="N191" s="6"/>
    </row>
    <row r="192" spans="1:14" ht="15.75">
      <c r="A192" s="27"/>
      <c r="B192" s="61" t="s">
        <v>140</v>
      </c>
      <c r="C192" s="104"/>
      <c r="D192" s="61"/>
      <c r="E192" s="104"/>
      <c r="F192" s="28"/>
      <c r="G192" s="106"/>
      <c r="H192" s="61">
        <v>0</v>
      </c>
      <c r="I192" s="104">
        <v>0</v>
      </c>
      <c r="J192" s="60">
        <v>0</v>
      </c>
      <c r="K192" s="105">
        <v>0</v>
      </c>
      <c r="L192" s="89"/>
      <c r="M192" s="98"/>
      <c r="N192" s="6"/>
    </row>
    <row r="193" spans="1:14" ht="15.75">
      <c r="A193" s="27"/>
      <c r="B193" s="61"/>
      <c r="C193" s="107"/>
      <c r="D193" s="96"/>
      <c r="E193" s="107"/>
      <c r="F193" s="28"/>
      <c r="G193" s="107"/>
      <c r="H193" s="96"/>
      <c r="I193" s="107"/>
      <c r="J193" s="60"/>
      <c r="K193" s="105"/>
      <c r="L193" s="89"/>
      <c r="M193" s="98"/>
      <c r="N193" s="6"/>
    </row>
    <row r="194" spans="1:14" ht="15.75">
      <c r="A194" s="27"/>
      <c r="B194" s="28"/>
      <c r="C194" s="28"/>
      <c r="D194" s="28"/>
      <c r="E194" s="28"/>
      <c r="F194" s="28"/>
      <c r="G194" s="28"/>
      <c r="H194" s="38">
        <f>SUM(H189:H192)</f>
        <v>0</v>
      </c>
      <c r="I194" s="108">
        <f>SUM(I189:I193)</f>
        <v>0</v>
      </c>
      <c r="J194" s="60">
        <f>SUM(J189:J193)</f>
        <v>0</v>
      </c>
      <c r="K194" s="108">
        <f>SUM(K189:K193)</f>
        <v>0</v>
      </c>
      <c r="L194" s="28"/>
      <c r="M194" s="28"/>
      <c r="N194" s="6"/>
    </row>
    <row r="195" spans="1:14" ht="15.75">
      <c r="A195" s="27"/>
      <c r="B195" s="28"/>
      <c r="C195" s="28"/>
      <c r="D195" s="28"/>
      <c r="E195" s="28"/>
      <c r="F195" s="28"/>
      <c r="G195" s="28"/>
      <c r="H195" s="38"/>
      <c r="I195" s="108"/>
      <c r="J195" s="60"/>
      <c r="K195" s="108"/>
      <c r="L195" s="28"/>
      <c r="M195" s="28"/>
      <c r="N195" s="6"/>
    </row>
    <row r="196" spans="1:14" ht="15.75">
      <c r="A196" s="7"/>
      <c r="B196" s="9"/>
      <c r="C196" s="9"/>
      <c r="D196" s="9"/>
      <c r="E196" s="9"/>
      <c r="F196" s="9"/>
      <c r="G196" s="9"/>
      <c r="H196" s="62"/>
      <c r="I196" s="109"/>
      <c r="J196" s="110"/>
      <c r="K196" s="109"/>
      <c r="L196" s="9"/>
      <c r="M196" s="9"/>
      <c r="N196" s="6"/>
    </row>
    <row r="197" spans="1:14" ht="15.75">
      <c r="A197" s="111"/>
      <c r="B197" s="16" t="s">
        <v>141</v>
      </c>
      <c r="C197" s="112"/>
      <c r="D197" s="19" t="s">
        <v>149</v>
      </c>
      <c r="E197" s="17"/>
      <c r="F197" s="16" t="s">
        <v>160</v>
      </c>
      <c r="G197" s="113"/>
      <c r="H197" s="113"/>
      <c r="I197" s="113"/>
      <c r="J197" s="126"/>
      <c r="K197" s="126"/>
      <c r="L197" s="126"/>
      <c r="M197" s="126"/>
      <c r="N197" s="6"/>
    </row>
    <row r="198" spans="1:14" ht="15.75">
      <c r="A198" s="130"/>
      <c r="B198" s="126"/>
      <c r="C198" s="126"/>
      <c r="D198" s="9"/>
      <c r="E198" s="9"/>
      <c r="F198" s="9"/>
      <c r="G198" s="126"/>
      <c r="H198" s="126"/>
      <c r="I198" s="126"/>
      <c r="J198" s="126"/>
      <c r="K198" s="126"/>
      <c r="L198" s="126"/>
      <c r="M198" s="126"/>
      <c r="N198" s="6"/>
    </row>
    <row r="199" spans="1:14" ht="15.75">
      <c r="A199" s="130"/>
      <c r="B199" s="15" t="s">
        <v>142</v>
      </c>
      <c r="C199" s="115"/>
      <c r="D199" s="116" t="s">
        <v>150</v>
      </c>
      <c r="E199" s="15"/>
      <c r="F199" s="15" t="s">
        <v>161</v>
      </c>
      <c r="G199" s="115"/>
      <c r="H199" s="115"/>
      <c r="I199" s="126"/>
      <c r="J199" s="126"/>
      <c r="K199" s="126"/>
      <c r="L199" s="126"/>
      <c r="M199" s="126"/>
      <c r="N199" s="6"/>
    </row>
    <row r="200" spans="1:14" ht="15.75">
      <c r="A200" s="130"/>
      <c r="B200" s="15" t="s">
        <v>143</v>
      </c>
      <c r="C200" s="115"/>
      <c r="D200" s="116" t="s">
        <v>151</v>
      </c>
      <c r="E200" s="15"/>
      <c r="F200" s="15" t="s">
        <v>162</v>
      </c>
      <c r="G200" s="115"/>
      <c r="H200" s="115"/>
      <c r="I200" s="126"/>
      <c r="J200" s="126"/>
      <c r="K200" s="126"/>
      <c r="L200" s="126"/>
      <c r="M200" s="126"/>
      <c r="N200" s="6"/>
    </row>
    <row r="201" spans="1:14" ht="15.75">
      <c r="A201" s="130"/>
      <c r="B201" s="15"/>
      <c r="C201" s="115"/>
      <c r="D201" s="116"/>
      <c r="E201" s="15"/>
      <c r="F201" s="15"/>
      <c r="G201" s="115"/>
      <c r="H201" s="115"/>
      <c r="I201" s="126"/>
      <c r="J201" s="126"/>
      <c r="K201" s="126"/>
      <c r="L201" s="126"/>
      <c r="M201" s="126"/>
      <c r="N201" s="6"/>
    </row>
    <row r="202" spans="1:14" ht="15.75">
      <c r="A202" s="130"/>
      <c r="B202" s="15"/>
      <c r="C202" s="115"/>
      <c r="D202" s="116"/>
      <c r="E202" s="15"/>
      <c r="F202" s="15"/>
      <c r="G202" s="115"/>
      <c r="H202" s="115"/>
      <c r="I202" s="126"/>
      <c r="J202" s="126"/>
      <c r="K202" s="126"/>
      <c r="L202" s="126"/>
      <c r="M202" s="126"/>
      <c r="N202" s="6"/>
    </row>
    <row r="203" spans="1:14" ht="18.75">
      <c r="A203" s="130"/>
      <c r="B203" s="56" t="str">
        <f>B155</f>
        <v>PM3 INVESTOR REPORT QUARTER ENDING OCTOBER 2004</v>
      </c>
      <c r="C203" s="115"/>
      <c r="D203" s="116"/>
      <c r="E203" s="15"/>
      <c r="F203" s="15"/>
      <c r="G203" s="115"/>
      <c r="H203" s="115"/>
      <c r="I203" s="126"/>
      <c r="J203" s="126"/>
      <c r="K203" s="126"/>
      <c r="L203" s="126"/>
      <c r="M203" s="126"/>
      <c r="N203" s="6"/>
    </row>
    <row r="204" spans="1:13" ht="15">
      <c r="A204" s="117"/>
      <c r="B204" s="117"/>
      <c r="C204" s="117"/>
      <c r="D204" s="117"/>
      <c r="E204" s="117"/>
      <c r="F204" s="117"/>
      <c r="G204" s="117"/>
      <c r="H204" s="117"/>
      <c r="I204" s="117"/>
      <c r="J204" s="117"/>
      <c r="K204" s="117"/>
      <c r="L204" s="117"/>
      <c r="M204"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5" max="13" man="1"/>
    <brk id="155" max="13" man="1"/>
  </rowBreaks>
  <drawing r:id="rId1"/>
</worksheet>
</file>

<file path=xl/worksheets/sheet2.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3.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37222</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0.977987</v>
      </c>
      <c r="D30" s="35"/>
      <c r="E30" s="36"/>
      <c r="F30" s="35">
        <f>306000*C30</f>
        <v>299264.022</v>
      </c>
      <c r="G30" s="35"/>
      <c r="H30" s="35">
        <v>34000</v>
      </c>
      <c r="I30" s="35"/>
      <c r="J30" s="35"/>
      <c r="K30" s="37"/>
      <c r="L30" s="35">
        <f>H30+F30</f>
        <v>333264.022</v>
      </c>
      <c r="M30" s="38"/>
      <c r="N30" s="6"/>
    </row>
    <row r="31" spans="1:14" ht="12.75" customHeight="1">
      <c r="A31" s="32"/>
      <c r="B31" s="33" t="s">
        <v>20</v>
      </c>
      <c r="C31" s="40">
        <v>0.960259</v>
      </c>
      <c r="D31" s="41"/>
      <c r="E31" s="42"/>
      <c r="F31" s="41">
        <f>F29*C31</f>
        <v>293839.254</v>
      </c>
      <c r="G31" s="41"/>
      <c r="H31" s="41">
        <f>H29</f>
        <v>34000</v>
      </c>
      <c r="I31" s="41"/>
      <c r="J31" s="41"/>
      <c r="K31" s="43"/>
      <c r="L31" s="41">
        <f>H31+F31+D31</f>
        <v>327839.254</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0.052775</v>
      </c>
      <c r="G33" s="46"/>
      <c r="H33" s="45">
        <v>0.057975</v>
      </c>
      <c r="I33" s="46"/>
      <c r="J33" s="45"/>
      <c r="K33" s="31"/>
      <c r="L33" s="46">
        <f>SUMPRODUCT(F33:H33,F30:H30)/L30</f>
        <v>0.05330551031113104</v>
      </c>
      <c r="M33" s="28"/>
      <c r="N33" s="6"/>
    </row>
    <row r="34" spans="1:14" ht="15.75">
      <c r="A34" s="27"/>
      <c r="B34" s="28" t="s">
        <v>23</v>
      </c>
      <c r="C34" s="28"/>
      <c r="D34" s="45"/>
      <c r="E34" s="28"/>
      <c r="F34" s="45">
        <v>0.0560678</v>
      </c>
      <c r="G34" s="46"/>
      <c r="H34" s="45">
        <v>0.0612678</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28"/>
      <c r="I39" s="28"/>
      <c r="J39" s="28"/>
      <c r="K39" s="28"/>
      <c r="L39" s="46">
        <f>H29/F29</f>
        <v>0.1111111111111111</v>
      </c>
      <c r="M39" s="28"/>
      <c r="N39" s="6"/>
    </row>
    <row r="40" spans="1:14" ht="15.75">
      <c r="A40" s="27"/>
      <c r="B40" s="28" t="s">
        <v>28</v>
      </c>
      <c r="C40" s="28"/>
      <c r="D40" s="28"/>
      <c r="E40" s="28"/>
      <c r="F40" s="28"/>
      <c r="G40" s="28"/>
      <c r="H40" s="28"/>
      <c r="I40" s="28"/>
      <c r="J40" s="28"/>
      <c r="K40" s="28"/>
      <c r="L40" s="46">
        <f>H31/F31</f>
        <v>0.115709523275607</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37202</v>
      </c>
      <c r="M44" s="28"/>
      <c r="N44" s="6"/>
    </row>
    <row r="45" spans="1:14" ht="15.75">
      <c r="A45" s="27"/>
      <c r="B45" s="28" t="s">
        <v>32</v>
      </c>
      <c r="C45" s="28"/>
      <c r="D45" s="28"/>
      <c r="E45" s="28"/>
      <c r="F45" s="28"/>
      <c r="G45" s="28"/>
      <c r="H45" s="28"/>
      <c r="I45" s="28">
        <f>L45-J45+1</f>
        <v>102</v>
      </c>
      <c r="J45" s="53">
        <v>37008</v>
      </c>
      <c r="K45" s="52"/>
      <c r="L45" s="53">
        <v>37109</v>
      </c>
      <c r="M45" s="28"/>
      <c r="N45" s="6"/>
    </row>
    <row r="46" spans="1:14" ht="15.75">
      <c r="A46" s="27"/>
      <c r="B46" s="28" t="s">
        <v>33</v>
      </c>
      <c r="C46" s="28"/>
      <c r="D46" s="28"/>
      <c r="E46" s="28"/>
      <c r="F46" s="28"/>
      <c r="G46" s="28"/>
      <c r="H46" s="28"/>
      <c r="I46" s="28">
        <f>L46-J46+1</f>
        <v>92</v>
      </c>
      <c r="J46" s="53">
        <v>37110</v>
      </c>
      <c r="K46" s="52"/>
      <c r="L46" s="53">
        <v>37201</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37198</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193</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s="140" customFormat="1" ht="63">
      <c r="A55" s="134"/>
      <c r="B55" s="135" t="s">
        <v>38</v>
      </c>
      <c r="C55" s="136" t="s">
        <v>146</v>
      </c>
      <c r="D55" s="136" t="s">
        <v>148</v>
      </c>
      <c r="E55" s="136"/>
      <c r="F55" s="136" t="s">
        <v>159</v>
      </c>
      <c r="G55" s="136"/>
      <c r="H55" s="136" t="s">
        <v>169</v>
      </c>
      <c r="I55" s="136"/>
      <c r="J55" s="136" t="s">
        <v>176</v>
      </c>
      <c r="K55" s="136"/>
      <c r="L55" s="137" t="s">
        <v>188</v>
      </c>
      <c r="M55" s="138"/>
      <c r="N55" s="139"/>
    </row>
    <row r="56" spans="1:14" ht="15.75">
      <c r="A56" s="27"/>
      <c r="B56" s="28" t="s">
        <v>39</v>
      </c>
      <c r="C56" s="38">
        <v>280068</v>
      </c>
      <c r="D56" s="38">
        <v>333264</v>
      </c>
      <c r="E56" s="38"/>
      <c r="F56" s="38">
        <f>5425+300+2052</f>
        <v>7777</v>
      </c>
      <c r="G56" s="38"/>
      <c r="H56" s="38">
        <f>300+2052</f>
        <v>2352</v>
      </c>
      <c r="I56" s="38"/>
      <c r="J56" s="38">
        <v>0</v>
      </c>
      <c r="K56" s="38"/>
      <c r="L56" s="60">
        <f>D56-F56+H56-J56</f>
        <v>327839</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333264</v>
      </c>
      <c r="E59" s="38"/>
      <c r="F59" s="38">
        <f>SUM(F56:F58)</f>
        <v>7777</v>
      </c>
      <c r="G59" s="38"/>
      <c r="H59" s="38">
        <f>SUM(H56:H58)</f>
        <v>2352</v>
      </c>
      <c r="I59" s="38"/>
      <c r="J59" s="38">
        <f>SUM(J56:J58)</f>
        <v>0</v>
      </c>
      <c r="K59" s="38"/>
      <c r="L59" s="61">
        <f>SUM(L56:L58)</f>
        <v>327839</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333264</v>
      </c>
      <c r="E71" s="38"/>
      <c r="F71" s="61"/>
      <c r="G71" s="38"/>
      <c r="H71" s="61"/>
      <c r="I71" s="38"/>
      <c r="J71" s="61"/>
      <c r="K71" s="38"/>
      <c r="L71" s="61">
        <f>SUM(L59:L70)</f>
        <v>327839</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v>37195</v>
      </c>
      <c r="E75" s="28"/>
      <c r="F75" s="28"/>
      <c r="G75" s="28"/>
      <c r="H75" s="28"/>
      <c r="I75" s="28"/>
      <c r="J75" s="38">
        <v>7777</v>
      </c>
      <c r="K75" s="28"/>
      <c r="L75" s="60"/>
      <c r="M75" s="28"/>
      <c r="N75" s="6"/>
    </row>
    <row r="76" spans="1:14" ht="15.75">
      <c r="A76" s="27"/>
      <c r="B76" s="28" t="s">
        <v>50</v>
      </c>
      <c r="C76" s="28"/>
      <c r="D76" s="28"/>
      <c r="E76" s="28"/>
      <c r="F76" s="28"/>
      <c r="G76" s="28"/>
      <c r="H76" s="28"/>
      <c r="I76" s="28"/>
      <c r="J76" s="38"/>
      <c r="K76" s="28"/>
      <c r="L76" s="60">
        <v>5945</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7777</v>
      </c>
      <c r="K78" s="28"/>
      <c r="L78" s="61">
        <f>SUM(L74:L77)</f>
        <v>5945</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7777</v>
      </c>
      <c r="K80" s="28"/>
      <c r="L80" s="61">
        <f>L78+L79</f>
        <v>5945</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-252-8</f>
        <v>-260</v>
      </c>
      <c r="M84" s="28"/>
      <c r="N84" s="6"/>
    </row>
    <row r="85" spans="1:14" ht="15.75">
      <c r="A85" s="27">
        <v>4</v>
      </c>
      <c r="B85" s="28" t="s">
        <v>59</v>
      </c>
      <c r="C85" s="28"/>
      <c r="D85" s="28"/>
      <c r="E85" s="28"/>
      <c r="F85" s="28"/>
      <c r="G85" s="28"/>
      <c r="H85" s="28"/>
      <c r="I85" s="28"/>
      <c r="J85" s="28"/>
      <c r="K85" s="28"/>
      <c r="L85" s="60">
        <v>-250</v>
      </c>
      <c r="M85" s="28"/>
      <c r="N85" s="6"/>
    </row>
    <row r="86" spans="1:14" ht="15.75">
      <c r="A86" s="27">
        <v>5</v>
      </c>
      <c r="B86" s="28" t="s">
        <v>60</v>
      </c>
      <c r="C86" s="28"/>
      <c r="D86" s="28"/>
      <c r="E86" s="28"/>
      <c r="F86" s="28"/>
      <c r="G86" s="28"/>
      <c r="H86" s="28"/>
      <c r="I86" s="28"/>
      <c r="J86" s="28"/>
      <c r="K86" s="28"/>
      <c r="L86" s="60">
        <v>-3981</v>
      </c>
      <c r="M86" s="28"/>
      <c r="N86" s="6"/>
    </row>
    <row r="87" spans="1:14" ht="15.75">
      <c r="A87" s="27">
        <v>6</v>
      </c>
      <c r="B87" s="28" t="s">
        <v>61</v>
      </c>
      <c r="C87" s="28"/>
      <c r="D87" s="28"/>
      <c r="E87" s="28"/>
      <c r="F87" s="28"/>
      <c r="G87" s="28"/>
      <c r="H87" s="28"/>
      <c r="I87" s="28"/>
      <c r="J87" s="28"/>
      <c r="K87" s="28"/>
      <c r="L87" s="60">
        <v>-497</v>
      </c>
      <c r="M87" s="28"/>
      <c r="N87" s="6"/>
    </row>
    <row r="88" spans="1:14" ht="15.75">
      <c r="A88" s="27">
        <v>7</v>
      </c>
      <c r="B88" s="28" t="s">
        <v>62</v>
      </c>
      <c r="C88" s="28"/>
      <c r="D88" s="28"/>
      <c r="E88" s="28"/>
      <c r="F88" s="28"/>
      <c r="G88" s="28"/>
      <c r="H88" s="28"/>
      <c r="I88" s="28"/>
      <c r="J88" s="28"/>
      <c r="K88" s="28"/>
      <c r="L88" s="60">
        <v>-3</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-147-50</f>
        <v>-197</v>
      </c>
      <c r="M93" s="28"/>
      <c r="N93" s="6"/>
    </row>
    <row r="94" spans="1:14" ht="15.75">
      <c r="A94" s="27">
        <v>13</v>
      </c>
      <c r="B94" s="28" t="s">
        <v>68</v>
      </c>
      <c r="C94" s="28"/>
      <c r="D94" s="28"/>
      <c r="E94" s="28"/>
      <c r="F94" s="28"/>
      <c r="G94" s="28"/>
      <c r="H94" s="28"/>
      <c r="I94" s="28"/>
      <c r="J94" s="28"/>
      <c r="K94" s="28"/>
      <c r="L94" s="60">
        <f>-SUM(L80:L93)</f>
        <v>-752</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-300</v>
      </c>
      <c r="K96" s="38"/>
      <c r="L96" s="60"/>
      <c r="M96" s="28"/>
      <c r="N96" s="6"/>
    </row>
    <row r="97" spans="1:14" ht="15.75">
      <c r="A97" s="27"/>
      <c r="B97" s="28" t="s">
        <v>71</v>
      </c>
      <c r="C97" s="28"/>
      <c r="D97" s="28"/>
      <c r="E97" s="28"/>
      <c r="F97" s="28"/>
      <c r="G97" s="28"/>
      <c r="H97" s="28"/>
      <c r="I97" s="28"/>
      <c r="J97" s="38">
        <f>-H141</f>
        <v>-2052</v>
      </c>
      <c r="K97" s="38"/>
      <c r="L97" s="60"/>
      <c r="M97" s="28"/>
      <c r="N97" s="6"/>
    </row>
    <row r="98" spans="1:14" ht="15.75">
      <c r="A98" s="27"/>
      <c r="B98" s="28" t="s">
        <v>72</v>
      </c>
      <c r="C98" s="28"/>
      <c r="D98" s="28"/>
      <c r="E98" s="28"/>
      <c r="F98" s="28"/>
      <c r="G98" s="28"/>
      <c r="H98" s="28"/>
      <c r="I98" s="28"/>
      <c r="J98" s="38">
        <v>-5425</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-7777</v>
      </c>
      <c r="K100" s="38"/>
      <c r="L100" s="38">
        <f>SUM(L81:L99)</f>
        <v>-5945</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9.5" thickBot="1">
      <c r="A104" s="119"/>
      <c r="B104" s="120" t="s">
        <v>193</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327839</v>
      </c>
      <c r="M134" s="28"/>
      <c r="N134" s="6"/>
    </row>
    <row r="135" spans="1:14" ht="15.75">
      <c r="A135" s="27"/>
      <c r="B135" s="28" t="s">
        <v>97</v>
      </c>
      <c r="C135" s="73"/>
      <c r="D135" s="28"/>
      <c r="E135" s="28"/>
      <c r="F135" s="28"/>
      <c r="G135" s="28"/>
      <c r="H135" s="28"/>
      <c r="I135" s="28"/>
      <c r="J135" s="28"/>
      <c r="K135" s="28"/>
      <c r="L135" s="60">
        <f>L31</f>
        <v>327839.254</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1537</v>
      </c>
      <c r="I140" s="28"/>
      <c r="J140" s="60">
        <v>226</v>
      </c>
      <c r="K140" s="28"/>
      <c r="L140" s="60">
        <f>J140+H140</f>
        <v>1763</v>
      </c>
      <c r="M140" s="28"/>
      <c r="N140" s="6"/>
    </row>
    <row r="141" spans="1:14" ht="15.75">
      <c r="A141" s="27"/>
      <c r="B141" s="28" t="s">
        <v>101</v>
      </c>
      <c r="C141" s="28"/>
      <c r="D141" s="28"/>
      <c r="E141" s="28"/>
      <c r="F141" s="28"/>
      <c r="G141" s="28"/>
      <c r="H141" s="60">
        <v>2052</v>
      </c>
      <c r="I141" s="28"/>
      <c r="J141" s="60">
        <v>300</v>
      </c>
      <c r="K141" s="28"/>
      <c r="L141" s="60">
        <f>J141+H141</f>
        <v>2352</v>
      </c>
      <c r="M141" s="28"/>
      <c r="N141" s="6"/>
    </row>
    <row r="142" spans="1:14" ht="15.75">
      <c r="A142" s="27"/>
      <c r="B142" s="28" t="s">
        <v>102</v>
      </c>
      <c r="C142" s="28"/>
      <c r="D142" s="28"/>
      <c r="E142" s="28"/>
      <c r="F142" s="28"/>
      <c r="G142" s="28"/>
      <c r="H142" s="60">
        <f>H141+H140</f>
        <v>3589</v>
      </c>
      <c r="I142" s="28"/>
      <c r="J142" s="60">
        <f>J141+J140</f>
        <v>526</v>
      </c>
      <c r="K142" s="28"/>
      <c r="L142" s="60">
        <f>J142+H142</f>
        <v>4115</v>
      </c>
      <c r="M142" s="28"/>
      <c r="N142" s="6"/>
    </row>
    <row r="143" spans="1:14" ht="15.75">
      <c r="A143" s="27"/>
      <c r="B143" s="28" t="s">
        <v>103</v>
      </c>
      <c r="C143" s="28"/>
      <c r="D143" s="28"/>
      <c r="E143" s="28"/>
      <c r="F143" s="28"/>
      <c r="G143" s="28"/>
      <c r="H143" s="60">
        <f>H139-H142-J142</f>
        <v>45885</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1.3639788997739262</v>
      </c>
      <c r="M147" s="28" t="s">
        <v>192</v>
      </c>
      <c r="N147" s="6"/>
    </row>
    <row r="148" spans="1:14" ht="15.75">
      <c r="A148" s="27"/>
      <c r="B148" s="28" t="s">
        <v>106</v>
      </c>
      <c r="C148" s="28"/>
      <c r="D148" s="28"/>
      <c r="E148" s="28"/>
      <c r="F148" s="28"/>
      <c r="G148" s="28"/>
      <c r="H148" s="28"/>
      <c r="I148" s="28"/>
      <c r="J148" s="28"/>
      <c r="K148" s="28"/>
      <c r="L148" s="66">
        <v>1.27</v>
      </c>
      <c r="M148" s="28" t="s">
        <v>192</v>
      </c>
      <c r="N148" s="6"/>
    </row>
    <row r="149" spans="1:14" ht="15.75">
      <c r="A149" s="27"/>
      <c r="B149" s="28" t="s">
        <v>107</v>
      </c>
      <c r="C149" s="28"/>
      <c r="D149" s="28"/>
      <c r="E149" s="28"/>
      <c r="F149" s="28"/>
      <c r="G149" s="28"/>
      <c r="H149" s="28"/>
      <c r="I149" s="28"/>
      <c r="J149" s="28"/>
      <c r="K149" s="28"/>
      <c r="L149" s="66">
        <f>(L80+SUM(L82:L86))/-L87</f>
        <v>2.915492957746479</v>
      </c>
      <c r="M149" s="28" t="s">
        <v>192</v>
      </c>
      <c r="N149" s="6"/>
    </row>
    <row r="150" spans="1:14" ht="15.75">
      <c r="A150" s="27"/>
      <c r="B150" s="28" t="s">
        <v>108</v>
      </c>
      <c r="C150" s="28"/>
      <c r="D150" s="28"/>
      <c r="E150" s="28"/>
      <c r="F150" s="28"/>
      <c r="G150" s="28"/>
      <c r="H150" s="28"/>
      <c r="I150" s="28"/>
      <c r="J150" s="28"/>
      <c r="K150" s="28"/>
      <c r="L150" s="75">
        <v>2.22</v>
      </c>
      <c r="M150" s="28" t="s">
        <v>192</v>
      </c>
      <c r="N150" s="6"/>
    </row>
    <row r="151" spans="1:14" ht="13.5" customHeight="1">
      <c r="A151" s="27"/>
      <c r="B151" s="28"/>
      <c r="C151" s="28"/>
      <c r="D151" s="28"/>
      <c r="E151" s="28"/>
      <c r="F151" s="28"/>
      <c r="G151" s="28"/>
      <c r="H151" s="28"/>
      <c r="I151" s="28"/>
      <c r="J151" s="28"/>
      <c r="K151" s="28"/>
      <c r="L151" s="28"/>
      <c r="M151" s="28"/>
      <c r="N151" s="6"/>
    </row>
    <row r="152" spans="1:14" ht="13.5" customHeight="1">
      <c r="A152" s="7"/>
      <c r="B152" s="9"/>
      <c r="C152" s="9"/>
      <c r="D152" s="9"/>
      <c r="E152" s="9"/>
      <c r="F152" s="9"/>
      <c r="G152" s="9"/>
      <c r="H152" s="9"/>
      <c r="I152" s="9"/>
      <c r="J152" s="9"/>
      <c r="K152" s="9"/>
      <c r="L152" s="9"/>
      <c r="M152" s="9"/>
      <c r="N152" s="6"/>
    </row>
    <row r="153" spans="1:14" ht="19.5" thickBot="1">
      <c r="A153" s="119"/>
      <c r="B153" s="120" t="s">
        <v>193</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37195</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0.0667</v>
      </c>
      <c r="K160" s="28"/>
      <c r="L160" s="28"/>
      <c r="M160" s="28"/>
      <c r="N160" s="6"/>
    </row>
    <row r="161" spans="1:14" ht="15.75">
      <c r="A161" s="83"/>
      <c r="B161" s="84" t="s">
        <v>114</v>
      </c>
      <c r="C161" s="85"/>
      <c r="D161" s="85"/>
      <c r="E161" s="85"/>
      <c r="F161" s="85"/>
      <c r="G161" s="72"/>
      <c r="H161" s="72"/>
      <c r="I161" s="72"/>
      <c r="J161" s="86">
        <f>L33</f>
        <v>0.05330551031113104</v>
      </c>
      <c r="K161" s="28"/>
      <c r="L161" s="28"/>
      <c r="M161" s="28"/>
      <c r="N161" s="6"/>
    </row>
    <row r="162" spans="1:14" ht="15.75">
      <c r="A162" s="83"/>
      <c r="B162" s="84" t="s">
        <v>115</v>
      </c>
      <c r="C162" s="85"/>
      <c r="D162" s="85"/>
      <c r="E162" s="85"/>
      <c r="F162" s="85"/>
      <c r="G162" s="72"/>
      <c r="H162" s="72"/>
      <c r="I162" s="72"/>
      <c r="J162" s="86">
        <f>J160-J161</f>
        <v>0.013394489688868957</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20.23</v>
      </c>
      <c r="K166" s="28" t="s">
        <v>184</v>
      </c>
      <c r="L166" s="28"/>
      <c r="M166" s="28"/>
      <c r="N166" s="6"/>
    </row>
    <row r="167" spans="1:14" ht="15.75">
      <c r="A167" s="83"/>
      <c r="B167" s="84" t="s">
        <v>120</v>
      </c>
      <c r="C167" s="85"/>
      <c r="D167" s="85"/>
      <c r="E167" s="85"/>
      <c r="F167" s="85"/>
      <c r="G167" s="72"/>
      <c r="H167" s="72"/>
      <c r="I167" s="72"/>
      <c r="J167" s="86">
        <f>F56/'July  2001'!L56</f>
        <v>0.02333585385760238</v>
      </c>
      <c r="K167" s="28"/>
      <c r="L167" s="28"/>
      <c r="M167" s="28"/>
      <c r="N167" s="6"/>
    </row>
    <row r="168" spans="1:14" ht="15.75">
      <c r="A168" s="83"/>
      <c r="B168" s="84" t="s">
        <v>121</v>
      </c>
      <c r="C168" s="85"/>
      <c r="D168" s="85"/>
      <c r="E168" s="85"/>
      <c r="F168" s="85"/>
      <c r="G168" s="72"/>
      <c r="H168" s="72"/>
      <c r="I168" s="72"/>
      <c r="J168" s="86">
        <v>0.0932</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16</v>
      </c>
      <c r="J171" s="95">
        <v>666</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5106</v>
      </c>
      <c r="I186" s="104">
        <f>H186/H191</f>
        <v>0.9910714285714286</v>
      </c>
      <c r="J186" s="60">
        <v>326057</v>
      </c>
      <c r="K186" s="105">
        <f>J186/J191</f>
        <v>0.9945674387959907</v>
      </c>
      <c r="L186" s="89"/>
      <c r="M186" s="98"/>
      <c r="N186" s="6"/>
    </row>
    <row r="187" spans="1:14" ht="15.75">
      <c r="A187" s="27"/>
      <c r="B187" s="61" t="s">
        <v>138</v>
      </c>
      <c r="C187" s="104"/>
      <c r="D187" s="61"/>
      <c r="E187" s="104"/>
      <c r="F187" s="28"/>
      <c r="G187" s="106"/>
      <c r="H187" s="61">
        <v>16</v>
      </c>
      <c r="I187" s="104">
        <f>H187/H191</f>
        <v>0.003105590062111801</v>
      </c>
      <c r="J187" s="60">
        <v>545</v>
      </c>
      <c r="K187" s="105">
        <f>J187/J191</f>
        <v>0.001662406432445293</v>
      </c>
      <c r="L187" s="89"/>
      <c r="M187" s="98"/>
      <c r="N187" s="6"/>
    </row>
    <row r="188" spans="1:14" ht="15.75">
      <c r="A188" s="27"/>
      <c r="B188" s="61" t="s">
        <v>139</v>
      </c>
      <c r="C188" s="104"/>
      <c r="D188" s="61"/>
      <c r="E188" s="104"/>
      <c r="F188" s="28"/>
      <c r="G188" s="106"/>
      <c r="H188" s="61">
        <v>9</v>
      </c>
      <c r="I188" s="104">
        <f>H188/H191</f>
        <v>0.0017468944099378882</v>
      </c>
      <c r="J188" s="60">
        <v>282</v>
      </c>
      <c r="K188" s="105">
        <f>J188/J191</f>
        <v>0.0008601809430267388</v>
      </c>
      <c r="L188" s="89"/>
      <c r="M188" s="98"/>
      <c r="N188" s="6"/>
    </row>
    <row r="189" spans="1:14" ht="15.75">
      <c r="A189" s="27"/>
      <c r="B189" s="61" t="s">
        <v>140</v>
      </c>
      <c r="C189" s="104"/>
      <c r="D189" s="61"/>
      <c r="E189" s="104"/>
      <c r="F189" s="28"/>
      <c r="G189" s="106"/>
      <c r="H189" s="61">
        <f>6+6+5+4</f>
        <v>21</v>
      </c>
      <c r="I189" s="104">
        <f>H189/H191</f>
        <v>0.004076086956521739</v>
      </c>
      <c r="J189" s="60">
        <f>187+317+324+126</f>
        <v>954</v>
      </c>
      <c r="K189" s="105">
        <f>J189/$J191</f>
        <v>0.0029099738285372654</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5152</v>
      </c>
      <c r="I191" s="108">
        <f>SUM(I186:I190)</f>
        <v>1</v>
      </c>
      <c r="J191" s="60">
        <f>SUM(J186:J190)</f>
        <v>327838</v>
      </c>
      <c r="K191" s="108">
        <f>SUM(K186:K190)</f>
        <v>1</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
        <v>193</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255" man="1"/>
    <brk id="104" max="255" man="1"/>
    <brk id="153" max="255" man="1"/>
  </rowBreaks>
  <drawing r:id="rId1"/>
</worksheet>
</file>

<file path=xl/worksheets/sheet3.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10546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37313</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0.960259</v>
      </c>
      <c r="D30" s="35"/>
      <c r="E30" s="36"/>
      <c r="F30" s="35">
        <f>306000*C30</f>
        <v>293839.254</v>
      </c>
      <c r="G30" s="35"/>
      <c r="H30" s="35">
        <v>34000</v>
      </c>
      <c r="I30" s="35"/>
      <c r="J30" s="35"/>
      <c r="K30" s="37"/>
      <c r="L30" s="35">
        <f>H30+F30</f>
        <v>327839.254</v>
      </c>
      <c r="M30" s="38"/>
      <c r="N30" s="6"/>
    </row>
    <row r="31" spans="1:14" ht="12.75" customHeight="1">
      <c r="A31" s="32"/>
      <c r="B31" s="33" t="s">
        <v>20</v>
      </c>
      <c r="C31" s="40">
        <v>0.950543</v>
      </c>
      <c r="D31" s="41"/>
      <c r="E31" s="42"/>
      <c r="F31" s="41">
        <f>F29*C31</f>
        <v>290866.158</v>
      </c>
      <c r="G31" s="41"/>
      <c r="H31" s="41">
        <f>H29</f>
        <v>34000</v>
      </c>
      <c r="I31" s="41"/>
      <c r="J31" s="41"/>
      <c r="K31" s="43"/>
      <c r="L31" s="41">
        <f>H31+F31+D31</f>
        <v>324866.158</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0.0432781</v>
      </c>
      <c r="G33" s="46"/>
      <c r="H33" s="45">
        <v>0.0484781</v>
      </c>
      <c r="I33" s="46"/>
      <c r="J33" s="45"/>
      <c r="K33" s="31"/>
      <c r="L33" s="46">
        <f>SUMPRODUCT(F33:H33,F30:H30)/L30</f>
        <v>0.043817388684447775</v>
      </c>
      <c r="M33" s="28"/>
      <c r="N33" s="6"/>
    </row>
    <row r="34" spans="1:14" ht="15.75">
      <c r="A34" s="27"/>
      <c r="B34" s="28" t="s">
        <v>23</v>
      </c>
      <c r="C34" s="28"/>
      <c r="D34" s="45"/>
      <c r="E34" s="28"/>
      <c r="F34" s="45">
        <v>0.052775</v>
      </c>
      <c r="G34" s="46"/>
      <c r="H34" s="45">
        <v>0.057975</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28"/>
      <c r="I39" s="28"/>
      <c r="J39" s="28"/>
      <c r="K39" s="28"/>
      <c r="L39" s="46">
        <f>H29/F29</f>
        <v>0.1111111111111111</v>
      </c>
      <c r="M39" s="28"/>
      <c r="N39" s="6"/>
    </row>
    <row r="40" spans="1:14" ht="15.75">
      <c r="A40" s="27"/>
      <c r="B40" s="28" t="s">
        <v>28</v>
      </c>
      <c r="C40" s="28"/>
      <c r="D40" s="28"/>
      <c r="E40" s="28"/>
      <c r="F40" s="28"/>
      <c r="G40" s="28"/>
      <c r="H40" s="28"/>
      <c r="I40" s="28"/>
      <c r="J40" s="28"/>
      <c r="K40" s="28"/>
      <c r="L40" s="46">
        <f>H31/F31</f>
        <v>0.11689225117760177</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37294</v>
      </c>
      <c r="M44" s="28"/>
      <c r="N44" s="6"/>
    </row>
    <row r="45" spans="1:14" ht="15.75">
      <c r="A45" s="27"/>
      <c r="B45" s="28" t="s">
        <v>32</v>
      </c>
      <c r="C45" s="28"/>
      <c r="D45" s="28"/>
      <c r="E45" s="28"/>
      <c r="F45" s="28"/>
      <c r="G45" s="28"/>
      <c r="H45" s="28"/>
      <c r="I45" s="28">
        <f>L45-J45+1</f>
        <v>92</v>
      </c>
      <c r="J45" s="53">
        <v>37110</v>
      </c>
      <c r="K45" s="52"/>
      <c r="L45" s="53">
        <v>37201</v>
      </c>
      <c r="M45" s="28"/>
      <c r="N45" s="6"/>
    </row>
    <row r="46" spans="1:14" ht="15.75">
      <c r="A46" s="27"/>
      <c r="B46" s="28" t="s">
        <v>33</v>
      </c>
      <c r="C46" s="28"/>
      <c r="D46" s="28"/>
      <c r="E46" s="28"/>
      <c r="F46" s="28"/>
      <c r="G46" s="28"/>
      <c r="H46" s="28"/>
      <c r="I46" s="28">
        <f>L46-J46+1</f>
        <v>92</v>
      </c>
      <c r="J46" s="53">
        <v>37202</v>
      </c>
      <c r="K46" s="52"/>
      <c r="L46" s="53">
        <v>37293</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37288</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194</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149"/>
      <c r="N55" s="6"/>
    </row>
    <row r="56" spans="1:14" ht="15.75">
      <c r="A56" s="27"/>
      <c r="B56" s="28" t="s">
        <v>39</v>
      </c>
      <c r="C56" s="38">
        <v>280068</v>
      </c>
      <c r="D56" s="38">
        <v>327839</v>
      </c>
      <c r="E56" s="38"/>
      <c r="F56" s="38">
        <f>2973+167+2848</f>
        <v>5988</v>
      </c>
      <c r="G56" s="38"/>
      <c r="H56" s="38">
        <f>167+2848</f>
        <v>3015</v>
      </c>
      <c r="I56" s="38"/>
      <c r="J56" s="38">
        <v>0</v>
      </c>
      <c r="K56" s="38"/>
      <c r="L56" s="60">
        <f>D56-F56+H56-J56</f>
        <v>324866</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327839</v>
      </c>
      <c r="E59" s="38"/>
      <c r="F59" s="38">
        <f>SUM(F56:F58)</f>
        <v>5988</v>
      </c>
      <c r="G59" s="38"/>
      <c r="H59" s="38">
        <f>SUM(H56:H58)</f>
        <v>3015</v>
      </c>
      <c r="I59" s="38"/>
      <c r="J59" s="38">
        <f>SUM(J56:J58)</f>
        <v>0</v>
      </c>
      <c r="K59" s="38"/>
      <c r="L59" s="61">
        <f>SUM(L56:L58)</f>
        <v>324866</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327839</v>
      </c>
      <c r="E71" s="38"/>
      <c r="F71" s="61"/>
      <c r="G71" s="38"/>
      <c r="H71" s="61"/>
      <c r="I71" s="38"/>
      <c r="J71" s="61"/>
      <c r="K71" s="38"/>
      <c r="L71" s="61">
        <f>SUM(L59:L70)</f>
        <v>324866</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v>37287</v>
      </c>
      <c r="E75" s="28"/>
      <c r="F75" s="28"/>
      <c r="G75" s="28"/>
      <c r="H75" s="28"/>
      <c r="I75" s="28"/>
      <c r="J75" s="38">
        <v>5988</v>
      </c>
      <c r="K75" s="28"/>
      <c r="L75" s="60"/>
      <c r="M75" s="28"/>
      <c r="N75" s="6"/>
    </row>
    <row r="76" spans="1:14" ht="15.75">
      <c r="A76" s="27"/>
      <c r="B76" s="28" t="s">
        <v>50</v>
      </c>
      <c r="C76" s="28"/>
      <c r="D76" s="28"/>
      <c r="E76" s="28"/>
      <c r="F76" s="28"/>
      <c r="G76" s="28"/>
      <c r="H76" s="28"/>
      <c r="I76" s="28"/>
      <c r="J76" s="38"/>
      <c r="K76" s="28"/>
      <c r="L76" s="60">
        <v>5522</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5988</v>
      </c>
      <c r="K78" s="28"/>
      <c r="L78" s="61">
        <f>SUM(L74:L77)</f>
        <v>5522</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5988</v>
      </c>
      <c r="K80" s="28"/>
      <c r="L80" s="61">
        <f>L78+L79</f>
        <v>5522</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-248-8</f>
        <v>-256</v>
      </c>
      <c r="M84" s="28"/>
      <c r="N84" s="6"/>
    </row>
    <row r="85" spans="1:14" ht="15.75">
      <c r="A85" s="27">
        <v>4</v>
      </c>
      <c r="B85" s="28" t="s">
        <v>59</v>
      </c>
      <c r="C85" s="28"/>
      <c r="D85" s="28"/>
      <c r="E85" s="28"/>
      <c r="F85" s="28"/>
      <c r="G85" s="28"/>
      <c r="H85" s="28"/>
      <c r="I85" s="28"/>
      <c r="J85" s="28"/>
      <c r="K85" s="28"/>
      <c r="L85" s="60">
        <v>-504</v>
      </c>
      <c r="M85" s="28"/>
      <c r="N85" s="6"/>
    </row>
    <row r="86" spans="1:14" ht="15.75">
      <c r="A86" s="27">
        <v>5</v>
      </c>
      <c r="B86" s="28" t="s">
        <v>60</v>
      </c>
      <c r="C86" s="28"/>
      <c r="D86" s="28"/>
      <c r="E86" s="28"/>
      <c r="F86" s="28"/>
      <c r="G86" s="28"/>
      <c r="H86" s="28"/>
      <c r="I86" s="28"/>
      <c r="J86" s="28"/>
      <c r="K86" s="28"/>
      <c r="L86" s="60">
        <v>-3205</v>
      </c>
      <c r="M86" s="28"/>
      <c r="N86" s="6"/>
    </row>
    <row r="87" spans="1:14" ht="15.75">
      <c r="A87" s="27">
        <v>6</v>
      </c>
      <c r="B87" s="28" t="s">
        <v>61</v>
      </c>
      <c r="C87" s="28"/>
      <c r="D87" s="28"/>
      <c r="E87" s="28"/>
      <c r="F87" s="28"/>
      <c r="G87" s="28"/>
      <c r="H87" s="28"/>
      <c r="I87" s="28"/>
      <c r="J87" s="28"/>
      <c r="K87" s="28"/>
      <c r="L87" s="60">
        <v>-415</v>
      </c>
      <c r="M87" s="28"/>
      <c r="N87" s="6"/>
    </row>
    <row r="88" spans="1:14" ht="15.75">
      <c r="A88" s="27">
        <v>7</v>
      </c>
      <c r="B88" s="28" t="s">
        <v>62</v>
      </c>
      <c r="C88" s="28"/>
      <c r="D88" s="28"/>
      <c r="E88" s="28"/>
      <c r="F88" s="28"/>
      <c r="G88" s="28"/>
      <c r="H88" s="28"/>
      <c r="I88" s="28"/>
      <c r="J88" s="28"/>
      <c r="K88" s="28"/>
      <c r="L88" s="60">
        <v>-3</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-158-45</f>
        <v>-203</v>
      </c>
      <c r="M93" s="28"/>
      <c r="N93" s="6"/>
    </row>
    <row r="94" spans="1:14" ht="15.75">
      <c r="A94" s="27">
        <v>13</v>
      </c>
      <c r="B94" s="28" t="s">
        <v>68</v>
      </c>
      <c r="C94" s="28"/>
      <c r="D94" s="28"/>
      <c r="E94" s="28"/>
      <c r="F94" s="28"/>
      <c r="G94" s="28"/>
      <c r="H94" s="28"/>
      <c r="I94" s="28"/>
      <c r="J94" s="28"/>
      <c r="K94" s="28"/>
      <c r="L94" s="60">
        <f>-SUM(L80:L93)</f>
        <v>-931</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-167</v>
      </c>
      <c r="K96" s="38"/>
      <c r="L96" s="60"/>
      <c r="M96" s="28"/>
      <c r="N96" s="6"/>
    </row>
    <row r="97" spans="1:14" ht="15.75">
      <c r="A97" s="27"/>
      <c r="B97" s="28" t="s">
        <v>71</v>
      </c>
      <c r="C97" s="28"/>
      <c r="D97" s="28"/>
      <c r="E97" s="28"/>
      <c r="F97" s="28"/>
      <c r="G97" s="28"/>
      <c r="H97" s="28"/>
      <c r="I97" s="28"/>
      <c r="J97" s="38">
        <f>-H141</f>
        <v>-2848</v>
      </c>
      <c r="K97" s="38"/>
      <c r="L97" s="60"/>
      <c r="M97" s="28"/>
      <c r="N97" s="6"/>
    </row>
    <row r="98" spans="1:14" ht="15.75">
      <c r="A98" s="27"/>
      <c r="B98" s="28" t="s">
        <v>72</v>
      </c>
      <c r="C98" s="28"/>
      <c r="D98" s="28"/>
      <c r="E98" s="28"/>
      <c r="F98" s="28"/>
      <c r="G98" s="28"/>
      <c r="H98" s="28"/>
      <c r="I98" s="28"/>
      <c r="J98" s="38">
        <v>-2973</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-5988</v>
      </c>
      <c r="K100" s="38"/>
      <c r="L100" s="38">
        <f>SUM(L81:L99)</f>
        <v>-5522</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6.5" customHeight="1" thickBot="1">
      <c r="A104" s="119"/>
      <c r="B104" s="120" t="s">
        <v>194</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324866</v>
      </c>
      <c r="M134" s="28"/>
      <c r="N134" s="6"/>
    </row>
    <row r="135" spans="1:14" ht="15.75">
      <c r="A135" s="27"/>
      <c r="B135" s="28" t="s">
        <v>97</v>
      </c>
      <c r="C135" s="73"/>
      <c r="D135" s="28"/>
      <c r="E135" s="28"/>
      <c r="F135" s="28"/>
      <c r="G135" s="28"/>
      <c r="H135" s="28"/>
      <c r="I135" s="28"/>
      <c r="J135" s="28"/>
      <c r="K135" s="28"/>
      <c r="L135" s="60">
        <f>L31</f>
        <v>324866.158</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3589</v>
      </c>
      <c r="I140" s="28"/>
      <c r="J140" s="60">
        <v>526</v>
      </c>
      <c r="K140" s="28"/>
      <c r="L140" s="60">
        <f>J140+H140</f>
        <v>4115</v>
      </c>
      <c r="M140" s="28"/>
      <c r="N140" s="6"/>
    </row>
    <row r="141" spans="1:14" ht="15.75">
      <c r="A141" s="27"/>
      <c r="B141" s="28" t="s">
        <v>101</v>
      </c>
      <c r="C141" s="28"/>
      <c r="D141" s="28"/>
      <c r="E141" s="28"/>
      <c r="F141" s="28"/>
      <c r="G141" s="28"/>
      <c r="H141" s="60">
        <v>2848</v>
      </c>
      <c r="I141" s="28"/>
      <c r="J141" s="60">
        <v>167</v>
      </c>
      <c r="K141" s="28"/>
      <c r="L141" s="60">
        <f>J141+H141</f>
        <v>3015</v>
      </c>
      <c r="M141" s="28"/>
      <c r="N141" s="6"/>
    </row>
    <row r="142" spans="1:14" ht="15.75">
      <c r="A142" s="27"/>
      <c r="B142" s="28" t="s">
        <v>102</v>
      </c>
      <c r="C142" s="28"/>
      <c r="D142" s="28"/>
      <c r="E142" s="28"/>
      <c r="F142" s="28"/>
      <c r="G142" s="28"/>
      <c r="H142" s="60">
        <f>H141+H140</f>
        <v>6437</v>
      </c>
      <c r="I142" s="28"/>
      <c r="J142" s="60">
        <f>J141+J140</f>
        <v>693</v>
      </c>
      <c r="K142" s="28"/>
      <c r="L142" s="60">
        <f>J142+H142</f>
        <v>7130</v>
      </c>
      <c r="M142" s="28"/>
      <c r="N142" s="6"/>
    </row>
    <row r="143" spans="1:14" ht="15.75">
      <c r="A143" s="27"/>
      <c r="B143" s="28" t="s">
        <v>103</v>
      </c>
      <c r="C143" s="28"/>
      <c r="D143" s="28"/>
      <c r="E143" s="28"/>
      <c r="F143" s="28"/>
      <c r="G143" s="28"/>
      <c r="H143" s="60">
        <f>H139-H142-J142</f>
        <v>42870</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1.4842433697347894</v>
      </c>
      <c r="M147" s="28" t="s">
        <v>192</v>
      </c>
      <c r="N147" s="6"/>
    </row>
    <row r="148" spans="1:14" ht="15.75">
      <c r="A148" s="27"/>
      <c r="B148" s="28" t="s">
        <v>106</v>
      </c>
      <c r="C148" s="28"/>
      <c r="D148" s="28"/>
      <c r="E148" s="28"/>
      <c r="F148" s="28"/>
      <c r="G148" s="28"/>
      <c r="H148" s="28"/>
      <c r="I148" s="28"/>
      <c r="J148" s="28"/>
      <c r="K148" s="28"/>
      <c r="L148" s="66">
        <v>1.33</v>
      </c>
      <c r="M148" s="28" t="s">
        <v>192</v>
      </c>
      <c r="N148" s="6"/>
    </row>
    <row r="149" spans="1:14" ht="15.75">
      <c r="A149" s="27"/>
      <c r="B149" s="28" t="s">
        <v>107</v>
      </c>
      <c r="C149" s="28"/>
      <c r="D149" s="28"/>
      <c r="E149" s="28"/>
      <c r="F149" s="28"/>
      <c r="G149" s="28"/>
      <c r="H149" s="28"/>
      <c r="I149" s="28"/>
      <c r="J149" s="28"/>
      <c r="K149" s="28"/>
      <c r="L149" s="66">
        <f>(L80+SUM(L82:L86))/-L87</f>
        <v>3.7397590361445783</v>
      </c>
      <c r="M149" s="28" t="s">
        <v>192</v>
      </c>
      <c r="N149" s="6"/>
    </row>
    <row r="150" spans="1:14" ht="15.75">
      <c r="A150" s="27"/>
      <c r="B150" s="28" t="s">
        <v>108</v>
      </c>
      <c r="C150" s="28"/>
      <c r="D150" s="28"/>
      <c r="E150" s="28"/>
      <c r="F150" s="28"/>
      <c r="G150" s="28"/>
      <c r="H150" s="28"/>
      <c r="I150" s="28"/>
      <c r="J150" s="28"/>
      <c r="K150" s="28"/>
      <c r="L150" s="75">
        <v>2.64</v>
      </c>
      <c r="M150" s="28" t="s">
        <v>192</v>
      </c>
      <c r="N150" s="6"/>
    </row>
    <row r="151" spans="1:14" ht="12.75" customHeight="1">
      <c r="A151" s="27"/>
      <c r="B151" s="28"/>
      <c r="C151" s="28"/>
      <c r="D151" s="28"/>
      <c r="E151" s="28"/>
      <c r="F151" s="28"/>
      <c r="G151" s="28"/>
      <c r="H151" s="28"/>
      <c r="I151" s="28"/>
      <c r="J151" s="28"/>
      <c r="K151" s="28"/>
      <c r="L151" s="28"/>
      <c r="M151" s="28"/>
      <c r="N151" s="6"/>
    </row>
    <row r="152" spans="1:14" ht="13.5" customHeight="1">
      <c r="A152" s="7"/>
      <c r="B152" s="9"/>
      <c r="C152" s="9"/>
      <c r="D152" s="9"/>
      <c r="E152" s="9"/>
      <c r="F152" s="9"/>
      <c r="G152" s="9"/>
      <c r="H152" s="9"/>
      <c r="I152" s="9"/>
      <c r="J152" s="9"/>
      <c r="K152" s="9"/>
      <c r="L152" s="9"/>
      <c r="M152" s="9"/>
      <c r="N152" s="6"/>
    </row>
    <row r="153" spans="1:14" ht="19.5" thickBot="1">
      <c r="A153" s="119"/>
      <c r="B153" s="120" t="s">
        <v>194</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37287</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0.0636</v>
      </c>
      <c r="K160" s="28"/>
      <c r="L160" s="28"/>
      <c r="M160" s="28"/>
      <c r="N160" s="6"/>
    </row>
    <row r="161" spans="1:14" ht="15.75">
      <c r="A161" s="83"/>
      <c r="B161" s="84" t="s">
        <v>114</v>
      </c>
      <c r="C161" s="85"/>
      <c r="D161" s="85"/>
      <c r="E161" s="85"/>
      <c r="F161" s="85"/>
      <c r="G161" s="72"/>
      <c r="H161" s="72"/>
      <c r="I161" s="72"/>
      <c r="J161" s="86">
        <f>L33</f>
        <v>0.043817388684447775</v>
      </c>
      <c r="K161" s="28"/>
      <c r="L161" s="28"/>
      <c r="M161" s="28"/>
      <c r="N161" s="6"/>
    </row>
    <row r="162" spans="1:14" ht="15.75">
      <c r="A162" s="83"/>
      <c r="B162" s="84" t="s">
        <v>115</v>
      </c>
      <c r="C162" s="85"/>
      <c r="D162" s="85"/>
      <c r="E162" s="85"/>
      <c r="F162" s="85"/>
      <c r="G162" s="72"/>
      <c r="H162" s="72"/>
      <c r="I162" s="72"/>
      <c r="J162" s="86">
        <f>J160-J161</f>
        <v>0.01978261131555223</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19.77</v>
      </c>
      <c r="K166" s="28" t="s">
        <v>184</v>
      </c>
      <c r="L166" s="28"/>
      <c r="M166" s="28"/>
      <c r="N166" s="6"/>
    </row>
    <row r="167" spans="1:14" ht="15.75">
      <c r="A167" s="83"/>
      <c r="B167" s="84" t="s">
        <v>120</v>
      </c>
      <c r="C167" s="85"/>
      <c r="D167" s="85"/>
      <c r="E167" s="85"/>
      <c r="F167" s="85"/>
      <c r="G167" s="72"/>
      <c r="H167" s="72"/>
      <c r="I167" s="72"/>
      <c r="J167" s="86">
        <f>F56/'October  2001'!L56</f>
        <v>0.018265063033989243</v>
      </c>
      <c r="K167" s="28"/>
      <c r="L167" s="28"/>
      <c r="M167" s="28"/>
      <c r="N167" s="6"/>
    </row>
    <row r="168" spans="1:14" ht="15.75">
      <c r="A168" s="83"/>
      <c r="B168" s="84" t="s">
        <v>121</v>
      </c>
      <c r="C168" s="85"/>
      <c r="D168" s="85"/>
      <c r="E168" s="85"/>
      <c r="F168" s="85"/>
      <c r="G168" s="72"/>
      <c r="H168" s="72"/>
      <c r="I168" s="72"/>
      <c r="J168" s="86">
        <v>0.0859</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17</v>
      </c>
      <c r="J171" s="95">
        <v>630</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5016</v>
      </c>
      <c r="I186" s="104">
        <f>H186/H191</f>
        <v>0.9879850305298404</v>
      </c>
      <c r="J186" s="60">
        <v>321991</v>
      </c>
      <c r="K186" s="105">
        <f>J186/J191</f>
        <v>0.9911501973121225</v>
      </c>
      <c r="L186" s="89"/>
      <c r="M186" s="98"/>
      <c r="N186" s="6"/>
    </row>
    <row r="187" spans="1:14" ht="15.75">
      <c r="A187" s="27"/>
      <c r="B187" s="61" t="s">
        <v>138</v>
      </c>
      <c r="C187" s="104"/>
      <c r="D187" s="61"/>
      <c r="E187" s="104"/>
      <c r="F187" s="28"/>
      <c r="G187" s="106"/>
      <c r="H187" s="61">
        <v>18</v>
      </c>
      <c r="I187" s="104">
        <f>H187/H191</f>
        <v>0.003545400827260193</v>
      </c>
      <c r="J187" s="60">
        <v>1165</v>
      </c>
      <c r="K187" s="105">
        <f>J187/J191</f>
        <v>0.003586093958739911</v>
      </c>
      <c r="L187" s="89"/>
      <c r="M187" s="98"/>
      <c r="N187" s="6"/>
    </row>
    <row r="188" spans="1:14" ht="15.75">
      <c r="A188" s="27"/>
      <c r="B188" s="61" t="s">
        <v>139</v>
      </c>
      <c r="C188" s="104"/>
      <c r="D188" s="61"/>
      <c r="E188" s="104"/>
      <c r="F188" s="28"/>
      <c r="G188" s="106"/>
      <c r="H188" s="61">
        <v>12</v>
      </c>
      <c r="I188" s="104">
        <f>H188/H191</f>
        <v>0.0023636005515067955</v>
      </c>
      <c r="J188" s="60">
        <v>388</v>
      </c>
      <c r="K188" s="105">
        <f>J188/J191</f>
        <v>0.00119433858883355</v>
      </c>
      <c r="L188" s="89"/>
      <c r="M188" s="98"/>
      <c r="N188" s="6"/>
    </row>
    <row r="189" spans="1:14" ht="15.75">
      <c r="A189" s="27"/>
      <c r="B189" s="61" t="s">
        <v>140</v>
      </c>
      <c r="C189" s="104"/>
      <c r="D189" s="61"/>
      <c r="E189" s="104"/>
      <c r="F189" s="28"/>
      <c r="G189" s="106"/>
      <c r="H189" s="61">
        <f>9+10+2+10</f>
        <v>31</v>
      </c>
      <c r="I189" s="104">
        <f>H189/H191</f>
        <v>0.006105968091392555</v>
      </c>
      <c r="J189" s="60">
        <f>321+385+46+570</f>
        <v>1322</v>
      </c>
      <c r="K189" s="105">
        <f>J189/$J191</f>
        <v>0.004069370140304002</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5077</v>
      </c>
      <c r="I191" s="108">
        <f>SUM(I186:I190)</f>
        <v>0.9999999999999999</v>
      </c>
      <c r="J191" s="60">
        <f>SUM(J186:J190)</f>
        <v>324866</v>
      </c>
      <c r="K191" s="108">
        <f>SUM(K186:K190)</f>
        <v>0.9999999999999999</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
        <v>194</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4.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3359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37398</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0.950543</v>
      </c>
      <c r="D30" s="35"/>
      <c r="E30" s="36"/>
      <c r="F30" s="35">
        <f>306000*C30</f>
        <v>290866.158</v>
      </c>
      <c r="G30" s="35"/>
      <c r="H30" s="35">
        <v>34000</v>
      </c>
      <c r="I30" s="35"/>
      <c r="J30" s="35"/>
      <c r="K30" s="37"/>
      <c r="L30" s="35">
        <f>H30+F30</f>
        <v>324866.158</v>
      </c>
      <c r="M30" s="38"/>
      <c r="N30" s="6"/>
    </row>
    <row r="31" spans="1:14" ht="12.75" customHeight="1">
      <c r="A31" s="32"/>
      <c r="B31" s="33" t="s">
        <v>20</v>
      </c>
      <c r="C31" s="40">
        <v>0.927445</v>
      </c>
      <c r="D31" s="41"/>
      <c r="E31" s="42"/>
      <c r="F31" s="41">
        <f>F29*C31</f>
        <v>283798.17</v>
      </c>
      <c r="G31" s="41"/>
      <c r="H31" s="41">
        <f>H29</f>
        <v>34000</v>
      </c>
      <c r="I31" s="41"/>
      <c r="J31" s="41"/>
      <c r="K31" s="43"/>
      <c r="L31" s="41">
        <f>H31+F31+D31</f>
        <v>317798.17</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0.0432</v>
      </c>
      <c r="G33" s="46"/>
      <c r="H33" s="45">
        <v>0.0484</v>
      </c>
      <c r="I33" s="46"/>
      <c r="J33" s="45"/>
      <c r="K33" s="31"/>
      <c r="L33" s="46">
        <f>SUMPRODUCT(F33:H33,F30:H30)/L30</f>
        <v>0.04374422412321569</v>
      </c>
      <c r="M33" s="28"/>
      <c r="N33" s="6"/>
    </row>
    <row r="34" spans="1:14" ht="15.75">
      <c r="A34" s="27"/>
      <c r="B34" s="28" t="s">
        <v>23</v>
      </c>
      <c r="C34" s="28"/>
      <c r="D34" s="45"/>
      <c r="E34" s="28"/>
      <c r="F34" s="45">
        <v>0.0432781</v>
      </c>
      <c r="G34" s="46"/>
      <c r="H34" s="45">
        <v>0.0484781</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28"/>
      <c r="I39" s="28"/>
      <c r="J39" s="28"/>
      <c r="K39" s="28"/>
      <c r="L39" s="46">
        <f>H29/F29</f>
        <v>0.1111111111111111</v>
      </c>
      <c r="M39" s="28"/>
      <c r="N39" s="6"/>
    </row>
    <row r="40" spans="1:14" ht="15.75">
      <c r="A40" s="27"/>
      <c r="B40" s="28" t="s">
        <v>28</v>
      </c>
      <c r="C40" s="28"/>
      <c r="D40" s="28"/>
      <c r="E40" s="28"/>
      <c r="F40" s="28"/>
      <c r="G40" s="28"/>
      <c r="H40" s="28"/>
      <c r="I40" s="28"/>
      <c r="J40" s="28"/>
      <c r="K40" s="28"/>
      <c r="L40" s="46">
        <f>H31/F31</f>
        <v>0.11980345045917669</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37383</v>
      </c>
      <c r="M44" s="28"/>
      <c r="N44" s="6"/>
    </row>
    <row r="45" spans="1:14" ht="15.75">
      <c r="A45" s="27"/>
      <c r="B45" s="28" t="s">
        <v>32</v>
      </c>
      <c r="C45" s="28"/>
      <c r="D45" s="28"/>
      <c r="E45" s="28"/>
      <c r="F45" s="28"/>
      <c r="G45" s="28"/>
      <c r="H45" s="28"/>
      <c r="I45" s="28">
        <f>L45-J45+1</f>
        <v>92</v>
      </c>
      <c r="J45" s="53">
        <v>37202</v>
      </c>
      <c r="K45" s="52"/>
      <c r="L45" s="53">
        <v>37293</v>
      </c>
      <c r="M45" s="28"/>
      <c r="N45" s="6"/>
    </row>
    <row r="46" spans="1:14" ht="15.75">
      <c r="A46" s="27"/>
      <c r="B46" s="28" t="s">
        <v>33</v>
      </c>
      <c r="C46" s="28"/>
      <c r="D46" s="28"/>
      <c r="E46" s="28"/>
      <c r="F46" s="28"/>
      <c r="G46" s="28"/>
      <c r="H46" s="28"/>
      <c r="I46" s="28">
        <f>L46-J46+1</f>
        <v>89</v>
      </c>
      <c r="J46" s="53">
        <v>37294</v>
      </c>
      <c r="K46" s="52"/>
      <c r="L46" s="53">
        <v>37382</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37377</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195</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s="140" customFormat="1" ht="63">
      <c r="A55" s="134"/>
      <c r="B55" s="135" t="s">
        <v>38</v>
      </c>
      <c r="C55" s="136" t="s">
        <v>146</v>
      </c>
      <c r="D55" s="136" t="s">
        <v>148</v>
      </c>
      <c r="E55" s="136"/>
      <c r="F55" s="136" t="s">
        <v>159</v>
      </c>
      <c r="G55" s="136"/>
      <c r="H55" s="136" t="s">
        <v>169</v>
      </c>
      <c r="I55" s="136"/>
      <c r="J55" s="136" t="s">
        <v>176</v>
      </c>
      <c r="K55" s="136"/>
      <c r="L55" s="137" t="s">
        <v>188</v>
      </c>
      <c r="M55" s="138"/>
      <c r="N55" s="139"/>
    </row>
    <row r="56" spans="1:14" ht="15.75">
      <c r="A56" s="27"/>
      <c r="B56" s="28" t="s">
        <v>39</v>
      </c>
      <c r="C56" s="38">
        <v>280068</v>
      </c>
      <c r="D56" s="38">
        <v>324866</v>
      </c>
      <c r="E56" s="38"/>
      <c r="F56" s="38">
        <f>7068+62+2829</f>
        <v>9959</v>
      </c>
      <c r="G56" s="38"/>
      <c r="H56" s="38">
        <f>62+2829</f>
        <v>2891</v>
      </c>
      <c r="I56" s="38"/>
      <c r="J56" s="38">
        <v>0</v>
      </c>
      <c r="K56" s="38"/>
      <c r="L56" s="60">
        <f>D56-F56+H56-J56</f>
        <v>317798</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324866</v>
      </c>
      <c r="E59" s="38"/>
      <c r="F59" s="38">
        <f>SUM(F56:F58)</f>
        <v>9959</v>
      </c>
      <c r="G59" s="38"/>
      <c r="H59" s="38">
        <f>SUM(H56:H58)</f>
        <v>2891</v>
      </c>
      <c r="I59" s="38"/>
      <c r="J59" s="38">
        <f>SUM(J56:J58)</f>
        <v>0</v>
      </c>
      <c r="K59" s="38"/>
      <c r="L59" s="61">
        <f>SUM(L56:L58)</f>
        <v>317798</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324866</v>
      </c>
      <c r="E71" s="38"/>
      <c r="F71" s="61"/>
      <c r="G71" s="38"/>
      <c r="H71" s="61"/>
      <c r="I71" s="38"/>
      <c r="J71" s="61"/>
      <c r="K71" s="38"/>
      <c r="L71" s="61">
        <f>SUM(L59:L70)</f>
        <v>317798</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37376</v>
      </c>
      <c r="E75" s="28"/>
      <c r="F75" s="28"/>
      <c r="G75" s="28"/>
      <c r="H75" s="28"/>
      <c r="I75" s="28"/>
      <c r="J75" s="38">
        <v>9959</v>
      </c>
      <c r="K75" s="28"/>
      <c r="L75" s="60"/>
      <c r="M75" s="28"/>
      <c r="N75" s="6"/>
    </row>
    <row r="76" spans="1:14" ht="15.75">
      <c r="A76" s="27"/>
      <c r="B76" s="28" t="s">
        <v>50</v>
      </c>
      <c r="C76" s="28"/>
      <c r="D76" s="28"/>
      <c r="E76" s="28"/>
      <c r="F76" s="28"/>
      <c r="G76" s="28"/>
      <c r="H76" s="28"/>
      <c r="I76" s="28"/>
      <c r="J76" s="38"/>
      <c r="K76" s="28"/>
      <c r="L76" s="60">
        <f>5433-23</f>
        <v>5410</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9959</v>
      </c>
      <c r="K78" s="28"/>
      <c r="L78" s="61">
        <f>SUM(L74:L77)</f>
        <v>5410</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9959</v>
      </c>
      <c r="K80" s="28"/>
      <c r="L80" s="61">
        <f>L78+L79</f>
        <v>5410</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-238-8</f>
        <v>-246</v>
      </c>
      <c r="M84" s="28"/>
      <c r="N84" s="6"/>
    </row>
    <row r="85" spans="1:14" ht="15.75">
      <c r="A85" s="27">
        <v>4</v>
      </c>
      <c r="B85" s="28" t="s">
        <v>59</v>
      </c>
      <c r="C85" s="28"/>
      <c r="D85" s="28"/>
      <c r="E85" s="28"/>
      <c r="F85" s="28"/>
      <c r="G85" s="28"/>
      <c r="H85" s="28"/>
      <c r="I85" s="28"/>
      <c r="J85" s="28"/>
      <c r="K85" s="28"/>
      <c r="L85" s="60">
        <v>-489</v>
      </c>
      <c r="M85" s="28"/>
      <c r="N85" s="6"/>
    </row>
    <row r="86" spans="1:14" ht="15.75">
      <c r="A86" s="27">
        <v>5</v>
      </c>
      <c r="B86" s="28" t="s">
        <v>60</v>
      </c>
      <c r="C86" s="28"/>
      <c r="D86" s="28"/>
      <c r="E86" s="28"/>
      <c r="F86" s="28"/>
      <c r="G86" s="28"/>
      <c r="H86" s="28"/>
      <c r="I86" s="28"/>
      <c r="J86" s="28"/>
      <c r="K86" s="28"/>
      <c r="L86" s="60">
        <v>-3063</v>
      </c>
      <c r="M86" s="28"/>
      <c r="N86" s="6"/>
    </row>
    <row r="87" spans="1:14" ht="15.75">
      <c r="A87" s="27">
        <v>6</v>
      </c>
      <c r="B87" s="28" t="s">
        <v>61</v>
      </c>
      <c r="C87" s="28"/>
      <c r="D87" s="28"/>
      <c r="E87" s="28"/>
      <c r="F87" s="28"/>
      <c r="G87" s="28"/>
      <c r="H87" s="28"/>
      <c r="I87" s="28"/>
      <c r="J87" s="28"/>
      <c r="K87" s="28"/>
      <c r="L87" s="60">
        <v>-401</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-158-40</f>
        <v>-198</v>
      </c>
      <c r="M93" s="28"/>
      <c r="N93" s="6"/>
    </row>
    <row r="94" spans="1:14" ht="15.75">
      <c r="A94" s="27">
        <v>13</v>
      </c>
      <c r="B94" s="28" t="s">
        <v>68</v>
      </c>
      <c r="C94" s="28"/>
      <c r="D94" s="28"/>
      <c r="E94" s="28"/>
      <c r="F94" s="28"/>
      <c r="G94" s="28"/>
      <c r="H94" s="28"/>
      <c r="I94" s="28"/>
      <c r="J94" s="28"/>
      <c r="K94" s="28"/>
      <c r="L94" s="60">
        <f>-SUM(L80:L93)</f>
        <v>-1003</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-62</v>
      </c>
      <c r="K96" s="38"/>
      <c r="L96" s="60"/>
      <c r="M96" s="28"/>
      <c r="N96" s="6"/>
    </row>
    <row r="97" spans="1:14" ht="15.75">
      <c r="A97" s="27"/>
      <c r="B97" s="28" t="s">
        <v>71</v>
      </c>
      <c r="C97" s="28"/>
      <c r="D97" s="28"/>
      <c r="E97" s="28"/>
      <c r="F97" s="28"/>
      <c r="G97" s="28"/>
      <c r="H97" s="28"/>
      <c r="I97" s="28"/>
      <c r="J97" s="38">
        <f>-H141</f>
        <v>-2829</v>
      </c>
      <c r="K97" s="38"/>
      <c r="L97" s="60"/>
      <c r="M97" s="28"/>
      <c r="N97" s="6"/>
    </row>
    <row r="98" spans="1:14" ht="15.75">
      <c r="A98" s="27"/>
      <c r="B98" s="28" t="s">
        <v>72</v>
      </c>
      <c r="C98" s="28"/>
      <c r="D98" s="28"/>
      <c r="E98" s="28"/>
      <c r="F98" s="28"/>
      <c r="G98" s="28"/>
      <c r="H98" s="28"/>
      <c r="I98" s="28"/>
      <c r="J98" s="38">
        <v>-7068</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-9959</v>
      </c>
      <c r="K100" s="38"/>
      <c r="L100" s="38">
        <f>SUM(L81:L99)</f>
        <v>-5410</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
        <v>195</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317798</v>
      </c>
      <c r="M134" s="28"/>
      <c r="N134" s="6"/>
    </row>
    <row r="135" spans="1:14" ht="15.75">
      <c r="A135" s="27"/>
      <c r="B135" s="28" t="s">
        <v>97</v>
      </c>
      <c r="C135" s="73"/>
      <c r="D135" s="28"/>
      <c r="E135" s="28"/>
      <c r="F135" s="28"/>
      <c r="G135" s="28"/>
      <c r="H135" s="28"/>
      <c r="I135" s="28"/>
      <c r="J135" s="28"/>
      <c r="K135" s="28"/>
      <c r="L135" s="60">
        <f>L31</f>
        <v>317798.17</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6437</v>
      </c>
      <c r="I140" s="28"/>
      <c r="J140" s="60">
        <v>693</v>
      </c>
      <c r="K140" s="28"/>
      <c r="L140" s="60">
        <f>J140+H140</f>
        <v>7130</v>
      </c>
      <c r="M140" s="28"/>
      <c r="N140" s="6"/>
    </row>
    <row r="141" spans="1:14" ht="15.75">
      <c r="A141" s="27"/>
      <c r="B141" s="28" t="s">
        <v>101</v>
      </c>
      <c r="C141" s="28"/>
      <c r="D141" s="28"/>
      <c r="E141" s="28"/>
      <c r="F141" s="28"/>
      <c r="G141" s="28"/>
      <c r="H141" s="60">
        <v>2829</v>
      </c>
      <c r="I141" s="28"/>
      <c r="J141" s="60">
        <v>62</v>
      </c>
      <c r="K141" s="28"/>
      <c r="L141" s="60">
        <f>J141+H141</f>
        <v>2891</v>
      </c>
      <c r="M141" s="28"/>
      <c r="N141" s="6"/>
    </row>
    <row r="142" spans="1:14" ht="15.75">
      <c r="A142" s="27"/>
      <c r="B142" s="28" t="s">
        <v>102</v>
      </c>
      <c r="C142" s="28"/>
      <c r="D142" s="28"/>
      <c r="E142" s="28"/>
      <c r="F142" s="28"/>
      <c r="G142" s="28"/>
      <c r="H142" s="60">
        <f>H141+H140</f>
        <v>9266</v>
      </c>
      <c r="I142" s="28"/>
      <c r="J142" s="60">
        <f>J141+J140</f>
        <v>755</v>
      </c>
      <c r="K142" s="28"/>
      <c r="L142" s="60">
        <f>J142+H142</f>
        <v>10021</v>
      </c>
      <c r="M142" s="28"/>
      <c r="N142" s="6"/>
    </row>
    <row r="143" spans="1:14" ht="15.75">
      <c r="A143" s="27"/>
      <c r="B143" s="28" t="s">
        <v>103</v>
      </c>
      <c r="C143" s="28"/>
      <c r="D143" s="28"/>
      <c r="E143" s="28"/>
      <c r="F143" s="28"/>
      <c r="G143" s="28"/>
      <c r="H143" s="60">
        <f>H139-H142-J142</f>
        <v>39979</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1.524649036891936</v>
      </c>
      <c r="M147" s="28" t="s">
        <v>192</v>
      </c>
      <c r="N147" s="6"/>
    </row>
    <row r="148" spans="1:14" ht="15.75">
      <c r="A148" s="27"/>
      <c r="B148" s="28" t="s">
        <v>106</v>
      </c>
      <c r="C148" s="28"/>
      <c r="D148" s="28"/>
      <c r="E148" s="28"/>
      <c r="F148" s="28"/>
      <c r="G148" s="28"/>
      <c r="H148" s="28"/>
      <c r="I148" s="28"/>
      <c r="J148" s="28"/>
      <c r="K148" s="28"/>
      <c r="L148" s="66">
        <v>1.37</v>
      </c>
      <c r="M148" s="28" t="s">
        <v>192</v>
      </c>
      <c r="N148" s="6"/>
    </row>
    <row r="149" spans="1:14" ht="15.75">
      <c r="A149" s="27"/>
      <c r="B149" s="28" t="s">
        <v>107</v>
      </c>
      <c r="C149" s="28"/>
      <c r="D149" s="28"/>
      <c r="E149" s="28"/>
      <c r="F149" s="28"/>
      <c r="G149" s="28"/>
      <c r="H149" s="28"/>
      <c r="I149" s="28"/>
      <c r="J149" s="28"/>
      <c r="K149" s="28"/>
      <c r="L149" s="66">
        <f>(L80+SUM(L82:L86))/-L87</f>
        <v>4.007481296758105</v>
      </c>
      <c r="M149" s="28" t="s">
        <v>192</v>
      </c>
      <c r="N149" s="6"/>
    </row>
    <row r="150" spans="1:14" ht="15.75">
      <c r="A150" s="27"/>
      <c r="B150" s="28" t="s">
        <v>108</v>
      </c>
      <c r="C150" s="28"/>
      <c r="D150" s="28"/>
      <c r="E150" s="28"/>
      <c r="F150" s="28"/>
      <c r="G150" s="28"/>
      <c r="H150" s="28"/>
      <c r="I150" s="28"/>
      <c r="J150" s="28"/>
      <c r="K150" s="28"/>
      <c r="L150" s="75">
        <v>2.93</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
        <v>195</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37376</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0.0636</v>
      </c>
      <c r="K160" s="28"/>
      <c r="L160" s="28"/>
      <c r="M160" s="28"/>
      <c r="N160" s="6"/>
    </row>
    <row r="161" spans="1:14" ht="15.75">
      <c r="A161" s="83"/>
      <c r="B161" s="84" t="s">
        <v>114</v>
      </c>
      <c r="C161" s="85"/>
      <c r="D161" s="85"/>
      <c r="E161" s="85"/>
      <c r="F161" s="85"/>
      <c r="G161" s="72"/>
      <c r="H161" s="72"/>
      <c r="I161" s="72"/>
      <c r="J161" s="86">
        <f>L33</f>
        <v>0.04374422412321569</v>
      </c>
      <c r="K161" s="28"/>
      <c r="L161" s="28"/>
      <c r="M161" s="28"/>
      <c r="N161" s="6"/>
    </row>
    <row r="162" spans="1:14" ht="15.75">
      <c r="A162" s="83"/>
      <c r="B162" s="84" t="s">
        <v>115</v>
      </c>
      <c r="C162" s="85"/>
      <c r="D162" s="85"/>
      <c r="E162" s="85"/>
      <c r="F162" s="85"/>
      <c r="G162" s="72"/>
      <c r="H162" s="72"/>
      <c r="I162" s="72"/>
      <c r="J162" s="86">
        <f>J160-J161</f>
        <v>0.01985577587678431</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19.53</v>
      </c>
      <c r="K166" s="28" t="s">
        <v>184</v>
      </c>
      <c r="L166" s="28"/>
      <c r="M166" s="28"/>
      <c r="N166" s="6"/>
    </row>
    <row r="167" spans="1:14" ht="15.75">
      <c r="A167" s="83"/>
      <c r="B167" s="84" t="s">
        <v>120</v>
      </c>
      <c r="C167" s="85"/>
      <c r="D167" s="85"/>
      <c r="E167" s="85"/>
      <c r="F167" s="85"/>
      <c r="G167" s="72"/>
      <c r="H167" s="72"/>
      <c r="I167" s="72"/>
      <c r="J167" s="86">
        <f>F56/'Jan 2002'!L56</f>
        <v>0.030655716510807535</v>
      </c>
      <c r="K167" s="28"/>
      <c r="L167" s="28"/>
      <c r="M167" s="28"/>
      <c r="N167" s="6"/>
    </row>
    <row r="168" spans="1:14" ht="15.75">
      <c r="A168" s="83"/>
      <c r="B168" s="84" t="s">
        <v>121</v>
      </c>
      <c r="C168" s="85"/>
      <c r="D168" s="85"/>
      <c r="E168" s="85"/>
      <c r="F168" s="85"/>
      <c r="G168" s="72"/>
      <c r="H168" s="72"/>
      <c r="I168" s="72"/>
      <c r="J168" s="86">
        <v>0.0939</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20</v>
      </c>
      <c r="J171" s="95">
        <v>756</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4880</v>
      </c>
      <c r="I186" s="104">
        <f>H186/H191</f>
        <v>0.9880542619963555</v>
      </c>
      <c r="J186" s="60">
        <v>315528</v>
      </c>
      <c r="K186" s="105">
        <f>J186/J191</f>
        <v>0.9928570979049585</v>
      </c>
      <c r="L186" s="89"/>
      <c r="M186" s="98"/>
      <c r="N186" s="6"/>
    </row>
    <row r="187" spans="1:14" ht="15.75">
      <c r="A187" s="27"/>
      <c r="B187" s="61" t="s">
        <v>138</v>
      </c>
      <c r="C187" s="104"/>
      <c r="D187" s="61"/>
      <c r="E187" s="104"/>
      <c r="F187" s="28"/>
      <c r="G187" s="106"/>
      <c r="H187" s="61">
        <v>15</v>
      </c>
      <c r="I187" s="104">
        <f>H187/H191</f>
        <v>0.003037052034824863</v>
      </c>
      <c r="J187" s="60">
        <v>492</v>
      </c>
      <c r="K187" s="105">
        <f>J187/J191</f>
        <v>0.0015481532294098768</v>
      </c>
      <c r="L187" s="89"/>
      <c r="M187" s="98"/>
      <c r="N187" s="6"/>
    </row>
    <row r="188" spans="1:14" ht="15.75">
      <c r="A188" s="27"/>
      <c r="B188" s="61" t="s">
        <v>139</v>
      </c>
      <c r="C188" s="104"/>
      <c r="D188" s="61"/>
      <c r="E188" s="104"/>
      <c r="F188" s="28"/>
      <c r="G188" s="106"/>
      <c r="H188" s="61">
        <v>15</v>
      </c>
      <c r="I188" s="104">
        <f>H188/H191</f>
        <v>0.003037052034824863</v>
      </c>
      <c r="J188" s="60">
        <v>523</v>
      </c>
      <c r="K188" s="105">
        <f>J188/J191</f>
        <v>0.0016456994694743201</v>
      </c>
      <c r="L188" s="89"/>
      <c r="M188" s="98"/>
      <c r="N188" s="6"/>
    </row>
    <row r="189" spans="1:14" ht="15.75">
      <c r="A189" s="27"/>
      <c r="B189" s="61" t="s">
        <v>140</v>
      </c>
      <c r="C189" s="104"/>
      <c r="D189" s="61"/>
      <c r="E189" s="104"/>
      <c r="F189" s="28"/>
      <c r="G189" s="106"/>
      <c r="H189" s="61">
        <f>8+8+2+11</f>
        <v>29</v>
      </c>
      <c r="I189" s="104">
        <f>H189/H191</f>
        <v>0.005871633933994736</v>
      </c>
      <c r="J189" s="60">
        <f>288+253+179+535</f>
        <v>1255</v>
      </c>
      <c r="K189" s="105">
        <f>J189/$J191</f>
        <v>0.003949049396157307</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4939</v>
      </c>
      <c r="I191" s="108">
        <f>SUM(I186:I190)</f>
        <v>0.9999999999999999</v>
      </c>
      <c r="J191" s="60">
        <f>SUM(J186:J190)</f>
        <v>317798</v>
      </c>
      <c r="K191" s="108">
        <f>SUM(K186:K190)</f>
        <v>1</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
        <v>195</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5.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99609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37484</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0.927445</v>
      </c>
      <c r="D30" s="35"/>
      <c r="E30" s="36"/>
      <c r="F30" s="35">
        <f>306000*C30</f>
        <v>283798.17</v>
      </c>
      <c r="G30" s="35"/>
      <c r="H30" s="35">
        <v>34000</v>
      </c>
      <c r="I30" s="35"/>
      <c r="J30" s="35"/>
      <c r="K30" s="37"/>
      <c r="L30" s="35">
        <f>H30+F30</f>
        <v>317798.17</v>
      </c>
      <c r="M30" s="38"/>
      <c r="N30" s="6"/>
    </row>
    <row r="31" spans="1:14" ht="12.75" customHeight="1">
      <c r="A31" s="32"/>
      <c r="B31" s="33" t="s">
        <v>20</v>
      </c>
      <c r="C31" s="40">
        <v>0.90205</v>
      </c>
      <c r="D31" s="41"/>
      <c r="E31" s="42"/>
      <c r="F31" s="41">
        <f>F29*C31</f>
        <v>276027.3</v>
      </c>
      <c r="G31" s="41"/>
      <c r="H31" s="41">
        <f>H29</f>
        <v>34000</v>
      </c>
      <c r="I31" s="41"/>
      <c r="J31" s="41"/>
      <c r="K31" s="43"/>
      <c r="L31" s="41">
        <f>H31+F31+D31</f>
        <v>310027.3</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0.044125</v>
      </c>
      <c r="G33" s="46"/>
      <c r="H33" s="45">
        <v>0.049325</v>
      </c>
      <c r="I33" s="46"/>
      <c r="J33" s="45"/>
      <c r="K33" s="31"/>
      <c r="L33" s="46">
        <f>SUMPRODUCT(F33:H33,F30:H30)/L30</f>
        <v>0.0446813279360608</v>
      </c>
      <c r="M33" s="28"/>
      <c r="N33" s="6"/>
    </row>
    <row r="34" spans="1:14" ht="15.75">
      <c r="A34" s="27"/>
      <c r="B34" s="28" t="s">
        <v>23</v>
      </c>
      <c r="C34" s="28"/>
      <c r="D34" s="45"/>
      <c r="E34" s="28"/>
      <c r="F34" s="45">
        <v>0.0432</v>
      </c>
      <c r="G34" s="46"/>
      <c r="H34" s="45">
        <v>0.0484</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0.12317622206209314</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37475</v>
      </c>
      <c r="M44" s="28"/>
      <c r="N44" s="6"/>
    </row>
    <row r="45" spans="1:14" ht="15.75">
      <c r="A45" s="27"/>
      <c r="B45" s="28" t="s">
        <v>32</v>
      </c>
      <c r="C45" s="28"/>
      <c r="D45" s="28"/>
      <c r="E45" s="28"/>
      <c r="F45" s="28"/>
      <c r="G45" s="28"/>
      <c r="H45" s="28"/>
      <c r="I45" s="28">
        <f>L45-J45+1</f>
        <v>89</v>
      </c>
      <c r="J45" s="53">
        <v>37294</v>
      </c>
      <c r="K45" s="52"/>
      <c r="L45" s="53">
        <v>37382</v>
      </c>
      <c r="M45" s="28"/>
      <c r="N45" s="6"/>
    </row>
    <row r="46" spans="1:14" ht="15.75">
      <c r="A46" s="27"/>
      <c r="B46" s="28" t="s">
        <v>33</v>
      </c>
      <c r="C46" s="28"/>
      <c r="D46" s="28"/>
      <c r="E46" s="28"/>
      <c r="F46" s="28"/>
      <c r="G46" s="28"/>
      <c r="H46" s="28"/>
      <c r="I46" s="28">
        <f>L46-J46+1</f>
        <v>92</v>
      </c>
      <c r="J46" s="53">
        <v>37383</v>
      </c>
      <c r="K46" s="52"/>
      <c r="L46" s="53">
        <v>37474</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37469</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196</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317798</v>
      </c>
      <c r="E56" s="38"/>
      <c r="F56" s="38">
        <f>7771+36+4002</f>
        <v>11809</v>
      </c>
      <c r="G56" s="38"/>
      <c r="H56" s="38">
        <f>4002+36</f>
        <v>4038</v>
      </c>
      <c r="I56" s="38"/>
      <c r="J56" s="38">
        <v>0</v>
      </c>
      <c r="K56" s="38"/>
      <c r="L56" s="60">
        <f>D56-F56+H56-J56</f>
        <v>310027</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317798</v>
      </c>
      <c r="E59" s="38"/>
      <c r="F59" s="38">
        <f>SUM(F56:F58)</f>
        <v>11809</v>
      </c>
      <c r="G59" s="38"/>
      <c r="H59" s="38">
        <f>SUM(H56:H58)</f>
        <v>4038</v>
      </c>
      <c r="I59" s="38"/>
      <c r="J59" s="38">
        <f>SUM(J56:J58)</f>
        <v>0</v>
      </c>
      <c r="K59" s="38"/>
      <c r="L59" s="61">
        <f>SUM(L56:L58)</f>
        <v>310027</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317798</v>
      </c>
      <c r="E71" s="38"/>
      <c r="F71" s="61"/>
      <c r="G71" s="38"/>
      <c r="H71" s="61"/>
      <c r="I71" s="38"/>
      <c r="J71" s="61"/>
      <c r="K71" s="38"/>
      <c r="L71" s="61">
        <f>SUM(L59:L70)</f>
        <v>310027</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37468</v>
      </c>
      <c r="E75" s="28"/>
      <c r="F75" s="28"/>
      <c r="G75" s="28"/>
      <c r="H75" s="28"/>
      <c r="I75" s="28"/>
      <c r="J75" s="38">
        <v>11809</v>
      </c>
      <c r="K75" s="28"/>
      <c r="L75" s="60"/>
      <c r="M75" s="28"/>
      <c r="N75" s="6"/>
    </row>
    <row r="76" spans="1:14" ht="15.75">
      <c r="A76" s="27"/>
      <c r="B76" s="28" t="s">
        <v>50</v>
      </c>
      <c r="C76" s="28"/>
      <c r="D76" s="28"/>
      <c r="E76" s="28"/>
      <c r="F76" s="28"/>
      <c r="G76" s="28"/>
      <c r="H76" s="28"/>
      <c r="I76" s="28"/>
      <c r="J76" s="38"/>
      <c r="K76" s="28"/>
      <c r="L76" s="60">
        <f>5298-15</f>
        <v>5283</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11809</v>
      </c>
      <c r="K78" s="28"/>
      <c r="L78" s="61">
        <f>SUM(L74:L77)</f>
        <v>5283</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11809</v>
      </c>
      <c r="K80" s="28"/>
      <c r="L80" s="61">
        <f>L78+L79</f>
        <v>5283</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-225-8</f>
        <v>-233</v>
      </c>
      <c r="M84" s="28"/>
      <c r="N84" s="6"/>
    </row>
    <row r="85" spans="1:14" ht="15.75">
      <c r="A85" s="27">
        <v>4</v>
      </c>
      <c r="B85" s="28" t="s">
        <v>59</v>
      </c>
      <c r="C85" s="28"/>
      <c r="D85" s="28"/>
      <c r="E85" s="28"/>
      <c r="F85" s="28"/>
      <c r="G85" s="28"/>
      <c r="H85" s="28"/>
      <c r="I85" s="28"/>
      <c r="J85" s="28"/>
      <c r="K85" s="28"/>
      <c r="L85" s="60">
        <v>-482</v>
      </c>
      <c r="M85" s="28"/>
      <c r="N85" s="6"/>
    </row>
    <row r="86" spans="1:14" ht="15.75">
      <c r="A86" s="27">
        <v>5</v>
      </c>
      <c r="B86" s="28" t="s">
        <v>60</v>
      </c>
      <c r="C86" s="28"/>
      <c r="D86" s="28"/>
      <c r="E86" s="28"/>
      <c r="F86" s="28"/>
      <c r="G86" s="28"/>
      <c r="H86" s="28"/>
      <c r="I86" s="28"/>
      <c r="J86" s="28"/>
      <c r="K86" s="28"/>
      <c r="L86" s="60">
        <v>-3156</v>
      </c>
      <c r="M86" s="28"/>
      <c r="N86" s="6"/>
    </row>
    <row r="87" spans="1:14" ht="15.75">
      <c r="A87" s="27">
        <v>6</v>
      </c>
      <c r="B87" s="28" t="s">
        <v>61</v>
      </c>
      <c r="C87" s="28"/>
      <c r="D87" s="28"/>
      <c r="E87" s="28"/>
      <c r="F87" s="28"/>
      <c r="G87" s="28"/>
      <c r="H87" s="28"/>
      <c r="I87" s="28"/>
      <c r="J87" s="28"/>
      <c r="K87" s="28"/>
      <c r="L87" s="60">
        <v>-423</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-40-162</f>
        <v>-202</v>
      </c>
      <c r="M93" s="28"/>
      <c r="N93" s="6"/>
    </row>
    <row r="94" spans="1:14" ht="15.75">
      <c r="A94" s="27">
        <v>13</v>
      </c>
      <c r="B94" s="28" t="s">
        <v>68</v>
      </c>
      <c r="C94" s="28"/>
      <c r="D94" s="28"/>
      <c r="E94" s="28"/>
      <c r="F94" s="28"/>
      <c r="G94" s="28"/>
      <c r="H94" s="28"/>
      <c r="I94" s="28"/>
      <c r="J94" s="28"/>
      <c r="K94" s="28"/>
      <c r="L94" s="60">
        <f>-SUM(L80:L93)</f>
        <v>-777</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-36</v>
      </c>
      <c r="K96" s="38"/>
      <c r="L96" s="60"/>
      <c r="M96" s="28"/>
      <c r="N96" s="6"/>
    </row>
    <row r="97" spans="1:14" ht="15.75">
      <c r="A97" s="27"/>
      <c r="B97" s="28" t="s">
        <v>71</v>
      </c>
      <c r="C97" s="28"/>
      <c r="D97" s="28"/>
      <c r="E97" s="28"/>
      <c r="F97" s="28"/>
      <c r="G97" s="28"/>
      <c r="H97" s="28"/>
      <c r="I97" s="28"/>
      <c r="J97" s="38">
        <f>-H141</f>
        <v>-4002</v>
      </c>
      <c r="K97" s="38"/>
      <c r="L97" s="60"/>
      <c r="M97" s="28"/>
      <c r="N97" s="6"/>
    </row>
    <row r="98" spans="1:14" ht="15.75">
      <c r="A98" s="27"/>
      <c r="B98" s="28" t="s">
        <v>72</v>
      </c>
      <c r="C98" s="28"/>
      <c r="D98" s="28"/>
      <c r="E98" s="28"/>
      <c r="F98" s="28"/>
      <c r="G98" s="28"/>
      <c r="H98" s="28"/>
      <c r="I98" s="28"/>
      <c r="J98" s="38">
        <v>-7771</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-11809</v>
      </c>
      <c r="K100" s="38"/>
      <c r="L100" s="38">
        <f>SUM(L81:L99)</f>
        <v>-5283</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
        <v>196</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310027</v>
      </c>
      <c r="M134" s="28"/>
      <c r="N134" s="6"/>
    </row>
    <row r="135" spans="1:14" ht="15.75">
      <c r="A135" s="27"/>
      <c r="B135" s="28" t="s">
        <v>97</v>
      </c>
      <c r="C135" s="73"/>
      <c r="D135" s="28"/>
      <c r="E135" s="28"/>
      <c r="F135" s="28"/>
      <c r="G135" s="28"/>
      <c r="H135" s="28"/>
      <c r="I135" s="28"/>
      <c r="J135" s="28"/>
      <c r="K135" s="28"/>
      <c r="L135" s="60">
        <f>L31</f>
        <v>310027.3</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9266</v>
      </c>
      <c r="I140" s="28"/>
      <c r="J140" s="60">
        <v>755</v>
      </c>
      <c r="K140" s="28"/>
      <c r="L140" s="60">
        <f>J140+H140</f>
        <v>10021</v>
      </c>
      <c r="M140" s="28"/>
      <c r="N140" s="6"/>
    </row>
    <row r="141" spans="1:14" ht="15.75">
      <c r="A141" s="27"/>
      <c r="B141" s="28" t="s">
        <v>101</v>
      </c>
      <c r="C141" s="28"/>
      <c r="D141" s="28"/>
      <c r="E141" s="28"/>
      <c r="F141" s="28"/>
      <c r="G141" s="28"/>
      <c r="H141" s="60">
        <v>4002</v>
      </c>
      <c r="I141" s="28"/>
      <c r="J141" s="60">
        <v>36</v>
      </c>
      <c r="K141" s="28"/>
      <c r="L141" s="60">
        <f>J141+H141</f>
        <v>4038</v>
      </c>
      <c r="M141" s="28"/>
      <c r="N141" s="6"/>
    </row>
    <row r="142" spans="1:14" ht="15.75">
      <c r="A142" s="27"/>
      <c r="B142" s="28" t="s">
        <v>102</v>
      </c>
      <c r="C142" s="28"/>
      <c r="D142" s="28"/>
      <c r="E142" s="28"/>
      <c r="F142" s="28"/>
      <c r="G142" s="28"/>
      <c r="H142" s="60">
        <f>H141+H140</f>
        <v>13268</v>
      </c>
      <c r="I142" s="28"/>
      <c r="J142" s="60">
        <f>J141+J140</f>
        <v>791</v>
      </c>
      <c r="K142" s="28"/>
      <c r="L142" s="60">
        <f>J142+H142</f>
        <v>14059</v>
      </c>
      <c r="M142" s="28"/>
      <c r="N142" s="6"/>
    </row>
    <row r="143" spans="1:14" ht="15.75">
      <c r="A143" s="27"/>
      <c r="B143" s="28" t="s">
        <v>103</v>
      </c>
      <c r="C143" s="28"/>
      <c r="D143" s="28"/>
      <c r="E143" s="28"/>
      <c r="F143" s="28"/>
      <c r="G143" s="28"/>
      <c r="H143" s="60">
        <f>H139-H142-J142</f>
        <v>35941</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1.4458174904942966</v>
      </c>
      <c r="M147" s="28" t="s">
        <v>192</v>
      </c>
      <c r="N147" s="6"/>
    </row>
    <row r="148" spans="1:14" ht="15.75">
      <c r="A148" s="27"/>
      <c r="B148" s="28" t="s">
        <v>106</v>
      </c>
      <c r="C148" s="28"/>
      <c r="D148" s="28"/>
      <c r="E148" s="28"/>
      <c r="F148" s="28"/>
      <c r="G148" s="28"/>
      <c r="H148" s="28"/>
      <c r="I148" s="28"/>
      <c r="J148" s="28"/>
      <c r="K148" s="28"/>
      <c r="L148" s="66">
        <v>1.38</v>
      </c>
      <c r="M148" s="28" t="s">
        <v>192</v>
      </c>
      <c r="N148" s="6"/>
    </row>
    <row r="149" spans="1:14" ht="15.75">
      <c r="A149" s="27"/>
      <c r="B149" s="28" t="s">
        <v>107</v>
      </c>
      <c r="C149" s="28"/>
      <c r="D149" s="28"/>
      <c r="E149" s="28"/>
      <c r="F149" s="28"/>
      <c r="G149" s="28"/>
      <c r="H149" s="28"/>
      <c r="I149" s="28"/>
      <c r="J149" s="28"/>
      <c r="K149" s="28"/>
      <c r="L149" s="66">
        <f>(L80+SUM(L82:L86))/-L87</f>
        <v>3.326241134751773</v>
      </c>
      <c r="M149" s="28" t="s">
        <v>192</v>
      </c>
      <c r="N149" s="6"/>
    </row>
    <row r="150" spans="1:14" ht="15.75">
      <c r="A150" s="27"/>
      <c r="B150" s="28" t="s">
        <v>108</v>
      </c>
      <c r="C150" s="28"/>
      <c r="D150" s="28"/>
      <c r="E150" s="28"/>
      <c r="F150" s="28"/>
      <c r="G150" s="28"/>
      <c r="H150" s="28"/>
      <c r="I150" s="28"/>
      <c r="J150" s="28"/>
      <c r="K150" s="28"/>
      <c r="L150" s="75">
        <v>3</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
        <v>196</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37468</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0.0637</v>
      </c>
      <c r="K160" s="28"/>
      <c r="L160" s="28"/>
      <c r="M160" s="28"/>
      <c r="N160" s="6"/>
    </row>
    <row r="161" spans="1:14" ht="15.75">
      <c r="A161" s="83"/>
      <c r="B161" s="84" t="s">
        <v>114</v>
      </c>
      <c r="C161" s="85"/>
      <c r="D161" s="85"/>
      <c r="E161" s="85"/>
      <c r="F161" s="85"/>
      <c r="G161" s="72"/>
      <c r="H161" s="72"/>
      <c r="I161" s="72"/>
      <c r="J161" s="86">
        <f>L33</f>
        <v>0.0446813279360608</v>
      </c>
      <c r="K161" s="28"/>
      <c r="L161" s="28"/>
      <c r="M161" s="28"/>
      <c r="N161" s="6"/>
    </row>
    <row r="162" spans="1:14" ht="15.75">
      <c r="A162" s="83"/>
      <c r="B162" s="84" t="s">
        <v>115</v>
      </c>
      <c r="C162" s="85"/>
      <c r="D162" s="85"/>
      <c r="E162" s="85"/>
      <c r="F162" s="85"/>
      <c r="G162" s="72"/>
      <c r="H162" s="72"/>
      <c r="I162" s="72"/>
      <c r="J162" s="86">
        <f>J160-J161</f>
        <v>0.01901867206393921</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19.34</v>
      </c>
      <c r="K166" s="28" t="s">
        <v>184</v>
      </c>
      <c r="L166" s="28"/>
      <c r="M166" s="28"/>
      <c r="N166" s="6"/>
    </row>
    <row r="167" spans="1:14" ht="15.75">
      <c r="A167" s="83"/>
      <c r="B167" s="84" t="s">
        <v>120</v>
      </c>
      <c r="C167" s="85"/>
      <c r="D167" s="85"/>
      <c r="E167" s="85"/>
      <c r="F167" s="85"/>
      <c r="G167" s="72"/>
      <c r="H167" s="72"/>
      <c r="I167" s="72"/>
      <c r="J167" s="86">
        <f>F56/'April 2002'!L56</f>
        <v>0.037158824158742346</v>
      </c>
      <c r="K167" s="28"/>
      <c r="L167" s="28"/>
      <c r="M167" s="28"/>
      <c r="N167" s="6"/>
    </row>
    <row r="168" spans="1:14" ht="15.75">
      <c r="A168" s="83"/>
      <c r="B168" s="84" t="s">
        <v>121</v>
      </c>
      <c r="C168" s="85"/>
      <c r="D168" s="85"/>
      <c r="E168" s="85"/>
      <c r="F168" s="85"/>
      <c r="G168" s="72"/>
      <c r="H168" s="72"/>
      <c r="I168" s="72"/>
      <c r="J168" s="86">
        <v>0.1034</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20</v>
      </c>
      <c r="J171" s="95">
        <v>775</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4716</v>
      </c>
      <c r="I186" s="104">
        <f>H186/H191</f>
        <v>0.9857859531772575</v>
      </c>
      <c r="J186" s="60">
        <v>307131</v>
      </c>
      <c r="K186" s="105">
        <f>J186/J191</f>
        <v>0.990658878097714</v>
      </c>
      <c r="L186" s="89"/>
      <c r="M186" s="98"/>
      <c r="N186" s="6"/>
    </row>
    <row r="187" spans="1:14" ht="15.75">
      <c r="A187" s="27"/>
      <c r="B187" s="61" t="s">
        <v>138</v>
      </c>
      <c r="C187" s="104"/>
      <c r="D187" s="61"/>
      <c r="E187" s="104"/>
      <c r="F187" s="28"/>
      <c r="G187" s="106"/>
      <c r="H187" s="61">
        <v>23</v>
      </c>
      <c r="I187" s="104">
        <f>H187/H191</f>
        <v>0.004807692307692308</v>
      </c>
      <c r="J187" s="60">
        <v>796</v>
      </c>
      <c r="K187" s="105">
        <f>J187/J191</f>
        <v>0.0025675183129211326</v>
      </c>
      <c r="L187" s="89"/>
      <c r="M187" s="98"/>
      <c r="N187" s="6"/>
    </row>
    <row r="188" spans="1:14" ht="15.75">
      <c r="A188" s="27"/>
      <c r="B188" s="61" t="s">
        <v>139</v>
      </c>
      <c r="C188" s="104"/>
      <c r="D188" s="61"/>
      <c r="E188" s="104"/>
      <c r="F188" s="28"/>
      <c r="G188" s="106"/>
      <c r="H188" s="61">
        <v>11</v>
      </c>
      <c r="I188" s="104">
        <f>H188/H191</f>
        <v>0.00229933110367893</v>
      </c>
      <c r="J188" s="60">
        <v>800</v>
      </c>
      <c r="K188" s="105">
        <f>J188/J191</f>
        <v>0.0025804204149961134</v>
      </c>
      <c r="L188" s="89"/>
      <c r="M188" s="98"/>
      <c r="N188" s="6"/>
    </row>
    <row r="189" spans="1:14" ht="15.75">
      <c r="A189" s="27"/>
      <c r="B189" s="61" t="s">
        <v>140</v>
      </c>
      <c r="C189" s="104"/>
      <c r="D189" s="61"/>
      <c r="E189" s="104"/>
      <c r="F189" s="28"/>
      <c r="G189" s="106"/>
      <c r="H189" s="61">
        <f>6+10+10+8</f>
        <v>34</v>
      </c>
      <c r="I189" s="104">
        <f>H189/H191</f>
        <v>0.007107023411371237</v>
      </c>
      <c r="J189" s="60">
        <f>268+283+352+397</f>
        <v>1300</v>
      </c>
      <c r="K189" s="105">
        <f>J189/$J191</f>
        <v>0.004193183174368684</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4784</v>
      </c>
      <c r="I191" s="108">
        <f>SUM(I186:I190)</f>
        <v>1</v>
      </c>
      <c r="J191" s="60">
        <f>SUM(J186:J190)</f>
        <v>310027</v>
      </c>
      <c r="K191" s="108">
        <f>SUM(K186:K190)</f>
        <v>0.9999999999999999</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
        <v>196</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6.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37580</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0.90205</v>
      </c>
      <c r="D30" s="35"/>
      <c r="E30" s="36"/>
      <c r="F30" s="35">
        <f>306000*C30</f>
        <v>276027.3</v>
      </c>
      <c r="G30" s="35"/>
      <c r="H30" s="35">
        <v>34000</v>
      </c>
      <c r="I30" s="35"/>
      <c r="J30" s="35"/>
      <c r="K30" s="37"/>
      <c r="L30" s="35">
        <f>H30+F30</f>
        <v>310027.3</v>
      </c>
      <c r="M30" s="38"/>
      <c r="N30" s="6"/>
    </row>
    <row r="31" spans="1:14" ht="12.75" customHeight="1">
      <c r="A31" s="32"/>
      <c r="B31" s="33" t="s">
        <v>20</v>
      </c>
      <c r="C31" s="40">
        <v>0.88435</v>
      </c>
      <c r="D31" s="41"/>
      <c r="E31" s="42"/>
      <c r="F31" s="41">
        <f>F29*C31</f>
        <v>270611.1</v>
      </c>
      <c r="G31" s="41"/>
      <c r="H31" s="41">
        <f>H29</f>
        <v>34000</v>
      </c>
      <c r="I31" s="41"/>
      <c r="J31" s="41"/>
      <c r="K31" s="43"/>
      <c r="L31" s="41">
        <f>H31+F31+D31</f>
        <v>304611.1</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0.0423734</v>
      </c>
      <c r="G33" s="46"/>
      <c r="H33" s="45">
        <v>0.0475734</v>
      </c>
      <c r="I33" s="46"/>
      <c r="J33" s="45"/>
      <c r="K33" s="31"/>
      <c r="L33" s="46">
        <f>SUMPRODUCT(F33:H33,F30:H30)/L30</f>
        <v>0.04294367235988572</v>
      </c>
      <c r="M33" s="28"/>
      <c r="N33" s="6"/>
    </row>
    <row r="34" spans="1:14" ht="15.75">
      <c r="A34" s="27"/>
      <c r="B34" s="28" t="s">
        <v>23</v>
      </c>
      <c r="C34" s="28"/>
      <c r="D34" s="45"/>
      <c r="E34" s="28"/>
      <c r="F34" s="45">
        <v>0.044125</v>
      </c>
      <c r="G34" s="46"/>
      <c r="H34" s="45">
        <v>0.049325</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0.12564155720145997</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37567</v>
      </c>
      <c r="M44" s="28"/>
      <c r="N44" s="6"/>
    </row>
    <row r="45" spans="1:14" ht="15.75">
      <c r="A45" s="27"/>
      <c r="B45" s="28" t="s">
        <v>32</v>
      </c>
      <c r="C45" s="28"/>
      <c r="D45" s="28"/>
      <c r="E45" s="28"/>
      <c r="F45" s="28"/>
      <c r="G45" s="28"/>
      <c r="H45" s="28"/>
      <c r="I45" s="28">
        <f>L45-J45+1</f>
        <v>92</v>
      </c>
      <c r="J45" s="53">
        <v>37383</v>
      </c>
      <c r="K45" s="52"/>
      <c r="L45" s="53">
        <v>37474</v>
      </c>
      <c r="M45" s="28"/>
      <c r="N45" s="6"/>
    </row>
    <row r="46" spans="1:14" ht="15.75">
      <c r="A46" s="27"/>
      <c r="B46" s="28" t="s">
        <v>33</v>
      </c>
      <c r="C46" s="28"/>
      <c r="D46" s="28"/>
      <c r="E46" s="28"/>
      <c r="F46" s="28"/>
      <c r="G46" s="28"/>
      <c r="H46" s="28"/>
      <c r="I46" s="28">
        <f>L46-J46+1</f>
        <v>92</v>
      </c>
      <c r="J46" s="53">
        <v>37475</v>
      </c>
      <c r="K46" s="52"/>
      <c r="L46" s="53">
        <v>37566</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37561</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197</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310027</v>
      </c>
      <c r="E56" s="38"/>
      <c r="F56" s="38">
        <f>5416+7+4716</f>
        <v>10139</v>
      </c>
      <c r="G56" s="38"/>
      <c r="H56" s="38">
        <f>4716+7</f>
        <v>4723</v>
      </c>
      <c r="I56" s="38"/>
      <c r="J56" s="38">
        <v>0</v>
      </c>
      <c r="K56" s="38"/>
      <c r="L56" s="60">
        <f>D56-F56+H56-J56</f>
        <v>304611</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310027</v>
      </c>
      <c r="E59" s="38"/>
      <c r="F59" s="38">
        <f>SUM(F56:F58)</f>
        <v>10139</v>
      </c>
      <c r="G59" s="38"/>
      <c r="H59" s="38">
        <f>SUM(H56:H58)</f>
        <v>4723</v>
      </c>
      <c r="I59" s="38"/>
      <c r="J59" s="38">
        <f>SUM(J56:J58)</f>
        <v>0</v>
      </c>
      <c r="K59" s="38"/>
      <c r="L59" s="61">
        <f>SUM(L56:L58)</f>
        <v>304611</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310027</v>
      </c>
      <c r="E71" s="38"/>
      <c r="F71" s="61"/>
      <c r="G71" s="38"/>
      <c r="H71" s="61"/>
      <c r="I71" s="38"/>
      <c r="J71" s="61"/>
      <c r="K71" s="38"/>
      <c r="L71" s="61">
        <f>SUM(L59:L70)</f>
        <v>304611</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37560</v>
      </c>
      <c r="E75" s="28"/>
      <c r="F75" s="28"/>
      <c r="G75" s="28"/>
      <c r="H75" s="28"/>
      <c r="I75" s="28"/>
      <c r="J75" s="38">
        <v>10139</v>
      </c>
      <c r="K75" s="28"/>
      <c r="L75" s="60"/>
      <c r="M75" s="28"/>
      <c r="N75" s="6"/>
    </row>
    <row r="76" spans="1:14" ht="15.75">
      <c r="A76" s="27"/>
      <c r="B76" s="28" t="s">
        <v>50</v>
      </c>
      <c r="C76" s="28"/>
      <c r="D76" s="28"/>
      <c r="E76" s="28"/>
      <c r="F76" s="28"/>
      <c r="G76" s="28"/>
      <c r="H76" s="28"/>
      <c r="I76" s="28"/>
      <c r="J76" s="38"/>
      <c r="K76" s="28"/>
      <c r="L76" s="60">
        <f>5172-27</f>
        <v>5145</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10139</v>
      </c>
      <c r="K78" s="28"/>
      <c r="L78" s="61">
        <f>SUM(L74:L77)</f>
        <v>5145</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10139</v>
      </c>
      <c r="K80" s="28"/>
      <c r="L80" s="61">
        <f>L78+L79</f>
        <v>5145</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-235-8</f>
        <v>-243</v>
      </c>
      <c r="M84" s="28"/>
      <c r="N84" s="6"/>
    </row>
    <row r="85" spans="1:14" ht="15.75">
      <c r="A85" s="27">
        <v>4</v>
      </c>
      <c r="B85" s="28" t="s">
        <v>59</v>
      </c>
      <c r="C85" s="28"/>
      <c r="D85" s="28"/>
      <c r="E85" s="28"/>
      <c r="F85" s="28"/>
      <c r="G85" s="28"/>
      <c r="H85" s="28"/>
      <c r="I85" s="28"/>
      <c r="J85" s="28"/>
      <c r="K85" s="28"/>
      <c r="L85" s="60">
        <v>-529</v>
      </c>
      <c r="M85" s="28"/>
      <c r="N85" s="6"/>
    </row>
    <row r="86" spans="1:14" ht="15.75">
      <c r="A86" s="27">
        <v>5</v>
      </c>
      <c r="B86" s="28" t="s">
        <v>60</v>
      </c>
      <c r="C86" s="28"/>
      <c r="D86" s="28"/>
      <c r="E86" s="28"/>
      <c r="F86" s="28"/>
      <c r="G86" s="28"/>
      <c r="H86" s="28"/>
      <c r="I86" s="28"/>
      <c r="J86" s="28"/>
      <c r="K86" s="28"/>
      <c r="L86" s="60">
        <v>-2948</v>
      </c>
      <c r="M86" s="28"/>
      <c r="N86" s="6"/>
    </row>
    <row r="87" spans="1:14" ht="15.75">
      <c r="A87" s="27">
        <v>6</v>
      </c>
      <c r="B87" s="28" t="s">
        <v>61</v>
      </c>
      <c r="C87" s="28"/>
      <c r="D87" s="28"/>
      <c r="E87" s="28"/>
      <c r="F87" s="28"/>
      <c r="G87" s="28"/>
      <c r="H87" s="28"/>
      <c r="I87" s="28"/>
      <c r="J87" s="28"/>
      <c r="K87" s="28"/>
      <c r="L87" s="60">
        <v>-408</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-36-162</f>
        <v>-198</v>
      </c>
      <c r="M93" s="28"/>
      <c r="N93" s="6"/>
    </row>
    <row r="94" spans="1:14" ht="15.75">
      <c r="A94" s="27">
        <v>13</v>
      </c>
      <c r="B94" s="28" t="s">
        <v>68</v>
      </c>
      <c r="C94" s="28"/>
      <c r="D94" s="28"/>
      <c r="E94" s="28"/>
      <c r="F94" s="28"/>
      <c r="G94" s="28"/>
      <c r="H94" s="28"/>
      <c r="I94" s="28"/>
      <c r="J94" s="28"/>
      <c r="K94" s="28"/>
      <c r="L94" s="60">
        <f>-SUM(L80:L93)</f>
        <v>-809</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-7</v>
      </c>
      <c r="K96" s="38"/>
      <c r="L96" s="60"/>
      <c r="M96" s="28"/>
      <c r="N96" s="6"/>
    </row>
    <row r="97" spans="1:14" ht="15.75">
      <c r="A97" s="27"/>
      <c r="B97" s="28" t="s">
        <v>71</v>
      </c>
      <c r="C97" s="28"/>
      <c r="D97" s="28"/>
      <c r="E97" s="28"/>
      <c r="F97" s="28"/>
      <c r="G97" s="28"/>
      <c r="H97" s="28"/>
      <c r="I97" s="28"/>
      <c r="J97" s="38">
        <f>-H141</f>
        <v>-4716</v>
      </c>
      <c r="K97" s="38"/>
      <c r="L97" s="60"/>
      <c r="M97" s="28"/>
      <c r="N97" s="6"/>
    </row>
    <row r="98" spans="1:14" ht="15.75">
      <c r="A98" s="27"/>
      <c r="B98" s="28" t="s">
        <v>72</v>
      </c>
      <c r="C98" s="28"/>
      <c r="D98" s="28"/>
      <c r="E98" s="28"/>
      <c r="F98" s="28"/>
      <c r="G98" s="28"/>
      <c r="H98" s="28"/>
      <c r="I98" s="28"/>
      <c r="J98" s="38">
        <v>-5416</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-10139</v>
      </c>
      <c r="K100" s="38"/>
      <c r="L100" s="38">
        <f>SUM(L81:L99)</f>
        <v>-5145</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OCTOBER 2002</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304611</v>
      </c>
      <c r="M134" s="28"/>
      <c r="N134" s="6"/>
    </row>
    <row r="135" spans="1:14" ht="15.75">
      <c r="A135" s="27"/>
      <c r="B135" s="28" t="s">
        <v>97</v>
      </c>
      <c r="C135" s="73"/>
      <c r="D135" s="28"/>
      <c r="E135" s="28"/>
      <c r="F135" s="28"/>
      <c r="G135" s="28"/>
      <c r="H135" s="28"/>
      <c r="I135" s="28"/>
      <c r="J135" s="28"/>
      <c r="K135" s="28"/>
      <c r="L135" s="60">
        <f>L31</f>
        <v>304611.1</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13268</v>
      </c>
      <c r="I140" s="28"/>
      <c r="J140" s="60">
        <v>791</v>
      </c>
      <c r="K140" s="28"/>
      <c r="L140" s="60">
        <f>J140+H140</f>
        <v>14059</v>
      </c>
      <c r="M140" s="28"/>
      <c r="N140" s="6"/>
    </row>
    <row r="141" spans="1:14" ht="15.75">
      <c r="A141" s="27"/>
      <c r="B141" s="28" t="s">
        <v>101</v>
      </c>
      <c r="C141" s="28"/>
      <c r="D141" s="28"/>
      <c r="E141" s="28"/>
      <c r="F141" s="28"/>
      <c r="G141" s="28"/>
      <c r="H141" s="60">
        <v>4716</v>
      </c>
      <c r="I141" s="28"/>
      <c r="J141" s="60">
        <v>7</v>
      </c>
      <c r="K141" s="28"/>
      <c r="L141" s="60">
        <f>J141+H141</f>
        <v>4723</v>
      </c>
      <c r="M141" s="28"/>
      <c r="N141" s="6"/>
    </row>
    <row r="142" spans="1:14" ht="15.75">
      <c r="A142" s="27"/>
      <c r="B142" s="28" t="s">
        <v>102</v>
      </c>
      <c r="C142" s="28"/>
      <c r="D142" s="28"/>
      <c r="E142" s="28"/>
      <c r="F142" s="28"/>
      <c r="G142" s="28"/>
      <c r="H142" s="60">
        <f>H141+H140</f>
        <v>17984</v>
      </c>
      <c r="I142" s="28"/>
      <c r="J142" s="60">
        <f>J141+J140</f>
        <v>798</v>
      </c>
      <c r="K142" s="28"/>
      <c r="L142" s="60">
        <f>J142+H142</f>
        <v>18782</v>
      </c>
      <c r="M142" s="28"/>
      <c r="N142" s="6"/>
    </row>
    <row r="143" spans="1:14" ht="15.75">
      <c r="A143" s="27"/>
      <c r="B143" s="28" t="s">
        <v>103</v>
      </c>
      <c r="C143" s="28"/>
      <c r="D143" s="28"/>
      <c r="E143" s="28"/>
      <c r="F143" s="28"/>
      <c r="G143" s="28"/>
      <c r="H143" s="60">
        <f>H139-H142-J142</f>
        <v>31218</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1.4816824966078697</v>
      </c>
      <c r="M147" s="28" t="s">
        <v>192</v>
      </c>
      <c r="N147" s="6"/>
    </row>
    <row r="148" spans="1:14" ht="15.75">
      <c r="A148" s="27"/>
      <c r="B148" s="28" t="s">
        <v>106</v>
      </c>
      <c r="C148" s="28"/>
      <c r="D148" s="28"/>
      <c r="E148" s="28"/>
      <c r="F148" s="28"/>
      <c r="G148" s="28"/>
      <c r="H148" s="28"/>
      <c r="I148" s="28"/>
      <c r="J148" s="28"/>
      <c r="K148" s="28"/>
      <c r="L148" s="66">
        <v>1.4</v>
      </c>
      <c r="M148" s="28" t="s">
        <v>192</v>
      </c>
      <c r="N148" s="6"/>
    </row>
    <row r="149" spans="1:14" ht="15.75">
      <c r="A149" s="27"/>
      <c r="B149" s="28" t="s">
        <v>107</v>
      </c>
      <c r="C149" s="28"/>
      <c r="D149" s="28"/>
      <c r="E149" s="28"/>
      <c r="F149" s="28"/>
      <c r="G149" s="28"/>
      <c r="H149" s="28"/>
      <c r="I149" s="28"/>
      <c r="J149" s="28"/>
      <c r="K149" s="28"/>
      <c r="L149" s="66">
        <f>(L80+SUM(L82:L86))/-L87</f>
        <v>3.480392156862745</v>
      </c>
      <c r="M149" s="28" t="s">
        <v>192</v>
      </c>
      <c r="N149" s="6"/>
    </row>
    <row r="150" spans="1:14" ht="15.75">
      <c r="A150" s="27"/>
      <c r="B150" s="28" t="s">
        <v>108</v>
      </c>
      <c r="C150" s="28"/>
      <c r="D150" s="28"/>
      <c r="E150" s="28"/>
      <c r="F150" s="28"/>
      <c r="G150" s="28"/>
      <c r="H150" s="28"/>
      <c r="I150" s="28"/>
      <c r="J150" s="28"/>
      <c r="K150" s="28"/>
      <c r="L150" s="75">
        <v>3.07</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OCTOBER 2002</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37560</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0.0627</v>
      </c>
      <c r="K160" s="28"/>
      <c r="L160" s="28"/>
      <c r="M160" s="28"/>
      <c r="N160" s="6"/>
    </row>
    <row r="161" spans="1:14" ht="15.75">
      <c r="A161" s="83"/>
      <c r="B161" s="84" t="s">
        <v>114</v>
      </c>
      <c r="C161" s="85"/>
      <c r="D161" s="85"/>
      <c r="E161" s="85"/>
      <c r="F161" s="85"/>
      <c r="G161" s="72"/>
      <c r="H161" s="72"/>
      <c r="I161" s="72"/>
      <c r="J161" s="86">
        <f>L33</f>
        <v>0.04294367235988572</v>
      </c>
      <c r="K161" s="28"/>
      <c r="L161" s="28"/>
      <c r="M161" s="28"/>
      <c r="N161" s="6"/>
    </row>
    <row r="162" spans="1:14" ht="15.75">
      <c r="A162" s="83"/>
      <c r="B162" s="84" t="s">
        <v>115</v>
      </c>
      <c r="C162" s="85"/>
      <c r="D162" s="85"/>
      <c r="E162" s="85"/>
      <c r="F162" s="85"/>
      <c r="G162" s="72"/>
      <c r="H162" s="72"/>
      <c r="I162" s="72"/>
      <c r="J162" s="86">
        <f>J160-J161</f>
        <v>0.019756327640114285</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19.12</v>
      </c>
      <c r="K166" s="28" t="s">
        <v>184</v>
      </c>
      <c r="L166" s="28"/>
      <c r="M166" s="28"/>
      <c r="N166" s="6"/>
    </row>
    <row r="167" spans="1:14" ht="15.75">
      <c r="A167" s="83"/>
      <c r="B167" s="84" t="s">
        <v>120</v>
      </c>
      <c r="C167" s="85"/>
      <c r="D167" s="85"/>
      <c r="E167" s="85"/>
      <c r="F167" s="85"/>
      <c r="G167" s="72"/>
      <c r="H167" s="72"/>
      <c r="I167" s="72"/>
      <c r="J167" s="86">
        <f>F56/'July 2002'!L56</f>
        <v>0.03270360323455699</v>
      </c>
      <c r="K167" s="28"/>
      <c r="L167" s="28"/>
      <c r="M167" s="28"/>
      <c r="N167" s="6"/>
    </row>
    <row r="168" spans="1:14" ht="15.75">
      <c r="A168" s="83"/>
      <c r="B168" s="84" t="s">
        <v>121</v>
      </c>
      <c r="C168" s="85"/>
      <c r="D168" s="85"/>
      <c r="E168" s="85"/>
      <c r="F168" s="85"/>
      <c r="G168" s="72"/>
      <c r="H168" s="72"/>
      <c r="I168" s="72"/>
      <c r="J168" s="86">
        <v>0.107</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18</v>
      </c>
      <c r="J171" s="95">
        <v>666</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4566</v>
      </c>
      <c r="I186" s="104">
        <f>H186/H191</f>
        <v>0.9840517241379311</v>
      </c>
      <c r="J186" s="60">
        <v>300571</v>
      </c>
      <c r="K186" s="105">
        <f>J186/J191</f>
        <v>0.9867371828331872</v>
      </c>
      <c r="L186" s="89"/>
      <c r="M186" s="98"/>
      <c r="N186" s="6"/>
    </row>
    <row r="187" spans="1:14" ht="15.75">
      <c r="A187" s="27"/>
      <c r="B187" s="61" t="s">
        <v>138</v>
      </c>
      <c r="C187" s="104"/>
      <c r="D187" s="61"/>
      <c r="E187" s="104"/>
      <c r="F187" s="28"/>
      <c r="G187" s="106"/>
      <c r="H187" s="61">
        <v>35</v>
      </c>
      <c r="I187" s="104">
        <f>H187/H191</f>
        <v>0.007543103448275862</v>
      </c>
      <c r="J187" s="60">
        <v>2170</v>
      </c>
      <c r="K187" s="105">
        <f>J187/J191</f>
        <v>0.0071238399138573456</v>
      </c>
      <c r="L187" s="89"/>
      <c r="M187" s="98"/>
      <c r="N187" s="6"/>
    </row>
    <row r="188" spans="1:14" ht="15.75">
      <c r="A188" s="27"/>
      <c r="B188" s="61" t="s">
        <v>139</v>
      </c>
      <c r="C188" s="104"/>
      <c r="D188" s="61"/>
      <c r="E188" s="104"/>
      <c r="F188" s="28"/>
      <c r="G188" s="106"/>
      <c r="H188" s="61">
        <v>10</v>
      </c>
      <c r="I188" s="104">
        <f>H188/H191</f>
        <v>0.0021551724137931034</v>
      </c>
      <c r="J188" s="60">
        <v>733</v>
      </c>
      <c r="K188" s="105">
        <f>J188/J191</f>
        <v>0.0024063477681370666</v>
      </c>
      <c r="L188" s="89"/>
      <c r="M188" s="98"/>
      <c r="N188" s="6"/>
    </row>
    <row r="189" spans="1:14" ht="15.75">
      <c r="A189" s="27"/>
      <c r="B189" s="61" t="s">
        <v>140</v>
      </c>
      <c r="C189" s="104"/>
      <c r="D189" s="61"/>
      <c r="E189" s="104"/>
      <c r="F189" s="28"/>
      <c r="G189" s="106"/>
      <c r="H189" s="61">
        <f>7+1+6+15</f>
        <v>29</v>
      </c>
      <c r="I189" s="104">
        <f>H189/H191</f>
        <v>0.00625</v>
      </c>
      <c r="J189" s="60">
        <f>279+20+180+658</f>
        <v>1137</v>
      </c>
      <c r="K189" s="105">
        <f>J189/$J191</f>
        <v>0.003732629484818342</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4640</v>
      </c>
      <c r="I191" s="108">
        <f>SUM(I186:I190)</f>
        <v>1.0000000000000002</v>
      </c>
      <c r="J191" s="60">
        <f>SUM(J186:J190)</f>
        <v>304611</v>
      </c>
      <c r="K191" s="108">
        <f>SUM(K186:K190)</f>
        <v>1</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tr">
        <f>B153</f>
        <v>PM3 INVESTOR REPORT QUARTER ENDING OCTOBER 2002</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7.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66406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37676</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0.88435</v>
      </c>
      <c r="D30" s="35"/>
      <c r="E30" s="36"/>
      <c r="F30" s="35">
        <f>306000*C30</f>
        <v>270611.1</v>
      </c>
      <c r="G30" s="35"/>
      <c r="H30" s="35">
        <v>34000</v>
      </c>
      <c r="I30" s="35"/>
      <c r="J30" s="35"/>
      <c r="K30" s="37"/>
      <c r="L30" s="35">
        <f>H30+F30</f>
        <v>304611.1</v>
      </c>
      <c r="M30" s="38"/>
      <c r="N30" s="6"/>
    </row>
    <row r="31" spans="1:14" ht="12.75" customHeight="1">
      <c r="A31" s="32"/>
      <c r="B31" s="33" t="s">
        <v>20</v>
      </c>
      <c r="C31" s="40">
        <v>0.868693</v>
      </c>
      <c r="D31" s="41"/>
      <c r="E31" s="42"/>
      <c r="F31" s="41">
        <f>F29*C31</f>
        <v>265820.058</v>
      </c>
      <c r="G31" s="41"/>
      <c r="H31" s="41">
        <f>H29</f>
        <v>34000</v>
      </c>
      <c r="I31" s="41"/>
      <c r="J31" s="41"/>
      <c r="K31" s="43"/>
      <c r="L31" s="41">
        <f>H31+F31+D31</f>
        <v>299820.058</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0.0412047</v>
      </c>
      <c r="G33" s="46"/>
      <c r="H33" s="45">
        <v>0.0464047</v>
      </c>
      <c r="I33" s="46"/>
      <c r="J33" s="45"/>
      <c r="K33" s="31"/>
      <c r="L33" s="46">
        <f>SUMPRODUCT(F33:H33,F30:H30)/L30</f>
        <v>0.041785112204282764</v>
      </c>
      <c r="M33" s="28"/>
      <c r="N33" s="6"/>
    </row>
    <row r="34" spans="1:14" ht="15.75">
      <c r="A34" s="27"/>
      <c r="B34" s="28" t="s">
        <v>23</v>
      </c>
      <c r="C34" s="28"/>
      <c r="D34" s="45"/>
      <c r="E34" s="28"/>
      <c r="F34" s="45">
        <v>0.0423734</v>
      </c>
      <c r="G34" s="46"/>
      <c r="H34" s="45">
        <v>0.0475734</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0.12790607396526862</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37659</v>
      </c>
      <c r="M44" s="28"/>
      <c r="N44" s="6"/>
    </row>
    <row r="45" spans="1:14" ht="15.75">
      <c r="A45" s="27"/>
      <c r="B45" s="28" t="s">
        <v>32</v>
      </c>
      <c r="C45" s="28"/>
      <c r="D45" s="28"/>
      <c r="E45" s="28"/>
      <c r="F45" s="28"/>
      <c r="G45" s="28"/>
      <c r="H45" s="28"/>
      <c r="I45" s="28">
        <f>L45-J45+1</f>
        <v>92</v>
      </c>
      <c r="J45" s="53">
        <v>37475</v>
      </c>
      <c r="K45" s="52"/>
      <c r="L45" s="53">
        <v>37566</v>
      </c>
      <c r="M45" s="28"/>
      <c r="N45" s="6"/>
    </row>
    <row r="46" spans="1:14" ht="15.75">
      <c r="A46" s="27"/>
      <c r="B46" s="28" t="s">
        <v>33</v>
      </c>
      <c r="C46" s="28"/>
      <c r="D46" s="28"/>
      <c r="E46" s="28"/>
      <c r="F46" s="28"/>
      <c r="G46" s="28"/>
      <c r="H46" s="28"/>
      <c r="I46" s="28">
        <f>L46-J46+1</f>
        <v>92</v>
      </c>
      <c r="J46" s="53">
        <v>37567</v>
      </c>
      <c r="K46" s="52"/>
      <c r="L46" s="53">
        <v>37658</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37655</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198</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150"/>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304611</v>
      </c>
      <c r="E56" s="38"/>
      <c r="F56" s="38">
        <f>4791+16+4915</f>
        <v>9722</v>
      </c>
      <c r="G56" s="38"/>
      <c r="H56" s="38">
        <f>4915+16</f>
        <v>4931</v>
      </c>
      <c r="I56" s="38"/>
      <c r="J56" s="38">
        <v>0</v>
      </c>
      <c r="K56" s="38"/>
      <c r="L56" s="60">
        <f>D56-F56+H56-J56</f>
        <v>299820</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304611</v>
      </c>
      <c r="E59" s="38"/>
      <c r="F59" s="38">
        <f>SUM(F56:F58)</f>
        <v>9722</v>
      </c>
      <c r="G59" s="38"/>
      <c r="H59" s="38">
        <f>SUM(H56:H58)</f>
        <v>4931</v>
      </c>
      <c r="I59" s="38"/>
      <c r="J59" s="38">
        <f>SUM(J56:J58)</f>
        <v>0</v>
      </c>
      <c r="K59" s="38"/>
      <c r="L59" s="61">
        <f>SUM(L56:L58)</f>
        <v>299820</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304611</v>
      </c>
      <c r="E71" s="38"/>
      <c r="F71" s="61"/>
      <c r="G71" s="38"/>
      <c r="H71" s="61"/>
      <c r="I71" s="38"/>
      <c r="J71" s="61"/>
      <c r="K71" s="38"/>
      <c r="L71" s="61">
        <f>SUM(L59:L70)</f>
        <v>299820</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37652</v>
      </c>
      <c r="E75" s="28"/>
      <c r="F75" s="28"/>
      <c r="G75" s="28"/>
      <c r="H75" s="28"/>
      <c r="I75" s="28"/>
      <c r="J75" s="38">
        <v>9722</v>
      </c>
      <c r="K75" s="28"/>
      <c r="L75" s="60"/>
      <c r="M75" s="28"/>
      <c r="N75" s="6"/>
    </row>
    <row r="76" spans="1:14" ht="15.75">
      <c r="A76" s="27"/>
      <c r="B76" s="28" t="s">
        <v>50</v>
      </c>
      <c r="C76" s="28"/>
      <c r="D76" s="28"/>
      <c r="E76" s="28"/>
      <c r="F76" s="28"/>
      <c r="G76" s="28"/>
      <c r="H76" s="28"/>
      <c r="I76" s="28"/>
      <c r="J76" s="38"/>
      <c r="K76" s="28"/>
      <c r="L76" s="60">
        <f>5051-17</f>
        <v>5034</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9722</v>
      </c>
      <c r="K78" s="28"/>
      <c r="L78" s="61">
        <f>SUM(L74:L77)</f>
        <v>5034</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9722</v>
      </c>
      <c r="K80" s="28"/>
      <c r="L80" s="61">
        <f>L78+L79</f>
        <v>5034</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-231-8</f>
        <v>-239</v>
      </c>
      <c r="M84" s="28"/>
      <c r="N84" s="6"/>
    </row>
    <row r="85" spans="1:14" ht="15.75">
      <c r="A85" s="27">
        <v>4</v>
      </c>
      <c r="B85" s="28" t="s">
        <v>59</v>
      </c>
      <c r="C85" s="28"/>
      <c r="D85" s="28"/>
      <c r="E85" s="28"/>
      <c r="F85" s="28"/>
      <c r="G85" s="28"/>
      <c r="H85" s="28"/>
      <c r="I85" s="28"/>
      <c r="J85" s="28"/>
      <c r="K85" s="28"/>
      <c r="L85" s="60">
        <v>-560</v>
      </c>
      <c r="M85" s="28"/>
      <c r="N85" s="6"/>
    </row>
    <row r="86" spans="1:14" ht="15.75">
      <c r="A86" s="27">
        <v>5</v>
      </c>
      <c r="B86" s="28" t="s">
        <v>60</v>
      </c>
      <c r="C86" s="28"/>
      <c r="D86" s="28"/>
      <c r="E86" s="28"/>
      <c r="F86" s="28"/>
      <c r="G86" s="28"/>
      <c r="H86" s="28"/>
      <c r="I86" s="28"/>
      <c r="J86" s="28"/>
      <c r="K86" s="28"/>
      <c r="L86" s="60">
        <v>-2811</v>
      </c>
      <c r="M86" s="28"/>
      <c r="N86" s="6"/>
    </row>
    <row r="87" spans="1:14" ht="15.75">
      <c r="A87" s="27">
        <v>6</v>
      </c>
      <c r="B87" s="28" t="s">
        <v>61</v>
      </c>
      <c r="C87" s="28"/>
      <c r="D87" s="28"/>
      <c r="E87" s="28"/>
      <c r="F87" s="28"/>
      <c r="G87" s="28"/>
      <c r="H87" s="28"/>
      <c r="I87" s="28"/>
      <c r="J87" s="28"/>
      <c r="K87" s="28"/>
      <c r="L87" s="60">
        <v>-397</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-32-162</f>
        <v>-194</v>
      </c>
      <c r="M93" s="28"/>
      <c r="N93" s="6"/>
    </row>
    <row r="94" spans="1:14" ht="15.75">
      <c r="A94" s="27">
        <v>13</v>
      </c>
      <c r="B94" s="28" t="s">
        <v>68</v>
      </c>
      <c r="C94" s="28"/>
      <c r="D94" s="28"/>
      <c r="E94" s="28"/>
      <c r="F94" s="28"/>
      <c r="G94" s="28"/>
      <c r="H94" s="28"/>
      <c r="I94" s="28"/>
      <c r="J94" s="28"/>
      <c r="K94" s="28"/>
      <c r="L94" s="60">
        <f>-SUM(L80:L93)</f>
        <v>-823</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-16</v>
      </c>
      <c r="K96" s="38"/>
      <c r="L96" s="60"/>
      <c r="M96" s="28"/>
      <c r="N96" s="6"/>
    </row>
    <row r="97" spans="1:14" ht="15.75">
      <c r="A97" s="27"/>
      <c r="B97" s="28" t="s">
        <v>71</v>
      </c>
      <c r="C97" s="28"/>
      <c r="D97" s="28"/>
      <c r="E97" s="28"/>
      <c r="F97" s="28"/>
      <c r="G97" s="28"/>
      <c r="H97" s="28"/>
      <c r="I97" s="28"/>
      <c r="J97" s="38">
        <f>-H141</f>
        <v>-4915</v>
      </c>
      <c r="K97" s="38"/>
      <c r="L97" s="60"/>
      <c r="M97" s="28"/>
      <c r="N97" s="6"/>
    </row>
    <row r="98" spans="1:14" ht="15.75">
      <c r="A98" s="27"/>
      <c r="B98" s="28" t="s">
        <v>72</v>
      </c>
      <c r="C98" s="28"/>
      <c r="D98" s="28"/>
      <c r="E98" s="28"/>
      <c r="F98" s="28"/>
      <c r="G98" s="28"/>
      <c r="H98" s="28"/>
      <c r="I98" s="28"/>
      <c r="J98" s="38">
        <v>-4791</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-9722</v>
      </c>
      <c r="K100" s="38"/>
      <c r="L100" s="38">
        <f>SUM(L81:L99)</f>
        <v>-5034</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JANUARY 2003</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299820</v>
      </c>
      <c r="M134" s="28"/>
      <c r="N134" s="6"/>
    </row>
    <row r="135" spans="1:14" ht="15.75">
      <c r="A135" s="27"/>
      <c r="B135" s="28" t="s">
        <v>97</v>
      </c>
      <c r="C135" s="73"/>
      <c r="D135" s="28"/>
      <c r="E135" s="28"/>
      <c r="F135" s="28"/>
      <c r="G135" s="28"/>
      <c r="H135" s="28"/>
      <c r="I135" s="28"/>
      <c r="J135" s="28"/>
      <c r="K135" s="28"/>
      <c r="L135" s="60">
        <f>L31</f>
        <v>299820.058</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v>17984</v>
      </c>
      <c r="I140" s="28"/>
      <c r="J140" s="60">
        <v>798</v>
      </c>
      <c r="K140" s="28"/>
      <c r="L140" s="60">
        <f>J140+H140</f>
        <v>18782</v>
      </c>
      <c r="M140" s="28"/>
      <c r="N140" s="6"/>
    </row>
    <row r="141" spans="1:14" ht="15.75">
      <c r="A141" s="27"/>
      <c r="B141" s="28" t="s">
        <v>101</v>
      </c>
      <c r="C141" s="28"/>
      <c r="D141" s="28"/>
      <c r="E141" s="28"/>
      <c r="F141" s="28"/>
      <c r="G141" s="28"/>
      <c r="H141" s="60">
        <v>4915</v>
      </c>
      <c r="I141" s="28"/>
      <c r="J141" s="60">
        <v>16</v>
      </c>
      <c r="K141" s="28"/>
      <c r="L141" s="60">
        <f>J141+H141</f>
        <v>4931</v>
      </c>
      <c r="M141" s="28"/>
      <c r="N141" s="6"/>
    </row>
    <row r="142" spans="1:14" ht="15.75">
      <c r="A142" s="27"/>
      <c r="B142" s="28" t="s">
        <v>102</v>
      </c>
      <c r="C142" s="28"/>
      <c r="D142" s="28"/>
      <c r="E142" s="28"/>
      <c r="F142" s="28"/>
      <c r="G142" s="28"/>
      <c r="H142" s="60">
        <f>H141+H140</f>
        <v>22899</v>
      </c>
      <c r="I142" s="28"/>
      <c r="J142" s="60">
        <f>J141+J140</f>
        <v>814</v>
      </c>
      <c r="K142" s="28"/>
      <c r="L142" s="60">
        <f>J142+H142</f>
        <v>23713</v>
      </c>
      <c r="M142" s="28"/>
      <c r="N142" s="6"/>
    </row>
    <row r="143" spans="1:14" ht="15.75">
      <c r="A143" s="27"/>
      <c r="B143" s="28" t="s">
        <v>103</v>
      </c>
      <c r="C143" s="28"/>
      <c r="D143" s="28"/>
      <c r="E143" s="28"/>
      <c r="F143" s="28"/>
      <c r="G143" s="28"/>
      <c r="H143" s="60">
        <f>H139-H142-J142</f>
        <v>26287</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1.5048025613660618</v>
      </c>
      <c r="M147" s="28" t="s">
        <v>192</v>
      </c>
      <c r="N147" s="6"/>
    </row>
    <row r="148" spans="1:14" ht="15.75">
      <c r="A148" s="27"/>
      <c r="B148" s="28" t="s">
        <v>106</v>
      </c>
      <c r="C148" s="28"/>
      <c r="D148" s="28"/>
      <c r="E148" s="28"/>
      <c r="F148" s="28"/>
      <c r="G148" s="28"/>
      <c r="H148" s="28"/>
      <c r="I148" s="28"/>
      <c r="J148" s="28"/>
      <c r="K148" s="28"/>
      <c r="L148" s="66">
        <v>1.41</v>
      </c>
      <c r="M148" s="28" t="s">
        <v>192</v>
      </c>
      <c r="N148" s="6"/>
    </row>
    <row r="149" spans="1:14" ht="15.75">
      <c r="A149" s="27"/>
      <c r="B149" s="28" t="s">
        <v>107</v>
      </c>
      <c r="C149" s="28"/>
      <c r="D149" s="28"/>
      <c r="E149" s="28"/>
      <c r="F149" s="28"/>
      <c r="G149" s="28"/>
      <c r="H149" s="28"/>
      <c r="I149" s="28"/>
      <c r="J149" s="28"/>
      <c r="K149" s="28"/>
      <c r="L149" s="66">
        <f>(L80+SUM(L82:L86))/-L87</f>
        <v>3.5743073047858944</v>
      </c>
      <c r="M149" s="28" t="s">
        <v>192</v>
      </c>
      <c r="N149" s="6"/>
    </row>
    <row r="150" spans="1:14" ht="15.75">
      <c r="A150" s="27"/>
      <c r="B150" s="28" t="s">
        <v>108</v>
      </c>
      <c r="C150" s="28"/>
      <c r="D150" s="28"/>
      <c r="E150" s="28"/>
      <c r="F150" s="28"/>
      <c r="G150" s="28"/>
      <c r="H150" s="28"/>
      <c r="I150" s="28"/>
      <c r="J150" s="28"/>
      <c r="K150" s="28"/>
      <c r="L150" s="75">
        <v>3.14</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JANUARY 2003</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37652</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0.063</v>
      </c>
      <c r="K160" s="28"/>
      <c r="L160" s="28"/>
      <c r="M160" s="28"/>
      <c r="N160" s="6"/>
    </row>
    <row r="161" spans="1:14" ht="15.75">
      <c r="A161" s="83"/>
      <c r="B161" s="84" t="s">
        <v>114</v>
      </c>
      <c r="C161" s="85"/>
      <c r="D161" s="85"/>
      <c r="E161" s="85"/>
      <c r="F161" s="85"/>
      <c r="G161" s="72"/>
      <c r="H161" s="72"/>
      <c r="I161" s="72"/>
      <c r="J161" s="86">
        <f>L33</f>
        <v>0.041785112204282764</v>
      </c>
      <c r="K161" s="28"/>
      <c r="L161" s="28"/>
      <c r="M161" s="28"/>
      <c r="N161" s="6"/>
    </row>
    <row r="162" spans="1:14" ht="15.75">
      <c r="A162" s="83"/>
      <c r="B162" s="84" t="s">
        <v>115</v>
      </c>
      <c r="C162" s="85"/>
      <c r="D162" s="85"/>
      <c r="E162" s="85"/>
      <c r="F162" s="85"/>
      <c r="G162" s="72"/>
      <c r="H162" s="72"/>
      <c r="I162" s="72"/>
      <c r="J162" s="86">
        <f>J160-J161</f>
        <v>0.021214887795717237</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18.9</v>
      </c>
      <c r="K166" s="28" t="s">
        <v>184</v>
      </c>
      <c r="L166" s="28"/>
      <c r="M166" s="28"/>
      <c r="N166" s="6"/>
    </row>
    <row r="167" spans="1:14" ht="15.75">
      <c r="A167" s="83"/>
      <c r="B167" s="84" t="s">
        <v>120</v>
      </c>
      <c r="C167" s="85"/>
      <c r="D167" s="85"/>
      <c r="E167" s="85"/>
      <c r="F167" s="85"/>
      <c r="G167" s="72"/>
      <c r="H167" s="72"/>
      <c r="I167" s="72"/>
      <c r="J167" s="86">
        <f>F56/'Oct 2002'!L56</f>
        <v>0.031916115964295444</v>
      </c>
      <c r="K167" s="28"/>
      <c r="L167" s="28"/>
      <c r="M167" s="28"/>
      <c r="N167" s="6"/>
    </row>
    <row r="168" spans="1:14" ht="15.75">
      <c r="A168" s="83"/>
      <c r="B168" s="84" t="s">
        <v>121</v>
      </c>
      <c r="C168" s="85"/>
      <c r="D168" s="85"/>
      <c r="E168" s="85"/>
      <c r="F168" s="85"/>
      <c r="G168" s="72"/>
      <c r="H168" s="72"/>
      <c r="I168" s="72"/>
      <c r="J168" s="86">
        <v>0.1091</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24</v>
      </c>
      <c r="J171" s="95">
        <v>940</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4452</v>
      </c>
      <c r="I186" s="104">
        <f>H186/H191</f>
        <v>0.986046511627907</v>
      </c>
      <c r="J186" s="60">
        <v>297059</v>
      </c>
      <c r="K186" s="105">
        <f>J186/J191</f>
        <v>0.9907911413514775</v>
      </c>
      <c r="L186" s="89"/>
      <c r="M186" s="98"/>
      <c r="N186" s="6"/>
    </row>
    <row r="187" spans="1:14" ht="15.75">
      <c r="A187" s="27"/>
      <c r="B187" s="61" t="s">
        <v>138</v>
      </c>
      <c r="C187" s="104"/>
      <c r="D187" s="61"/>
      <c r="E187" s="104"/>
      <c r="F187" s="28"/>
      <c r="G187" s="106"/>
      <c r="H187" s="61">
        <v>23</v>
      </c>
      <c r="I187" s="104">
        <f>H187/H191</f>
        <v>0.0050941306755260245</v>
      </c>
      <c r="J187" s="60">
        <v>1185</v>
      </c>
      <c r="K187" s="105">
        <f>J187/J191</f>
        <v>0.003952371422853713</v>
      </c>
      <c r="L187" s="89"/>
      <c r="M187" s="98"/>
      <c r="N187" s="6"/>
    </row>
    <row r="188" spans="1:14" ht="15.75">
      <c r="A188" s="27"/>
      <c r="B188" s="61" t="s">
        <v>139</v>
      </c>
      <c r="C188" s="104"/>
      <c r="D188" s="61"/>
      <c r="E188" s="104"/>
      <c r="F188" s="28"/>
      <c r="G188" s="106"/>
      <c r="H188" s="61">
        <v>14</v>
      </c>
      <c r="I188" s="104">
        <f>H188/H191</f>
        <v>0.0031007751937984496</v>
      </c>
      <c r="J188" s="60">
        <v>675</v>
      </c>
      <c r="K188" s="105">
        <f>J188/J191</f>
        <v>0.002251350810486292</v>
      </c>
      <c r="L188" s="89"/>
      <c r="M188" s="98"/>
      <c r="N188" s="6"/>
    </row>
    <row r="189" spans="1:14" ht="15.75">
      <c r="A189" s="27"/>
      <c r="B189" s="61" t="s">
        <v>140</v>
      </c>
      <c r="C189" s="104"/>
      <c r="D189" s="61"/>
      <c r="E189" s="104"/>
      <c r="F189" s="28"/>
      <c r="G189" s="106"/>
      <c r="H189" s="61">
        <f>3+6+5+12</f>
        <v>26</v>
      </c>
      <c r="I189" s="104">
        <f>H189/H191</f>
        <v>0.005758582502768549</v>
      </c>
      <c r="J189" s="60">
        <f>105+231+150+415</f>
        <v>901</v>
      </c>
      <c r="K189" s="105">
        <f>J189/$J191</f>
        <v>0.003005136415182443</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4515</v>
      </c>
      <c r="I191" s="108">
        <f>SUM(I186:I190)</f>
        <v>1</v>
      </c>
      <c r="J191" s="60">
        <f>SUM(J186:J190)</f>
        <v>299820</v>
      </c>
      <c r="K191" s="108">
        <f>SUM(K186:K190)</f>
        <v>1</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tr">
        <f>B153</f>
        <v>PM3 INVESTOR REPORT QUARTER ENDING JANUARY 2003</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8.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4"/>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37760</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4"/>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4"/>
      <c r="L22" s="14"/>
      <c r="M22" s="9"/>
      <c r="N22" s="6"/>
    </row>
    <row r="23" spans="1:14" ht="15.75">
      <c r="A23" s="7"/>
      <c r="B23" s="9" t="s">
        <v>13</v>
      </c>
      <c r="C23" s="132" t="s">
        <v>145</v>
      </c>
      <c r="D23" s="25"/>
      <c r="E23" s="25"/>
      <c r="F23" s="25" t="s">
        <v>153</v>
      </c>
      <c r="G23" s="25"/>
      <c r="H23" s="25" t="s">
        <v>164</v>
      </c>
      <c r="I23" s="25"/>
      <c r="J23" s="25"/>
      <c r="K23" s="14"/>
      <c r="L23" s="14"/>
      <c r="M23" s="9"/>
      <c r="N23" s="6"/>
    </row>
    <row r="24" spans="1:14" ht="15.75">
      <c r="A24" s="27"/>
      <c r="B24" s="28" t="s">
        <v>14</v>
      </c>
      <c r="C24" s="29"/>
      <c r="D24" s="30"/>
      <c r="E24" s="30"/>
      <c r="F24" s="30" t="s">
        <v>154</v>
      </c>
      <c r="G24" s="30"/>
      <c r="H24" s="30" t="s">
        <v>165</v>
      </c>
      <c r="I24" s="30"/>
      <c r="J24" s="30"/>
      <c r="K24" s="31"/>
      <c r="L24" s="31"/>
      <c r="M24" s="28"/>
      <c r="N24" s="6"/>
    </row>
    <row r="25" spans="1:14" ht="15.75">
      <c r="A25" s="32"/>
      <c r="B25" s="33" t="s">
        <v>15</v>
      </c>
      <c r="C25" s="33"/>
      <c r="D25" s="34"/>
      <c r="E25" s="34"/>
      <c r="F25" s="34" t="s">
        <v>153</v>
      </c>
      <c r="G25" s="34"/>
      <c r="H25" s="34" t="s">
        <v>164</v>
      </c>
      <c r="I25" s="34"/>
      <c r="J25" s="30"/>
      <c r="K25" s="31"/>
      <c r="L25" s="31"/>
      <c r="M25" s="28"/>
      <c r="N25" s="6"/>
    </row>
    <row r="26" spans="1:14" ht="15.75">
      <c r="A26" s="32"/>
      <c r="B26" s="33" t="s">
        <v>16</v>
      </c>
      <c r="C26" s="33"/>
      <c r="D26" s="34"/>
      <c r="E26" s="34"/>
      <c r="F26" s="34" t="s">
        <v>154</v>
      </c>
      <c r="G26" s="34"/>
      <c r="H26" s="34" t="s">
        <v>165</v>
      </c>
      <c r="I26" s="34"/>
      <c r="J26" s="30"/>
      <c r="K26" s="31"/>
      <c r="L26" s="31"/>
      <c r="M26" s="28"/>
      <c r="N26" s="6"/>
    </row>
    <row r="27" spans="1:14" ht="15.75">
      <c r="A27" s="27"/>
      <c r="B27" s="28" t="s">
        <v>17</v>
      </c>
      <c r="C27" s="28"/>
      <c r="D27" s="29"/>
      <c r="E27" s="30"/>
      <c r="F27" s="29" t="s">
        <v>155</v>
      </c>
      <c r="G27" s="30"/>
      <c r="H27" s="29" t="s">
        <v>166</v>
      </c>
      <c r="I27" s="30"/>
      <c r="J27" s="29"/>
      <c r="K27" s="31"/>
      <c r="L27" s="31"/>
      <c r="M27" s="28"/>
      <c r="N27" s="6"/>
    </row>
    <row r="28" spans="1:14" ht="15.75">
      <c r="A28" s="27"/>
      <c r="B28" s="28"/>
      <c r="C28" s="28"/>
      <c r="D28" s="28"/>
      <c r="E28" s="30"/>
      <c r="F28" s="30"/>
      <c r="G28" s="30"/>
      <c r="H28" s="30"/>
      <c r="I28" s="30"/>
      <c r="J28" s="30"/>
      <c r="K28" s="31"/>
      <c r="L28" s="31"/>
      <c r="M28" s="28"/>
      <c r="N28" s="6"/>
    </row>
    <row r="29" spans="1:14" ht="15.75">
      <c r="A29" s="27"/>
      <c r="B29" s="28" t="s">
        <v>18</v>
      </c>
      <c r="C29" s="28"/>
      <c r="D29" s="35"/>
      <c r="E29" s="36"/>
      <c r="F29" s="35">
        <v>306000</v>
      </c>
      <c r="G29" s="35"/>
      <c r="H29" s="35">
        <v>34000</v>
      </c>
      <c r="I29" s="35"/>
      <c r="J29" s="35"/>
      <c r="K29" s="37"/>
      <c r="L29" s="35">
        <f>H29+F29</f>
        <v>340000</v>
      </c>
      <c r="M29" s="38"/>
      <c r="N29" s="6"/>
    </row>
    <row r="30" spans="1:14" ht="15.75">
      <c r="A30" s="27"/>
      <c r="B30" s="28" t="s">
        <v>19</v>
      </c>
      <c r="C30" s="39">
        <v>0.868693</v>
      </c>
      <c r="D30" s="35"/>
      <c r="E30" s="36"/>
      <c r="F30" s="35">
        <f>306000*C30</f>
        <v>265820.058</v>
      </c>
      <c r="G30" s="35"/>
      <c r="H30" s="35">
        <v>34000</v>
      </c>
      <c r="I30" s="35"/>
      <c r="J30" s="35"/>
      <c r="K30" s="37"/>
      <c r="L30" s="35">
        <f>H30+F30</f>
        <v>299820.058</v>
      </c>
      <c r="M30" s="38"/>
      <c r="N30" s="6"/>
    </row>
    <row r="31" spans="1:14" ht="12.75" customHeight="1">
      <c r="A31" s="32"/>
      <c r="B31" s="33" t="s">
        <v>20</v>
      </c>
      <c r="C31" s="40">
        <v>0.854401</v>
      </c>
      <c r="D31" s="41"/>
      <c r="E31" s="42"/>
      <c r="F31" s="41">
        <f>F29*C31</f>
        <v>261446.70599999998</v>
      </c>
      <c r="G31" s="41"/>
      <c r="H31" s="41">
        <f>H29</f>
        <v>34000</v>
      </c>
      <c r="I31" s="41"/>
      <c r="J31" s="41"/>
      <c r="K31" s="43"/>
      <c r="L31" s="41">
        <f>H31+F31+D31</f>
        <v>295446.706</v>
      </c>
      <c r="M31" s="38"/>
      <c r="N31" s="6"/>
    </row>
    <row r="32" spans="1:14" ht="15.75">
      <c r="A32" s="27"/>
      <c r="B32" s="28" t="s">
        <v>21</v>
      </c>
      <c r="C32" s="44"/>
      <c r="D32" s="29"/>
      <c r="E32" s="28"/>
      <c r="F32" s="29" t="s">
        <v>156</v>
      </c>
      <c r="G32" s="29"/>
      <c r="H32" s="29" t="s">
        <v>167</v>
      </c>
      <c r="I32" s="29"/>
      <c r="J32" s="29"/>
      <c r="K32" s="31"/>
      <c r="L32" s="31"/>
      <c r="M32" s="28"/>
      <c r="N32" s="6"/>
    </row>
    <row r="33" spans="1:14" ht="15.75">
      <c r="A33" s="27"/>
      <c r="B33" s="28" t="s">
        <v>22</v>
      </c>
      <c r="C33" s="28"/>
      <c r="D33" s="45"/>
      <c r="E33" s="28"/>
      <c r="F33" s="45">
        <v>0.040075</v>
      </c>
      <c r="G33" s="46"/>
      <c r="H33" s="45">
        <v>0.045275</v>
      </c>
      <c r="I33" s="46"/>
      <c r="J33" s="45"/>
      <c r="K33" s="31"/>
      <c r="L33" s="46">
        <f>SUMPRODUCT(F33:H33,F30:H30)/L30</f>
        <v>0.040664687031546104</v>
      </c>
      <c r="M33" s="28"/>
      <c r="N33" s="6"/>
    </row>
    <row r="34" spans="1:14" ht="15.75">
      <c r="A34" s="27"/>
      <c r="B34" s="28" t="s">
        <v>23</v>
      </c>
      <c r="C34" s="28"/>
      <c r="D34" s="45"/>
      <c r="E34" s="28"/>
      <c r="F34" s="45">
        <v>0.0412047</v>
      </c>
      <c r="G34" s="46"/>
      <c r="H34" s="45">
        <v>0.0464047</v>
      </c>
      <c r="I34" s="46"/>
      <c r="J34" s="45"/>
      <c r="K34" s="31"/>
      <c r="L34" s="31"/>
      <c r="M34" s="28"/>
      <c r="N34" s="6"/>
    </row>
    <row r="35" spans="1:14" ht="15.75">
      <c r="A35" s="27"/>
      <c r="B35" s="28" t="s">
        <v>24</v>
      </c>
      <c r="C35" s="28"/>
      <c r="D35" s="29"/>
      <c r="E35" s="28"/>
      <c r="F35" s="29" t="s">
        <v>157</v>
      </c>
      <c r="G35" s="29"/>
      <c r="H35" s="29" t="s">
        <v>157</v>
      </c>
      <c r="I35" s="29"/>
      <c r="J35" s="29"/>
      <c r="K35" s="31"/>
      <c r="L35" s="31"/>
      <c r="M35" s="28"/>
      <c r="N35" s="6"/>
    </row>
    <row r="36" spans="1:14" ht="15.75">
      <c r="A36" s="27"/>
      <c r="B36" s="28" t="s">
        <v>25</v>
      </c>
      <c r="C36" s="28"/>
      <c r="D36" s="29"/>
      <c r="E36" s="28"/>
      <c r="F36" s="151">
        <v>39209</v>
      </c>
      <c r="G36" s="29"/>
      <c r="H36" s="151">
        <v>39209</v>
      </c>
      <c r="I36" s="29"/>
      <c r="J36" s="29"/>
      <c r="K36" s="31"/>
      <c r="L36" s="31"/>
      <c r="M36" s="28"/>
      <c r="N36" s="6"/>
    </row>
    <row r="37" spans="1:14" ht="15.75">
      <c r="A37" s="27"/>
      <c r="B37" s="28" t="s">
        <v>26</v>
      </c>
      <c r="C37" s="28"/>
      <c r="D37" s="29"/>
      <c r="E37" s="28"/>
      <c r="F37" s="29" t="s">
        <v>158</v>
      </c>
      <c r="G37" s="29"/>
      <c r="H37" s="29" t="s">
        <v>168</v>
      </c>
      <c r="I37" s="29"/>
      <c r="J37" s="29"/>
      <c r="K37" s="31"/>
      <c r="L37" s="31"/>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0.13004562390623503</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37748</v>
      </c>
      <c r="M44" s="28"/>
      <c r="N44" s="6"/>
    </row>
    <row r="45" spans="1:14" ht="15.75">
      <c r="A45" s="27"/>
      <c r="B45" s="28" t="s">
        <v>32</v>
      </c>
      <c r="C45" s="28"/>
      <c r="D45" s="28"/>
      <c r="E45" s="28"/>
      <c r="F45" s="28"/>
      <c r="G45" s="28"/>
      <c r="H45" s="28"/>
      <c r="I45" s="28">
        <f>L45-J45+1</f>
        <v>92</v>
      </c>
      <c r="J45" s="53">
        <v>37567</v>
      </c>
      <c r="K45" s="52"/>
      <c r="L45" s="53">
        <v>37658</v>
      </c>
      <c r="M45" s="28"/>
      <c r="N45" s="6"/>
    </row>
    <row r="46" spans="1:14" ht="15.75">
      <c r="A46" s="27"/>
      <c r="B46" s="28" t="s">
        <v>33</v>
      </c>
      <c r="C46" s="28"/>
      <c r="D46" s="28"/>
      <c r="E46" s="28"/>
      <c r="F46" s="28"/>
      <c r="G46" s="28"/>
      <c r="H46" s="28"/>
      <c r="I46" s="28">
        <f>L46-J46+1</f>
        <v>89</v>
      </c>
      <c r="J46" s="53">
        <v>37659</v>
      </c>
      <c r="K46" s="52"/>
      <c r="L46" s="53">
        <v>37747</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37742</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199</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s="140" customFormat="1" ht="63">
      <c r="A55" s="134"/>
      <c r="B55" s="135" t="s">
        <v>38</v>
      </c>
      <c r="C55" s="136" t="s">
        <v>146</v>
      </c>
      <c r="D55" s="136" t="s">
        <v>148</v>
      </c>
      <c r="E55" s="136"/>
      <c r="F55" s="136" t="s">
        <v>159</v>
      </c>
      <c r="G55" s="136"/>
      <c r="H55" s="136" t="s">
        <v>169</v>
      </c>
      <c r="I55" s="136"/>
      <c r="J55" s="136" t="s">
        <v>176</v>
      </c>
      <c r="K55" s="136"/>
      <c r="L55" s="137" t="s">
        <v>188</v>
      </c>
      <c r="M55" s="138"/>
      <c r="N55" s="139"/>
    </row>
    <row r="56" spans="1:14" ht="15.75">
      <c r="A56" s="27"/>
      <c r="B56" s="28" t="s">
        <v>39</v>
      </c>
      <c r="C56" s="38">
        <v>280068</v>
      </c>
      <c r="D56" s="38">
        <v>299820</v>
      </c>
      <c r="E56" s="38"/>
      <c r="F56" s="38">
        <f>4373+26+5022</f>
        <v>9421</v>
      </c>
      <c r="G56" s="38"/>
      <c r="H56" s="38">
        <f>26+5022</f>
        <v>5048</v>
      </c>
      <c r="I56" s="38"/>
      <c r="J56" s="38">
        <v>0</v>
      </c>
      <c r="K56" s="38"/>
      <c r="L56" s="60">
        <f>D56-F56+H56-J56</f>
        <v>295447</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299820</v>
      </c>
      <c r="E59" s="38"/>
      <c r="F59" s="38">
        <f>SUM(F56:F58)</f>
        <v>9421</v>
      </c>
      <c r="G59" s="38"/>
      <c r="H59" s="38">
        <f>SUM(H56:H58)</f>
        <v>5048</v>
      </c>
      <c r="I59" s="38"/>
      <c r="J59" s="38">
        <f>SUM(J56:J58)</f>
        <v>0</v>
      </c>
      <c r="K59" s="38"/>
      <c r="L59" s="61">
        <f>SUM(L56:L58)</f>
        <v>295447</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299820</v>
      </c>
      <c r="E71" s="38"/>
      <c r="F71" s="61"/>
      <c r="G71" s="38"/>
      <c r="H71" s="61"/>
      <c r="I71" s="38"/>
      <c r="J71" s="61"/>
      <c r="K71" s="38"/>
      <c r="L71" s="61">
        <f>SUM(L59:L70)</f>
        <v>295447</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37741</v>
      </c>
      <c r="E75" s="28"/>
      <c r="F75" s="28"/>
      <c r="G75" s="28"/>
      <c r="H75" s="28"/>
      <c r="I75" s="28"/>
      <c r="J75" s="38">
        <v>9421</v>
      </c>
      <c r="K75" s="28"/>
      <c r="L75" s="60"/>
      <c r="M75" s="28"/>
      <c r="N75" s="6"/>
    </row>
    <row r="76" spans="1:14" ht="15.75">
      <c r="A76" s="27"/>
      <c r="B76" s="28" t="s">
        <v>50</v>
      </c>
      <c r="C76" s="28"/>
      <c r="D76" s="28"/>
      <c r="E76" s="28"/>
      <c r="F76" s="28"/>
      <c r="G76" s="28"/>
      <c r="H76" s="28"/>
      <c r="I76" s="28"/>
      <c r="J76" s="38"/>
      <c r="K76" s="28"/>
      <c r="L76" s="60">
        <f>4980-13</f>
        <v>4967</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9421</v>
      </c>
      <c r="K78" s="28"/>
      <c r="L78" s="61">
        <f>SUM(L74:L77)</f>
        <v>4967</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9421</v>
      </c>
      <c r="K80" s="28"/>
      <c r="L80" s="61">
        <f>L78+L79</f>
        <v>4967</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-220-8</f>
        <v>-228</v>
      </c>
      <c r="M84" s="28"/>
      <c r="N84" s="6"/>
    </row>
    <row r="85" spans="1:14" ht="15.75">
      <c r="A85" s="27">
        <v>4</v>
      </c>
      <c r="B85" s="28" t="s">
        <v>59</v>
      </c>
      <c r="C85" s="28"/>
      <c r="D85" s="28"/>
      <c r="E85" s="28"/>
      <c r="F85" s="28"/>
      <c r="G85" s="28"/>
      <c r="H85" s="28"/>
      <c r="I85" s="28"/>
      <c r="J85" s="28"/>
      <c r="K85" s="28"/>
      <c r="L85" s="60">
        <v>-537</v>
      </c>
      <c r="M85" s="28"/>
      <c r="N85" s="6"/>
    </row>
    <row r="86" spans="1:14" ht="15.75">
      <c r="A86" s="27">
        <v>5</v>
      </c>
      <c r="B86" s="28" t="s">
        <v>60</v>
      </c>
      <c r="C86" s="28"/>
      <c r="D86" s="28"/>
      <c r="E86" s="28"/>
      <c r="F86" s="28"/>
      <c r="G86" s="28"/>
      <c r="H86" s="28"/>
      <c r="I86" s="28"/>
      <c r="J86" s="28"/>
      <c r="K86" s="28"/>
      <c r="L86" s="60">
        <v>-2598</v>
      </c>
      <c r="M86" s="28"/>
      <c r="N86" s="6"/>
    </row>
    <row r="87" spans="1:14" ht="15.75">
      <c r="A87" s="27">
        <v>6</v>
      </c>
      <c r="B87" s="28" t="s">
        <v>61</v>
      </c>
      <c r="C87" s="28"/>
      <c r="D87" s="28"/>
      <c r="E87" s="28"/>
      <c r="F87" s="28"/>
      <c r="G87" s="28"/>
      <c r="H87" s="28"/>
      <c r="I87" s="28"/>
      <c r="J87" s="28"/>
      <c r="K87" s="28"/>
      <c r="L87" s="60">
        <v>-375</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-27-162</f>
        <v>-189</v>
      </c>
      <c r="M93" s="28"/>
      <c r="N93" s="6"/>
    </row>
    <row r="94" spans="1:14" ht="15.75">
      <c r="A94" s="27">
        <v>13</v>
      </c>
      <c r="B94" s="28" t="s">
        <v>68</v>
      </c>
      <c r="C94" s="28"/>
      <c r="D94" s="28"/>
      <c r="E94" s="28"/>
      <c r="F94" s="28"/>
      <c r="G94" s="28"/>
      <c r="H94" s="28"/>
      <c r="I94" s="28"/>
      <c r="J94" s="28"/>
      <c r="K94" s="28"/>
      <c r="L94" s="60">
        <f>-SUM(L80:L93)</f>
        <v>-1030</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-26</v>
      </c>
      <c r="K96" s="38"/>
      <c r="L96" s="60"/>
      <c r="M96" s="28"/>
      <c r="N96" s="6"/>
    </row>
    <row r="97" spans="1:14" ht="15.75">
      <c r="A97" s="27"/>
      <c r="B97" s="28" t="s">
        <v>71</v>
      </c>
      <c r="C97" s="28"/>
      <c r="D97" s="28"/>
      <c r="E97" s="28"/>
      <c r="F97" s="28"/>
      <c r="G97" s="28"/>
      <c r="H97" s="28"/>
      <c r="I97" s="28"/>
      <c r="J97" s="38">
        <f>-H141</f>
        <v>-5022</v>
      </c>
      <c r="K97" s="38"/>
      <c r="L97" s="60"/>
      <c r="M97" s="28"/>
      <c r="N97" s="6"/>
    </row>
    <row r="98" spans="1:14" ht="15.75">
      <c r="A98" s="27"/>
      <c r="B98" s="28" t="s">
        <v>72</v>
      </c>
      <c r="C98" s="28"/>
      <c r="D98" s="28"/>
      <c r="E98" s="28"/>
      <c r="F98" s="28"/>
      <c r="G98" s="28"/>
      <c r="H98" s="28"/>
      <c r="I98" s="28"/>
      <c r="J98" s="38">
        <v>-4373</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-9421</v>
      </c>
      <c r="K100" s="38"/>
      <c r="L100" s="38">
        <f>SUM(L81:L99)</f>
        <v>-4967</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APRIL 2003</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31"/>
      <c r="D120" s="31"/>
      <c r="E120" s="31"/>
      <c r="F120" s="31"/>
      <c r="G120" s="31"/>
      <c r="H120" s="31"/>
      <c r="I120" s="31"/>
      <c r="J120" s="31"/>
      <c r="K120" s="31"/>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295447</v>
      </c>
      <c r="M134" s="28"/>
      <c r="N134" s="6"/>
    </row>
    <row r="135" spans="1:14" ht="15.75">
      <c r="A135" s="27"/>
      <c r="B135" s="28" t="s">
        <v>97</v>
      </c>
      <c r="C135" s="73"/>
      <c r="D135" s="28"/>
      <c r="E135" s="28"/>
      <c r="F135" s="28"/>
      <c r="G135" s="28"/>
      <c r="H135" s="28"/>
      <c r="I135" s="28"/>
      <c r="J135" s="28"/>
      <c r="K135" s="28"/>
      <c r="L135" s="60">
        <f>L31</f>
        <v>295446.706</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f>'Jan 2003'!H142</f>
        <v>22899</v>
      </c>
      <c r="I140" s="28"/>
      <c r="J140" s="60">
        <f>'Jan 2003'!J142</f>
        <v>814</v>
      </c>
      <c r="K140" s="28"/>
      <c r="L140" s="60">
        <f>J140+H140</f>
        <v>23713</v>
      </c>
      <c r="M140" s="28"/>
      <c r="N140" s="6"/>
    </row>
    <row r="141" spans="1:14" ht="15.75">
      <c r="A141" s="27"/>
      <c r="B141" s="28" t="s">
        <v>101</v>
      </c>
      <c r="C141" s="28"/>
      <c r="D141" s="28"/>
      <c r="E141" s="28"/>
      <c r="F141" s="28"/>
      <c r="G141" s="28"/>
      <c r="H141" s="60">
        <v>5022</v>
      </c>
      <c r="I141" s="28"/>
      <c r="J141" s="60">
        <v>26</v>
      </c>
      <c r="K141" s="28"/>
      <c r="L141" s="60">
        <f>J141+H141</f>
        <v>5048</v>
      </c>
      <c r="M141" s="28"/>
      <c r="N141" s="6"/>
    </row>
    <row r="142" spans="1:14" ht="15.75">
      <c r="A142" s="27"/>
      <c r="B142" s="28" t="s">
        <v>102</v>
      </c>
      <c r="C142" s="28"/>
      <c r="D142" s="28"/>
      <c r="E142" s="28"/>
      <c r="F142" s="28"/>
      <c r="G142" s="28"/>
      <c r="H142" s="60">
        <f>H141+H140</f>
        <v>27921</v>
      </c>
      <c r="I142" s="28"/>
      <c r="J142" s="60">
        <f>J141+J140</f>
        <v>840</v>
      </c>
      <c r="K142" s="28"/>
      <c r="L142" s="60">
        <f>J142+H142</f>
        <v>28761</v>
      </c>
      <c r="M142" s="28"/>
      <c r="N142" s="6"/>
    </row>
    <row r="143" spans="1:14" ht="15.75">
      <c r="A143" s="27"/>
      <c r="B143" s="28" t="s">
        <v>103</v>
      </c>
      <c r="C143" s="28"/>
      <c r="D143" s="28"/>
      <c r="E143" s="28"/>
      <c r="F143" s="28"/>
      <c r="G143" s="28"/>
      <c r="H143" s="60">
        <f>H139-H142-J142</f>
        <v>21239</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1.615473441108545</v>
      </c>
      <c r="M147" s="28" t="s">
        <v>192</v>
      </c>
      <c r="N147" s="6"/>
    </row>
    <row r="148" spans="1:14" ht="15.75">
      <c r="A148" s="27"/>
      <c r="B148" s="28" t="s">
        <v>106</v>
      </c>
      <c r="C148" s="28"/>
      <c r="D148" s="28"/>
      <c r="E148" s="28"/>
      <c r="F148" s="28"/>
      <c r="G148" s="28"/>
      <c r="H148" s="28"/>
      <c r="I148" s="28"/>
      <c r="J148" s="28"/>
      <c r="K148" s="28"/>
      <c r="L148" s="66">
        <v>1.43</v>
      </c>
      <c r="M148" s="28" t="s">
        <v>192</v>
      </c>
      <c r="N148" s="6"/>
    </row>
    <row r="149" spans="1:14" ht="15.75">
      <c r="A149" s="27"/>
      <c r="B149" s="28" t="s">
        <v>107</v>
      </c>
      <c r="C149" s="28"/>
      <c r="D149" s="28"/>
      <c r="E149" s="28"/>
      <c r="F149" s="28"/>
      <c r="G149" s="28"/>
      <c r="H149" s="28"/>
      <c r="I149" s="28"/>
      <c r="J149" s="28"/>
      <c r="K149" s="28"/>
      <c r="L149" s="66">
        <f>(L80+SUM(L82:L86))/-L87</f>
        <v>4.264</v>
      </c>
      <c r="M149" s="28" t="s">
        <v>192</v>
      </c>
      <c r="N149" s="6"/>
    </row>
    <row r="150" spans="1:14" ht="15.75">
      <c r="A150" s="27"/>
      <c r="B150" s="28" t="s">
        <v>108</v>
      </c>
      <c r="C150" s="28"/>
      <c r="D150" s="28"/>
      <c r="E150" s="28"/>
      <c r="F150" s="28"/>
      <c r="G150" s="28"/>
      <c r="H150" s="28"/>
      <c r="I150" s="28"/>
      <c r="J150" s="28"/>
      <c r="K150" s="28"/>
      <c r="L150" s="75">
        <v>3.26</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APRIL 2003</v>
      </c>
      <c r="C153" s="121"/>
      <c r="D153" s="121"/>
      <c r="E153" s="121"/>
      <c r="F153" s="121"/>
      <c r="G153" s="121"/>
      <c r="H153" s="121"/>
      <c r="I153" s="121"/>
      <c r="J153" s="121"/>
      <c r="K153" s="121"/>
      <c r="L153" s="121"/>
      <c r="M153" s="124"/>
      <c r="N153" s="6"/>
    </row>
    <row r="154" spans="1:14" ht="15.75">
      <c r="A154" s="2"/>
      <c r="B154" s="76"/>
      <c r="C154" s="76"/>
      <c r="D154" s="76"/>
      <c r="E154" s="76"/>
      <c r="F154" s="76"/>
      <c r="G154" s="76"/>
      <c r="H154" s="76"/>
      <c r="I154" s="76"/>
      <c r="J154" s="76"/>
      <c r="K154" s="76"/>
      <c r="L154" s="76"/>
      <c r="M154" s="76"/>
      <c r="N154" s="6"/>
    </row>
    <row r="155" spans="1:14" ht="15.75">
      <c r="A155" s="77"/>
      <c r="B155" s="58" t="s">
        <v>109</v>
      </c>
      <c r="C155" s="78"/>
      <c r="D155" s="78"/>
      <c r="E155" s="78"/>
      <c r="F155" s="78"/>
      <c r="G155" s="21"/>
      <c r="H155" s="21"/>
      <c r="I155" s="21"/>
      <c r="J155" s="21">
        <v>37741</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0.0592</v>
      </c>
      <c r="K160" s="28"/>
      <c r="L160" s="28"/>
      <c r="M160" s="28"/>
      <c r="N160" s="6"/>
    </row>
    <row r="161" spans="1:14" ht="15.75">
      <c r="A161" s="83"/>
      <c r="B161" s="84" t="s">
        <v>114</v>
      </c>
      <c r="C161" s="85"/>
      <c r="D161" s="85"/>
      <c r="E161" s="85"/>
      <c r="F161" s="85"/>
      <c r="G161" s="72"/>
      <c r="H161" s="72"/>
      <c r="I161" s="72"/>
      <c r="J161" s="86">
        <f>L33</f>
        <v>0.040664687031546104</v>
      </c>
      <c r="K161" s="28"/>
      <c r="L161" s="28"/>
      <c r="M161" s="28"/>
      <c r="N161" s="6"/>
    </row>
    <row r="162" spans="1:14" ht="15.75">
      <c r="A162" s="83"/>
      <c r="B162" s="84" t="s">
        <v>115</v>
      </c>
      <c r="C162" s="85"/>
      <c r="D162" s="85"/>
      <c r="E162" s="85"/>
      <c r="F162" s="85"/>
      <c r="G162" s="72"/>
      <c r="H162" s="72"/>
      <c r="I162" s="72"/>
      <c r="J162" s="86">
        <f>J160-J161</f>
        <v>0.0185353129684539</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18.68</v>
      </c>
      <c r="K166" s="28" t="s">
        <v>184</v>
      </c>
      <c r="L166" s="28"/>
      <c r="M166" s="28"/>
      <c r="N166" s="6"/>
    </row>
    <row r="167" spans="1:14" ht="15.75">
      <c r="A167" s="83"/>
      <c r="B167" s="84" t="s">
        <v>120</v>
      </c>
      <c r="C167" s="85"/>
      <c r="D167" s="85"/>
      <c r="E167" s="85"/>
      <c r="F167" s="85"/>
      <c r="G167" s="72"/>
      <c r="H167" s="72"/>
      <c r="I167" s="72"/>
      <c r="J167" s="86">
        <f>F56/'Jan 2003'!L56</f>
        <v>0.031422186645320524</v>
      </c>
      <c r="K167" s="28"/>
      <c r="L167" s="28"/>
      <c r="M167" s="28"/>
      <c r="N167" s="6"/>
    </row>
    <row r="168" spans="1:14" ht="15.75">
      <c r="A168" s="83"/>
      <c r="B168" s="84" t="s">
        <v>121</v>
      </c>
      <c r="C168" s="85"/>
      <c r="D168" s="85"/>
      <c r="E168" s="85"/>
      <c r="F168" s="85"/>
      <c r="G168" s="72"/>
      <c r="H168" s="72"/>
      <c r="I168" s="72"/>
      <c r="J168" s="86">
        <v>0.1104</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22</v>
      </c>
      <c r="J171" s="95">
        <v>826</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4331</v>
      </c>
      <c r="I186" s="104">
        <f>H186/H191</f>
        <v>0.9888127853881279</v>
      </c>
      <c r="J186" s="60">
        <v>293647</v>
      </c>
      <c r="K186" s="105">
        <f>J186/J191</f>
        <v>0.9939075367155531</v>
      </c>
      <c r="L186" s="89"/>
      <c r="M186" s="98"/>
      <c r="N186" s="6"/>
    </row>
    <row r="187" spans="1:14" ht="15.75">
      <c r="A187" s="27"/>
      <c r="B187" s="61" t="s">
        <v>138</v>
      </c>
      <c r="C187" s="104"/>
      <c r="D187" s="61"/>
      <c r="E187" s="104"/>
      <c r="F187" s="28"/>
      <c r="G187" s="106"/>
      <c r="H187" s="61">
        <v>16</v>
      </c>
      <c r="I187" s="104">
        <f>H187/H191</f>
        <v>0.0036529680365296802</v>
      </c>
      <c r="J187" s="60">
        <v>637</v>
      </c>
      <c r="K187" s="105">
        <f>J187/J191</f>
        <v>0.002156055062329284</v>
      </c>
      <c r="L187" s="89"/>
      <c r="M187" s="98"/>
      <c r="N187" s="6"/>
    </row>
    <row r="188" spans="1:14" ht="15.75">
      <c r="A188" s="27"/>
      <c r="B188" s="61" t="s">
        <v>139</v>
      </c>
      <c r="C188" s="104"/>
      <c r="D188" s="61"/>
      <c r="E188" s="104"/>
      <c r="F188" s="28"/>
      <c r="G188" s="106"/>
      <c r="H188" s="61">
        <v>9</v>
      </c>
      <c r="I188" s="104">
        <f>H188/H191</f>
        <v>0.002054794520547945</v>
      </c>
      <c r="J188" s="60">
        <v>385</v>
      </c>
      <c r="K188" s="105">
        <f>J188/J191</f>
        <v>0.00130311020250671</v>
      </c>
      <c r="L188" s="89"/>
      <c r="M188" s="98"/>
      <c r="N188" s="6"/>
    </row>
    <row r="189" spans="1:14" ht="15.75">
      <c r="A189" s="27"/>
      <c r="B189" s="61" t="s">
        <v>140</v>
      </c>
      <c r="C189" s="104"/>
      <c r="D189" s="61"/>
      <c r="E189" s="104"/>
      <c r="F189" s="28"/>
      <c r="G189" s="106"/>
      <c r="H189" s="61">
        <f>6+6+1+11</f>
        <v>24</v>
      </c>
      <c r="I189" s="104">
        <f>H189/H191</f>
        <v>0.005479452054794521</v>
      </c>
      <c r="J189" s="60">
        <f>166+211+41+360</f>
        <v>778</v>
      </c>
      <c r="K189" s="105">
        <f>J189/$J191</f>
        <v>0.0026332980196109622</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4380</v>
      </c>
      <c r="I191" s="108">
        <f>SUM(I186:I190)</f>
        <v>1</v>
      </c>
      <c r="J191" s="60">
        <f>SUM(J186:J190)</f>
        <v>295447</v>
      </c>
      <c r="K191" s="108">
        <f>SUM(K186:K190)</f>
        <v>1</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4"/>
      <c r="K194" s="14"/>
      <c r="L194" s="14"/>
      <c r="M194" s="14"/>
      <c r="N194" s="6"/>
    </row>
    <row r="195" spans="1:14" ht="15.75">
      <c r="A195" s="114"/>
      <c r="B195" s="14"/>
      <c r="C195" s="14"/>
      <c r="D195" s="9"/>
      <c r="E195" s="9"/>
      <c r="F195" s="9"/>
      <c r="G195" s="14"/>
      <c r="H195" s="14"/>
      <c r="I195" s="14"/>
      <c r="J195" s="14"/>
      <c r="K195" s="14"/>
      <c r="L195" s="14"/>
      <c r="M195" s="14"/>
      <c r="N195" s="6"/>
    </row>
    <row r="196" spans="1:14" ht="15.75">
      <c r="A196" s="114"/>
      <c r="B196" s="15" t="s">
        <v>142</v>
      </c>
      <c r="C196" s="115"/>
      <c r="D196" s="116" t="s">
        <v>150</v>
      </c>
      <c r="E196" s="15"/>
      <c r="F196" s="15" t="s">
        <v>161</v>
      </c>
      <c r="G196" s="115"/>
      <c r="H196" s="115"/>
      <c r="I196" s="14"/>
      <c r="J196" s="14"/>
      <c r="K196" s="14"/>
      <c r="L196" s="14"/>
      <c r="M196" s="14"/>
      <c r="N196" s="6"/>
    </row>
    <row r="197" spans="1:14" ht="15.75">
      <c r="A197" s="114"/>
      <c r="B197" s="15" t="s">
        <v>143</v>
      </c>
      <c r="C197" s="115"/>
      <c r="D197" s="116" t="s">
        <v>151</v>
      </c>
      <c r="E197" s="15"/>
      <c r="F197" s="15" t="s">
        <v>162</v>
      </c>
      <c r="G197" s="115"/>
      <c r="H197" s="115"/>
      <c r="I197" s="14"/>
      <c r="J197" s="14"/>
      <c r="K197" s="14"/>
      <c r="L197" s="14"/>
      <c r="M197" s="14"/>
      <c r="N197" s="6"/>
    </row>
    <row r="198" spans="1:14" ht="15.75">
      <c r="A198" s="114"/>
      <c r="B198" s="15"/>
      <c r="C198" s="115"/>
      <c r="D198" s="116"/>
      <c r="E198" s="15"/>
      <c r="F198" s="15"/>
      <c r="G198" s="115"/>
      <c r="H198" s="115"/>
      <c r="I198" s="14"/>
      <c r="J198" s="14"/>
      <c r="K198" s="14"/>
      <c r="L198" s="14"/>
      <c r="M198" s="14"/>
      <c r="N198" s="6"/>
    </row>
    <row r="199" spans="1:14" ht="15.75">
      <c r="A199" s="114"/>
      <c r="B199" s="15"/>
      <c r="C199" s="115"/>
      <c r="D199" s="116"/>
      <c r="E199" s="15"/>
      <c r="F199" s="15"/>
      <c r="G199" s="115"/>
      <c r="H199" s="115"/>
      <c r="I199" s="14"/>
      <c r="J199" s="14"/>
      <c r="K199" s="14"/>
      <c r="L199" s="14"/>
      <c r="M199" s="14"/>
      <c r="N199" s="6"/>
    </row>
    <row r="200" spans="1:14" ht="18.75">
      <c r="A200" s="114"/>
      <c r="B200" s="56" t="str">
        <f>B153</f>
        <v>PM3 INVESTOR REPORT QUARTER ENDING APRIL 2003</v>
      </c>
      <c r="C200" s="115"/>
      <c r="D200" s="116"/>
      <c r="E200" s="15"/>
      <c r="F200" s="15"/>
      <c r="G200" s="115"/>
      <c r="H200" s="115"/>
      <c r="I200" s="14"/>
      <c r="J200" s="14"/>
      <c r="K200" s="14"/>
      <c r="L200" s="14"/>
      <c r="M200" s="14"/>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9.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31"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2" customHeight="1">
      <c r="A5" s="7"/>
      <c r="B5" s="12" t="s">
        <v>2</v>
      </c>
      <c r="C5" s="13"/>
      <c r="D5" s="9"/>
      <c r="E5" s="9"/>
      <c r="F5" s="9"/>
      <c r="G5" s="9"/>
      <c r="H5" s="9"/>
      <c r="I5" s="9"/>
      <c r="J5" s="9"/>
      <c r="K5" s="9"/>
      <c r="L5" s="9"/>
      <c r="M5" s="9"/>
      <c r="N5" s="6"/>
    </row>
    <row r="6" spans="1:14" ht="12" customHeight="1">
      <c r="A6" s="7"/>
      <c r="B6" s="12" t="s">
        <v>3</v>
      </c>
      <c r="C6" s="13"/>
      <c r="D6" s="9"/>
      <c r="E6" s="9"/>
      <c r="F6" s="9"/>
      <c r="G6" s="9"/>
      <c r="H6" s="9"/>
      <c r="I6" s="9"/>
      <c r="J6" s="9"/>
      <c r="K6" s="9"/>
      <c r="L6" s="9"/>
      <c r="M6" s="9"/>
      <c r="N6" s="6"/>
    </row>
    <row r="7" spans="1:14" ht="12" customHeight="1">
      <c r="A7" s="7"/>
      <c r="B7" s="12" t="s">
        <v>4</v>
      </c>
      <c r="C7" s="13"/>
      <c r="D7" s="9"/>
      <c r="E7" s="9"/>
      <c r="F7" s="9"/>
      <c r="G7" s="9"/>
      <c r="H7" s="9"/>
      <c r="I7" s="9"/>
      <c r="J7" s="9"/>
      <c r="K7" s="9"/>
      <c r="L7" s="9"/>
      <c r="M7" s="9"/>
      <c r="N7" s="6"/>
    </row>
    <row r="8" spans="1:14" ht="12" customHeight="1">
      <c r="A8" s="7"/>
      <c r="B8" s="12" t="s">
        <v>5</v>
      </c>
      <c r="C8" s="13"/>
      <c r="D8" s="9"/>
      <c r="E8" s="9"/>
      <c r="F8" s="9"/>
      <c r="G8" s="9"/>
      <c r="H8" s="9"/>
      <c r="I8" s="9"/>
      <c r="J8" s="9"/>
      <c r="K8" s="9"/>
      <c r="L8" s="9"/>
      <c r="M8" s="9"/>
      <c r="N8" s="6"/>
    </row>
    <row r="9" spans="1:14" ht="12" customHeight="1">
      <c r="A9" s="7"/>
      <c r="B9" s="126"/>
      <c r="C9" s="13"/>
      <c r="D9" s="9"/>
      <c r="E9" s="9"/>
      <c r="F9" s="9"/>
      <c r="G9" s="9"/>
      <c r="H9" s="9"/>
      <c r="I9" s="9"/>
      <c r="J9" s="9"/>
      <c r="K9" s="9"/>
      <c r="L9" s="9"/>
      <c r="M9" s="9"/>
      <c r="N9" s="6"/>
    </row>
    <row r="10" spans="1:14" ht="15.75">
      <c r="A10" s="7"/>
      <c r="B10" s="12"/>
      <c r="C10" s="13"/>
      <c r="D10" s="15"/>
      <c r="E10" s="15"/>
      <c r="F10" s="9"/>
      <c r="G10" s="9"/>
      <c r="H10" s="9"/>
      <c r="I10" s="9"/>
      <c r="J10" s="9"/>
      <c r="K10" s="9"/>
      <c r="L10" s="9"/>
      <c r="M10" s="9"/>
      <c r="N10" s="6"/>
    </row>
    <row r="11" spans="1:14" ht="15.75">
      <c r="A11" s="7"/>
      <c r="B11" s="15" t="s">
        <v>6</v>
      </c>
      <c r="C11" s="15"/>
      <c r="D11" s="9"/>
      <c r="E11" s="9"/>
      <c r="F11" s="9"/>
      <c r="G11" s="9"/>
      <c r="H11" s="9"/>
      <c r="I11" s="9"/>
      <c r="J11" s="9"/>
      <c r="K11" s="9"/>
      <c r="L11" s="9"/>
      <c r="M11" s="9"/>
      <c r="N11" s="6"/>
    </row>
    <row r="12" spans="1:14" ht="15.75">
      <c r="A12" s="7"/>
      <c r="B12" s="15"/>
      <c r="C12" s="15"/>
      <c r="D12" s="9"/>
      <c r="E12" s="9"/>
      <c r="F12" s="9"/>
      <c r="G12" s="9"/>
      <c r="H12" s="9"/>
      <c r="I12" s="9"/>
      <c r="J12" s="9"/>
      <c r="K12" s="9"/>
      <c r="L12" s="9"/>
      <c r="M12" s="9"/>
      <c r="N12" s="6"/>
    </row>
    <row r="13" spans="1:14" ht="15.75">
      <c r="A13" s="2"/>
      <c r="B13" s="5"/>
      <c r="C13" s="5"/>
      <c r="D13" s="5"/>
      <c r="E13" s="5"/>
      <c r="F13" s="5"/>
      <c r="G13" s="5"/>
      <c r="H13" s="5"/>
      <c r="I13" s="5"/>
      <c r="J13" s="5"/>
      <c r="K13" s="5"/>
      <c r="L13" s="5"/>
      <c r="M13" s="5"/>
      <c r="N13" s="6"/>
    </row>
    <row r="14" spans="1:14" ht="15.75">
      <c r="A14" s="7"/>
      <c r="B14" s="16" t="s">
        <v>7</v>
      </c>
      <c r="C14" s="16"/>
      <c r="D14" s="17"/>
      <c r="E14" s="17"/>
      <c r="F14" s="17"/>
      <c r="G14" s="17"/>
      <c r="H14" s="17"/>
      <c r="I14" s="17"/>
      <c r="J14" s="17"/>
      <c r="K14" s="17"/>
      <c r="L14" s="18" t="s">
        <v>185</v>
      </c>
      <c r="M14" s="17"/>
      <c r="N14" s="6"/>
    </row>
    <row r="15" spans="1:14" ht="15.75">
      <c r="A15" s="7"/>
      <c r="B15" s="16" t="s">
        <v>8</v>
      </c>
      <c r="C15" s="16"/>
      <c r="D15" s="17"/>
      <c r="E15" s="17"/>
      <c r="F15" s="17"/>
      <c r="G15" s="17"/>
      <c r="H15" s="19"/>
      <c r="I15" s="20"/>
      <c r="J15" s="19" t="s">
        <v>173</v>
      </c>
      <c r="K15" s="20">
        <v>1</v>
      </c>
      <c r="L15" s="18"/>
      <c r="M15" s="17"/>
      <c r="N15" s="6"/>
    </row>
    <row r="16" spans="1:14" ht="15.75">
      <c r="A16" s="7"/>
      <c r="B16" s="16" t="s">
        <v>9</v>
      </c>
      <c r="C16" s="16"/>
      <c r="D16" s="17"/>
      <c r="E16" s="17"/>
      <c r="F16" s="17"/>
      <c r="G16" s="17"/>
      <c r="H16" s="19"/>
      <c r="I16" s="20"/>
      <c r="J16" s="19" t="s">
        <v>173</v>
      </c>
      <c r="K16" s="20">
        <v>1</v>
      </c>
      <c r="L16" s="18"/>
      <c r="M16" s="17"/>
      <c r="N16" s="6"/>
    </row>
    <row r="17" spans="1:14" ht="15.75">
      <c r="A17" s="7"/>
      <c r="B17" s="16" t="s">
        <v>10</v>
      </c>
      <c r="C17" s="16"/>
      <c r="D17" s="17"/>
      <c r="E17" s="17"/>
      <c r="F17" s="17"/>
      <c r="G17" s="17"/>
      <c r="H17" s="17"/>
      <c r="I17" s="17"/>
      <c r="J17" s="17"/>
      <c r="K17" s="17"/>
      <c r="L17" s="21">
        <v>37008</v>
      </c>
      <c r="M17" s="17"/>
      <c r="N17" s="6"/>
    </row>
    <row r="18" spans="1:14" ht="15.75">
      <c r="A18" s="7"/>
      <c r="B18" s="16" t="s">
        <v>11</v>
      </c>
      <c r="C18" s="16"/>
      <c r="D18" s="17"/>
      <c r="E18" s="17"/>
      <c r="F18" s="17"/>
      <c r="G18" s="17"/>
      <c r="H18" s="17"/>
      <c r="I18" s="17"/>
      <c r="J18" s="17"/>
      <c r="K18" s="17"/>
      <c r="L18" s="21">
        <v>37857</v>
      </c>
      <c r="M18" s="17"/>
      <c r="N18" s="6"/>
    </row>
    <row r="19" spans="1:14" ht="15.75">
      <c r="A19" s="7"/>
      <c r="B19" s="9"/>
      <c r="C19" s="9"/>
      <c r="D19" s="9"/>
      <c r="E19" s="9"/>
      <c r="F19" s="9"/>
      <c r="G19" s="9"/>
      <c r="H19" s="9"/>
      <c r="I19" s="9"/>
      <c r="J19" s="9"/>
      <c r="K19" s="9"/>
      <c r="L19" s="22"/>
      <c r="M19" s="9"/>
      <c r="N19" s="6"/>
    </row>
    <row r="20" spans="1:14" ht="15.75">
      <c r="A20" s="7"/>
      <c r="B20" s="23" t="s">
        <v>12</v>
      </c>
      <c r="C20" s="9"/>
      <c r="D20" s="9"/>
      <c r="E20" s="9"/>
      <c r="F20" s="9"/>
      <c r="G20" s="9"/>
      <c r="H20" s="9"/>
      <c r="I20" s="9"/>
      <c r="J20" s="22" t="s">
        <v>174</v>
      </c>
      <c r="K20" s="9"/>
      <c r="L20" s="126"/>
      <c r="M20" s="9"/>
      <c r="N20" s="6"/>
    </row>
    <row r="21" spans="1:14" ht="15.75">
      <c r="A21" s="7"/>
      <c r="B21" s="9"/>
      <c r="C21" s="9"/>
      <c r="D21" s="9"/>
      <c r="E21" s="9"/>
      <c r="F21" s="9"/>
      <c r="G21" s="9"/>
      <c r="H21" s="9"/>
      <c r="I21" s="9"/>
      <c r="J21" s="9"/>
      <c r="K21" s="9"/>
      <c r="L21" s="24"/>
      <c r="M21" s="9"/>
      <c r="N21" s="6"/>
    </row>
    <row r="22" spans="1:14" ht="15.75">
      <c r="A22" s="7"/>
      <c r="B22" s="9"/>
      <c r="C22" s="132" t="s">
        <v>144</v>
      </c>
      <c r="D22" s="25"/>
      <c r="E22" s="25"/>
      <c r="F22" s="133" t="s">
        <v>152</v>
      </c>
      <c r="G22" s="133"/>
      <c r="H22" s="133" t="s">
        <v>163</v>
      </c>
      <c r="I22" s="26"/>
      <c r="J22" s="25"/>
      <c r="K22" s="126"/>
      <c r="L22" s="126"/>
      <c r="M22" s="9"/>
      <c r="N22" s="6"/>
    </row>
    <row r="23" spans="1:14" ht="15.75">
      <c r="A23" s="7"/>
      <c r="B23" s="9" t="s">
        <v>13</v>
      </c>
      <c r="C23" s="132" t="s">
        <v>145</v>
      </c>
      <c r="D23" s="25"/>
      <c r="E23" s="25"/>
      <c r="F23" s="25" t="s">
        <v>153</v>
      </c>
      <c r="G23" s="25"/>
      <c r="H23" s="25" t="s">
        <v>164</v>
      </c>
      <c r="I23" s="25"/>
      <c r="J23" s="25"/>
      <c r="K23" s="126"/>
      <c r="L23" s="126"/>
      <c r="M23" s="9"/>
      <c r="N23" s="6"/>
    </row>
    <row r="24" spans="1:14" ht="15.75">
      <c r="A24" s="27"/>
      <c r="B24" s="28" t="s">
        <v>14</v>
      </c>
      <c r="C24" s="29"/>
      <c r="D24" s="30"/>
      <c r="E24" s="30"/>
      <c r="F24" s="30" t="s">
        <v>154</v>
      </c>
      <c r="G24" s="30"/>
      <c r="H24" s="30" t="s">
        <v>165</v>
      </c>
      <c r="I24" s="30"/>
      <c r="J24" s="30"/>
      <c r="K24" s="127"/>
      <c r="L24" s="127"/>
      <c r="M24" s="28"/>
      <c r="N24" s="6"/>
    </row>
    <row r="25" spans="1:14" ht="15.75">
      <c r="A25" s="32"/>
      <c r="B25" s="33" t="s">
        <v>15</v>
      </c>
      <c r="C25" s="33"/>
      <c r="D25" s="34"/>
      <c r="E25" s="34"/>
      <c r="F25" s="34" t="s">
        <v>153</v>
      </c>
      <c r="G25" s="34"/>
      <c r="H25" s="34" t="s">
        <v>202</v>
      </c>
      <c r="I25" s="34"/>
      <c r="J25" s="30"/>
      <c r="K25" s="127"/>
      <c r="L25" s="127"/>
      <c r="M25" s="28"/>
      <c r="N25" s="6"/>
    </row>
    <row r="26" spans="1:14" ht="15.75">
      <c r="A26" s="32"/>
      <c r="B26" s="33" t="s">
        <v>16</v>
      </c>
      <c r="C26" s="33"/>
      <c r="D26" s="34"/>
      <c r="E26" s="34"/>
      <c r="F26" s="34" t="s">
        <v>154</v>
      </c>
      <c r="G26" s="34"/>
      <c r="H26" s="34" t="s">
        <v>201</v>
      </c>
      <c r="I26" s="34"/>
      <c r="J26" s="30"/>
      <c r="K26" s="127"/>
      <c r="L26" s="127"/>
      <c r="M26" s="28"/>
      <c r="N26" s="6"/>
    </row>
    <row r="27" spans="1:14" ht="15.75">
      <c r="A27" s="27"/>
      <c r="B27" s="28" t="s">
        <v>17</v>
      </c>
      <c r="C27" s="28"/>
      <c r="D27" s="29"/>
      <c r="E27" s="30"/>
      <c r="F27" s="29" t="s">
        <v>155</v>
      </c>
      <c r="G27" s="30"/>
      <c r="H27" s="29" t="s">
        <v>166</v>
      </c>
      <c r="I27" s="30"/>
      <c r="J27" s="29"/>
      <c r="K27" s="127"/>
      <c r="L27" s="127"/>
      <c r="M27" s="28"/>
      <c r="N27" s="6"/>
    </row>
    <row r="28" spans="1:14" ht="15.75">
      <c r="A28" s="27"/>
      <c r="B28" s="28"/>
      <c r="C28" s="28"/>
      <c r="D28" s="28"/>
      <c r="E28" s="30"/>
      <c r="F28" s="30"/>
      <c r="G28" s="30"/>
      <c r="H28" s="30"/>
      <c r="I28" s="30"/>
      <c r="J28" s="30"/>
      <c r="K28" s="127"/>
      <c r="L28" s="127"/>
      <c r="M28" s="28"/>
      <c r="N28" s="6"/>
    </row>
    <row r="29" spans="1:14" ht="15.75">
      <c r="A29" s="27"/>
      <c r="B29" s="28" t="s">
        <v>18</v>
      </c>
      <c r="C29" s="28"/>
      <c r="D29" s="35"/>
      <c r="E29" s="36"/>
      <c r="F29" s="35">
        <v>306000</v>
      </c>
      <c r="G29" s="35"/>
      <c r="H29" s="35">
        <v>34000</v>
      </c>
      <c r="I29" s="35"/>
      <c r="J29" s="35"/>
      <c r="K29" s="128"/>
      <c r="L29" s="35">
        <f>H29+F29</f>
        <v>340000</v>
      </c>
      <c r="M29" s="38"/>
      <c r="N29" s="6"/>
    </row>
    <row r="30" spans="1:14" ht="15.75">
      <c r="A30" s="27"/>
      <c r="B30" s="28" t="s">
        <v>19</v>
      </c>
      <c r="C30" s="39">
        <v>0.854401</v>
      </c>
      <c r="D30" s="35"/>
      <c r="E30" s="36"/>
      <c r="F30" s="35">
        <f>306000*C30</f>
        <v>261446.70599999998</v>
      </c>
      <c r="G30" s="35"/>
      <c r="H30" s="35">
        <v>34000</v>
      </c>
      <c r="I30" s="35"/>
      <c r="J30" s="35"/>
      <c r="K30" s="128"/>
      <c r="L30" s="35">
        <f>H30+F30</f>
        <v>295446.706</v>
      </c>
      <c r="M30" s="38"/>
      <c r="N30" s="6"/>
    </row>
    <row r="31" spans="1:14" ht="12.75" customHeight="1">
      <c r="A31" s="32"/>
      <c r="B31" s="33" t="s">
        <v>20</v>
      </c>
      <c r="C31" s="40">
        <v>0.825258</v>
      </c>
      <c r="D31" s="41"/>
      <c r="E31" s="42"/>
      <c r="F31" s="41">
        <f>F29*C31</f>
        <v>252528.948</v>
      </c>
      <c r="G31" s="41"/>
      <c r="H31" s="41">
        <f>H29</f>
        <v>34000</v>
      </c>
      <c r="I31" s="41"/>
      <c r="J31" s="41"/>
      <c r="K31" s="43"/>
      <c r="L31" s="41">
        <f>H31+F31+D31</f>
        <v>286528.948</v>
      </c>
      <c r="M31" s="38"/>
      <c r="N31" s="6"/>
    </row>
    <row r="32" spans="1:14" ht="15.75">
      <c r="A32" s="27"/>
      <c r="B32" s="28" t="s">
        <v>21</v>
      </c>
      <c r="C32" s="44"/>
      <c r="D32" s="29"/>
      <c r="E32" s="28"/>
      <c r="F32" s="29" t="s">
        <v>156</v>
      </c>
      <c r="G32" s="29"/>
      <c r="H32" s="29" t="s">
        <v>167</v>
      </c>
      <c r="I32" s="29"/>
      <c r="J32" s="29"/>
      <c r="K32" s="127"/>
      <c r="L32" s="127"/>
      <c r="M32" s="28"/>
      <c r="N32" s="6"/>
    </row>
    <row r="33" spans="1:14" ht="15.75">
      <c r="A33" s="27"/>
      <c r="B33" s="28" t="s">
        <v>22</v>
      </c>
      <c r="C33" s="28"/>
      <c r="D33" s="45"/>
      <c r="E33" s="28"/>
      <c r="F33" s="45">
        <v>0.0388125</v>
      </c>
      <c r="G33" s="46"/>
      <c r="H33" s="45">
        <v>0.0440125</v>
      </c>
      <c r="I33" s="46"/>
      <c r="J33" s="45"/>
      <c r="K33" s="127"/>
      <c r="L33" s="46">
        <f>SUMPRODUCT(F33:H33,F30:H30)/L30</f>
        <v>0.039410915878090716</v>
      </c>
      <c r="M33" s="28"/>
      <c r="N33" s="6"/>
    </row>
    <row r="34" spans="1:14" ht="15.75">
      <c r="A34" s="27"/>
      <c r="B34" s="28" t="s">
        <v>23</v>
      </c>
      <c r="C34" s="28"/>
      <c r="D34" s="45"/>
      <c r="E34" s="28"/>
      <c r="F34" s="45">
        <v>0.040075</v>
      </c>
      <c r="G34" s="46"/>
      <c r="H34" s="45">
        <v>0.045275</v>
      </c>
      <c r="I34" s="46"/>
      <c r="J34" s="45"/>
      <c r="K34" s="127"/>
      <c r="L34" s="127"/>
      <c r="M34" s="28"/>
      <c r="N34" s="6"/>
    </row>
    <row r="35" spans="1:14" ht="15.75">
      <c r="A35" s="27"/>
      <c r="B35" s="28" t="s">
        <v>24</v>
      </c>
      <c r="C35" s="28"/>
      <c r="D35" s="29"/>
      <c r="E35" s="28"/>
      <c r="F35" s="29" t="s">
        <v>157</v>
      </c>
      <c r="G35" s="29"/>
      <c r="H35" s="29" t="s">
        <v>157</v>
      </c>
      <c r="I35" s="29"/>
      <c r="J35" s="29"/>
      <c r="K35" s="127"/>
      <c r="L35" s="127"/>
      <c r="M35" s="28"/>
      <c r="N35" s="6"/>
    </row>
    <row r="36" spans="1:14" ht="15.75">
      <c r="A36" s="27"/>
      <c r="B36" s="28" t="s">
        <v>25</v>
      </c>
      <c r="C36" s="28"/>
      <c r="D36" s="29"/>
      <c r="E36" s="28"/>
      <c r="F36" s="151">
        <v>39209</v>
      </c>
      <c r="G36" s="29"/>
      <c r="H36" s="151">
        <v>39209</v>
      </c>
      <c r="I36" s="29"/>
      <c r="J36" s="29"/>
      <c r="K36" s="127"/>
      <c r="L36" s="127"/>
      <c r="M36" s="28"/>
      <c r="N36" s="6"/>
    </row>
    <row r="37" spans="1:14" ht="15.75">
      <c r="A37" s="27"/>
      <c r="B37" s="28" t="s">
        <v>26</v>
      </c>
      <c r="C37" s="28"/>
      <c r="D37" s="29"/>
      <c r="E37" s="28"/>
      <c r="F37" s="29" t="s">
        <v>158</v>
      </c>
      <c r="G37" s="29"/>
      <c r="H37" s="29" t="s">
        <v>168</v>
      </c>
      <c r="I37" s="29"/>
      <c r="J37" s="29"/>
      <c r="K37" s="127"/>
      <c r="L37" s="127"/>
      <c r="M37" s="28"/>
      <c r="N37" s="6"/>
    </row>
    <row r="38" spans="1:14" ht="15.75">
      <c r="A38" s="27"/>
      <c r="B38" s="28"/>
      <c r="C38" s="28"/>
      <c r="D38" s="47"/>
      <c r="E38" s="47"/>
      <c r="F38" s="28"/>
      <c r="G38" s="47"/>
      <c r="H38" s="47"/>
      <c r="I38" s="47"/>
      <c r="J38" s="47"/>
      <c r="K38" s="47"/>
      <c r="L38" s="47"/>
      <c r="M38" s="28"/>
      <c r="N38" s="6"/>
    </row>
    <row r="39" spans="1:14" ht="15.75">
      <c r="A39" s="27"/>
      <c r="B39" s="28" t="s">
        <v>27</v>
      </c>
      <c r="C39" s="28"/>
      <c r="D39" s="28"/>
      <c r="E39" s="28"/>
      <c r="F39" s="28"/>
      <c r="G39" s="28"/>
      <c r="H39" s="118"/>
      <c r="I39" s="28"/>
      <c r="J39" s="28"/>
      <c r="K39" s="28"/>
      <c r="L39" s="46">
        <f>H29/F29</f>
        <v>0.1111111111111111</v>
      </c>
      <c r="M39" s="28"/>
      <c r="N39" s="6"/>
    </row>
    <row r="40" spans="1:14" ht="15.75">
      <c r="A40" s="27"/>
      <c r="B40" s="28" t="s">
        <v>28</v>
      </c>
      <c r="C40" s="28"/>
      <c r="D40" s="28"/>
      <c r="E40" s="28"/>
      <c r="F40" s="28"/>
      <c r="G40" s="28"/>
      <c r="H40" s="118"/>
      <c r="I40" s="28"/>
      <c r="J40" s="28"/>
      <c r="K40" s="28"/>
      <c r="L40" s="46">
        <f>H31/F31</f>
        <v>0.13463802969630237</v>
      </c>
      <c r="M40" s="28"/>
      <c r="N40" s="6"/>
    </row>
    <row r="41" spans="1:14" ht="15.75">
      <c r="A41" s="27"/>
      <c r="B41" s="28" t="s">
        <v>29</v>
      </c>
      <c r="C41" s="28"/>
      <c r="D41" s="28"/>
      <c r="E41" s="28"/>
      <c r="F41" s="28"/>
      <c r="G41" s="28"/>
      <c r="H41" s="28"/>
      <c r="I41" s="28"/>
      <c r="J41" s="29" t="s">
        <v>152</v>
      </c>
      <c r="K41" s="29" t="s">
        <v>183</v>
      </c>
      <c r="L41" s="35">
        <v>136000</v>
      </c>
      <c r="M41" s="28"/>
      <c r="N41" s="6"/>
    </row>
    <row r="42" spans="1:14" ht="15.75">
      <c r="A42" s="27"/>
      <c r="B42" s="28"/>
      <c r="C42" s="28"/>
      <c r="D42" s="28"/>
      <c r="E42" s="28"/>
      <c r="F42" s="28"/>
      <c r="G42" s="28"/>
      <c r="H42" s="28"/>
      <c r="I42" s="28"/>
      <c r="J42" s="28" t="s">
        <v>175</v>
      </c>
      <c r="K42" s="28"/>
      <c r="L42" s="48"/>
      <c r="M42" s="28"/>
      <c r="N42" s="6"/>
    </row>
    <row r="43" spans="1:14" ht="15.75">
      <c r="A43" s="27"/>
      <c r="B43" s="28" t="s">
        <v>30</v>
      </c>
      <c r="C43" s="28"/>
      <c r="D43" s="28"/>
      <c r="E43" s="28"/>
      <c r="F43" s="28"/>
      <c r="G43" s="28"/>
      <c r="H43" s="28"/>
      <c r="I43" s="28"/>
      <c r="J43" s="29"/>
      <c r="K43" s="29"/>
      <c r="L43" s="29" t="s">
        <v>186</v>
      </c>
      <c r="M43" s="28"/>
      <c r="N43" s="6"/>
    </row>
    <row r="44" spans="1:14" ht="15.75">
      <c r="A44" s="32"/>
      <c r="B44" s="33" t="s">
        <v>31</v>
      </c>
      <c r="C44" s="33"/>
      <c r="D44" s="33"/>
      <c r="E44" s="33"/>
      <c r="F44" s="33"/>
      <c r="G44" s="33"/>
      <c r="H44" s="33"/>
      <c r="I44" s="33"/>
      <c r="J44" s="49"/>
      <c r="K44" s="49"/>
      <c r="L44" s="50">
        <v>37840</v>
      </c>
      <c r="M44" s="28"/>
      <c r="N44" s="6"/>
    </row>
    <row r="45" spans="1:14" ht="15.75">
      <c r="A45" s="27"/>
      <c r="B45" s="28" t="s">
        <v>32</v>
      </c>
      <c r="C45" s="28"/>
      <c r="D45" s="28"/>
      <c r="E45" s="28"/>
      <c r="F45" s="28"/>
      <c r="G45" s="28"/>
      <c r="H45" s="28"/>
      <c r="I45" s="28">
        <f>L45-J45+1</f>
        <v>89</v>
      </c>
      <c r="J45" s="53">
        <v>37659</v>
      </c>
      <c r="K45" s="52"/>
      <c r="L45" s="53">
        <v>37747</v>
      </c>
      <c r="M45" s="28"/>
      <c r="N45" s="6"/>
    </row>
    <row r="46" spans="1:14" ht="15.75">
      <c r="A46" s="27"/>
      <c r="B46" s="28" t="s">
        <v>33</v>
      </c>
      <c r="C46" s="28"/>
      <c r="D46" s="28"/>
      <c r="E46" s="28"/>
      <c r="F46" s="28"/>
      <c r="G46" s="28"/>
      <c r="H46" s="28"/>
      <c r="I46" s="28">
        <f>L46-J46+1</f>
        <v>92</v>
      </c>
      <c r="J46" s="53">
        <v>37748</v>
      </c>
      <c r="K46" s="52"/>
      <c r="L46" s="53">
        <v>37839</v>
      </c>
      <c r="M46" s="28"/>
      <c r="N46" s="6"/>
    </row>
    <row r="47" spans="1:14" ht="15.75">
      <c r="A47" s="27"/>
      <c r="B47" s="28" t="s">
        <v>34</v>
      </c>
      <c r="C47" s="28"/>
      <c r="D47" s="28"/>
      <c r="E47" s="28"/>
      <c r="F47" s="28"/>
      <c r="G47" s="28"/>
      <c r="H47" s="28"/>
      <c r="I47" s="28"/>
      <c r="J47" s="53"/>
      <c r="K47" s="52"/>
      <c r="L47" s="53" t="s">
        <v>187</v>
      </c>
      <c r="M47" s="28"/>
      <c r="N47" s="6"/>
    </row>
    <row r="48" spans="1:14" ht="15.75">
      <c r="A48" s="27"/>
      <c r="B48" s="28" t="s">
        <v>35</v>
      </c>
      <c r="C48" s="28"/>
      <c r="D48" s="28"/>
      <c r="E48" s="28"/>
      <c r="F48" s="28"/>
      <c r="G48" s="28"/>
      <c r="H48" s="28"/>
      <c r="I48" s="28"/>
      <c r="J48" s="53"/>
      <c r="K48" s="52"/>
      <c r="L48" s="53">
        <v>37834</v>
      </c>
      <c r="M48" s="28"/>
      <c r="N48" s="6"/>
    </row>
    <row r="49" spans="1:14" ht="15.75">
      <c r="A49" s="27"/>
      <c r="B49" s="28"/>
      <c r="C49" s="28"/>
      <c r="D49" s="28"/>
      <c r="E49" s="28"/>
      <c r="F49" s="28"/>
      <c r="G49" s="28"/>
      <c r="H49" s="28"/>
      <c r="I49" s="28"/>
      <c r="J49" s="53"/>
      <c r="K49" s="52"/>
      <c r="L49" s="53"/>
      <c r="M49" s="28"/>
      <c r="N49" s="6"/>
    </row>
    <row r="50" spans="1:14" ht="15.75">
      <c r="A50" s="7"/>
      <c r="B50" s="9"/>
      <c r="C50" s="9"/>
      <c r="D50" s="9"/>
      <c r="E50" s="9"/>
      <c r="F50" s="9"/>
      <c r="G50" s="9"/>
      <c r="H50" s="9"/>
      <c r="I50" s="9"/>
      <c r="J50" s="54"/>
      <c r="K50" s="55"/>
      <c r="L50" s="54"/>
      <c r="M50" s="9"/>
      <c r="N50" s="6"/>
    </row>
    <row r="51" spans="1:14" ht="19.5" thickBot="1">
      <c r="A51" s="119"/>
      <c r="B51" s="120" t="s">
        <v>200</v>
      </c>
      <c r="C51" s="121"/>
      <c r="D51" s="121"/>
      <c r="E51" s="121"/>
      <c r="F51" s="121"/>
      <c r="G51" s="121"/>
      <c r="H51" s="121"/>
      <c r="I51" s="121"/>
      <c r="J51" s="122"/>
      <c r="K51" s="123"/>
      <c r="L51" s="122"/>
      <c r="M51" s="124"/>
      <c r="N51" s="6"/>
    </row>
    <row r="52" spans="1:14" ht="15.75">
      <c r="A52" s="2"/>
      <c r="B52" s="5"/>
      <c r="C52" s="5"/>
      <c r="D52" s="5"/>
      <c r="E52" s="5"/>
      <c r="F52" s="5"/>
      <c r="G52" s="5"/>
      <c r="H52" s="5"/>
      <c r="I52" s="5"/>
      <c r="J52" s="5"/>
      <c r="K52" s="5"/>
      <c r="L52" s="57"/>
      <c r="M52" s="5"/>
      <c r="N52" s="6"/>
    </row>
    <row r="53" spans="1:14" ht="15.75">
      <c r="A53" s="7"/>
      <c r="B53" s="58" t="s">
        <v>37</v>
      </c>
      <c r="C53" s="15"/>
      <c r="D53" s="9"/>
      <c r="E53" s="9"/>
      <c r="F53" s="9"/>
      <c r="G53" s="9"/>
      <c r="H53" s="9"/>
      <c r="I53" s="9"/>
      <c r="J53" s="9"/>
      <c r="K53" s="9"/>
      <c r="L53" s="59"/>
      <c r="M53" s="9"/>
      <c r="N53" s="6"/>
    </row>
    <row r="54" spans="1:14" ht="15.75">
      <c r="A54" s="7"/>
      <c r="B54" s="15"/>
      <c r="C54" s="15"/>
      <c r="D54" s="9"/>
      <c r="E54" s="9"/>
      <c r="F54" s="9"/>
      <c r="G54" s="9"/>
      <c r="H54" s="9"/>
      <c r="I54" s="9"/>
      <c r="J54" s="9"/>
      <c r="K54" s="9"/>
      <c r="L54" s="59"/>
      <c r="M54" s="9"/>
      <c r="N54" s="6"/>
    </row>
    <row r="55" spans="1:14" ht="63">
      <c r="A55" s="7"/>
      <c r="B55" s="146" t="s">
        <v>38</v>
      </c>
      <c r="C55" s="147" t="s">
        <v>146</v>
      </c>
      <c r="D55" s="147" t="s">
        <v>148</v>
      </c>
      <c r="E55" s="147"/>
      <c r="F55" s="147" t="s">
        <v>159</v>
      </c>
      <c r="G55" s="147"/>
      <c r="H55" s="147" t="s">
        <v>169</v>
      </c>
      <c r="I55" s="147"/>
      <c r="J55" s="147" t="s">
        <v>176</v>
      </c>
      <c r="K55" s="147"/>
      <c r="L55" s="148" t="s">
        <v>188</v>
      </c>
      <c r="M55" s="9"/>
      <c r="N55" s="6"/>
    </row>
    <row r="56" spans="1:14" ht="15.75">
      <c r="A56" s="27"/>
      <c r="B56" s="28" t="s">
        <v>39</v>
      </c>
      <c r="C56" s="38">
        <v>280068</v>
      </c>
      <c r="D56" s="38">
        <v>295447</v>
      </c>
      <c r="E56" s="38"/>
      <c r="F56" s="38">
        <f>8918+5+5717</f>
        <v>14640</v>
      </c>
      <c r="G56" s="38"/>
      <c r="H56" s="38">
        <f>5717+5</f>
        <v>5722</v>
      </c>
      <c r="I56" s="38"/>
      <c r="J56" s="38">
        <v>0</v>
      </c>
      <c r="K56" s="38"/>
      <c r="L56" s="60">
        <f>D56-F56+H56-J56</f>
        <v>286529</v>
      </c>
      <c r="M56" s="28"/>
      <c r="N56" s="6"/>
    </row>
    <row r="57" spans="1:14" ht="15.75">
      <c r="A57" s="27"/>
      <c r="B57" s="28" t="s">
        <v>40</v>
      </c>
      <c r="C57" s="38">
        <v>250</v>
      </c>
      <c r="D57" s="38">
        <v>0</v>
      </c>
      <c r="E57" s="38"/>
      <c r="F57" s="38">
        <v>0</v>
      </c>
      <c r="G57" s="38"/>
      <c r="H57" s="38">
        <v>0</v>
      </c>
      <c r="I57" s="38"/>
      <c r="J57" s="38">
        <v>0</v>
      </c>
      <c r="K57" s="38"/>
      <c r="L57" s="60">
        <f>D57-F57+H57-J57</f>
        <v>0</v>
      </c>
      <c r="M57" s="28"/>
      <c r="N57" s="6"/>
    </row>
    <row r="58" spans="1:14" ht="15.75">
      <c r="A58" s="27"/>
      <c r="B58" s="28"/>
      <c r="C58" s="38"/>
      <c r="D58" s="38"/>
      <c r="E58" s="38"/>
      <c r="F58" s="38"/>
      <c r="G58" s="38"/>
      <c r="H58" s="38"/>
      <c r="I58" s="38"/>
      <c r="J58" s="38"/>
      <c r="K58" s="38"/>
      <c r="L58" s="60"/>
      <c r="M58" s="28"/>
      <c r="N58" s="6"/>
    </row>
    <row r="59" spans="1:14" ht="15.75">
      <c r="A59" s="27"/>
      <c r="B59" s="28" t="s">
        <v>41</v>
      </c>
      <c r="C59" s="38">
        <f>SUM(C56:C58)</f>
        <v>280318</v>
      </c>
      <c r="D59" s="38">
        <f>SUM(D56:D58)</f>
        <v>295447</v>
      </c>
      <c r="E59" s="38"/>
      <c r="F59" s="38">
        <f>SUM(F56:F58)</f>
        <v>14640</v>
      </c>
      <c r="G59" s="38"/>
      <c r="H59" s="38">
        <f>SUM(H56:H58)</f>
        <v>5722</v>
      </c>
      <c r="I59" s="38"/>
      <c r="J59" s="38">
        <f>SUM(J56:J58)</f>
        <v>0</v>
      </c>
      <c r="K59" s="38"/>
      <c r="L59" s="61">
        <f>SUM(L56:L58)</f>
        <v>286529</v>
      </c>
      <c r="M59" s="28"/>
      <c r="N59" s="6"/>
    </row>
    <row r="60" spans="1:14" ht="15.75">
      <c r="A60" s="27"/>
      <c r="B60" s="28"/>
      <c r="C60" s="38"/>
      <c r="D60" s="38"/>
      <c r="E60" s="38"/>
      <c r="F60" s="38"/>
      <c r="G60" s="38"/>
      <c r="H60" s="38"/>
      <c r="I60" s="38"/>
      <c r="J60" s="38"/>
      <c r="K60" s="38"/>
      <c r="L60" s="61"/>
      <c r="M60" s="28"/>
      <c r="N60" s="6"/>
    </row>
    <row r="61" spans="1:14" ht="15.75">
      <c r="A61" s="7"/>
      <c r="B61" s="131" t="s">
        <v>42</v>
      </c>
      <c r="C61" s="62"/>
      <c r="D61" s="62"/>
      <c r="E61" s="62"/>
      <c r="F61" s="62"/>
      <c r="G61" s="62"/>
      <c r="H61" s="62"/>
      <c r="I61" s="62"/>
      <c r="J61" s="62"/>
      <c r="K61" s="62"/>
      <c r="L61" s="63"/>
      <c r="M61" s="9"/>
      <c r="N61" s="6"/>
    </row>
    <row r="62" spans="1:14" ht="15.75">
      <c r="A62" s="7"/>
      <c r="B62" s="9"/>
      <c r="C62" s="62"/>
      <c r="D62" s="62"/>
      <c r="E62" s="62"/>
      <c r="F62" s="62"/>
      <c r="G62" s="62"/>
      <c r="H62" s="62"/>
      <c r="I62" s="62"/>
      <c r="J62" s="62"/>
      <c r="K62" s="62"/>
      <c r="L62" s="63"/>
      <c r="M62" s="9"/>
      <c r="N62" s="6"/>
    </row>
    <row r="63" spans="1:14" ht="15.75">
      <c r="A63" s="27"/>
      <c r="B63" s="28" t="s">
        <v>39</v>
      </c>
      <c r="C63" s="38"/>
      <c r="D63" s="38"/>
      <c r="E63" s="38"/>
      <c r="F63" s="38"/>
      <c r="G63" s="38"/>
      <c r="H63" s="38"/>
      <c r="I63" s="38"/>
      <c r="J63" s="38"/>
      <c r="K63" s="38"/>
      <c r="L63" s="61"/>
      <c r="M63" s="28"/>
      <c r="N63" s="6"/>
    </row>
    <row r="64" spans="1:14" ht="15.75">
      <c r="A64" s="27"/>
      <c r="B64" s="28" t="s">
        <v>40</v>
      </c>
      <c r="C64" s="38"/>
      <c r="D64" s="38"/>
      <c r="E64" s="38"/>
      <c r="F64" s="38"/>
      <c r="G64" s="38"/>
      <c r="H64" s="38"/>
      <c r="I64" s="38"/>
      <c r="J64" s="38"/>
      <c r="K64" s="38"/>
      <c r="L64" s="61"/>
      <c r="M64" s="28"/>
      <c r="N64" s="6"/>
    </row>
    <row r="65" spans="1:14" ht="15.75">
      <c r="A65" s="27"/>
      <c r="B65" s="28"/>
      <c r="C65" s="38"/>
      <c r="D65" s="38"/>
      <c r="E65" s="38"/>
      <c r="F65" s="38"/>
      <c r="G65" s="38"/>
      <c r="H65" s="38"/>
      <c r="I65" s="38"/>
      <c r="J65" s="38"/>
      <c r="K65" s="38"/>
      <c r="L65" s="61"/>
      <c r="M65" s="28"/>
      <c r="N65" s="6"/>
    </row>
    <row r="66" spans="1:14" ht="15.75">
      <c r="A66" s="27"/>
      <c r="B66" s="28" t="s">
        <v>41</v>
      </c>
      <c r="C66" s="38"/>
      <c r="D66" s="38"/>
      <c r="E66" s="38"/>
      <c r="F66" s="38"/>
      <c r="G66" s="38"/>
      <c r="H66" s="38"/>
      <c r="I66" s="38"/>
      <c r="J66" s="38"/>
      <c r="K66" s="38"/>
      <c r="L66" s="38"/>
      <c r="M66" s="28"/>
      <c r="N66" s="6"/>
    </row>
    <row r="67" spans="1:14" ht="15.75">
      <c r="A67" s="27"/>
      <c r="B67" s="28"/>
      <c r="C67" s="38"/>
      <c r="D67" s="38"/>
      <c r="E67" s="38"/>
      <c r="F67" s="38"/>
      <c r="G67" s="38"/>
      <c r="H67" s="38"/>
      <c r="I67" s="38"/>
      <c r="J67" s="38"/>
      <c r="K67" s="38"/>
      <c r="L67" s="38"/>
      <c r="M67" s="28"/>
      <c r="N67" s="6"/>
    </row>
    <row r="68" spans="1:14" ht="15.75">
      <c r="A68" s="27"/>
      <c r="B68" s="28" t="s">
        <v>43</v>
      </c>
      <c r="C68" s="38">
        <v>0</v>
      </c>
      <c r="D68" s="38">
        <v>0</v>
      </c>
      <c r="E68" s="38"/>
      <c r="F68" s="38"/>
      <c r="G68" s="38"/>
      <c r="H68" s="38"/>
      <c r="I68" s="38"/>
      <c r="J68" s="38"/>
      <c r="K68" s="38"/>
      <c r="L68" s="60">
        <f>D68-F68+H68-J68</f>
        <v>0</v>
      </c>
      <c r="M68" s="28"/>
      <c r="N68" s="6"/>
    </row>
    <row r="69" spans="1:14" ht="15.75">
      <c r="A69" s="27"/>
      <c r="B69" s="28" t="s">
        <v>44</v>
      </c>
      <c r="C69" s="38">
        <v>59682</v>
      </c>
      <c r="D69" s="38">
        <v>0</v>
      </c>
      <c r="E69" s="38"/>
      <c r="F69" s="38"/>
      <c r="G69" s="38"/>
      <c r="H69" s="38"/>
      <c r="I69" s="38"/>
      <c r="J69" s="38"/>
      <c r="K69" s="38"/>
      <c r="L69" s="61">
        <v>0</v>
      </c>
      <c r="M69" s="28"/>
      <c r="N69" s="6"/>
    </row>
    <row r="70" spans="1:14" ht="15.75">
      <c r="A70" s="27"/>
      <c r="B70" s="28" t="s">
        <v>45</v>
      </c>
      <c r="C70" s="38">
        <v>0</v>
      </c>
      <c r="D70" s="38">
        <f>L125</f>
        <v>0</v>
      </c>
      <c r="E70" s="38"/>
      <c r="F70" s="38"/>
      <c r="G70" s="38"/>
      <c r="H70" s="38"/>
      <c r="I70" s="38"/>
      <c r="J70" s="38"/>
      <c r="K70" s="38"/>
      <c r="L70" s="61">
        <f>SUM(C70:K70)</f>
        <v>0</v>
      </c>
      <c r="M70" s="28"/>
      <c r="N70" s="6"/>
    </row>
    <row r="71" spans="1:14" ht="15.75">
      <c r="A71" s="27"/>
      <c r="B71" s="28" t="s">
        <v>46</v>
      </c>
      <c r="C71" s="61">
        <f>SUM(C59:C70)</f>
        <v>340000</v>
      </c>
      <c r="D71" s="61">
        <f>SUM(D59:D70)</f>
        <v>295447</v>
      </c>
      <c r="E71" s="38"/>
      <c r="F71" s="61"/>
      <c r="G71" s="38"/>
      <c r="H71" s="61"/>
      <c r="I71" s="38"/>
      <c r="J71" s="61"/>
      <c r="K71" s="38"/>
      <c r="L71" s="61">
        <f>SUM(L59:L70)</f>
        <v>286529</v>
      </c>
      <c r="M71" s="28"/>
      <c r="N71" s="6"/>
    </row>
    <row r="72" spans="1:14" ht="15.75">
      <c r="A72" s="7"/>
      <c r="B72" s="9"/>
      <c r="C72" s="9"/>
      <c r="D72" s="9"/>
      <c r="E72" s="9"/>
      <c r="F72" s="9"/>
      <c r="G72" s="9"/>
      <c r="H72" s="9"/>
      <c r="I72" s="9"/>
      <c r="J72" s="9"/>
      <c r="K72" s="9"/>
      <c r="L72" s="9"/>
      <c r="M72" s="9"/>
      <c r="N72" s="6"/>
    </row>
    <row r="73" spans="1:14" ht="15.75">
      <c r="A73" s="7"/>
      <c r="B73" s="58" t="s">
        <v>47</v>
      </c>
      <c r="C73" s="16"/>
      <c r="D73" s="16"/>
      <c r="E73" s="16"/>
      <c r="F73" s="16"/>
      <c r="G73" s="16"/>
      <c r="H73" s="16"/>
      <c r="I73" s="19"/>
      <c r="J73" s="19" t="s">
        <v>177</v>
      </c>
      <c r="K73" s="19"/>
      <c r="L73" s="19" t="s">
        <v>189</v>
      </c>
      <c r="M73" s="9"/>
      <c r="N73" s="6"/>
    </row>
    <row r="74" spans="1:14" ht="15.75">
      <c r="A74" s="27"/>
      <c r="B74" s="28" t="s">
        <v>48</v>
      </c>
      <c r="C74" s="28"/>
      <c r="D74" s="28"/>
      <c r="E74" s="28"/>
      <c r="F74" s="28"/>
      <c r="G74" s="28"/>
      <c r="H74" s="28"/>
      <c r="I74" s="28"/>
      <c r="J74" s="38">
        <v>0</v>
      </c>
      <c r="K74" s="28"/>
      <c r="L74" s="60">
        <v>0</v>
      </c>
      <c r="M74" s="28"/>
      <c r="N74" s="6"/>
    </row>
    <row r="75" spans="1:14" ht="15.75">
      <c r="A75" s="27"/>
      <c r="B75" s="28" t="s">
        <v>49</v>
      </c>
      <c r="C75" s="47" t="s">
        <v>147</v>
      </c>
      <c r="D75" s="64">
        <f>J155</f>
        <v>37833</v>
      </c>
      <c r="E75" s="28"/>
      <c r="F75" s="28"/>
      <c r="G75" s="28"/>
      <c r="H75" s="28"/>
      <c r="I75" s="28"/>
      <c r="J75" s="38">
        <v>14640</v>
      </c>
      <c r="K75" s="28"/>
      <c r="L75" s="60"/>
      <c r="M75" s="28"/>
      <c r="N75" s="6"/>
    </row>
    <row r="76" spans="1:14" ht="15.75">
      <c r="A76" s="27"/>
      <c r="B76" s="28" t="s">
        <v>50</v>
      </c>
      <c r="C76" s="28"/>
      <c r="D76" s="28"/>
      <c r="E76" s="28"/>
      <c r="F76" s="28"/>
      <c r="G76" s="28"/>
      <c r="H76" s="28"/>
      <c r="I76" s="28"/>
      <c r="J76" s="38"/>
      <c r="K76" s="28"/>
      <c r="L76" s="60">
        <f>4560-12</f>
        <v>4548</v>
      </c>
      <c r="M76" s="28"/>
      <c r="N76" s="6"/>
    </row>
    <row r="77" spans="1:14" ht="15.75">
      <c r="A77" s="27"/>
      <c r="B77" s="28" t="s">
        <v>51</v>
      </c>
      <c r="C77" s="28"/>
      <c r="D77" s="28"/>
      <c r="E77" s="28"/>
      <c r="F77" s="28"/>
      <c r="G77" s="28"/>
      <c r="H77" s="28"/>
      <c r="I77" s="28"/>
      <c r="J77" s="38"/>
      <c r="K77" s="28"/>
      <c r="L77" s="60">
        <v>0</v>
      </c>
      <c r="M77" s="28"/>
      <c r="N77" s="6"/>
    </row>
    <row r="78" spans="1:14" ht="15.75">
      <c r="A78" s="27"/>
      <c r="B78" s="28" t="s">
        <v>52</v>
      </c>
      <c r="C78" s="28"/>
      <c r="D78" s="28"/>
      <c r="E78" s="28"/>
      <c r="F78" s="28"/>
      <c r="G78" s="28"/>
      <c r="H78" s="28"/>
      <c r="I78" s="28"/>
      <c r="J78" s="38">
        <f>SUM(J74:J77)</f>
        <v>14640</v>
      </c>
      <c r="K78" s="28"/>
      <c r="L78" s="61">
        <f>SUM(L74:L77)</f>
        <v>4548</v>
      </c>
      <c r="M78" s="28"/>
      <c r="N78" s="6"/>
    </row>
    <row r="79" spans="1:14" ht="15.75">
      <c r="A79" s="27"/>
      <c r="B79" s="28" t="s">
        <v>53</v>
      </c>
      <c r="C79" s="28"/>
      <c r="D79" s="28"/>
      <c r="E79" s="28"/>
      <c r="F79" s="28"/>
      <c r="G79" s="28"/>
      <c r="H79" s="28"/>
      <c r="I79" s="28"/>
      <c r="J79" s="38">
        <v>0</v>
      </c>
      <c r="K79" s="28"/>
      <c r="L79" s="60">
        <v>0</v>
      </c>
      <c r="M79" s="28"/>
      <c r="N79" s="6"/>
    </row>
    <row r="80" spans="1:14" ht="15.75">
      <c r="A80" s="27"/>
      <c r="B80" s="28" t="s">
        <v>54</v>
      </c>
      <c r="C80" s="28"/>
      <c r="D80" s="28"/>
      <c r="E80" s="28"/>
      <c r="F80" s="28"/>
      <c r="G80" s="28"/>
      <c r="H80" s="28"/>
      <c r="I80" s="28"/>
      <c r="J80" s="38">
        <f>J78+J79</f>
        <v>14640</v>
      </c>
      <c r="K80" s="28"/>
      <c r="L80" s="61">
        <f>L78+L79</f>
        <v>4548</v>
      </c>
      <c r="M80" s="28"/>
      <c r="N80" s="6"/>
    </row>
    <row r="81" spans="1:14" ht="15.75">
      <c r="A81" s="27"/>
      <c r="B81" s="141" t="s">
        <v>55</v>
      </c>
      <c r="C81" s="65"/>
      <c r="D81" s="28"/>
      <c r="E81" s="28"/>
      <c r="F81" s="28"/>
      <c r="G81" s="28"/>
      <c r="H81" s="28"/>
      <c r="I81" s="28"/>
      <c r="J81" s="38"/>
      <c r="K81" s="28"/>
      <c r="L81" s="60"/>
      <c r="M81" s="28"/>
      <c r="N81" s="6"/>
    </row>
    <row r="82" spans="1:14" ht="15.75">
      <c r="A82" s="27">
        <v>1</v>
      </c>
      <c r="B82" s="28" t="s">
        <v>56</v>
      </c>
      <c r="C82" s="28"/>
      <c r="D82" s="28"/>
      <c r="E82" s="28"/>
      <c r="F82" s="28"/>
      <c r="G82" s="28"/>
      <c r="H82" s="28"/>
      <c r="I82" s="28"/>
      <c r="J82" s="28"/>
      <c r="K82" s="28"/>
      <c r="L82" s="60">
        <v>0</v>
      </c>
      <c r="M82" s="28"/>
      <c r="N82" s="6"/>
    </row>
    <row r="83" spans="1:14" ht="15.75">
      <c r="A83" s="27">
        <v>2</v>
      </c>
      <c r="B83" s="28" t="s">
        <v>57</v>
      </c>
      <c r="C83" s="28"/>
      <c r="D83" s="28"/>
      <c r="E83" s="28"/>
      <c r="F83" s="28"/>
      <c r="G83" s="28"/>
      <c r="H83" s="28"/>
      <c r="I83" s="28"/>
      <c r="J83" s="28"/>
      <c r="K83" s="28"/>
      <c r="L83" s="60">
        <v>-5</v>
      </c>
      <c r="M83" s="28"/>
      <c r="N83" s="6"/>
    </row>
    <row r="84" spans="1:14" ht="15.75">
      <c r="A84" s="27">
        <v>3</v>
      </c>
      <c r="B84" s="28" t="s">
        <v>58</v>
      </c>
      <c r="C84" s="28"/>
      <c r="D84" s="28"/>
      <c r="E84" s="28"/>
      <c r="F84" s="28"/>
      <c r="G84" s="28"/>
      <c r="H84" s="28"/>
      <c r="I84" s="28"/>
      <c r="J84" s="28"/>
      <c r="K84" s="28"/>
      <c r="L84" s="60">
        <f>-224-8</f>
        <v>-232</v>
      </c>
      <c r="M84" s="28"/>
      <c r="N84" s="6"/>
    </row>
    <row r="85" spans="1:14" ht="15.75">
      <c r="A85" s="27">
        <v>4</v>
      </c>
      <c r="B85" s="28" t="s">
        <v>59</v>
      </c>
      <c r="C85" s="28"/>
      <c r="D85" s="28"/>
      <c r="E85" s="28"/>
      <c r="F85" s="28"/>
      <c r="G85" s="28"/>
      <c r="H85" s="28"/>
      <c r="I85" s="28"/>
      <c r="J85" s="28"/>
      <c r="K85" s="28"/>
      <c r="L85" s="60">
        <v>-416</v>
      </c>
      <c r="M85" s="28"/>
      <c r="N85" s="6"/>
    </row>
    <row r="86" spans="1:14" ht="15.75">
      <c r="A86" s="27">
        <v>5</v>
      </c>
      <c r="B86" s="28" t="s">
        <v>60</v>
      </c>
      <c r="C86" s="28"/>
      <c r="D86" s="28"/>
      <c r="E86" s="28"/>
      <c r="F86" s="28"/>
      <c r="G86" s="28"/>
      <c r="H86" s="28"/>
      <c r="I86" s="28"/>
      <c r="J86" s="28"/>
      <c r="K86" s="28"/>
      <c r="L86" s="60">
        <v>-2558</v>
      </c>
      <c r="M86" s="28"/>
      <c r="N86" s="6"/>
    </row>
    <row r="87" spans="1:14" ht="15.75">
      <c r="A87" s="27">
        <v>6</v>
      </c>
      <c r="B87" s="28" t="s">
        <v>61</v>
      </c>
      <c r="C87" s="28"/>
      <c r="D87" s="28"/>
      <c r="E87" s="28"/>
      <c r="F87" s="28"/>
      <c r="G87" s="28"/>
      <c r="H87" s="28"/>
      <c r="I87" s="28"/>
      <c r="J87" s="28"/>
      <c r="K87" s="28"/>
      <c r="L87" s="60">
        <v>-377</v>
      </c>
      <c r="M87" s="28"/>
      <c r="N87" s="6"/>
    </row>
    <row r="88" spans="1:14" ht="15.75">
      <c r="A88" s="27">
        <v>7</v>
      </c>
      <c r="B88" s="28" t="s">
        <v>62</v>
      </c>
      <c r="C88" s="28"/>
      <c r="D88" s="28"/>
      <c r="E88" s="28"/>
      <c r="F88" s="28"/>
      <c r="G88" s="28"/>
      <c r="H88" s="28"/>
      <c r="I88" s="28"/>
      <c r="J88" s="28"/>
      <c r="K88" s="28"/>
      <c r="L88" s="60">
        <v>-5</v>
      </c>
      <c r="M88" s="28"/>
      <c r="N88" s="6"/>
    </row>
    <row r="89" spans="1:14" ht="15.75">
      <c r="A89" s="27">
        <v>8</v>
      </c>
      <c r="B89" s="28" t="s">
        <v>63</v>
      </c>
      <c r="C89" s="28"/>
      <c r="D89" s="28"/>
      <c r="E89" s="28"/>
      <c r="F89" s="28"/>
      <c r="G89" s="28"/>
      <c r="H89" s="28"/>
      <c r="I89" s="28"/>
      <c r="J89" s="28"/>
      <c r="K89" s="28"/>
      <c r="L89" s="60">
        <v>0</v>
      </c>
      <c r="M89" s="28"/>
      <c r="N89" s="6"/>
    </row>
    <row r="90" spans="1:14" ht="15.75">
      <c r="A90" s="27">
        <v>9</v>
      </c>
      <c r="B90" s="28" t="s">
        <v>64</v>
      </c>
      <c r="C90" s="28"/>
      <c r="D90" s="28"/>
      <c r="E90" s="28"/>
      <c r="F90" s="28"/>
      <c r="G90" s="28"/>
      <c r="H90" s="28"/>
      <c r="I90" s="28"/>
      <c r="J90" s="28"/>
      <c r="K90" s="28"/>
      <c r="L90" s="60">
        <v>0</v>
      </c>
      <c r="M90" s="28"/>
      <c r="N90" s="6"/>
    </row>
    <row r="91" spans="1:14" ht="15.75">
      <c r="A91" s="27">
        <v>10</v>
      </c>
      <c r="B91" s="28" t="s">
        <v>65</v>
      </c>
      <c r="C91" s="28"/>
      <c r="D91" s="28"/>
      <c r="E91" s="28"/>
      <c r="F91" s="28"/>
      <c r="G91" s="28"/>
      <c r="H91" s="28"/>
      <c r="I91" s="28"/>
      <c r="J91" s="28"/>
      <c r="K91" s="28"/>
      <c r="L91" s="60">
        <v>0</v>
      </c>
      <c r="M91" s="28"/>
      <c r="N91" s="6"/>
    </row>
    <row r="92" spans="1:14" ht="15.75">
      <c r="A92" s="27">
        <v>11</v>
      </c>
      <c r="B92" s="28" t="s">
        <v>66</v>
      </c>
      <c r="C92" s="28"/>
      <c r="D92" s="28"/>
      <c r="E92" s="28"/>
      <c r="F92" s="28"/>
      <c r="G92" s="28"/>
      <c r="H92" s="28"/>
      <c r="I92" s="28"/>
      <c r="J92" s="28"/>
      <c r="K92" s="28"/>
      <c r="L92" s="60">
        <v>0</v>
      </c>
      <c r="M92" s="28"/>
      <c r="N92" s="6"/>
    </row>
    <row r="93" spans="1:14" ht="15.75">
      <c r="A93" s="27">
        <v>12</v>
      </c>
      <c r="B93" s="28" t="s">
        <v>67</v>
      </c>
      <c r="C93" s="28"/>
      <c r="D93" s="28"/>
      <c r="E93" s="28"/>
      <c r="F93" s="28"/>
      <c r="G93" s="28"/>
      <c r="H93" s="28"/>
      <c r="I93" s="28"/>
      <c r="J93" s="28"/>
      <c r="K93" s="28"/>
      <c r="L93" s="60">
        <f>-25-162</f>
        <v>-187</v>
      </c>
      <c r="M93" s="28"/>
      <c r="N93" s="6"/>
    </row>
    <row r="94" spans="1:14" ht="15.75">
      <c r="A94" s="27">
        <v>13</v>
      </c>
      <c r="B94" s="28" t="s">
        <v>68</v>
      </c>
      <c r="C94" s="28"/>
      <c r="D94" s="28"/>
      <c r="E94" s="28"/>
      <c r="F94" s="28"/>
      <c r="G94" s="28"/>
      <c r="H94" s="28"/>
      <c r="I94" s="28"/>
      <c r="J94" s="28"/>
      <c r="K94" s="28"/>
      <c r="L94" s="60">
        <f>-SUM(L80:L93)</f>
        <v>-768</v>
      </c>
      <c r="M94" s="28"/>
      <c r="N94" s="6"/>
    </row>
    <row r="95" spans="1:14" ht="15.75">
      <c r="A95" s="27"/>
      <c r="B95" s="141" t="s">
        <v>69</v>
      </c>
      <c r="C95" s="65"/>
      <c r="D95" s="28"/>
      <c r="E95" s="28"/>
      <c r="F95" s="28"/>
      <c r="G95" s="28"/>
      <c r="H95" s="28"/>
      <c r="I95" s="28"/>
      <c r="J95" s="28"/>
      <c r="K95" s="28"/>
      <c r="L95" s="66"/>
      <c r="M95" s="28"/>
      <c r="N95" s="6"/>
    </row>
    <row r="96" spans="1:14" ht="15.75">
      <c r="A96" s="27"/>
      <c r="B96" s="28" t="s">
        <v>70</v>
      </c>
      <c r="C96" s="65"/>
      <c r="D96" s="28"/>
      <c r="E96" s="28"/>
      <c r="F96" s="28"/>
      <c r="G96" s="28"/>
      <c r="H96" s="28"/>
      <c r="I96" s="28"/>
      <c r="J96" s="38">
        <f>-J141</f>
        <v>-5</v>
      </c>
      <c r="K96" s="38"/>
      <c r="L96" s="60"/>
      <c r="M96" s="28"/>
      <c r="N96" s="6"/>
    </row>
    <row r="97" spans="1:14" ht="15.75">
      <c r="A97" s="27"/>
      <c r="B97" s="28" t="s">
        <v>71</v>
      </c>
      <c r="C97" s="28"/>
      <c r="D97" s="28"/>
      <c r="E97" s="28"/>
      <c r="F97" s="28"/>
      <c r="G97" s="28"/>
      <c r="H97" s="28"/>
      <c r="I97" s="28"/>
      <c r="J97" s="38">
        <f>-H141</f>
        <v>-5717</v>
      </c>
      <c r="K97" s="38"/>
      <c r="L97" s="60"/>
      <c r="M97" s="28"/>
      <c r="N97" s="6"/>
    </row>
    <row r="98" spans="1:14" ht="15.75">
      <c r="A98" s="27"/>
      <c r="B98" s="28" t="s">
        <v>72</v>
      </c>
      <c r="C98" s="28"/>
      <c r="D98" s="28"/>
      <c r="E98" s="28"/>
      <c r="F98" s="28"/>
      <c r="G98" s="28"/>
      <c r="H98" s="28"/>
      <c r="I98" s="28"/>
      <c r="J98" s="38">
        <v>-8918</v>
      </c>
      <c r="K98" s="38"/>
      <c r="L98" s="60"/>
      <c r="M98" s="28"/>
      <c r="N98" s="6"/>
    </row>
    <row r="99" spans="1:14" ht="15.75">
      <c r="A99" s="27"/>
      <c r="B99" s="28" t="s">
        <v>73</v>
      </c>
      <c r="C99" s="28"/>
      <c r="D99" s="28"/>
      <c r="E99" s="28"/>
      <c r="F99" s="28"/>
      <c r="G99" s="28"/>
      <c r="H99" s="28"/>
      <c r="I99" s="28"/>
      <c r="J99" s="38">
        <v>0</v>
      </c>
      <c r="K99" s="38"/>
      <c r="L99" s="60"/>
      <c r="M99" s="28"/>
      <c r="N99" s="6"/>
    </row>
    <row r="100" spans="1:14" ht="15.75">
      <c r="A100" s="27"/>
      <c r="B100" s="28" t="s">
        <v>74</v>
      </c>
      <c r="C100" s="28"/>
      <c r="D100" s="28"/>
      <c r="E100" s="28"/>
      <c r="F100" s="28"/>
      <c r="G100" s="28"/>
      <c r="H100" s="28"/>
      <c r="I100" s="28"/>
      <c r="J100" s="38">
        <f>SUM(J81:J99)</f>
        <v>-14640</v>
      </c>
      <c r="K100" s="38"/>
      <c r="L100" s="38">
        <f>SUM(L81:L99)</f>
        <v>-4548</v>
      </c>
      <c r="M100" s="28"/>
      <c r="N100" s="6"/>
    </row>
    <row r="101" spans="1:14" ht="15.75">
      <c r="A101" s="27"/>
      <c r="B101" s="28" t="s">
        <v>75</v>
      </c>
      <c r="C101" s="28"/>
      <c r="D101" s="28"/>
      <c r="E101" s="28"/>
      <c r="F101" s="28"/>
      <c r="G101" s="28"/>
      <c r="H101" s="28"/>
      <c r="I101" s="28"/>
      <c r="J101" s="38">
        <f>J80+J100</f>
        <v>0</v>
      </c>
      <c r="K101" s="38"/>
      <c r="L101" s="38">
        <f>L80+L100</f>
        <v>0</v>
      </c>
      <c r="M101" s="28"/>
      <c r="N101" s="6"/>
    </row>
    <row r="102" spans="1:14" ht="12" customHeight="1">
      <c r="A102" s="7"/>
      <c r="B102" s="9"/>
      <c r="C102" s="9"/>
      <c r="D102" s="9"/>
      <c r="E102" s="9"/>
      <c r="F102" s="9"/>
      <c r="G102" s="9"/>
      <c r="H102" s="9"/>
      <c r="I102" s="9"/>
      <c r="J102" s="9"/>
      <c r="K102" s="9"/>
      <c r="L102" s="59"/>
      <c r="M102" s="9"/>
      <c r="N102" s="6"/>
    </row>
    <row r="103" spans="1:14" ht="12" customHeight="1">
      <c r="A103" s="7"/>
      <c r="B103" s="9"/>
      <c r="C103" s="9"/>
      <c r="D103" s="9"/>
      <c r="E103" s="9"/>
      <c r="F103" s="9"/>
      <c r="G103" s="9"/>
      <c r="H103" s="9"/>
      <c r="I103" s="9"/>
      <c r="J103" s="9"/>
      <c r="K103" s="9"/>
      <c r="L103" s="59"/>
      <c r="M103" s="9"/>
      <c r="N103" s="6"/>
    </row>
    <row r="104" spans="1:14" ht="18" customHeight="1" thickBot="1">
      <c r="A104" s="119"/>
      <c r="B104" s="120" t="str">
        <f>B51</f>
        <v>PM3 INVESTOR REPORT QUARTER ENDING JULY 2003</v>
      </c>
      <c r="C104" s="121"/>
      <c r="D104" s="121"/>
      <c r="E104" s="121"/>
      <c r="F104" s="121"/>
      <c r="G104" s="121"/>
      <c r="H104" s="121"/>
      <c r="I104" s="121"/>
      <c r="J104" s="121"/>
      <c r="K104" s="121"/>
      <c r="L104" s="125"/>
      <c r="M104" s="124"/>
      <c r="N104" s="6"/>
    </row>
    <row r="105" spans="1:14" ht="12" customHeight="1">
      <c r="A105" s="2"/>
      <c r="B105" s="5"/>
      <c r="C105" s="5"/>
      <c r="D105" s="5"/>
      <c r="E105" s="5"/>
      <c r="F105" s="5"/>
      <c r="G105" s="5"/>
      <c r="H105" s="5"/>
      <c r="I105" s="5"/>
      <c r="J105" s="5"/>
      <c r="K105" s="5"/>
      <c r="L105" s="67"/>
      <c r="M105" s="5"/>
      <c r="N105" s="6"/>
    </row>
    <row r="106" spans="1:14" ht="15.75">
      <c r="A106" s="7"/>
      <c r="B106" s="58" t="s">
        <v>76</v>
      </c>
      <c r="C106" s="15"/>
      <c r="D106" s="9"/>
      <c r="E106" s="9"/>
      <c r="F106" s="9"/>
      <c r="G106" s="9"/>
      <c r="H106" s="9"/>
      <c r="I106" s="9"/>
      <c r="J106" s="9"/>
      <c r="K106" s="9"/>
      <c r="L106" s="59"/>
      <c r="M106" s="9"/>
      <c r="N106" s="6"/>
    </row>
    <row r="107" spans="1:14" ht="15.75">
      <c r="A107" s="7"/>
      <c r="B107" s="23"/>
      <c r="C107" s="15"/>
      <c r="D107" s="9"/>
      <c r="E107" s="9"/>
      <c r="F107" s="9"/>
      <c r="G107" s="9"/>
      <c r="H107" s="9"/>
      <c r="I107" s="9"/>
      <c r="J107" s="9"/>
      <c r="K107" s="9"/>
      <c r="L107" s="59"/>
      <c r="M107" s="9"/>
      <c r="N107" s="6"/>
    </row>
    <row r="108" spans="1:14" ht="15.75">
      <c r="A108" s="7"/>
      <c r="B108" s="142" t="s">
        <v>77</v>
      </c>
      <c r="C108" s="15"/>
      <c r="D108" s="9"/>
      <c r="E108" s="9"/>
      <c r="F108" s="9"/>
      <c r="G108" s="9"/>
      <c r="H108" s="9"/>
      <c r="I108" s="9"/>
      <c r="J108" s="9"/>
      <c r="K108" s="9"/>
      <c r="L108" s="59"/>
      <c r="M108" s="9"/>
      <c r="N108" s="6"/>
    </row>
    <row r="109" spans="1:14" ht="15.75">
      <c r="A109" s="27"/>
      <c r="B109" s="28" t="s">
        <v>78</v>
      </c>
      <c r="C109" s="28"/>
      <c r="D109" s="28"/>
      <c r="E109" s="28"/>
      <c r="F109" s="28"/>
      <c r="G109" s="28"/>
      <c r="H109" s="28"/>
      <c r="I109" s="28"/>
      <c r="J109" s="28"/>
      <c r="K109" s="28"/>
      <c r="L109" s="60">
        <v>6800</v>
      </c>
      <c r="M109" s="28"/>
      <c r="N109" s="6"/>
    </row>
    <row r="110" spans="1:14" ht="15.75">
      <c r="A110" s="27"/>
      <c r="B110" s="28" t="s">
        <v>79</v>
      </c>
      <c r="C110" s="28"/>
      <c r="D110" s="28"/>
      <c r="E110" s="28"/>
      <c r="F110" s="28"/>
      <c r="G110" s="28"/>
      <c r="H110" s="28"/>
      <c r="I110" s="28"/>
      <c r="J110" s="28"/>
      <c r="K110" s="28"/>
      <c r="L110" s="60">
        <v>6800</v>
      </c>
      <c r="M110" s="28"/>
      <c r="N110" s="6"/>
    </row>
    <row r="111" spans="1:14" ht="15.75">
      <c r="A111" s="27"/>
      <c r="B111" s="28" t="s">
        <v>80</v>
      </c>
      <c r="C111" s="28"/>
      <c r="D111" s="28"/>
      <c r="E111" s="28"/>
      <c r="F111" s="28"/>
      <c r="G111" s="28"/>
      <c r="H111" s="28"/>
      <c r="I111" s="28"/>
      <c r="J111" s="28"/>
      <c r="K111" s="28"/>
      <c r="L111" s="60">
        <v>0</v>
      </c>
      <c r="M111" s="28"/>
      <c r="N111" s="6"/>
    </row>
    <row r="112" spans="1:14" ht="15.75">
      <c r="A112" s="27"/>
      <c r="B112" s="28" t="s">
        <v>81</v>
      </c>
      <c r="C112" s="28"/>
      <c r="D112" s="28"/>
      <c r="E112" s="28"/>
      <c r="F112" s="28"/>
      <c r="G112" s="28"/>
      <c r="H112" s="28"/>
      <c r="I112" s="28"/>
      <c r="J112" s="28"/>
      <c r="K112" s="28"/>
      <c r="L112" s="60">
        <v>0</v>
      </c>
      <c r="M112" s="28"/>
      <c r="N112" s="6"/>
    </row>
    <row r="113" spans="1:14" ht="15.75">
      <c r="A113" s="27"/>
      <c r="B113" s="28" t="s">
        <v>82</v>
      </c>
      <c r="C113" s="28"/>
      <c r="D113" s="28"/>
      <c r="E113" s="28"/>
      <c r="F113" s="28"/>
      <c r="G113" s="28"/>
      <c r="H113" s="28"/>
      <c r="I113" s="28"/>
      <c r="J113" s="28"/>
      <c r="K113" s="28"/>
      <c r="L113" s="60">
        <v>0</v>
      </c>
      <c r="M113" s="28"/>
      <c r="N113" s="6"/>
    </row>
    <row r="114" spans="1:14" ht="15.75">
      <c r="A114" s="27"/>
      <c r="B114" s="28" t="s">
        <v>60</v>
      </c>
      <c r="C114" s="28"/>
      <c r="D114" s="28"/>
      <c r="E114" s="28"/>
      <c r="F114" s="28"/>
      <c r="G114" s="28"/>
      <c r="H114" s="28"/>
      <c r="I114" s="28"/>
      <c r="J114" s="28"/>
      <c r="K114" s="28"/>
      <c r="L114" s="60">
        <v>0</v>
      </c>
      <c r="M114" s="28"/>
      <c r="N114" s="6"/>
    </row>
    <row r="115" spans="1:14" ht="15.75">
      <c r="A115" s="27"/>
      <c r="B115" s="28" t="s">
        <v>61</v>
      </c>
      <c r="C115" s="28"/>
      <c r="D115" s="28"/>
      <c r="E115" s="28"/>
      <c r="F115" s="28"/>
      <c r="G115" s="28"/>
      <c r="H115" s="28"/>
      <c r="I115" s="28"/>
      <c r="J115" s="28"/>
      <c r="K115" s="28"/>
      <c r="L115" s="60">
        <v>0</v>
      </c>
      <c r="M115" s="28"/>
      <c r="N115" s="6"/>
    </row>
    <row r="116" spans="1:14" ht="15.75">
      <c r="A116" s="27"/>
      <c r="B116" s="28" t="s">
        <v>83</v>
      </c>
      <c r="C116" s="28"/>
      <c r="D116" s="28"/>
      <c r="E116" s="28"/>
      <c r="F116" s="28"/>
      <c r="G116" s="28"/>
      <c r="H116" s="28"/>
      <c r="I116" s="28"/>
      <c r="J116" s="28"/>
      <c r="K116" s="28"/>
      <c r="L116" s="60">
        <f>SUM(L110:L115)</f>
        <v>6800</v>
      </c>
      <c r="M116" s="28"/>
      <c r="N116" s="6"/>
    </row>
    <row r="117" spans="1:14" ht="15.75">
      <c r="A117" s="27"/>
      <c r="B117" s="28"/>
      <c r="C117" s="28"/>
      <c r="D117" s="28"/>
      <c r="E117" s="28"/>
      <c r="F117" s="28"/>
      <c r="G117" s="28"/>
      <c r="H117" s="28"/>
      <c r="I117" s="28"/>
      <c r="J117" s="28"/>
      <c r="K117" s="28"/>
      <c r="L117" s="68"/>
      <c r="M117" s="28"/>
      <c r="N117" s="6"/>
    </row>
    <row r="118" spans="1:14" ht="15.75">
      <c r="A118" s="7"/>
      <c r="B118" s="142" t="s">
        <v>84</v>
      </c>
      <c r="C118" s="9"/>
      <c r="D118" s="9"/>
      <c r="E118" s="9"/>
      <c r="F118" s="9"/>
      <c r="G118" s="9"/>
      <c r="H118" s="9"/>
      <c r="I118" s="9"/>
      <c r="J118" s="9"/>
      <c r="K118" s="9"/>
      <c r="L118" s="59"/>
      <c r="M118" s="9"/>
      <c r="N118" s="6"/>
    </row>
    <row r="119" spans="1:14" ht="15.75">
      <c r="A119" s="27"/>
      <c r="B119" s="28" t="s">
        <v>85</v>
      </c>
      <c r="C119" s="28"/>
      <c r="D119" s="69"/>
      <c r="E119" s="28"/>
      <c r="F119" s="28"/>
      <c r="G119" s="28"/>
      <c r="H119" s="28"/>
      <c r="I119" s="28"/>
      <c r="J119" s="28"/>
      <c r="K119" s="28"/>
      <c r="L119" s="70" t="s">
        <v>190</v>
      </c>
      <c r="M119" s="28"/>
      <c r="N119" s="6"/>
    </row>
    <row r="120" spans="1:14" ht="15.75">
      <c r="A120" s="27"/>
      <c r="B120" s="28" t="s">
        <v>86</v>
      </c>
      <c r="C120" s="127"/>
      <c r="D120" s="127"/>
      <c r="E120" s="127"/>
      <c r="F120" s="127"/>
      <c r="G120" s="127"/>
      <c r="H120" s="127"/>
      <c r="I120" s="127"/>
      <c r="J120" s="127"/>
      <c r="K120" s="127"/>
      <c r="L120" s="70" t="s">
        <v>190</v>
      </c>
      <c r="M120" s="28"/>
      <c r="N120" s="6"/>
    </row>
    <row r="121" spans="1:14" ht="15.75">
      <c r="A121" s="27"/>
      <c r="B121" s="28" t="s">
        <v>87</v>
      </c>
      <c r="C121" s="28"/>
      <c r="D121" s="28"/>
      <c r="E121" s="28"/>
      <c r="F121" s="28"/>
      <c r="G121" s="28"/>
      <c r="H121" s="28"/>
      <c r="I121" s="28"/>
      <c r="J121" s="28"/>
      <c r="K121" s="28"/>
      <c r="L121" s="70" t="s">
        <v>190</v>
      </c>
      <c r="M121" s="28"/>
      <c r="N121" s="6"/>
    </row>
    <row r="122" spans="1:14" ht="15.75">
      <c r="A122" s="27"/>
      <c r="B122" s="28" t="s">
        <v>88</v>
      </c>
      <c r="C122" s="28"/>
      <c r="D122" s="28"/>
      <c r="E122" s="28"/>
      <c r="F122" s="28"/>
      <c r="G122" s="28"/>
      <c r="H122" s="28"/>
      <c r="I122" s="28"/>
      <c r="J122" s="28"/>
      <c r="K122" s="28"/>
      <c r="L122" s="70" t="s">
        <v>190</v>
      </c>
      <c r="M122" s="28"/>
      <c r="N122" s="6"/>
    </row>
    <row r="123" spans="1:14" ht="15.75">
      <c r="A123" s="27"/>
      <c r="B123" s="28"/>
      <c r="C123" s="28"/>
      <c r="D123" s="28"/>
      <c r="E123" s="28"/>
      <c r="F123" s="28"/>
      <c r="G123" s="28"/>
      <c r="H123" s="28"/>
      <c r="I123" s="28"/>
      <c r="J123" s="28"/>
      <c r="K123" s="28"/>
      <c r="L123" s="68"/>
      <c r="M123" s="28"/>
      <c r="N123" s="6"/>
    </row>
    <row r="124" spans="1:14" ht="15.75">
      <c r="A124" s="7"/>
      <c r="B124" s="142" t="s">
        <v>89</v>
      </c>
      <c r="C124" s="15"/>
      <c r="D124" s="9"/>
      <c r="E124" s="9"/>
      <c r="F124" s="9"/>
      <c r="G124" s="9"/>
      <c r="H124" s="9"/>
      <c r="I124" s="9"/>
      <c r="J124" s="9"/>
      <c r="K124" s="9"/>
      <c r="L124" s="71"/>
      <c r="M124" s="9"/>
      <c r="N124" s="6"/>
    </row>
    <row r="125" spans="1:14" ht="15.75">
      <c r="A125" s="27"/>
      <c r="B125" s="28" t="s">
        <v>90</v>
      </c>
      <c r="C125" s="28"/>
      <c r="D125" s="28"/>
      <c r="E125" s="28"/>
      <c r="F125" s="28"/>
      <c r="G125" s="28"/>
      <c r="H125" s="28"/>
      <c r="I125" s="28"/>
      <c r="J125" s="28"/>
      <c r="K125" s="28"/>
      <c r="L125" s="60">
        <v>0</v>
      </c>
      <c r="M125" s="28"/>
      <c r="N125" s="6"/>
    </row>
    <row r="126" spans="1:14" ht="15.75">
      <c r="A126" s="27"/>
      <c r="B126" s="28" t="s">
        <v>91</v>
      </c>
      <c r="C126" s="28"/>
      <c r="D126" s="28"/>
      <c r="E126" s="28"/>
      <c r="F126" s="28"/>
      <c r="G126" s="28"/>
      <c r="H126" s="28"/>
      <c r="I126" s="28"/>
      <c r="J126" s="28"/>
      <c r="K126" s="28"/>
      <c r="L126" s="60">
        <v>0</v>
      </c>
      <c r="M126" s="28"/>
      <c r="N126" s="6"/>
    </row>
    <row r="127" spans="1:14" ht="15.75">
      <c r="A127" s="27"/>
      <c r="B127" s="28" t="s">
        <v>92</v>
      </c>
      <c r="C127" s="28"/>
      <c r="D127" s="28"/>
      <c r="E127" s="28"/>
      <c r="F127" s="28"/>
      <c r="G127" s="28"/>
      <c r="H127" s="28"/>
      <c r="I127" s="28"/>
      <c r="J127" s="28"/>
      <c r="K127" s="28"/>
      <c r="L127" s="60">
        <f>L126+L125</f>
        <v>0</v>
      </c>
      <c r="M127" s="28"/>
      <c r="N127" s="6"/>
    </row>
    <row r="128" spans="1:14" ht="15.75">
      <c r="A128" s="27"/>
      <c r="B128" s="28" t="s">
        <v>93</v>
      </c>
      <c r="C128" s="28"/>
      <c r="D128" s="28"/>
      <c r="E128" s="28"/>
      <c r="F128" s="28"/>
      <c r="G128" s="28"/>
      <c r="H128" s="72"/>
      <c r="I128" s="28"/>
      <c r="J128" s="28"/>
      <c r="K128" s="28"/>
      <c r="L128" s="60">
        <v>0</v>
      </c>
      <c r="M128" s="28"/>
      <c r="N128" s="6"/>
    </row>
    <row r="129" spans="1:14" ht="15.75">
      <c r="A129" s="27"/>
      <c r="B129" s="28" t="s">
        <v>94</v>
      </c>
      <c r="C129" s="28"/>
      <c r="D129" s="28"/>
      <c r="E129" s="28"/>
      <c r="F129" s="28"/>
      <c r="G129" s="28"/>
      <c r="H129" s="28"/>
      <c r="I129" s="28"/>
      <c r="J129" s="28"/>
      <c r="K129" s="28"/>
      <c r="L129" s="60">
        <f>L127+L128</f>
        <v>0</v>
      </c>
      <c r="M129" s="28"/>
      <c r="N129" s="6"/>
    </row>
    <row r="130" spans="1:14" ht="7.5" customHeight="1">
      <c r="A130" s="27"/>
      <c r="B130" s="28"/>
      <c r="C130" s="28"/>
      <c r="D130" s="28"/>
      <c r="E130" s="28"/>
      <c r="F130" s="28"/>
      <c r="G130" s="28"/>
      <c r="H130" s="28"/>
      <c r="I130" s="28"/>
      <c r="J130" s="28"/>
      <c r="K130" s="28"/>
      <c r="L130" s="68"/>
      <c r="M130" s="28"/>
      <c r="N130" s="6"/>
    </row>
    <row r="131" spans="1:14" ht="6" customHeight="1">
      <c r="A131" s="2"/>
      <c r="B131" s="5"/>
      <c r="C131" s="5"/>
      <c r="D131" s="5"/>
      <c r="E131" s="5"/>
      <c r="F131" s="5"/>
      <c r="G131" s="5"/>
      <c r="H131" s="5"/>
      <c r="I131" s="5"/>
      <c r="J131" s="5"/>
      <c r="K131" s="5"/>
      <c r="L131" s="67"/>
      <c r="M131" s="5"/>
      <c r="N131" s="6"/>
    </row>
    <row r="132" spans="1:14" ht="15.75">
      <c r="A132" s="7"/>
      <c r="B132" s="142" t="s">
        <v>95</v>
      </c>
      <c r="C132" s="15"/>
      <c r="D132" s="9"/>
      <c r="E132" s="9"/>
      <c r="F132" s="9"/>
      <c r="G132" s="9"/>
      <c r="H132" s="9"/>
      <c r="I132" s="9"/>
      <c r="J132" s="9"/>
      <c r="K132" s="9"/>
      <c r="L132" s="59"/>
      <c r="M132" s="9"/>
      <c r="N132" s="6"/>
    </row>
    <row r="133" spans="1:14" ht="15.75">
      <c r="A133" s="7"/>
      <c r="B133" s="23"/>
      <c r="C133" s="15"/>
      <c r="D133" s="9"/>
      <c r="E133" s="9"/>
      <c r="F133" s="9"/>
      <c r="G133" s="9"/>
      <c r="H133" s="9"/>
      <c r="I133" s="9"/>
      <c r="J133" s="9"/>
      <c r="K133" s="9"/>
      <c r="L133" s="59"/>
      <c r="M133" s="9"/>
      <c r="N133" s="6"/>
    </row>
    <row r="134" spans="1:14" ht="15.75">
      <c r="A134" s="27"/>
      <c r="B134" s="28" t="s">
        <v>96</v>
      </c>
      <c r="C134" s="73"/>
      <c r="D134" s="28"/>
      <c r="E134" s="28"/>
      <c r="F134" s="28"/>
      <c r="G134" s="28"/>
      <c r="H134" s="28"/>
      <c r="I134" s="28"/>
      <c r="J134" s="28"/>
      <c r="K134" s="28"/>
      <c r="L134" s="60">
        <f>L59</f>
        <v>286529</v>
      </c>
      <c r="M134" s="28"/>
      <c r="N134" s="6"/>
    </row>
    <row r="135" spans="1:14" ht="15.75">
      <c r="A135" s="27"/>
      <c r="B135" s="28" t="s">
        <v>97</v>
      </c>
      <c r="C135" s="73"/>
      <c r="D135" s="28"/>
      <c r="E135" s="28"/>
      <c r="F135" s="28"/>
      <c r="G135" s="28"/>
      <c r="H135" s="28"/>
      <c r="I135" s="28"/>
      <c r="J135" s="28"/>
      <c r="K135" s="28"/>
      <c r="L135" s="60">
        <f>L31</f>
        <v>286528.948</v>
      </c>
      <c r="M135" s="28"/>
      <c r="N135" s="6"/>
    </row>
    <row r="136" spans="1:14" ht="7.5" customHeight="1">
      <c r="A136" s="27"/>
      <c r="B136" s="28"/>
      <c r="C136" s="28"/>
      <c r="D136" s="28"/>
      <c r="E136" s="28"/>
      <c r="F136" s="28"/>
      <c r="G136" s="28"/>
      <c r="H136" s="28"/>
      <c r="I136" s="28"/>
      <c r="J136" s="28"/>
      <c r="K136" s="28"/>
      <c r="L136" s="68"/>
      <c r="M136" s="28"/>
      <c r="N136" s="6"/>
    </row>
    <row r="137" spans="1:14" ht="15.75">
      <c r="A137" s="2"/>
      <c r="B137" s="5"/>
      <c r="C137" s="5"/>
      <c r="D137" s="5"/>
      <c r="E137" s="5"/>
      <c r="F137" s="5"/>
      <c r="G137" s="5"/>
      <c r="H137" s="5"/>
      <c r="I137" s="5"/>
      <c r="J137" s="5"/>
      <c r="K137" s="5"/>
      <c r="L137" s="67"/>
      <c r="M137" s="5"/>
      <c r="N137" s="6"/>
    </row>
    <row r="138" spans="1:14" ht="15.75">
      <c r="A138" s="7"/>
      <c r="B138" s="142" t="s">
        <v>98</v>
      </c>
      <c r="C138" s="131"/>
      <c r="D138" s="131"/>
      <c r="E138" s="131"/>
      <c r="F138" s="131"/>
      <c r="G138" s="131"/>
      <c r="H138" s="143" t="s">
        <v>170</v>
      </c>
      <c r="I138" s="143"/>
      <c r="J138" s="143" t="s">
        <v>178</v>
      </c>
      <c r="K138" s="131"/>
      <c r="L138" s="144" t="s">
        <v>191</v>
      </c>
      <c r="M138" s="11"/>
      <c r="N138" s="6"/>
    </row>
    <row r="139" spans="1:14" ht="15.75">
      <c r="A139" s="27"/>
      <c r="B139" s="28" t="s">
        <v>99</v>
      </c>
      <c r="C139" s="28"/>
      <c r="D139" s="28"/>
      <c r="E139" s="28"/>
      <c r="F139" s="28"/>
      <c r="G139" s="28"/>
      <c r="H139" s="60">
        <v>50000</v>
      </c>
      <c r="I139" s="28"/>
      <c r="J139" s="47"/>
      <c r="K139" s="28"/>
      <c r="L139" s="60"/>
      <c r="M139" s="28"/>
      <c r="N139" s="6"/>
    </row>
    <row r="140" spans="1:14" ht="15.75">
      <c r="A140" s="27"/>
      <c r="B140" s="28" t="s">
        <v>100</v>
      </c>
      <c r="C140" s="28"/>
      <c r="D140" s="28"/>
      <c r="E140" s="28"/>
      <c r="F140" s="28"/>
      <c r="G140" s="28"/>
      <c r="H140" s="60">
        <f>'April 2003'!H142</f>
        <v>27921</v>
      </c>
      <c r="I140" s="28"/>
      <c r="J140" s="60">
        <f>'April 2003'!J142</f>
        <v>840</v>
      </c>
      <c r="K140" s="28"/>
      <c r="L140" s="60">
        <f>J140+H140</f>
        <v>28761</v>
      </c>
      <c r="M140" s="28"/>
      <c r="N140" s="6"/>
    </row>
    <row r="141" spans="1:14" ht="15.75">
      <c r="A141" s="27"/>
      <c r="B141" s="28" t="s">
        <v>101</v>
      </c>
      <c r="C141" s="28"/>
      <c r="D141" s="28"/>
      <c r="E141" s="28"/>
      <c r="F141" s="28"/>
      <c r="G141" s="28"/>
      <c r="H141" s="60">
        <v>5717</v>
      </c>
      <c r="I141" s="28"/>
      <c r="J141" s="60">
        <v>5</v>
      </c>
      <c r="K141" s="28"/>
      <c r="L141" s="60">
        <f>J141+H141</f>
        <v>5722</v>
      </c>
      <c r="M141" s="28"/>
      <c r="N141" s="6"/>
    </row>
    <row r="142" spans="1:14" ht="15.75">
      <c r="A142" s="27"/>
      <c r="B142" s="28" t="s">
        <v>102</v>
      </c>
      <c r="C142" s="28"/>
      <c r="D142" s="28"/>
      <c r="E142" s="28"/>
      <c r="F142" s="28"/>
      <c r="G142" s="28"/>
      <c r="H142" s="60">
        <f>H141+H140</f>
        <v>33638</v>
      </c>
      <c r="I142" s="28"/>
      <c r="J142" s="60">
        <f>J141+J140</f>
        <v>845</v>
      </c>
      <c r="K142" s="28"/>
      <c r="L142" s="60">
        <f>J142+H142</f>
        <v>34483</v>
      </c>
      <c r="M142" s="28"/>
      <c r="N142" s="6"/>
    </row>
    <row r="143" spans="1:14" ht="15.75">
      <c r="A143" s="27"/>
      <c r="B143" s="28" t="s">
        <v>103</v>
      </c>
      <c r="C143" s="28"/>
      <c r="D143" s="28"/>
      <c r="E143" s="28"/>
      <c r="F143" s="28"/>
      <c r="G143" s="28"/>
      <c r="H143" s="60">
        <f>H139-H142-J142</f>
        <v>15517</v>
      </c>
      <c r="I143" s="28"/>
      <c r="J143" s="47"/>
      <c r="K143" s="28"/>
      <c r="L143" s="60"/>
      <c r="M143" s="28"/>
      <c r="N143" s="6"/>
    </row>
    <row r="144" spans="1:14" ht="7.5" customHeight="1">
      <c r="A144" s="27"/>
      <c r="B144" s="28"/>
      <c r="C144" s="28"/>
      <c r="D144" s="28"/>
      <c r="E144" s="28"/>
      <c r="F144" s="28"/>
      <c r="G144" s="28"/>
      <c r="H144" s="28"/>
      <c r="I144" s="28"/>
      <c r="J144" s="28"/>
      <c r="K144" s="28"/>
      <c r="L144" s="68"/>
      <c r="M144" s="28"/>
      <c r="N144" s="6"/>
    </row>
    <row r="145" spans="1:14" ht="9" customHeight="1">
      <c r="A145" s="2"/>
      <c r="B145" s="5"/>
      <c r="C145" s="5"/>
      <c r="D145" s="5"/>
      <c r="E145" s="5"/>
      <c r="F145" s="5"/>
      <c r="G145" s="5"/>
      <c r="H145" s="5"/>
      <c r="I145" s="5"/>
      <c r="J145" s="5"/>
      <c r="K145" s="5"/>
      <c r="L145" s="67"/>
      <c r="M145" s="5"/>
      <c r="N145" s="6"/>
    </row>
    <row r="146" spans="1:14" ht="15.75">
      <c r="A146" s="7"/>
      <c r="B146" s="142" t="s">
        <v>104</v>
      </c>
      <c r="C146" s="15"/>
      <c r="D146" s="9"/>
      <c r="E146" s="9"/>
      <c r="F146" s="9"/>
      <c r="G146" s="9"/>
      <c r="H146" s="9"/>
      <c r="I146" s="9"/>
      <c r="J146" s="9"/>
      <c r="K146" s="9"/>
      <c r="L146" s="74"/>
      <c r="M146" s="9"/>
      <c r="N146" s="6"/>
    </row>
    <row r="147" spans="1:14" ht="15.75">
      <c r="A147" s="27"/>
      <c r="B147" s="28" t="s">
        <v>105</v>
      </c>
      <c r="C147" s="28"/>
      <c r="D147" s="28"/>
      <c r="E147" s="28"/>
      <c r="F147" s="28"/>
      <c r="G147" s="28"/>
      <c r="H147" s="28"/>
      <c r="I147" s="28"/>
      <c r="J147" s="28"/>
      <c r="K147" s="28"/>
      <c r="L147" s="66">
        <f>(L80+L82+L83+L84+L85)/-L86</f>
        <v>1.5226739640344018</v>
      </c>
      <c r="M147" s="28" t="s">
        <v>192</v>
      </c>
      <c r="N147" s="6"/>
    </row>
    <row r="148" spans="1:14" ht="15.75">
      <c r="A148" s="27"/>
      <c r="B148" s="28" t="s">
        <v>106</v>
      </c>
      <c r="C148" s="28"/>
      <c r="D148" s="28"/>
      <c r="E148" s="28"/>
      <c r="F148" s="28"/>
      <c r="G148" s="28"/>
      <c r="H148" s="28"/>
      <c r="I148" s="28"/>
      <c r="J148" s="28"/>
      <c r="K148" s="28"/>
      <c r="L148" s="66">
        <v>1.44</v>
      </c>
      <c r="M148" s="28" t="s">
        <v>192</v>
      </c>
      <c r="N148" s="6"/>
    </row>
    <row r="149" spans="1:14" ht="15.75">
      <c r="A149" s="27"/>
      <c r="B149" s="28" t="s">
        <v>107</v>
      </c>
      <c r="C149" s="28"/>
      <c r="D149" s="28"/>
      <c r="E149" s="28"/>
      <c r="F149" s="28"/>
      <c r="G149" s="28"/>
      <c r="H149" s="28"/>
      <c r="I149" s="28"/>
      <c r="J149" s="28"/>
      <c r="K149" s="28"/>
      <c r="L149" s="66">
        <f>(L80+SUM(L82:L86))/-L87</f>
        <v>3.546419098143236</v>
      </c>
      <c r="M149" s="28" t="s">
        <v>192</v>
      </c>
      <c r="N149" s="6"/>
    </row>
    <row r="150" spans="1:14" ht="15.75">
      <c r="A150" s="27"/>
      <c r="B150" s="28" t="s">
        <v>108</v>
      </c>
      <c r="C150" s="28"/>
      <c r="D150" s="28"/>
      <c r="E150" s="28"/>
      <c r="F150" s="28"/>
      <c r="G150" s="28"/>
      <c r="H150" s="28"/>
      <c r="I150" s="28"/>
      <c r="J150" s="28"/>
      <c r="K150" s="28"/>
      <c r="L150" s="75">
        <v>3.29</v>
      </c>
      <c r="M150" s="28" t="s">
        <v>192</v>
      </c>
      <c r="N150" s="6"/>
    </row>
    <row r="151" spans="1:14" ht="12" customHeight="1">
      <c r="A151" s="27"/>
      <c r="B151" s="28"/>
      <c r="C151" s="28"/>
      <c r="D151" s="28"/>
      <c r="E151" s="28"/>
      <c r="F151" s="28"/>
      <c r="G151" s="28"/>
      <c r="H151" s="28"/>
      <c r="I151" s="28"/>
      <c r="J151" s="28"/>
      <c r="K151" s="28"/>
      <c r="L151" s="28"/>
      <c r="M151" s="28"/>
      <c r="N151" s="6"/>
    </row>
    <row r="152" spans="1:14" ht="15" customHeight="1">
      <c r="A152" s="7"/>
      <c r="B152" s="9"/>
      <c r="C152" s="9"/>
      <c r="D152" s="9"/>
      <c r="E152" s="9"/>
      <c r="F152" s="9"/>
      <c r="G152" s="9"/>
      <c r="H152" s="9"/>
      <c r="I152" s="9"/>
      <c r="J152" s="9"/>
      <c r="K152" s="9"/>
      <c r="L152" s="9"/>
      <c r="M152" s="9"/>
      <c r="N152" s="6"/>
    </row>
    <row r="153" spans="1:14" ht="19.5" thickBot="1">
      <c r="A153" s="119"/>
      <c r="B153" s="120" t="str">
        <f>B104</f>
        <v>PM3 INVESTOR REPORT QUARTER ENDING JULY 2003</v>
      </c>
      <c r="C153" s="121"/>
      <c r="D153" s="121"/>
      <c r="E153" s="121"/>
      <c r="F153" s="121"/>
      <c r="G153" s="121"/>
      <c r="H153" s="121"/>
      <c r="I153" s="121"/>
      <c r="J153" s="121"/>
      <c r="K153" s="121"/>
      <c r="L153" s="121"/>
      <c r="M153" s="124"/>
      <c r="N153" s="6"/>
    </row>
    <row r="154" spans="1:14" ht="15.75">
      <c r="A154" s="2"/>
      <c r="B154" s="129"/>
      <c r="C154" s="129"/>
      <c r="D154" s="129"/>
      <c r="E154" s="129"/>
      <c r="F154" s="129"/>
      <c r="G154" s="129"/>
      <c r="H154" s="129"/>
      <c r="I154" s="129"/>
      <c r="J154" s="129"/>
      <c r="K154" s="129"/>
      <c r="L154" s="129"/>
      <c r="M154" s="129"/>
      <c r="N154" s="6"/>
    </row>
    <row r="155" spans="1:14" ht="15.75">
      <c r="A155" s="77"/>
      <c r="B155" s="58" t="s">
        <v>109</v>
      </c>
      <c r="C155" s="78"/>
      <c r="D155" s="78"/>
      <c r="E155" s="78"/>
      <c r="F155" s="78"/>
      <c r="G155" s="21"/>
      <c r="H155" s="21"/>
      <c r="I155" s="21"/>
      <c r="J155" s="21">
        <v>37833</v>
      </c>
      <c r="K155" s="17"/>
      <c r="L155" s="17"/>
      <c r="M155" s="9"/>
      <c r="N155" s="6"/>
    </row>
    <row r="156" spans="1:14" ht="15.75">
      <c r="A156" s="79"/>
      <c r="B156" s="80"/>
      <c r="C156" s="81"/>
      <c r="D156" s="81"/>
      <c r="E156" s="81"/>
      <c r="F156" s="81"/>
      <c r="G156" s="82"/>
      <c r="H156" s="82"/>
      <c r="I156" s="82"/>
      <c r="J156" s="82"/>
      <c r="K156" s="9"/>
      <c r="L156" s="9"/>
      <c r="M156" s="9"/>
      <c r="N156" s="6"/>
    </row>
    <row r="157" spans="1:14" ht="15.75">
      <c r="A157" s="83"/>
      <c r="B157" s="84" t="s">
        <v>110</v>
      </c>
      <c r="C157" s="85"/>
      <c r="D157" s="85"/>
      <c r="E157" s="85"/>
      <c r="F157" s="85"/>
      <c r="G157" s="72"/>
      <c r="H157" s="72"/>
      <c r="I157" s="72"/>
      <c r="J157" s="86">
        <v>0.0719</v>
      </c>
      <c r="K157" s="28"/>
      <c r="L157" s="28"/>
      <c r="M157" s="28"/>
      <c r="N157" s="6"/>
    </row>
    <row r="158" spans="1:14" ht="15.75">
      <c r="A158" s="83"/>
      <c r="B158" s="84" t="s">
        <v>111</v>
      </c>
      <c r="C158" s="85"/>
      <c r="D158" s="85"/>
      <c r="E158" s="85"/>
      <c r="F158" s="85"/>
      <c r="G158" s="72"/>
      <c r="H158" s="72"/>
      <c r="I158" s="72"/>
      <c r="J158" s="86">
        <v>0.0565878</v>
      </c>
      <c r="K158" s="28"/>
      <c r="L158" s="28"/>
      <c r="M158" s="28"/>
      <c r="N158" s="6"/>
    </row>
    <row r="159" spans="1:14" ht="15.75">
      <c r="A159" s="83"/>
      <c r="B159" s="84" t="s">
        <v>112</v>
      </c>
      <c r="C159" s="85"/>
      <c r="D159" s="85"/>
      <c r="E159" s="85"/>
      <c r="F159" s="85"/>
      <c r="G159" s="72"/>
      <c r="H159" s="72"/>
      <c r="I159" s="72"/>
      <c r="J159" s="86">
        <f>J157-J158</f>
        <v>0.015312200000000005</v>
      </c>
      <c r="K159" s="28"/>
      <c r="L159" s="28"/>
      <c r="M159" s="28"/>
      <c r="N159" s="6"/>
    </row>
    <row r="160" spans="1:14" ht="15.75">
      <c r="A160" s="83"/>
      <c r="B160" s="84" t="s">
        <v>113</v>
      </c>
      <c r="C160" s="85"/>
      <c r="D160" s="85"/>
      <c r="E160" s="85"/>
      <c r="F160" s="85"/>
      <c r="G160" s="72"/>
      <c r="H160" s="72"/>
      <c r="I160" s="72"/>
      <c r="J160" s="86">
        <v>0.0575</v>
      </c>
      <c r="K160" s="28"/>
      <c r="L160" s="28"/>
      <c r="M160" s="28"/>
      <c r="N160" s="6"/>
    </row>
    <row r="161" spans="1:14" ht="15.75">
      <c r="A161" s="83"/>
      <c r="B161" s="84" t="s">
        <v>114</v>
      </c>
      <c r="C161" s="85"/>
      <c r="D161" s="85"/>
      <c r="E161" s="85"/>
      <c r="F161" s="85"/>
      <c r="G161" s="72"/>
      <c r="H161" s="72"/>
      <c r="I161" s="72"/>
      <c r="J161" s="86">
        <f>L33</f>
        <v>0.039410915878090716</v>
      </c>
      <c r="K161" s="28"/>
      <c r="L161" s="28"/>
      <c r="M161" s="28"/>
      <c r="N161" s="6"/>
    </row>
    <row r="162" spans="1:14" ht="15.75">
      <c r="A162" s="83"/>
      <c r="B162" s="84" t="s">
        <v>115</v>
      </c>
      <c r="C162" s="85"/>
      <c r="D162" s="85"/>
      <c r="E162" s="85"/>
      <c r="F162" s="85"/>
      <c r="G162" s="72"/>
      <c r="H162" s="72"/>
      <c r="I162" s="72"/>
      <c r="J162" s="86">
        <f>J160-J161</f>
        <v>0.018089084121909287</v>
      </c>
      <c r="K162" s="28"/>
      <c r="L162" s="28"/>
      <c r="M162" s="28"/>
      <c r="N162" s="6"/>
    </row>
    <row r="163" spans="1:14" ht="15.75">
      <c r="A163" s="83"/>
      <c r="B163" s="84" t="s">
        <v>116</v>
      </c>
      <c r="C163" s="85"/>
      <c r="D163" s="85"/>
      <c r="E163" s="85"/>
      <c r="F163" s="85"/>
      <c r="G163" s="72"/>
      <c r="H163" s="72"/>
      <c r="I163" s="72"/>
      <c r="J163" s="87" t="s">
        <v>179</v>
      </c>
      <c r="K163" s="28"/>
      <c r="L163" s="28"/>
      <c r="M163" s="28"/>
      <c r="N163" s="6"/>
    </row>
    <row r="164" spans="1:14" ht="15.75">
      <c r="A164" s="83"/>
      <c r="B164" s="84" t="s">
        <v>117</v>
      </c>
      <c r="C164" s="85"/>
      <c r="D164" s="85"/>
      <c r="E164" s="85"/>
      <c r="F164" s="85"/>
      <c r="G164" s="72"/>
      <c r="H164" s="72"/>
      <c r="I164" s="72"/>
      <c r="J164" s="87" t="s">
        <v>180</v>
      </c>
      <c r="K164" s="28"/>
      <c r="L164" s="28"/>
      <c r="M164" s="28"/>
      <c r="N164" s="6"/>
    </row>
    <row r="165" spans="1:14" ht="15.75">
      <c r="A165" s="83"/>
      <c r="B165" s="84" t="s">
        <v>118</v>
      </c>
      <c r="C165" s="85"/>
      <c r="D165" s="85"/>
      <c r="E165" s="85"/>
      <c r="F165" s="85"/>
      <c r="G165" s="72"/>
      <c r="H165" s="72"/>
      <c r="I165" s="72"/>
      <c r="J165" s="88">
        <v>20.52</v>
      </c>
      <c r="K165" s="28" t="s">
        <v>184</v>
      </c>
      <c r="L165" s="28"/>
      <c r="M165" s="28"/>
      <c r="N165" s="6"/>
    </row>
    <row r="166" spans="1:14" ht="15.75">
      <c r="A166" s="83"/>
      <c r="B166" s="84" t="s">
        <v>119</v>
      </c>
      <c r="C166" s="85"/>
      <c r="D166" s="85"/>
      <c r="E166" s="85"/>
      <c r="F166" s="85"/>
      <c r="G166" s="72"/>
      <c r="H166" s="72"/>
      <c r="I166" s="72"/>
      <c r="J166" s="88">
        <v>18.38</v>
      </c>
      <c r="K166" s="28" t="s">
        <v>184</v>
      </c>
      <c r="L166" s="28"/>
      <c r="M166" s="28"/>
      <c r="N166" s="6"/>
    </row>
    <row r="167" spans="1:14" ht="15.75">
      <c r="A167" s="83"/>
      <c r="B167" s="84" t="s">
        <v>120</v>
      </c>
      <c r="C167" s="85"/>
      <c r="D167" s="85"/>
      <c r="E167" s="85"/>
      <c r="F167" s="85"/>
      <c r="G167" s="72"/>
      <c r="H167" s="72"/>
      <c r="I167" s="72"/>
      <c r="J167" s="86">
        <f>F56/'April 2003'!L56</f>
        <v>0.04955203471350191</v>
      </c>
      <c r="K167" s="28"/>
      <c r="L167" s="28"/>
      <c r="M167" s="28"/>
      <c r="N167" s="6"/>
    </row>
    <row r="168" spans="1:14" ht="15.75">
      <c r="A168" s="83"/>
      <c r="B168" s="84" t="s">
        <v>121</v>
      </c>
      <c r="C168" s="85"/>
      <c r="D168" s="85"/>
      <c r="E168" s="85"/>
      <c r="F168" s="85"/>
      <c r="G168" s="72"/>
      <c r="H168" s="72"/>
      <c r="I168" s="72"/>
      <c r="J168" s="86">
        <v>0.1189</v>
      </c>
      <c r="K168" s="28"/>
      <c r="L168" s="28"/>
      <c r="M168" s="28"/>
      <c r="N168" s="6"/>
    </row>
    <row r="169" spans="1:14" ht="15.75">
      <c r="A169" s="83"/>
      <c r="B169" s="84"/>
      <c r="C169" s="84"/>
      <c r="D169" s="84"/>
      <c r="E169" s="84"/>
      <c r="F169" s="84"/>
      <c r="G169" s="28"/>
      <c r="H169" s="28"/>
      <c r="I169" s="28"/>
      <c r="J169" s="68"/>
      <c r="K169" s="28"/>
      <c r="L169" s="89"/>
      <c r="M169" s="28"/>
      <c r="N169" s="6"/>
    </row>
    <row r="170" spans="1:14" ht="15.75">
      <c r="A170" s="90"/>
      <c r="B170" s="16" t="s">
        <v>122</v>
      </c>
      <c r="C170" s="91"/>
      <c r="D170" s="92"/>
      <c r="E170" s="91"/>
      <c r="F170" s="92"/>
      <c r="G170" s="91"/>
      <c r="H170" s="92"/>
      <c r="I170" s="19" t="s">
        <v>171</v>
      </c>
      <c r="J170" s="93" t="s">
        <v>181</v>
      </c>
      <c r="K170" s="17"/>
      <c r="L170" s="9"/>
      <c r="M170" s="9"/>
      <c r="N170" s="6"/>
    </row>
    <row r="171" spans="1:14" ht="15.75">
      <c r="A171" s="94"/>
      <c r="B171" s="84" t="s">
        <v>123</v>
      </c>
      <c r="C171" s="61"/>
      <c r="D171" s="61"/>
      <c r="E171" s="61"/>
      <c r="F171" s="28"/>
      <c r="G171" s="28"/>
      <c r="H171" s="28"/>
      <c r="I171" s="29">
        <v>18</v>
      </c>
      <c r="J171" s="95">
        <v>679</v>
      </c>
      <c r="K171" s="28"/>
      <c r="L171" s="89"/>
      <c r="M171" s="96"/>
      <c r="N171" s="6"/>
    </row>
    <row r="172" spans="1:14" ht="15.75">
      <c r="A172" s="94"/>
      <c r="B172" s="84" t="s">
        <v>124</v>
      </c>
      <c r="C172" s="61"/>
      <c r="D172" s="61"/>
      <c r="E172" s="61"/>
      <c r="F172" s="28"/>
      <c r="G172" s="28"/>
      <c r="H172" s="28"/>
      <c r="I172" s="29">
        <v>0</v>
      </c>
      <c r="J172" s="95">
        <v>0</v>
      </c>
      <c r="K172" s="28"/>
      <c r="L172" s="89"/>
      <c r="M172" s="96"/>
      <c r="N172" s="6"/>
    </row>
    <row r="173" spans="1:14" ht="15.75">
      <c r="A173" s="94"/>
      <c r="B173" s="145" t="s">
        <v>125</v>
      </c>
      <c r="C173" s="61"/>
      <c r="D173" s="61"/>
      <c r="E173" s="61"/>
      <c r="F173" s="28"/>
      <c r="G173" s="28"/>
      <c r="H173" s="28"/>
      <c r="I173" s="28"/>
      <c r="J173" s="95">
        <v>0</v>
      </c>
      <c r="K173" s="28"/>
      <c r="L173" s="89"/>
      <c r="M173" s="96"/>
      <c r="N173" s="6"/>
    </row>
    <row r="174" spans="1:14" ht="15.75">
      <c r="A174" s="94"/>
      <c r="B174" s="145" t="s">
        <v>126</v>
      </c>
      <c r="C174" s="61"/>
      <c r="D174" s="61"/>
      <c r="E174" s="61"/>
      <c r="F174" s="28"/>
      <c r="G174" s="28"/>
      <c r="H174" s="28"/>
      <c r="I174" s="28"/>
      <c r="J174" s="95">
        <v>59682</v>
      </c>
      <c r="K174" s="28"/>
      <c r="L174" s="89"/>
      <c r="M174" s="96"/>
      <c r="N174" s="6"/>
    </row>
    <row r="175" spans="1:14" ht="15.75">
      <c r="A175" s="97"/>
      <c r="B175" s="145" t="s">
        <v>127</v>
      </c>
      <c r="C175" s="61"/>
      <c r="D175" s="84"/>
      <c r="E175" s="84"/>
      <c r="F175" s="84"/>
      <c r="G175" s="28"/>
      <c r="H175" s="28"/>
      <c r="I175" s="28"/>
      <c r="J175" s="95">
        <v>0</v>
      </c>
      <c r="K175" s="28"/>
      <c r="L175" s="89"/>
      <c r="M175" s="98"/>
      <c r="N175" s="6"/>
    </row>
    <row r="176" spans="1:14" ht="15.75">
      <c r="A176" s="94"/>
      <c r="B176" s="84" t="s">
        <v>128</v>
      </c>
      <c r="C176" s="61"/>
      <c r="D176" s="61"/>
      <c r="E176" s="61"/>
      <c r="F176" s="61"/>
      <c r="G176" s="28"/>
      <c r="H176" s="28"/>
      <c r="I176" s="28"/>
      <c r="J176" s="95">
        <v>0</v>
      </c>
      <c r="K176" s="28"/>
      <c r="L176" s="89"/>
      <c r="M176" s="98"/>
      <c r="N176" s="6"/>
    </row>
    <row r="177" spans="1:14" ht="15.75">
      <c r="A177" s="94"/>
      <c r="B177" s="84" t="s">
        <v>129</v>
      </c>
      <c r="C177" s="61"/>
      <c r="D177" s="61"/>
      <c r="E177" s="61"/>
      <c r="F177" s="61"/>
      <c r="G177" s="28"/>
      <c r="H177" s="28"/>
      <c r="I177" s="28"/>
      <c r="J177" s="95">
        <v>0</v>
      </c>
      <c r="K177" s="28"/>
      <c r="L177" s="89"/>
      <c r="M177" s="98"/>
      <c r="N177" s="6"/>
    </row>
    <row r="178" spans="1:14" ht="15.75">
      <c r="A178" s="94"/>
      <c r="B178" s="84" t="s">
        <v>130</v>
      </c>
      <c r="C178" s="61"/>
      <c r="D178" s="61"/>
      <c r="E178" s="61"/>
      <c r="F178" s="61"/>
      <c r="G178" s="28"/>
      <c r="H178" s="28"/>
      <c r="I178" s="28"/>
      <c r="J178" s="95">
        <v>0</v>
      </c>
      <c r="K178" s="28"/>
      <c r="L178" s="89"/>
      <c r="M178" s="98"/>
      <c r="N178" s="6"/>
    </row>
    <row r="179" spans="1:14" ht="15.75">
      <c r="A179" s="97"/>
      <c r="B179" s="145" t="s">
        <v>131</v>
      </c>
      <c r="C179" s="61"/>
      <c r="D179" s="84"/>
      <c r="E179" s="84"/>
      <c r="F179" s="84"/>
      <c r="G179" s="28"/>
      <c r="H179" s="28"/>
      <c r="I179" s="28"/>
      <c r="J179" s="95"/>
      <c r="K179" s="28"/>
      <c r="L179" s="89"/>
      <c r="M179" s="98"/>
      <c r="N179" s="6"/>
    </row>
    <row r="180" spans="1:14" ht="15.75">
      <c r="A180" s="97"/>
      <c r="B180" s="84" t="s">
        <v>132</v>
      </c>
      <c r="C180" s="61"/>
      <c r="D180" s="84"/>
      <c r="E180" s="84"/>
      <c r="F180" s="84"/>
      <c r="G180" s="28"/>
      <c r="H180" s="28"/>
      <c r="I180" s="28"/>
      <c r="J180" s="95">
        <v>0</v>
      </c>
      <c r="K180" s="28"/>
      <c r="L180" s="89"/>
      <c r="M180" s="98"/>
      <c r="N180" s="6"/>
    </row>
    <row r="181" spans="1:14" ht="15.75">
      <c r="A181" s="94"/>
      <c r="B181" s="84" t="s">
        <v>133</v>
      </c>
      <c r="C181" s="61"/>
      <c r="D181" s="99"/>
      <c r="E181" s="99"/>
      <c r="F181" s="100"/>
      <c r="G181" s="28"/>
      <c r="H181" s="28"/>
      <c r="I181" s="28"/>
      <c r="J181" s="95">
        <v>0</v>
      </c>
      <c r="K181" s="28"/>
      <c r="L181" s="89"/>
      <c r="M181" s="98"/>
      <c r="N181" s="6"/>
    </row>
    <row r="182" spans="1:14" ht="15.75">
      <c r="A182" s="94"/>
      <c r="B182" s="84" t="s">
        <v>134</v>
      </c>
      <c r="C182" s="61"/>
      <c r="D182" s="99"/>
      <c r="E182" s="99"/>
      <c r="F182" s="100"/>
      <c r="G182" s="28"/>
      <c r="H182" s="28"/>
      <c r="I182" s="28"/>
      <c r="J182" s="95">
        <v>0</v>
      </c>
      <c r="K182" s="28"/>
      <c r="L182" s="89"/>
      <c r="M182" s="98"/>
      <c r="N182" s="6"/>
    </row>
    <row r="183" spans="1:14" ht="15.75">
      <c r="A183" s="94"/>
      <c r="B183" s="84" t="s">
        <v>135</v>
      </c>
      <c r="C183" s="61"/>
      <c r="D183" s="101"/>
      <c r="E183" s="99"/>
      <c r="F183" s="100"/>
      <c r="G183" s="28"/>
      <c r="H183" s="28"/>
      <c r="I183" s="28"/>
      <c r="J183" s="102">
        <v>0</v>
      </c>
      <c r="K183" s="28"/>
      <c r="L183" s="89"/>
      <c r="M183" s="98"/>
      <c r="N183" s="6"/>
    </row>
    <row r="184" spans="1:14" ht="15.75">
      <c r="A184" s="94"/>
      <c r="B184" s="84"/>
      <c r="C184" s="61"/>
      <c r="D184" s="101"/>
      <c r="E184" s="99"/>
      <c r="F184" s="100"/>
      <c r="G184" s="28"/>
      <c r="H184" s="28"/>
      <c r="I184" s="28"/>
      <c r="J184" s="102"/>
      <c r="K184" s="28"/>
      <c r="L184" s="89"/>
      <c r="M184" s="98"/>
      <c r="N184" s="6"/>
    </row>
    <row r="185" spans="1:14" ht="15.75">
      <c r="A185" s="7"/>
      <c r="B185" s="16" t="s">
        <v>136</v>
      </c>
      <c r="C185" s="19"/>
      <c r="D185" s="93"/>
      <c r="E185" s="19"/>
      <c r="F185" s="93"/>
      <c r="G185" s="19"/>
      <c r="H185" s="93" t="s">
        <v>171</v>
      </c>
      <c r="I185" s="19" t="s">
        <v>172</v>
      </c>
      <c r="J185" s="93" t="s">
        <v>182</v>
      </c>
      <c r="K185" s="19" t="s">
        <v>172</v>
      </c>
      <c r="L185" s="17"/>
      <c r="M185" s="103"/>
      <c r="N185" s="6"/>
    </row>
    <row r="186" spans="1:14" ht="15.75">
      <c r="A186" s="27"/>
      <c r="B186" s="61" t="s">
        <v>137</v>
      </c>
      <c r="C186" s="104"/>
      <c r="D186" s="61"/>
      <c r="E186" s="104"/>
      <c r="F186" s="28"/>
      <c r="G186" s="104"/>
      <c r="H186" s="61">
        <v>4121</v>
      </c>
      <c r="I186" s="104">
        <f>H186/H191</f>
        <v>0.9896733909702209</v>
      </c>
      <c r="J186" s="60">
        <v>285024</v>
      </c>
      <c r="K186" s="105">
        <f>J186/J191</f>
        <v>0.9947474775677156</v>
      </c>
      <c r="L186" s="89"/>
      <c r="M186" s="98"/>
      <c r="N186" s="6"/>
    </row>
    <row r="187" spans="1:14" ht="15.75">
      <c r="A187" s="27"/>
      <c r="B187" s="61" t="s">
        <v>138</v>
      </c>
      <c r="C187" s="104"/>
      <c r="D187" s="61"/>
      <c r="E187" s="104"/>
      <c r="F187" s="28"/>
      <c r="G187" s="106"/>
      <c r="H187" s="61">
        <v>12</v>
      </c>
      <c r="I187" s="104">
        <f>H187/H191</f>
        <v>0.002881844380403458</v>
      </c>
      <c r="J187" s="60">
        <v>410</v>
      </c>
      <c r="K187" s="105">
        <f>J187/J191</f>
        <v>0.0014309197323831096</v>
      </c>
      <c r="L187" s="89"/>
      <c r="M187" s="98"/>
      <c r="N187" s="6"/>
    </row>
    <row r="188" spans="1:14" ht="15.75">
      <c r="A188" s="27"/>
      <c r="B188" s="61" t="s">
        <v>139</v>
      </c>
      <c r="C188" s="104"/>
      <c r="D188" s="61"/>
      <c r="E188" s="104"/>
      <c r="F188" s="28"/>
      <c r="G188" s="106"/>
      <c r="H188" s="61">
        <v>10</v>
      </c>
      <c r="I188" s="104">
        <f>H188/H191</f>
        <v>0.0024015369836695487</v>
      </c>
      <c r="J188" s="60">
        <v>402</v>
      </c>
      <c r="K188" s="105">
        <f>J188/J191</f>
        <v>0.001402999347361</v>
      </c>
      <c r="L188" s="89"/>
      <c r="M188" s="98"/>
      <c r="N188" s="6"/>
    </row>
    <row r="189" spans="1:14" ht="15.75">
      <c r="A189" s="27"/>
      <c r="B189" s="61" t="s">
        <v>140</v>
      </c>
      <c r="C189" s="104"/>
      <c r="D189" s="61"/>
      <c r="E189" s="104"/>
      <c r="F189" s="28"/>
      <c r="G189" s="106"/>
      <c r="H189" s="61">
        <f>7+3+5+6</f>
        <v>21</v>
      </c>
      <c r="I189" s="104">
        <f>H189/H191</f>
        <v>0.005043227665706052</v>
      </c>
      <c r="J189" s="60">
        <f>258+104+137+194</f>
        <v>693</v>
      </c>
      <c r="K189" s="105">
        <f>J189/$J191</f>
        <v>0.0024186033525402315</v>
      </c>
      <c r="L189" s="89"/>
      <c r="M189" s="98"/>
      <c r="N189" s="6"/>
    </row>
    <row r="190" spans="1:14" ht="15.75">
      <c r="A190" s="27"/>
      <c r="B190" s="61"/>
      <c r="C190" s="107"/>
      <c r="D190" s="96"/>
      <c r="E190" s="107"/>
      <c r="F190" s="28"/>
      <c r="G190" s="107"/>
      <c r="H190" s="96"/>
      <c r="I190" s="107"/>
      <c r="J190" s="60"/>
      <c r="K190" s="105"/>
      <c r="L190" s="89"/>
      <c r="M190" s="98"/>
      <c r="N190" s="6"/>
    </row>
    <row r="191" spans="1:14" ht="15.75">
      <c r="A191" s="27"/>
      <c r="B191" s="28"/>
      <c r="C191" s="28"/>
      <c r="D191" s="28"/>
      <c r="E191" s="28"/>
      <c r="F191" s="28"/>
      <c r="G191" s="28"/>
      <c r="H191" s="38">
        <f>SUM(H186:H189)</f>
        <v>4164</v>
      </c>
      <c r="I191" s="108">
        <f>SUM(I186:I190)</f>
        <v>1</v>
      </c>
      <c r="J191" s="60">
        <f>SUM(J186:J190)</f>
        <v>286529</v>
      </c>
      <c r="K191" s="108">
        <f>SUM(K186:K190)</f>
        <v>0.9999999999999999</v>
      </c>
      <c r="L191" s="28"/>
      <c r="M191" s="28"/>
      <c r="N191" s="6"/>
    </row>
    <row r="192" spans="1:14" ht="15.75">
      <c r="A192" s="27"/>
      <c r="B192" s="28"/>
      <c r="C192" s="28"/>
      <c r="D192" s="28"/>
      <c r="E192" s="28"/>
      <c r="F192" s="28"/>
      <c r="G192" s="28"/>
      <c r="H192" s="38"/>
      <c r="I192" s="108"/>
      <c r="J192" s="60"/>
      <c r="K192" s="108"/>
      <c r="L192" s="28"/>
      <c r="M192" s="28"/>
      <c r="N192" s="6"/>
    </row>
    <row r="193" spans="1:14" ht="15.75">
      <c r="A193" s="7"/>
      <c r="B193" s="9"/>
      <c r="C193" s="9"/>
      <c r="D193" s="9"/>
      <c r="E193" s="9"/>
      <c r="F193" s="9"/>
      <c r="G193" s="9"/>
      <c r="H193" s="62"/>
      <c r="I193" s="109"/>
      <c r="J193" s="110"/>
      <c r="K193" s="109"/>
      <c r="L193" s="9"/>
      <c r="M193" s="9"/>
      <c r="N193" s="6"/>
    </row>
    <row r="194" spans="1:14" ht="15.75">
      <c r="A194" s="111"/>
      <c r="B194" s="16" t="s">
        <v>141</v>
      </c>
      <c r="C194" s="112"/>
      <c r="D194" s="19" t="s">
        <v>149</v>
      </c>
      <c r="E194" s="17"/>
      <c r="F194" s="16" t="s">
        <v>160</v>
      </c>
      <c r="G194" s="113"/>
      <c r="H194" s="113"/>
      <c r="I194" s="113"/>
      <c r="J194" s="126"/>
      <c r="K194" s="126"/>
      <c r="L194" s="126"/>
      <c r="M194" s="126"/>
      <c r="N194" s="6"/>
    </row>
    <row r="195" spans="1:14" ht="15.75">
      <c r="A195" s="130"/>
      <c r="B195" s="126"/>
      <c r="C195" s="126"/>
      <c r="D195" s="9"/>
      <c r="E195" s="9"/>
      <c r="F195" s="9"/>
      <c r="G195" s="126"/>
      <c r="H195" s="126"/>
      <c r="I195" s="126"/>
      <c r="J195" s="126"/>
      <c r="K195" s="126"/>
      <c r="L195" s="126"/>
      <c r="M195" s="126"/>
      <c r="N195" s="6"/>
    </row>
    <row r="196" spans="1:14" ht="15.75">
      <c r="A196" s="130"/>
      <c r="B196" s="15" t="s">
        <v>142</v>
      </c>
      <c r="C196" s="115"/>
      <c r="D196" s="116" t="s">
        <v>150</v>
      </c>
      <c r="E196" s="15"/>
      <c r="F196" s="15" t="s">
        <v>161</v>
      </c>
      <c r="G196" s="115"/>
      <c r="H196" s="115"/>
      <c r="I196" s="126"/>
      <c r="J196" s="126"/>
      <c r="K196" s="126"/>
      <c r="L196" s="126"/>
      <c r="M196" s="126"/>
      <c r="N196" s="6"/>
    </row>
    <row r="197" spans="1:14" ht="15.75">
      <c r="A197" s="130"/>
      <c r="B197" s="15" t="s">
        <v>143</v>
      </c>
      <c r="C197" s="115"/>
      <c r="D197" s="116" t="s">
        <v>151</v>
      </c>
      <c r="E197" s="15"/>
      <c r="F197" s="15" t="s">
        <v>162</v>
      </c>
      <c r="G197" s="115"/>
      <c r="H197" s="115"/>
      <c r="I197" s="126"/>
      <c r="J197" s="126"/>
      <c r="K197" s="126"/>
      <c r="L197" s="126"/>
      <c r="M197" s="126"/>
      <c r="N197" s="6"/>
    </row>
    <row r="198" spans="1:14" ht="15.75">
      <c r="A198" s="130"/>
      <c r="B198" s="15"/>
      <c r="C198" s="115"/>
      <c r="D198" s="116"/>
      <c r="E198" s="15"/>
      <c r="F198" s="15"/>
      <c r="G198" s="115"/>
      <c r="H198" s="115"/>
      <c r="I198" s="126"/>
      <c r="J198" s="126"/>
      <c r="K198" s="126"/>
      <c r="L198" s="126"/>
      <c r="M198" s="126"/>
      <c r="N198" s="6"/>
    </row>
    <row r="199" spans="1:14" ht="15.75">
      <c r="A199" s="130"/>
      <c r="B199" s="15"/>
      <c r="C199" s="115"/>
      <c r="D199" s="116"/>
      <c r="E199" s="15"/>
      <c r="F199" s="15"/>
      <c r="G199" s="115"/>
      <c r="H199" s="115"/>
      <c r="I199" s="126"/>
      <c r="J199" s="126"/>
      <c r="K199" s="126"/>
      <c r="L199" s="126"/>
      <c r="M199" s="126"/>
      <c r="N199" s="6"/>
    </row>
    <row r="200" spans="1:14" ht="18.75">
      <c r="A200" s="130"/>
      <c r="B200" s="56" t="str">
        <f>B153</f>
        <v>PM3 INVESTOR REPORT QUARTER ENDING JULY 2003</v>
      </c>
      <c r="C200" s="115"/>
      <c r="D200" s="116"/>
      <c r="E200" s="15"/>
      <c r="F200" s="15"/>
      <c r="G200" s="115"/>
      <c r="H200" s="115"/>
      <c r="I200" s="126"/>
      <c r="J200" s="126"/>
      <c r="K200" s="126"/>
      <c r="L200" s="126"/>
      <c r="M200" s="126"/>
      <c r="N200" s="6"/>
    </row>
    <row r="201" spans="1:13" ht="15">
      <c r="A201" s="117"/>
      <c r="B201" s="117"/>
      <c r="C201" s="117"/>
      <c r="D201" s="117"/>
      <c r="E201" s="117"/>
      <c r="F201" s="117"/>
      <c r="G201" s="117"/>
      <c r="H201" s="117"/>
      <c r="I201" s="117"/>
      <c r="J201" s="117"/>
      <c r="K201" s="117"/>
      <c r="L201" s="117"/>
      <c r="M201" s="117"/>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