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JPG\Investor Reporting\Paragon Finance\PM17\"/>
    </mc:Choice>
  </mc:AlternateContent>
  <bookViews>
    <workbookView xWindow="225" yWindow="15" windowWidth="24870" windowHeight="11355" firstSheet="3" activeTab="12"/>
  </bookViews>
  <sheets>
    <sheet name="Dec 12" sheetId="11" r:id="rId1"/>
    <sheet name="March 13" sheetId="12" r:id="rId2"/>
    <sheet name="June 13" sheetId="13" r:id="rId3"/>
    <sheet name="September 13" sheetId="14" r:id="rId4"/>
    <sheet name="Dec 13" sheetId="15" r:id="rId5"/>
    <sheet name="March 14" sheetId="16" r:id="rId6"/>
    <sheet name="June 14" sheetId="17" r:id="rId7"/>
    <sheet name="Sept 14" sheetId="18" r:id="rId8"/>
    <sheet name="Dec 14" sheetId="19" r:id="rId9"/>
    <sheet name="March 15" sheetId="20" r:id="rId10"/>
    <sheet name="June 15" sheetId="21" r:id="rId11"/>
    <sheet name="Sept 15" sheetId="22" r:id="rId12"/>
    <sheet name="Dec 15" sheetId="23" r:id="rId13"/>
  </sheets>
  <definedNames>
    <definedName name="_10PAGE_2" localSheetId="1">'March 13'!$A$53:$S$123</definedName>
    <definedName name="_11PAGE_2" localSheetId="3">'September 13'!$A$53:$S$123</definedName>
    <definedName name="_12PAGE_2" localSheetId="8">#REF!</definedName>
    <definedName name="_12PAGE_2" localSheetId="12">#REF!</definedName>
    <definedName name="_12PAGE_2" localSheetId="6">#REF!</definedName>
    <definedName name="_12PAGE_2" localSheetId="10">#REF!</definedName>
    <definedName name="_12PAGE_2" localSheetId="5">#REF!</definedName>
    <definedName name="_12PAGE_2" localSheetId="9">#REF!</definedName>
    <definedName name="_12PAGE_2" localSheetId="7">#REF!</definedName>
    <definedName name="_12PAGE_2" localSheetId="11">#REF!</definedName>
    <definedName name="_12PAGE_2">#REF!</definedName>
    <definedName name="_13PAGE_3" localSheetId="0">'Dec 12'!$A$124:$S$196</definedName>
    <definedName name="_14PAGE_3" localSheetId="4">'Dec 13'!$A$124:$S$196</definedName>
    <definedName name="_14PAGE_3" localSheetId="8">'Dec 14'!$A$124:$S$196</definedName>
    <definedName name="_14PAGE_3" localSheetId="12">'Dec 15'!$A$124:$S$197</definedName>
    <definedName name="_14PAGE_3" localSheetId="6">'June 14'!$A$124:$S$196</definedName>
    <definedName name="_14PAGE_3" localSheetId="10">'June 15'!$A$124:$S$196</definedName>
    <definedName name="_14PAGE_3" localSheetId="5">'March 14'!$A$124:$S$196</definedName>
    <definedName name="_14PAGE_3" localSheetId="9">'March 15'!$A$124:$S$196</definedName>
    <definedName name="_14PAGE_3" localSheetId="7">'Sept 14'!$A$124:$S$196</definedName>
    <definedName name="_14PAGE_3" localSheetId="11">'Sept 15'!$A$124:$S$196</definedName>
    <definedName name="_15PAGE_3" localSheetId="2">'June 13'!$A$124:$S$196</definedName>
    <definedName name="_16PAGE_3" localSheetId="1">'March 13'!$A$124:$S$196</definedName>
    <definedName name="_17PAGE_3" localSheetId="3">'September 13'!$A$124:$S$196</definedName>
    <definedName name="_18PAGE_3" localSheetId="8">#REF!</definedName>
    <definedName name="_18PAGE_3" localSheetId="12">#REF!</definedName>
    <definedName name="_18PAGE_3" localSheetId="6">#REF!</definedName>
    <definedName name="_18PAGE_3" localSheetId="10">#REF!</definedName>
    <definedName name="_18PAGE_3" localSheetId="5">#REF!</definedName>
    <definedName name="_18PAGE_3" localSheetId="9">#REF!</definedName>
    <definedName name="_18PAGE_3" localSheetId="7">#REF!</definedName>
    <definedName name="_18PAGE_3" localSheetId="11">#REF!</definedName>
    <definedName name="_18PAGE_3">#REF!</definedName>
    <definedName name="_19PAGE_4" localSheetId="0">'Dec 12'!$A$197:$S$299</definedName>
    <definedName name="_1PAGE_1" localSheetId="0">'Dec 12'!$A$1:$S$52</definedName>
    <definedName name="_20PAGE_4" localSheetId="4">'Dec 13'!$A$197:$S$298</definedName>
    <definedName name="_20PAGE_4" localSheetId="8">'Dec 14'!$A$197:$S$298</definedName>
    <definedName name="_20PAGE_4" localSheetId="12">'Dec 15'!$A$198:$S$299</definedName>
    <definedName name="_20PAGE_4" localSheetId="6">'June 14'!$A$197:$S$298</definedName>
    <definedName name="_20PAGE_4" localSheetId="10">'June 15'!$A$197:$S$298</definedName>
    <definedName name="_20PAGE_4" localSheetId="5">'March 14'!$A$197:$S$298</definedName>
    <definedName name="_20PAGE_4" localSheetId="9">'March 15'!$A$197:$S$298</definedName>
    <definedName name="_20PAGE_4" localSheetId="7">'Sept 14'!$A$197:$S$298</definedName>
    <definedName name="_20PAGE_4" localSheetId="11">'Sept 15'!$A$197:$S$298</definedName>
    <definedName name="_21PAGE_4" localSheetId="2">'June 13'!$A$197:$S$298</definedName>
    <definedName name="_22PAGE_4" localSheetId="1">'March 13'!$A$197:$S$299</definedName>
    <definedName name="_23PAGE_4" localSheetId="3">'September 13'!$A$197:$S$298</definedName>
    <definedName name="_24PAGE_4" localSheetId="8">#REF!</definedName>
    <definedName name="_24PAGE_4" localSheetId="12">#REF!</definedName>
    <definedName name="_24PAGE_4" localSheetId="6">#REF!</definedName>
    <definedName name="_24PAGE_4" localSheetId="10">#REF!</definedName>
    <definedName name="_24PAGE_4" localSheetId="5">#REF!</definedName>
    <definedName name="_24PAGE_4" localSheetId="9">#REF!</definedName>
    <definedName name="_24PAGE_4" localSheetId="7">#REF!</definedName>
    <definedName name="_24PAGE_4" localSheetId="11">#REF!</definedName>
    <definedName name="_24PAGE_4">#REF!</definedName>
    <definedName name="_2PAGE_1" localSheetId="4">'Dec 13'!$A$1:$S$52</definedName>
    <definedName name="_2PAGE_1" localSheetId="8">'Dec 14'!$A$1:$S$52</definedName>
    <definedName name="_2PAGE_1" localSheetId="12">'Dec 15'!$A$1:$S$52</definedName>
    <definedName name="_2PAGE_1" localSheetId="6">'June 14'!$A$1:$S$52</definedName>
    <definedName name="_2PAGE_1" localSheetId="10">'June 15'!$A$1:$S$52</definedName>
    <definedName name="_2PAGE_1" localSheetId="5">'March 14'!$A$1:$S$52</definedName>
    <definedName name="_2PAGE_1" localSheetId="9">'March 15'!$A$1:$S$52</definedName>
    <definedName name="_2PAGE_1" localSheetId="7">'Sept 14'!$A$1:$S$52</definedName>
    <definedName name="_2PAGE_1" localSheetId="11">'Sept 15'!$A$1:$S$52</definedName>
    <definedName name="_3PAGE_1" localSheetId="2">'June 13'!$A$1:$S$52</definedName>
    <definedName name="_4PAGE_1" localSheetId="1">'March 13'!$A$1:$S$52</definedName>
    <definedName name="_5PAGE_1" localSheetId="3">'September 13'!$A$1:$S$52</definedName>
    <definedName name="_6PAGE_1" localSheetId="8">#REF!</definedName>
    <definedName name="_6PAGE_1" localSheetId="12">#REF!</definedName>
    <definedName name="_6PAGE_1" localSheetId="6">#REF!</definedName>
    <definedName name="_6PAGE_1" localSheetId="10">#REF!</definedName>
    <definedName name="_6PAGE_1" localSheetId="5">#REF!</definedName>
    <definedName name="_6PAGE_1" localSheetId="9">#REF!</definedName>
    <definedName name="_6PAGE_1" localSheetId="7">#REF!</definedName>
    <definedName name="_6PAGE_1" localSheetId="11">#REF!</definedName>
    <definedName name="_6PAGE_1">#REF!</definedName>
    <definedName name="_7PAGE_2" localSheetId="0">'Dec 12'!$A$53:$S$123</definedName>
    <definedName name="_8PAGE_2" localSheetId="4">'Dec 13'!$A$53:$S$123</definedName>
    <definedName name="_8PAGE_2" localSheetId="8">'Dec 14'!$A$53:$S$123</definedName>
    <definedName name="_8PAGE_2" localSheetId="12">'Dec 15'!$A$53:$S$123</definedName>
    <definedName name="_8PAGE_2" localSheetId="6">'June 14'!$A$53:$S$123</definedName>
    <definedName name="_8PAGE_2" localSheetId="10">'June 15'!$A$53:$S$123</definedName>
    <definedName name="_8PAGE_2" localSheetId="5">'March 14'!$A$53:$S$123</definedName>
    <definedName name="_8PAGE_2" localSheetId="9">'March 15'!$A$53:$S$123</definedName>
    <definedName name="_8PAGE_2" localSheetId="7">'Sept 14'!$A$53:$S$123</definedName>
    <definedName name="_8PAGE_2" localSheetId="11">'Sept 15'!$A$53:$S$123</definedName>
    <definedName name="_9PAGE_2" localSheetId="2">'June 13'!$A$53:$S$123</definedName>
    <definedName name="_xlnm.Print_Area" localSheetId="0">'Dec 12'!$A$1:$T$300</definedName>
    <definedName name="_xlnm.Print_Area" localSheetId="4">'Dec 13'!$A$1:$T$299</definedName>
    <definedName name="_xlnm.Print_Area" localSheetId="8">'Dec 14'!$A$1:$S$299</definedName>
    <definedName name="_xlnm.Print_Area" localSheetId="12">'Dec 15'!$A$1:$S$300</definedName>
    <definedName name="_xlnm.Print_Area" localSheetId="2">'June 13'!$A$1:$T$299</definedName>
    <definedName name="_xlnm.Print_Area" localSheetId="6">'June 14'!$A$1:$T$299</definedName>
    <definedName name="_xlnm.Print_Area" localSheetId="10">'June 15'!$A$1:$S$299</definedName>
    <definedName name="_xlnm.Print_Area" localSheetId="1">'March 13'!$A$1:$T$300</definedName>
    <definedName name="_xlnm.Print_Area" localSheetId="5">'March 14'!$A$1:$T$299</definedName>
    <definedName name="_xlnm.Print_Area" localSheetId="9">'March 15'!$A$1:$S$299</definedName>
    <definedName name="_xlnm.Print_Area" localSheetId="7">'Sept 14'!$A$1:$S$299</definedName>
    <definedName name="_xlnm.Print_Area" localSheetId="11">'Sept 15'!$A$1:$S$299</definedName>
    <definedName name="_xlnm.Print_Area" localSheetId="3">'September 13'!$A$1:$T$299</definedName>
    <definedName name="_xlnm.Print_Area">#REF!</definedName>
  </definedNames>
  <calcPr calcId="152511"/>
</workbook>
</file>

<file path=xl/calcChain.xml><?xml version="1.0" encoding="utf-8"?>
<calcChain xmlns="http://schemas.openxmlformats.org/spreadsheetml/2006/main">
  <c r="R87" i="23" l="1"/>
  <c r="P78" i="23" l="1"/>
  <c r="L56" i="23"/>
  <c r="R56" i="23" l="1"/>
  <c r="R56" i="22"/>
  <c r="P78" i="22"/>
  <c r="R29" i="23" l="1"/>
  <c r="R109" i="23" l="1"/>
  <c r="R95" i="23"/>
  <c r="R79" i="23"/>
  <c r="P114" i="23"/>
  <c r="P119" i="23" s="1"/>
  <c r="P225" i="23" l="1"/>
  <c r="P179" i="23"/>
  <c r="R179" i="23" s="1"/>
  <c r="O179" i="23"/>
  <c r="O181" i="23" s="1"/>
  <c r="Q283" i="23"/>
  <c r="P283" i="23"/>
  <c r="O283" i="23"/>
  <c r="N283" i="23"/>
  <c r="Q271" i="23"/>
  <c r="P271" i="23"/>
  <c r="O271" i="23"/>
  <c r="N271" i="23"/>
  <c r="P259" i="23"/>
  <c r="N259" i="23"/>
  <c r="P245" i="23"/>
  <c r="N245" i="23"/>
  <c r="P244" i="23"/>
  <c r="N244" i="23"/>
  <c r="P243" i="23"/>
  <c r="N243" i="23"/>
  <c r="P242" i="23"/>
  <c r="N242" i="23"/>
  <c r="P241" i="23"/>
  <c r="N241" i="23"/>
  <c r="P240" i="23"/>
  <c r="N240" i="23"/>
  <c r="P239" i="23"/>
  <c r="N239" i="23"/>
  <c r="P238" i="23"/>
  <c r="N238" i="23"/>
  <c r="P224" i="23"/>
  <c r="P222" i="23"/>
  <c r="P220" i="23"/>
  <c r="O220" i="23"/>
  <c r="P219" i="23"/>
  <c r="O219" i="23"/>
  <c r="R180" i="23"/>
  <c r="R171" i="23"/>
  <c r="R165" i="23"/>
  <c r="R163" i="23"/>
  <c r="R162" i="23"/>
  <c r="R158" i="23"/>
  <c r="R157" i="23"/>
  <c r="R156" i="23"/>
  <c r="R155" i="23"/>
  <c r="R150" i="23"/>
  <c r="R149" i="23"/>
  <c r="B123" i="23"/>
  <c r="B197" i="23" s="1"/>
  <c r="B299" i="23" s="1"/>
  <c r="P113" i="23"/>
  <c r="P111" i="23"/>
  <c r="P101" i="23"/>
  <c r="P89" i="23"/>
  <c r="R88" i="23"/>
  <c r="R91" i="23" s="1"/>
  <c r="P88" i="23"/>
  <c r="P91" i="23" s="1"/>
  <c r="P77" i="23"/>
  <c r="J75" i="23"/>
  <c r="R70" i="23"/>
  <c r="P286" i="23" s="1"/>
  <c r="N59" i="23"/>
  <c r="L59" i="23"/>
  <c r="J59" i="23"/>
  <c r="H59" i="23"/>
  <c r="H72" i="23" s="1"/>
  <c r="F59" i="23"/>
  <c r="F72" i="23" s="1"/>
  <c r="R57" i="23"/>
  <c r="P214" i="23"/>
  <c r="R59" i="23"/>
  <c r="N47" i="23"/>
  <c r="N46" i="23"/>
  <c r="R40" i="23"/>
  <c r="J30" i="23"/>
  <c r="H30" i="23"/>
  <c r="F30" i="23"/>
  <c r="D30" i="23"/>
  <c r="J29" i="23"/>
  <c r="H29" i="23"/>
  <c r="F29" i="23"/>
  <c r="D29" i="23"/>
  <c r="R34" i="23" s="1"/>
  <c r="R28" i="23"/>
  <c r="R127" i="23" s="1"/>
  <c r="P120" i="23" l="1"/>
  <c r="R130" i="23"/>
  <c r="R129" i="23" s="1"/>
  <c r="R139" i="23" s="1"/>
  <c r="P247" i="23"/>
  <c r="P285" i="23"/>
  <c r="P287" i="23" s="1"/>
  <c r="N285" i="23"/>
  <c r="P181" i="23"/>
  <c r="R181" i="23" s="1"/>
  <c r="R72" i="23"/>
  <c r="R170" i="23"/>
  <c r="P201" i="23"/>
  <c r="P202" i="23" s="1"/>
  <c r="P206" i="23"/>
  <c r="R30" i="23"/>
  <c r="O178" i="23"/>
  <c r="O182" i="23" s="1"/>
  <c r="P221" i="23"/>
  <c r="N247" i="23"/>
  <c r="P59" i="23"/>
  <c r="R172" i="23"/>
  <c r="R110" i="23"/>
  <c r="R119" i="23" s="1"/>
  <c r="R120" i="23" s="1"/>
  <c r="P289" i="22"/>
  <c r="Q259" i="23" l="1"/>
  <c r="O259" i="23"/>
  <c r="R173" i="23"/>
  <c r="P288" i="23"/>
  <c r="R174" i="23"/>
  <c r="P120" i="22"/>
  <c r="P119" i="22"/>
  <c r="Q247" i="23" l="1"/>
  <c r="O247" i="23"/>
  <c r="R34" i="22"/>
  <c r="R29" i="22" l="1"/>
  <c r="L56" i="22"/>
  <c r="R30" i="22"/>
  <c r="R109" i="22" l="1"/>
  <c r="R95" i="22"/>
  <c r="R79" i="22"/>
  <c r="P56" i="22"/>
  <c r="P224" i="22" l="1"/>
  <c r="P178" i="22"/>
  <c r="P180" i="22" s="1"/>
  <c r="O178" i="22"/>
  <c r="Q282" i="22"/>
  <c r="P282" i="22"/>
  <c r="O282" i="22"/>
  <c r="N282" i="22"/>
  <c r="N284" i="22" s="1"/>
  <c r="Q270" i="22"/>
  <c r="P270" i="22"/>
  <c r="O270" i="22"/>
  <c r="N270" i="22"/>
  <c r="P258" i="22"/>
  <c r="Q255" i="22" s="1"/>
  <c r="N258" i="22"/>
  <c r="O256" i="22"/>
  <c r="O255" i="22"/>
  <c r="O254" i="22"/>
  <c r="O253" i="22"/>
  <c r="O252" i="22"/>
  <c r="O251" i="22"/>
  <c r="O250" i="22"/>
  <c r="O249" i="22"/>
  <c r="P244" i="22"/>
  <c r="N244" i="22"/>
  <c r="P243" i="22"/>
  <c r="N243" i="22"/>
  <c r="P242" i="22"/>
  <c r="N242" i="22"/>
  <c r="P241" i="22"/>
  <c r="N241" i="22"/>
  <c r="P240" i="22"/>
  <c r="N240" i="22"/>
  <c r="P239" i="22"/>
  <c r="N239" i="22"/>
  <c r="P238" i="22"/>
  <c r="N238" i="22"/>
  <c r="P237" i="22"/>
  <c r="P246" i="22" s="1"/>
  <c r="N237" i="22"/>
  <c r="P223" i="22"/>
  <c r="P221" i="22"/>
  <c r="P220" i="22"/>
  <c r="P219" i="22"/>
  <c r="O219" i="22"/>
  <c r="P218" i="22"/>
  <c r="O218" i="22"/>
  <c r="R179" i="22"/>
  <c r="R170" i="22"/>
  <c r="R164" i="22"/>
  <c r="R162" i="22"/>
  <c r="R161" i="22"/>
  <c r="R157" i="22"/>
  <c r="R156" i="22"/>
  <c r="R155" i="22"/>
  <c r="R154" i="22"/>
  <c r="R149" i="22"/>
  <c r="R148" i="22"/>
  <c r="B123" i="22"/>
  <c r="B196" i="22" s="1"/>
  <c r="B298" i="22" s="1"/>
  <c r="P114" i="22"/>
  <c r="P113" i="22"/>
  <c r="P111" i="22"/>
  <c r="P101" i="22"/>
  <c r="P89" i="22"/>
  <c r="R88" i="22"/>
  <c r="R91" i="22" s="1"/>
  <c r="R189" i="22" s="1"/>
  <c r="P88" i="22"/>
  <c r="P91" i="22" s="1"/>
  <c r="P77" i="22"/>
  <c r="J75" i="22"/>
  <c r="R70" i="22"/>
  <c r="P285" i="22" s="1"/>
  <c r="P59" i="22"/>
  <c r="N59" i="22"/>
  <c r="J59" i="22"/>
  <c r="H59" i="22"/>
  <c r="H72" i="22" s="1"/>
  <c r="F59" i="22"/>
  <c r="F72" i="22" s="1"/>
  <c r="R57" i="22"/>
  <c r="L59" i="22"/>
  <c r="N47" i="22"/>
  <c r="N46" i="22"/>
  <c r="R40" i="22"/>
  <c r="J30" i="22"/>
  <c r="H30" i="22"/>
  <c r="F30" i="22"/>
  <c r="D30" i="22"/>
  <c r="J29" i="22"/>
  <c r="H29" i="22"/>
  <c r="F29" i="22"/>
  <c r="D29" i="22"/>
  <c r="R28" i="22"/>
  <c r="R127" i="22" s="1"/>
  <c r="Q250" i="22" l="1"/>
  <c r="Q252" i="22"/>
  <c r="Q256" i="22"/>
  <c r="Q254" i="22"/>
  <c r="P284" i="22"/>
  <c r="O258" i="22"/>
  <c r="R178" i="22"/>
  <c r="O180" i="22"/>
  <c r="R180" i="22" s="1"/>
  <c r="P200" i="22"/>
  <c r="P201" i="22" s="1"/>
  <c r="P204" i="22"/>
  <c r="P205" i="22" s="1"/>
  <c r="P286" i="22"/>
  <c r="P206" i="22"/>
  <c r="Q244" i="22"/>
  <c r="Q243" i="22"/>
  <c r="Q242" i="22"/>
  <c r="Q241" i="22"/>
  <c r="Q240" i="22"/>
  <c r="Q239" i="22"/>
  <c r="Q238" i="22"/>
  <c r="Q237" i="22"/>
  <c r="Q246" i="22" s="1"/>
  <c r="R41" i="22"/>
  <c r="R59" i="22"/>
  <c r="R130" i="22"/>
  <c r="R129" i="22" s="1"/>
  <c r="R138" i="22" s="1"/>
  <c r="O177" i="22"/>
  <c r="O181" i="22" s="1"/>
  <c r="R191" i="22"/>
  <c r="N246" i="22"/>
  <c r="O244" i="22" s="1"/>
  <c r="P213" i="22"/>
  <c r="R110" i="22"/>
  <c r="R119" i="22" s="1"/>
  <c r="R120" i="22" s="1"/>
  <c r="R171" i="22"/>
  <c r="R185" i="22"/>
  <c r="Q249" i="22"/>
  <c r="Q251" i="22"/>
  <c r="Q253" i="22"/>
  <c r="R187" i="22"/>
  <c r="P213" i="21"/>
  <c r="Q258" i="22" l="1"/>
  <c r="O241" i="22"/>
  <c r="O242" i="22"/>
  <c r="O239" i="22"/>
  <c r="O240" i="22"/>
  <c r="R72" i="22"/>
  <c r="R169" i="22"/>
  <c r="R172" i="22" s="1"/>
  <c r="O237" i="22"/>
  <c r="O238" i="22"/>
  <c r="O243" i="22"/>
  <c r="P289" i="21"/>
  <c r="P287" i="22" l="1"/>
  <c r="R173" i="22"/>
  <c r="O246" i="22"/>
  <c r="P78" i="21"/>
  <c r="R30" i="21"/>
  <c r="L56" i="21"/>
  <c r="R34" i="21"/>
  <c r="P220" i="21" l="1"/>
  <c r="R109" i="21" l="1"/>
  <c r="R95" i="21"/>
  <c r="R79" i="21"/>
  <c r="Q282" i="21" l="1"/>
  <c r="P282" i="21"/>
  <c r="O282" i="21"/>
  <c r="N282" i="21"/>
  <c r="Q270" i="21"/>
  <c r="P270" i="21"/>
  <c r="O270" i="21"/>
  <c r="N270" i="21"/>
  <c r="P258" i="21"/>
  <c r="Q256" i="21" s="1"/>
  <c r="N258" i="21"/>
  <c r="O256" i="21" s="1"/>
  <c r="O254" i="21"/>
  <c r="O252" i="21"/>
  <c r="O250" i="21"/>
  <c r="O249" i="21"/>
  <c r="P244" i="21"/>
  <c r="N244" i="21"/>
  <c r="P243" i="21"/>
  <c r="N243" i="21"/>
  <c r="P242" i="21"/>
  <c r="N242" i="21"/>
  <c r="P241" i="21"/>
  <c r="N241" i="21"/>
  <c r="P240" i="21"/>
  <c r="N240" i="21"/>
  <c r="P239" i="21"/>
  <c r="N239" i="21"/>
  <c r="P238" i="21"/>
  <c r="N238" i="21"/>
  <c r="P237" i="21"/>
  <c r="P246" i="21" s="1"/>
  <c r="N237" i="21"/>
  <c r="P223" i="21"/>
  <c r="P221" i="21"/>
  <c r="P219" i="21"/>
  <c r="O219" i="21"/>
  <c r="P218" i="21"/>
  <c r="O218" i="21"/>
  <c r="R179" i="21"/>
  <c r="R170" i="21"/>
  <c r="R162" i="21"/>
  <c r="R157" i="21"/>
  <c r="R155" i="21"/>
  <c r="R154" i="21"/>
  <c r="R156" i="21" s="1"/>
  <c r="R148" i="21"/>
  <c r="R149" i="21" s="1"/>
  <c r="B123" i="21"/>
  <c r="B196" i="21" s="1"/>
  <c r="B298" i="21" s="1"/>
  <c r="P114" i="21"/>
  <c r="P113" i="21"/>
  <c r="P111" i="21"/>
  <c r="P101" i="21"/>
  <c r="P89" i="21"/>
  <c r="R88" i="21"/>
  <c r="R91" i="21" s="1"/>
  <c r="R189" i="21" s="1"/>
  <c r="P77" i="21"/>
  <c r="P88" i="21" s="1"/>
  <c r="P91" i="21" s="1"/>
  <c r="J75" i="21"/>
  <c r="R70" i="21"/>
  <c r="P285" i="21" s="1"/>
  <c r="P59" i="21"/>
  <c r="N59" i="21"/>
  <c r="J59" i="21"/>
  <c r="H59" i="21"/>
  <c r="H72" i="21" s="1"/>
  <c r="F59" i="21"/>
  <c r="F72" i="21" s="1"/>
  <c r="R57" i="21"/>
  <c r="L59" i="21"/>
  <c r="N47" i="21"/>
  <c r="N46" i="21"/>
  <c r="R40" i="21"/>
  <c r="J30" i="21"/>
  <c r="H30" i="21"/>
  <c r="F30" i="21"/>
  <c r="D30" i="21"/>
  <c r="J29" i="21"/>
  <c r="H29" i="21"/>
  <c r="F29" i="21"/>
  <c r="D29" i="21"/>
  <c r="R29" i="21" s="1"/>
  <c r="R28" i="21"/>
  <c r="R127" i="21" s="1"/>
  <c r="Q249" i="21" l="1"/>
  <c r="O251" i="21"/>
  <c r="O255" i="21"/>
  <c r="O253" i="21"/>
  <c r="Q251" i="21"/>
  <c r="Q253" i="21"/>
  <c r="Q255" i="21"/>
  <c r="N284" i="21"/>
  <c r="P119" i="21"/>
  <c r="P120" i="21" s="1"/>
  <c r="Q250" i="21"/>
  <c r="Q252" i="21"/>
  <c r="Q254" i="21"/>
  <c r="O258" i="21"/>
  <c r="P284" i="21"/>
  <c r="P286" i="21" s="1"/>
  <c r="P200" i="21"/>
  <c r="P201" i="21" s="1"/>
  <c r="P204" i="21"/>
  <c r="P205" i="21" s="1"/>
  <c r="P206" i="21"/>
  <c r="Q244" i="21"/>
  <c r="Q243" i="21"/>
  <c r="Q242" i="21"/>
  <c r="Q241" i="21"/>
  <c r="Q240" i="21"/>
  <c r="Q239" i="21"/>
  <c r="Q238" i="21"/>
  <c r="Q237" i="21"/>
  <c r="R41" i="21"/>
  <c r="R56" i="21"/>
  <c r="R59" i="21" s="1"/>
  <c r="R130" i="21"/>
  <c r="R129" i="21" s="1"/>
  <c r="R138" i="21" s="1"/>
  <c r="O177" i="21"/>
  <c r="R191" i="21"/>
  <c r="N246" i="21"/>
  <c r="O240" i="21" s="1"/>
  <c r="R110" i="21"/>
  <c r="R119" i="21" s="1"/>
  <c r="R120" i="21" s="1"/>
  <c r="R171" i="21"/>
  <c r="R185" i="21"/>
  <c r="R187" i="21"/>
  <c r="P220" i="20"/>
  <c r="Q258" i="21" l="1"/>
  <c r="Q246" i="21"/>
  <c r="R72" i="21"/>
  <c r="R169" i="21"/>
  <c r="R172" i="21" s="1"/>
  <c r="O243" i="21"/>
  <c r="O241" i="21"/>
  <c r="O244" i="21"/>
  <c r="O242" i="21"/>
  <c r="O237" i="21"/>
  <c r="O238" i="21"/>
  <c r="O239" i="21"/>
  <c r="P78" i="20"/>
  <c r="L56" i="20"/>
  <c r="O246" i="21" l="1"/>
  <c r="P287" i="21"/>
  <c r="R173" i="21"/>
  <c r="R109" i="20"/>
  <c r="R95" i="20"/>
  <c r="R79" i="20"/>
  <c r="Q282" i="20" l="1"/>
  <c r="P282" i="20"/>
  <c r="O282" i="20"/>
  <c r="N282" i="20"/>
  <c r="O219" i="20" s="1"/>
  <c r="Q270" i="20"/>
  <c r="P270" i="20"/>
  <c r="O270" i="20"/>
  <c r="N270" i="20"/>
  <c r="O218" i="20" s="1"/>
  <c r="P258" i="20"/>
  <c r="N258" i="20"/>
  <c r="Q256" i="20"/>
  <c r="O256" i="20"/>
  <c r="Q255" i="20"/>
  <c r="O255" i="20"/>
  <c r="Q254" i="20"/>
  <c r="O254" i="20"/>
  <c r="Q253" i="20"/>
  <c r="O253" i="20"/>
  <c r="Q252" i="20"/>
  <c r="O252" i="20"/>
  <c r="Q251" i="20"/>
  <c r="O251" i="20"/>
  <c r="Q250" i="20"/>
  <c r="O250" i="20"/>
  <c r="Q249" i="20"/>
  <c r="O249" i="20"/>
  <c r="P244" i="20"/>
  <c r="N244" i="20"/>
  <c r="P243" i="20"/>
  <c r="N243" i="20"/>
  <c r="P242" i="20"/>
  <c r="N242" i="20"/>
  <c r="P241" i="20"/>
  <c r="N241" i="20"/>
  <c r="P240" i="20"/>
  <c r="N240" i="20"/>
  <c r="P239" i="20"/>
  <c r="N239" i="20"/>
  <c r="P238" i="20"/>
  <c r="N238" i="20"/>
  <c r="P237" i="20"/>
  <c r="N237" i="20"/>
  <c r="P223" i="20"/>
  <c r="P221" i="20"/>
  <c r="P219" i="20"/>
  <c r="P218" i="20"/>
  <c r="R179" i="20"/>
  <c r="R170" i="20"/>
  <c r="R162" i="20"/>
  <c r="R157" i="20"/>
  <c r="R155" i="20"/>
  <c r="R154" i="20"/>
  <c r="R148" i="20"/>
  <c r="R149" i="20" s="1"/>
  <c r="B123" i="20"/>
  <c r="B196" i="20" s="1"/>
  <c r="B298" i="20" s="1"/>
  <c r="P114" i="20"/>
  <c r="P113" i="20"/>
  <c r="P111" i="20"/>
  <c r="P101" i="20"/>
  <c r="P89" i="20"/>
  <c r="R88" i="20"/>
  <c r="R91" i="20" s="1"/>
  <c r="P77" i="20"/>
  <c r="P88" i="20" s="1"/>
  <c r="J75" i="20"/>
  <c r="R70" i="20"/>
  <c r="P285" i="20" s="1"/>
  <c r="P59" i="20"/>
  <c r="N59" i="20"/>
  <c r="J59" i="20"/>
  <c r="H59" i="20"/>
  <c r="H72" i="20" s="1"/>
  <c r="F59" i="20"/>
  <c r="F72" i="20" s="1"/>
  <c r="R57" i="20"/>
  <c r="P213" i="20"/>
  <c r="N47" i="20"/>
  <c r="N46" i="20"/>
  <c r="R40" i="20"/>
  <c r="J30" i="20"/>
  <c r="H30" i="20"/>
  <c r="F30" i="20"/>
  <c r="D30" i="20"/>
  <c r="J29" i="20"/>
  <c r="H29" i="20"/>
  <c r="F29" i="20"/>
  <c r="D29" i="20"/>
  <c r="R28" i="20"/>
  <c r="O177" i="20" s="1"/>
  <c r="P91" i="20" l="1"/>
  <c r="R29" i="20"/>
  <c r="R34" i="20" s="1"/>
  <c r="P204" i="20" s="1"/>
  <c r="P205" i="20" s="1"/>
  <c r="R30" i="20"/>
  <c r="N246" i="20"/>
  <c r="O239" i="20" s="1"/>
  <c r="O258" i="20"/>
  <c r="R156" i="20"/>
  <c r="P246" i="20"/>
  <c r="Q240" i="20" s="1"/>
  <c r="Q258" i="20"/>
  <c r="P119" i="20"/>
  <c r="P120" i="20" s="1"/>
  <c r="P284" i="20"/>
  <c r="P286" i="20" s="1"/>
  <c r="N284" i="20"/>
  <c r="O238" i="20"/>
  <c r="R189" i="20"/>
  <c r="R185" i="20"/>
  <c r="R110" i="20"/>
  <c r="R119" i="20" s="1"/>
  <c r="R120" i="20" s="1"/>
  <c r="P206" i="20"/>
  <c r="R191" i="20"/>
  <c r="R187" i="20"/>
  <c r="Q239" i="20"/>
  <c r="Q243" i="20"/>
  <c r="R41" i="20"/>
  <c r="R56" i="20"/>
  <c r="R59" i="20" s="1"/>
  <c r="R127" i="20"/>
  <c r="R130" i="20"/>
  <c r="O237" i="20"/>
  <c r="L59" i="20"/>
  <c r="R171" i="20"/>
  <c r="O242" i="20" l="1"/>
  <c r="Q237" i="20"/>
  <c r="Q242" i="20"/>
  <c r="Q238" i="20"/>
  <c r="O241" i="20"/>
  <c r="P200" i="20"/>
  <c r="P201" i="20" s="1"/>
  <c r="Q241" i="20"/>
  <c r="O244" i="20"/>
  <c r="O240" i="20"/>
  <c r="Q244" i="20"/>
  <c r="O243" i="20"/>
  <c r="O246" i="20" s="1"/>
  <c r="Q246" i="20"/>
  <c r="R129" i="20"/>
  <c r="R138" i="20" s="1"/>
  <c r="P289" i="20" s="1"/>
  <c r="R169" i="20"/>
  <c r="R172" i="20" s="1"/>
  <c r="R72" i="20"/>
  <c r="R109" i="19"/>
  <c r="R95" i="19"/>
  <c r="R79" i="19"/>
  <c r="P78" i="19"/>
  <c r="L56" i="19"/>
  <c r="P287" i="20" l="1"/>
  <c r="R173" i="20"/>
  <c r="Q282" i="19"/>
  <c r="P282" i="19"/>
  <c r="P219" i="19" s="1"/>
  <c r="O282" i="19"/>
  <c r="N282" i="19"/>
  <c r="Q270" i="19"/>
  <c r="P270" i="19"/>
  <c r="P218" i="19" s="1"/>
  <c r="O270" i="19"/>
  <c r="N270" i="19"/>
  <c r="P258" i="19"/>
  <c r="Q256" i="19" s="1"/>
  <c r="N258" i="19"/>
  <c r="O255" i="19" s="1"/>
  <c r="Q252" i="19"/>
  <c r="Q250" i="19"/>
  <c r="O250" i="19"/>
  <c r="Q249" i="19"/>
  <c r="P244" i="19"/>
  <c r="N244" i="19"/>
  <c r="P243" i="19"/>
  <c r="N243" i="19"/>
  <c r="P242" i="19"/>
  <c r="N242" i="19"/>
  <c r="P241" i="19"/>
  <c r="N241" i="19"/>
  <c r="P240" i="19"/>
  <c r="N240" i="19"/>
  <c r="P239" i="19"/>
  <c r="N239" i="19"/>
  <c r="P238" i="19"/>
  <c r="N238" i="19"/>
  <c r="P237" i="19"/>
  <c r="N237" i="19"/>
  <c r="P223" i="19"/>
  <c r="P221" i="19"/>
  <c r="O219" i="19"/>
  <c r="O218" i="19"/>
  <c r="R179" i="19"/>
  <c r="R170" i="19"/>
  <c r="R162" i="19"/>
  <c r="R157" i="19"/>
  <c r="R155" i="19"/>
  <c r="R154" i="19"/>
  <c r="R148" i="19"/>
  <c r="R149" i="19" s="1"/>
  <c r="B123" i="19"/>
  <c r="B196" i="19" s="1"/>
  <c r="B298" i="19" s="1"/>
  <c r="P114" i="19"/>
  <c r="P113" i="19"/>
  <c r="P111" i="19"/>
  <c r="P101" i="19"/>
  <c r="P89" i="19"/>
  <c r="R88" i="19"/>
  <c r="R91" i="19" s="1"/>
  <c r="P77" i="19"/>
  <c r="P88" i="19" s="1"/>
  <c r="P91" i="19" s="1"/>
  <c r="J75" i="19"/>
  <c r="R70" i="19"/>
  <c r="P285" i="19" s="1"/>
  <c r="P59" i="19"/>
  <c r="L59" i="19"/>
  <c r="J59" i="19"/>
  <c r="H59" i="19"/>
  <c r="H72" i="19" s="1"/>
  <c r="F59" i="19"/>
  <c r="F72" i="19" s="1"/>
  <c r="R57" i="19"/>
  <c r="N59" i="19"/>
  <c r="P213" i="19"/>
  <c r="N47" i="19"/>
  <c r="N46" i="19"/>
  <c r="R40" i="19"/>
  <c r="J30" i="19"/>
  <c r="H30" i="19"/>
  <c r="F30" i="19"/>
  <c r="D30" i="19"/>
  <c r="J29" i="19"/>
  <c r="H29" i="19"/>
  <c r="F29" i="19"/>
  <c r="D29" i="19"/>
  <c r="R28" i="19"/>
  <c r="O177" i="19" s="1"/>
  <c r="O253" i="19" l="1"/>
  <c r="P119" i="19"/>
  <c r="N246" i="19"/>
  <c r="O249" i="19"/>
  <c r="O251" i="19"/>
  <c r="O254" i="19"/>
  <c r="Q251" i="19"/>
  <c r="O256" i="19"/>
  <c r="P246" i="19"/>
  <c r="R29" i="19"/>
  <c r="R34" i="19" s="1"/>
  <c r="P204" i="19" s="1"/>
  <c r="P205" i="19" s="1"/>
  <c r="R130" i="19"/>
  <c r="R30" i="19"/>
  <c r="R156" i="19"/>
  <c r="O252" i="19"/>
  <c r="Q253" i="19"/>
  <c r="Q254" i="19"/>
  <c r="Q255" i="19"/>
  <c r="R41" i="19"/>
  <c r="P284" i="19"/>
  <c r="P286" i="19" s="1"/>
  <c r="N284" i="19"/>
  <c r="R189" i="19"/>
  <c r="R185" i="19"/>
  <c r="R110" i="19"/>
  <c r="R119" i="19" s="1"/>
  <c r="R120" i="19" s="1"/>
  <c r="P206" i="19"/>
  <c r="R191" i="19"/>
  <c r="R187" i="19"/>
  <c r="O238" i="19"/>
  <c r="O239" i="19"/>
  <c r="O240" i="19"/>
  <c r="O241" i="19"/>
  <c r="O242" i="19"/>
  <c r="O243" i="19"/>
  <c r="O244" i="19"/>
  <c r="P120" i="19"/>
  <c r="Q238" i="19"/>
  <c r="Q239" i="19"/>
  <c r="Q240" i="19"/>
  <c r="Q241" i="19"/>
  <c r="Q242" i="19"/>
  <c r="Q243" i="19"/>
  <c r="Q244" i="19"/>
  <c r="R56" i="19"/>
  <c r="R59" i="19" s="1"/>
  <c r="R127" i="19"/>
  <c r="R129" i="19" s="1"/>
  <c r="R138" i="19" s="1"/>
  <c r="O237" i="19"/>
  <c r="Q237" i="19"/>
  <c r="R171" i="19"/>
  <c r="R109" i="18"/>
  <c r="R95" i="18"/>
  <c r="R79" i="18"/>
  <c r="P78" i="18"/>
  <c r="L56" i="18"/>
  <c r="N56" i="18"/>
  <c r="P289" i="19" l="1"/>
  <c r="Q258" i="19"/>
  <c r="O258" i="19"/>
  <c r="Q246" i="19"/>
  <c r="P200" i="19"/>
  <c r="P201" i="19" s="1"/>
  <c r="O246" i="19"/>
  <c r="R169" i="19"/>
  <c r="R172" i="19" s="1"/>
  <c r="R72" i="19"/>
  <c r="Q282" i="18"/>
  <c r="P282" i="18"/>
  <c r="O282" i="18"/>
  <c r="N282" i="18"/>
  <c r="O219" i="18" s="1"/>
  <c r="Q270" i="18"/>
  <c r="P270" i="18"/>
  <c r="O270" i="18"/>
  <c r="N270" i="18"/>
  <c r="O218" i="18" s="1"/>
  <c r="P258" i="18"/>
  <c r="Q256" i="18" s="1"/>
  <c r="N258" i="18"/>
  <c r="O256" i="18" s="1"/>
  <c r="O253" i="18"/>
  <c r="O249" i="18"/>
  <c r="P244" i="18"/>
  <c r="N244" i="18"/>
  <c r="P243" i="18"/>
  <c r="N243" i="18"/>
  <c r="P242" i="18"/>
  <c r="N242" i="18"/>
  <c r="P241" i="18"/>
  <c r="N241" i="18"/>
  <c r="P240" i="18"/>
  <c r="N240" i="18"/>
  <c r="P239" i="18"/>
  <c r="N239" i="18"/>
  <c r="P238" i="18"/>
  <c r="N238" i="18"/>
  <c r="P237" i="18"/>
  <c r="N237" i="18"/>
  <c r="P223" i="18"/>
  <c r="P221" i="18"/>
  <c r="P219" i="18"/>
  <c r="P218" i="18"/>
  <c r="P213" i="18"/>
  <c r="R179" i="18"/>
  <c r="R170" i="18"/>
  <c r="R162" i="18"/>
  <c r="R157" i="18"/>
  <c r="R155" i="18"/>
  <c r="R154" i="18"/>
  <c r="R149" i="18"/>
  <c r="R148" i="18"/>
  <c r="B123" i="18"/>
  <c r="B196" i="18" s="1"/>
  <c r="B298" i="18" s="1"/>
  <c r="P114" i="18"/>
  <c r="P113" i="18"/>
  <c r="P111" i="18"/>
  <c r="P101" i="18"/>
  <c r="P89" i="18"/>
  <c r="R88" i="18"/>
  <c r="R91" i="18" s="1"/>
  <c r="P77" i="18"/>
  <c r="P88" i="18" s="1"/>
  <c r="P91" i="18" s="1"/>
  <c r="J75" i="18"/>
  <c r="R70" i="18"/>
  <c r="P285" i="18" s="1"/>
  <c r="P59" i="18"/>
  <c r="L59" i="18"/>
  <c r="J59" i="18"/>
  <c r="H59" i="18"/>
  <c r="H72" i="18" s="1"/>
  <c r="F59" i="18"/>
  <c r="F72" i="18" s="1"/>
  <c r="R57" i="18"/>
  <c r="N59" i="18"/>
  <c r="R56" i="18"/>
  <c r="R59" i="18" s="1"/>
  <c r="N47" i="18"/>
  <c r="N46" i="18"/>
  <c r="R40" i="18"/>
  <c r="J30" i="18"/>
  <c r="H30" i="18"/>
  <c r="F30" i="18"/>
  <c r="D30" i="18"/>
  <c r="J29" i="18"/>
  <c r="H29" i="18"/>
  <c r="F29" i="18"/>
  <c r="D29" i="18"/>
  <c r="R28" i="18"/>
  <c r="O177" i="18" s="1"/>
  <c r="R156" i="18" l="1"/>
  <c r="R29" i="18"/>
  <c r="R34" i="18" s="1"/>
  <c r="P204" i="18" s="1"/>
  <c r="P205" i="18" s="1"/>
  <c r="R130" i="18"/>
  <c r="O255" i="18"/>
  <c r="O251" i="18"/>
  <c r="P287" i="19"/>
  <c r="R173" i="19"/>
  <c r="P284" i="18"/>
  <c r="P286" i="18" s="1"/>
  <c r="O250" i="18"/>
  <c r="O252" i="18"/>
  <c r="O254" i="18"/>
  <c r="P119" i="18"/>
  <c r="P120" i="18" s="1"/>
  <c r="R41" i="18"/>
  <c r="R72" i="18"/>
  <c r="R169" i="18"/>
  <c r="P206" i="18"/>
  <c r="R191" i="18"/>
  <c r="R187" i="18"/>
  <c r="R189" i="18"/>
  <c r="R185" i="18"/>
  <c r="R110" i="18"/>
  <c r="R119" i="18" s="1"/>
  <c r="R120" i="18" s="1"/>
  <c r="P200" i="18"/>
  <c r="P201" i="18" s="1"/>
  <c r="R171" i="18"/>
  <c r="N246" i="18"/>
  <c r="O238" i="18" s="1"/>
  <c r="P246" i="18"/>
  <c r="Q238" i="18" s="1"/>
  <c r="N284" i="18"/>
  <c r="R30" i="18"/>
  <c r="R127" i="18"/>
  <c r="R129" i="18" s="1"/>
  <c r="R138" i="18" s="1"/>
  <c r="Q249" i="18"/>
  <c r="Q250" i="18"/>
  <c r="Q251" i="18"/>
  <c r="Q252" i="18"/>
  <c r="Q253" i="18"/>
  <c r="Q254" i="18"/>
  <c r="Q255" i="18"/>
  <c r="R109" i="11"/>
  <c r="R109" i="12"/>
  <c r="R109" i="13"/>
  <c r="R109" i="14"/>
  <c r="R109" i="15"/>
  <c r="R109" i="16"/>
  <c r="R109" i="17"/>
  <c r="P289" i="18" l="1"/>
  <c r="O258" i="18"/>
  <c r="Q242" i="18"/>
  <c r="Q244" i="18"/>
  <c r="Q240" i="18"/>
  <c r="Q258" i="18"/>
  <c r="O243" i="18"/>
  <c r="O241" i="18"/>
  <c r="O239" i="18"/>
  <c r="O237" i="18"/>
  <c r="Q243" i="18"/>
  <c r="Q241" i="18"/>
  <c r="Q239" i="18"/>
  <c r="Q237" i="18"/>
  <c r="Q246" i="18" s="1"/>
  <c r="P287" i="18"/>
  <c r="R173" i="18"/>
  <c r="O244" i="18"/>
  <c r="O242" i="18"/>
  <c r="O240" i="18"/>
  <c r="R172" i="18"/>
  <c r="R70" i="17"/>
  <c r="O246" i="18" l="1"/>
  <c r="R79" i="17"/>
  <c r="P78" i="17"/>
  <c r="L56" i="17"/>
  <c r="N56" i="17"/>
  <c r="Q282" i="17" l="1"/>
  <c r="P282" i="17"/>
  <c r="O282" i="17"/>
  <c r="N282" i="17"/>
  <c r="Q270" i="17"/>
  <c r="P270" i="17"/>
  <c r="O270" i="17"/>
  <c r="N270" i="17"/>
  <c r="P258" i="17"/>
  <c r="Q255" i="17" s="1"/>
  <c r="N258" i="17"/>
  <c r="O256" i="17" s="1"/>
  <c r="P244" i="17"/>
  <c r="N244" i="17"/>
  <c r="P243" i="17"/>
  <c r="N243" i="17"/>
  <c r="P242" i="17"/>
  <c r="N242" i="17"/>
  <c r="P241" i="17"/>
  <c r="N241" i="17"/>
  <c r="P240" i="17"/>
  <c r="N240" i="17"/>
  <c r="P239" i="17"/>
  <c r="N239" i="17"/>
  <c r="P238" i="17"/>
  <c r="N238" i="17"/>
  <c r="P237" i="17"/>
  <c r="N237" i="17"/>
  <c r="N246" i="17" s="1"/>
  <c r="P223" i="17"/>
  <c r="P221" i="17"/>
  <c r="P219" i="17"/>
  <c r="O219" i="17"/>
  <c r="P218" i="17"/>
  <c r="O218" i="17"/>
  <c r="R179" i="17"/>
  <c r="R170" i="17"/>
  <c r="R162" i="17"/>
  <c r="R157" i="17"/>
  <c r="R155" i="17"/>
  <c r="R154" i="17"/>
  <c r="R148" i="17"/>
  <c r="R149" i="17" s="1"/>
  <c r="B123" i="17"/>
  <c r="B196" i="17" s="1"/>
  <c r="B298" i="17" s="1"/>
  <c r="P114" i="17"/>
  <c r="P113" i="17"/>
  <c r="P119" i="17" s="1"/>
  <c r="P111" i="17"/>
  <c r="P101" i="17"/>
  <c r="R95" i="17"/>
  <c r="P89" i="17"/>
  <c r="R88" i="17"/>
  <c r="R91" i="17" s="1"/>
  <c r="P77" i="17"/>
  <c r="P88" i="17" s="1"/>
  <c r="P91" i="17" s="1"/>
  <c r="J75" i="17"/>
  <c r="P285" i="17"/>
  <c r="P59" i="17"/>
  <c r="J59" i="17"/>
  <c r="H59" i="17"/>
  <c r="H72" i="17" s="1"/>
  <c r="F59" i="17"/>
  <c r="F72" i="17" s="1"/>
  <c r="R57" i="17"/>
  <c r="N59" i="17"/>
  <c r="P213" i="17"/>
  <c r="N47" i="17"/>
  <c r="N46" i="17"/>
  <c r="R40" i="17"/>
  <c r="J30" i="17"/>
  <c r="H30" i="17"/>
  <c r="F30" i="17"/>
  <c r="D30" i="17"/>
  <c r="J29" i="17"/>
  <c r="H29" i="17"/>
  <c r="F29" i="17"/>
  <c r="D29" i="17"/>
  <c r="R28" i="17"/>
  <c r="O177" i="17" s="1"/>
  <c r="P246" i="17" l="1"/>
  <c r="R156" i="17"/>
  <c r="Q254" i="17"/>
  <c r="Q252" i="17"/>
  <c r="Q256" i="17"/>
  <c r="R29" i="17"/>
  <c r="R34" i="17" s="1"/>
  <c r="P204" i="17" s="1"/>
  <c r="P205" i="17" s="1"/>
  <c r="R30" i="17"/>
  <c r="Q250" i="17"/>
  <c r="Q249" i="17"/>
  <c r="Q251" i="17"/>
  <c r="Q253" i="17"/>
  <c r="P284" i="17"/>
  <c r="O249" i="17"/>
  <c r="O250" i="17"/>
  <c r="O251" i="17"/>
  <c r="O252" i="17"/>
  <c r="O253" i="17"/>
  <c r="O254" i="17"/>
  <c r="O255" i="17"/>
  <c r="N284" i="17"/>
  <c r="P120" i="17"/>
  <c r="P200" i="17"/>
  <c r="P201" i="17" s="1"/>
  <c r="R189" i="17"/>
  <c r="R185" i="17"/>
  <c r="R110" i="17"/>
  <c r="R119" i="17" s="1"/>
  <c r="R120" i="17" s="1"/>
  <c r="P206" i="17"/>
  <c r="R191" i="17"/>
  <c r="R187" i="17"/>
  <c r="O238" i="17"/>
  <c r="O239" i="17"/>
  <c r="O240" i="17"/>
  <c r="O241" i="17"/>
  <c r="O242" i="17"/>
  <c r="O243" i="17"/>
  <c r="O244" i="17"/>
  <c r="P286" i="17"/>
  <c r="Q238" i="17"/>
  <c r="Q239" i="17"/>
  <c r="Q240" i="17"/>
  <c r="Q241" i="17"/>
  <c r="Q242" i="17"/>
  <c r="Q243" i="17"/>
  <c r="Q244" i="17"/>
  <c r="R41" i="17"/>
  <c r="L59" i="17"/>
  <c r="R127" i="17"/>
  <c r="R130" i="17"/>
  <c r="O237" i="17"/>
  <c r="Q237" i="17"/>
  <c r="R56" i="17"/>
  <c r="R59" i="17" s="1"/>
  <c r="R171" i="17"/>
  <c r="Q246" i="17" l="1"/>
  <c r="O246" i="17"/>
  <c r="Q258" i="17"/>
  <c r="O258" i="17"/>
  <c r="R169" i="17"/>
  <c r="R172" i="17" s="1"/>
  <c r="R72" i="17"/>
  <c r="R129" i="17"/>
  <c r="R138" i="17" s="1"/>
  <c r="P289" i="17" s="1"/>
  <c r="R95" i="16"/>
  <c r="R79" i="16"/>
  <c r="P78" i="16"/>
  <c r="L56" i="16"/>
  <c r="N56" i="16"/>
  <c r="P287" i="17" l="1"/>
  <c r="R173" i="17"/>
  <c r="Q282" i="16"/>
  <c r="P282" i="16"/>
  <c r="O282" i="16"/>
  <c r="N282" i="16"/>
  <c r="Q270" i="16"/>
  <c r="P270" i="16"/>
  <c r="O270" i="16"/>
  <c r="N270" i="16"/>
  <c r="P258" i="16"/>
  <c r="Q255" i="16" s="1"/>
  <c r="N258" i="16"/>
  <c r="O256" i="16" s="1"/>
  <c r="Q253" i="16"/>
  <c r="O253" i="16"/>
  <c r="Q251" i="16"/>
  <c r="O251" i="16"/>
  <c r="Q250" i="16"/>
  <c r="Q249" i="16"/>
  <c r="O249" i="16"/>
  <c r="P244" i="16"/>
  <c r="N244" i="16"/>
  <c r="P243" i="16"/>
  <c r="N243" i="16"/>
  <c r="P242" i="16"/>
  <c r="N242" i="16"/>
  <c r="P241" i="16"/>
  <c r="N241" i="16"/>
  <c r="P240" i="16"/>
  <c r="N240" i="16"/>
  <c r="P239" i="16"/>
  <c r="N239" i="16"/>
  <c r="P238" i="16"/>
  <c r="N238" i="16"/>
  <c r="P237" i="16"/>
  <c r="N237" i="16"/>
  <c r="N246" i="16" s="1"/>
  <c r="P223" i="16"/>
  <c r="P221" i="16"/>
  <c r="P219" i="16"/>
  <c r="O219" i="16"/>
  <c r="P218" i="16"/>
  <c r="O218" i="16"/>
  <c r="R179" i="16"/>
  <c r="R170" i="16"/>
  <c r="R162" i="16"/>
  <c r="R157" i="16"/>
  <c r="R155" i="16"/>
  <c r="R154" i="16"/>
  <c r="R156" i="16" s="1"/>
  <c r="R148" i="16"/>
  <c r="R149" i="16" s="1"/>
  <c r="B123" i="16"/>
  <c r="B196" i="16" s="1"/>
  <c r="B298" i="16" s="1"/>
  <c r="P114" i="16"/>
  <c r="P113" i="16"/>
  <c r="P119" i="16" s="1"/>
  <c r="P111" i="16"/>
  <c r="P101" i="16"/>
  <c r="P89" i="16"/>
  <c r="R88" i="16"/>
  <c r="R91" i="16" s="1"/>
  <c r="P77" i="16"/>
  <c r="P88" i="16" s="1"/>
  <c r="P91" i="16" s="1"/>
  <c r="J75" i="16"/>
  <c r="R70" i="16"/>
  <c r="P285" i="16" s="1"/>
  <c r="P59" i="16"/>
  <c r="N59" i="16"/>
  <c r="J59" i="16"/>
  <c r="H59" i="16"/>
  <c r="H72" i="16" s="1"/>
  <c r="F59" i="16"/>
  <c r="F72" i="16" s="1"/>
  <c r="R57" i="16"/>
  <c r="P213" i="16"/>
  <c r="N47" i="16"/>
  <c r="N46" i="16"/>
  <c r="R40" i="16"/>
  <c r="J30" i="16"/>
  <c r="H30" i="16"/>
  <c r="F30" i="16"/>
  <c r="D30" i="16"/>
  <c r="J29" i="16"/>
  <c r="H29" i="16"/>
  <c r="F29" i="16"/>
  <c r="D29" i="16"/>
  <c r="R28" i="16"/>
  <c r="O177" i="16" s="1"/>
  <c r="R29" i="16" l="1"/>
  <c r="R34" i="16" s="1"/>
  <c r="P200" i="16" s="1"/>
  <c r="P201" i="16" s="1"/>
  <c r="P246" i="16"/>
  <c r="O254" i="16"/>
  <c r="O250" i="16"/>
  <c r="O252" i="16"/>
  <c r="Q256" i="16"/>
  <c r="R30" i="16"/>
  <c r="R41" i="16"/>
  <c r="Q252" i="16"/>
  <c r="Q254" i="16"/>
  <c r="P284" i="16"/>
  <c r="O255" i="16"/>
  <c r="N284" i="16"/>
  <c r="P120" i="16"/>
  <c r="R189" i="16"/>
  <c r="R185" i="16"/>
  <c r="R110" i="16"/>
  <c r="R119" i="16" s="1"/>
  <c r="R120" i="16" s="1"/>
  <c r="P206" i="16"/>
  <c r="R191" i="16"/>
  <c r="R187" i="16"/>
  <c r="O238" i="16"/>
  <c r="O239" i="16"/>
  <c r="O240" i="16"/>
  <c r="O241" i="16"/>
  <c r="O242" i="16"/>
  <c r="O243" i="16"/>
  <c r="O244" i="16"/>
  <c r="P286" i="16"/>
  <c r="P204" i="16"/>
  <c r="P205" i="16" s="1"/>
  <c r="Q238" i="16"/>
  <c r="Q239" i="16"/>
  <c r="Q240" i="16"/>
  <c r="Q241" i="16"/>
  <c r="Q242" i="16"/>
  <c r="Q243" i="16"/>
  <c r="Q244" i="16"/>
  <c r="L59" i="16"/>
  <c r="R127" i="16"/>
  <c r="R130" i="16"/>
  <c r="O237" i="16"/>
  <c r="Q237" i="16"/>
  <c r="R56" i="16"/>
  <c r="R59" i="16" s="1"/>
  <c r="R171" i="16"/>
  <c r="R95" i="15"/>
  <c r="R79" i="15"/>
  <c r="P78" i="15"/>
  <c r="L56" i="15"/>
  <c r="P213" i="15"/>
  <c r="N56" i="15"/>
  <c r="Q282" i="15"/>
  <c r="P282" i="15"/>
  <c r="O282" i="15"/>
  <c r="N282" i="15"/>
  <c r="O219" i="15" s="1"/>
  <c r="Q270" i="15"/>
  <c r="P270" i="15"/>
  <c r="O270" i="15"/>
  <c r="N270" i="15"/>
  <c r="O218" i="15" s="1"/>
  <c r="P258" i="15"/>
  <c r="P284" i="15" s="1"/>
  <c r="N258" i="15"/>
  <c r="N284" i="15" s="1"/>
  <c r="Q256" i="15"/>
  <c r="Q255" i="15"/>
  <c r="Q254" i="15"/>
  <c r="Q253" i="15"/>
  <c r="Q252" i="15"/>
  <c r="Q251" i="15"/>
  <c r="Q250" i="15"/>
  <c r="Q249" i="15"/>
  <c r="Q258" i="15" s="1"/>
  <c r="P244" i="15"/>
  <c r="N244" i="15"/>
  <c r="P243" i="15"/>
  <c r="N243" i="15"/>
  <c r="P242" i="15"/>
  <c r="N242" i="15"/>
  <c r="P241" i="15"/>
  <c r="N241" i="15"/>
  <c r="P240" i="15"/>
  <c r="N240" i="15"/>
  <c r="P239" i="15"/>
  <c r="N239" i="15"/>
  <c r="P238" i="15"/>
  <c r="N238" i="15"/>
  <c r="P237" i="15"/>
  <c r="P246" i="15" s="1"/>
  <c r="N237" i="15"/>
  <c r="P223" i="15"/>
  <c r="P221" i="15"/>
  <c r="P219" i="15"/>
  <c r="P218" i="15"/>
  <c r="R179" i="15"/>
  <c r="R170" i="15"/>
  <c r="R162" i="15"/>
  <c r="R157" i="15"/>
  <c r="R155" i="15"/>
  <c r="R154" i="15"/>
  <c r="R148" i="15"/>
  <c r="R149" i="15"/>
  <c r="B123" i="15"/>
  <c r="B196" i="15" s="1"/>
  <c r="B298" i="15" s="1"/>
  <c r="P114" i="15"/>
  <c r="P113" i="15"/>
  <c r="P111" i="15"/>
  <c r="P101" i="15"/>
  <c r="P89" i="15"/>
  <c r="R88" i="15"/>
  <c r="R91" i="15" s="1"/>
  <c r="P77" i="15"/>
  <c r="P88" i="15" s="1"/>
  <c r="P91" i="15" s="1"/>
  <c r="J75" i="15"/>
  <c r="R70" i="15"/>
  <c r="P285" i="15"/>
  <c r="P59" i="15"/>
  <c r="J59" i="15"/>
  <c r="H59" i="15"/>
  <c r="H72" i="15" s="1"/>
  <c r="F59" i="15"/>
  <c r="F72" i="15" s="1"/>
  <c r="R57" i="15"/>
  <c r="N47" i="15"/>
  <c r="N46" i="15"/>
  <c r="R40" i="15"/>
  <c r="J30" i="15"/>
  <c r="H30" i="15"/>
  <c r="F30" i="15"/>
  <c r="D30" i="15"/>
  <c r="J29" i="15"/>
  <c r="H29" i="15"/>
  <c r="F29" i="15"/>
  <c r="D29" i="15"/>
  <c r="R29" i="15" s="1"/>
  <c r="R34" i="15" s="1"/>
  <c r="R28" i="15"/>
  <c r="O177" i="15" s="1"/>
  <c r="R70" i="14"/>
  <c r="R95" i="14"/>
  <c r="R79" i="14"/>
  <c r="P78" i="14"/>
  <c r="L56" i="14"/>
  <c r="P213" i="14" s="1"/>
  <c r="Q282" i="14"/>
  <c r="P282" i="14"/>
  <c r="P219" i="14" s="1"/>
  <c r="O282" i="14"/>
  <c r="N282" i="14"/>
  <c r="Q270" i="14"/>
  <c r="P270" i="14"/>
  <c r="P218" i="14" s="1"/>
  <c r="O270" i="14"/>
  <c r="N270" i="14"/>
  <c r="P258" i="14"/>
  <c r="Q253" i="14" s="1"/>
  <c r="P284" i="14"/>
  <c r="N258" i="14"/>
  <c r="N284" i="14" s="1"/>
  <c r="Q254" i="14"/>
  <c r="Q252" i="14"/>
  <c r="Q250" i="14"/>
  <c r="O250" i="14"/>
  <c r="P244" i="14"/>
  <c r="N244" i="14"/>
  <c r="P243" i="14"/>
  <c r="N243" i="14"/>
  <c r="P242" i="14"/>
  <c r="N242" i="14"/>
  <c r="P241" i="14"/>
  <c r="N241" i="14"/>
  <c r="P240" i="14"/>
  <c r="N240" i="14"/>
  <c r="P239" i="14"/>
  <c r="N239" i="14"/>
  <c r="P238" i="14"/>
  <c r="N238" i="14"/>
  <c r="P237" i="14"/>
  <c r="N237" i="14"/>
  <c r="N246" i="14"/>
  <c r="P223" i="14"/>
  <c r="P221" i="14"/>
  <c r="O219" i="14"/>
  <c r="O218" i="14"/>
  <c r="R179" i="14"/>
  <c r="R170" i="14"/>
  <c r="R162" i="14"/>
  <c r="R157" i="14"/>
  <c r="R155" i="14"/>
  <c r="R154" i="14"/>
  <c r="R156" i="14" s="1"/>
  <c r="R148" i="14"/>
  <c r="R149" i="14" s="1"/>
  <c r="B123" i="14"/>
  <c r="B196" i="14" s="1"/>
  <c r="B298" i="14" s="1"/>
  <c r="P114" i="14"/>
  <c r="P113" i="14"/>
  <c r="P119" i="14" s="1"/>
  <c r="P111" i="14"/>
  <c r="P101" i="14"/>
  <c r="P89" i="14"/>
  <c r="R88" i="14"/>
  <c r="R91" i="14" s="1"/>
  <c r="P77" i="14"/>
  <c r="P88" i="14" s="1"/>
  <c r="J75" i="14"/>
  <c r="P59" i="14"/>
  <c r="J59" i="14"/>
  <c r="H59" i="14"/>
  <c r="H72" i="14"/>
  <c r="F59" i="14"/>
  <c r="F72" i="14" s="1"/>
  <c r="R57" i="14"/>
  <c r="N59" i="14"/>
  <c r="N47" i="14"/>
  <c r="N46" i="14"/>
  <c r="R40" i="14"/>
  <c r="J30" i="14"/>
  <c r="H30" i="14"/>
  <c r="R41" i="14" s="1"/>
  <c r="F30" i="14"/>
  <c r="D30" i="14"/>
  <c r="R130" i="14"/>
  <c r="J29" i="14"/>
  <c r="H29" i="14"/>
  <c r="F29" i="14"/>
  <c r="D29" i="14"/>
  <c r="R28" i="14"/>
  <c r="O177" i="14"/>
  <c r="R95" i="13"/>
  <c r="R79" i="13"/>
  <c r="P78" i="13"/>
  <c r="L56" i="13"/>
  <c r="N56" i="13"/>
  <c r="N59" i="13" s="1"/>
  <c r="Q282" i="13"/>
  <c r="P282" i="13"/>
  <c r="O282" i="13"/>
  <c r="N282" i="13"/>
  <c r="Q270" i="13"/>
  <c r="P270" i="13"/>
  <c r="O270" i="13"/>
  <c r="N270" i="13"/>
  <c r="P258" i="13"/>
  <c r="Q252" i="13" s="1"/>
  <c r="N258" i="13"/>
  <c r="N284" i="13" s="1"/>
  <c r="O256" i="13"/>
  <c r="O254" i="13"/>
  <c r="O253" i="13"/>
  <c r="O252" i="13"/>
  <c r="O251" i="13"/>
  <c r="O250" i="13"/>
  <c r="O249" i="13"/>
  <c r="P244" i="13"/>
  <c r="N244" i="13"/>
  <c r="P243" i="13"/>
  <c r="N243" i="13"/>
  <c r="P242" i="13"/>
  <c r="N242" i="13"/>
  <c r="P241" i="13"/>
  <c r="N241" i="13"/>
  <c r="P240" i="13"/>
  <c r="N240" i="13"/>
  <c r="P239" i="13"/>
  <c r="N239" i="13"/>
  <c r="P238" i="13"/>
  <c r="N238" i="13"/>
  <c r="P237" i="13"/>
  <c r="P246" i="13" s="1"/>
  <c r="N237" i="13"/>
  <c r="P223" i="13"/>
  <c r="P221" i="13"/>
  <c r="P219" i="13"/>
  <c r="O219" i="13"/>
  <c r="P218" i="13"/>
  <c r="O218" i="13"/>
  <c r="R179" i="13"/>
  <c r="R170" i="13"/>
  <c r="R162" i="13"/>
  <c r="R157" i="13"/>
  <c r="R155" i="13"/>
  <c r="R154" i="13"/>
  <c r="R156" i="13" s="1"/>
  <c r="R148" i="13"/>
  <c r="R149" i="13" s="1"/>
  <c r="B123" i="13"/>
  <c r="B196" i="13" s="1"/>
  <c r="B298" i="13" s="1"/>
  <c r="P114" i="13"/>
  <c r="P113" i="13"/>
  <c r="P119" i="13" s="1"/>
  <c r="P111" i="13"/>
  <c r="P101" i="13"/>
  <c r="P89" i="13"/>
  <c r="R88" i="13"/>
  <c r="R91" i="13" s="1"/>
  <c r="J75" i="13"/>
  <c r="P77" i="13"/>
  <c r="P88" i="13" s="1"/>
  <c r="P91" i="13" s="1"/>
  <c r="P120" i="13" s="1"/>
  <c r="P59" i="13"/>
  <c r="L59" i="13"/>
  <c r="J59" i="13"/>
  <c r="H59" i="13"/>
  <c r="H72" i="13"/>
  <c r="F59" i="13"/>
  <c r="F72" i="13" s="1"/>
  <c r="R57" i="13"/>
  <c r="P213" i="13"/>
  <c r="N47" i="13"/>
  <c r="N46" i="13"/>
  <c r="R40" i="13"/>
  <c r="J30" i="13"/>
  <c r="H30" i="13"/>
  <c r="F30" i="13"/>
  <c r="D30" i="13"/>
  <c r="R41" i="13" s="1"/>
  <c r="J29" i="13"/>
  <c r="H29" i="13"/>
  <c r="F29" i="13"/>
  <c r="D29" i="13"/>
  <c r="R28" i="13"/>
  <c r="O177" i="13" s="1"/>
  <c r="P77" i="12"/>
  <c r="L69" i="12"/>
  <c r="P78" i="12"/>
  <c r="P88" i="12" s="1"/>
  <c r="R95" i="12"/>
  <c r="R79" i="12"/>
  <c r="L56" i="12"/>
  <c r="N46" i="12"/>
  <c r="D29" i="12"/>
  <c r="D30" i="12"/>
  <c r="J29" i="12"/>
  <c r="H29" i="12"/>
  <c r="F29" i="12"/>
  <c r="Q282" i="12"/>
  <c r="P282" i="12"/>
  <c r="P219" i="12" s="1"/>
  <c r="O282" i="12"/>
  <c r="N282" i="12"/>
  <c r="Q270" i="12"/>
  <c r="P270" i="12"/>
  <c r="O270" i="12"/>
  <c r="N270" i="12"/>
  <c r="P258" i="12"/>
  <c r="Q256" i="12" s="1"/>
  <c r="P284" i="12"/>
  <c r="N258" i="12"/>
  <c r="O254" i="12" s="1"/>
  <c r="Q255" i="12"/>
  <c r="Q254" i="12"/>
  <c r="Q253" i="12"/>
  <c r="O252" i="12"/>
  <c r="Q251" i="12"/>
  <c r="Q250" i="12"/>
  <c r="O250" i="12"/>
  <c r="Q249" i="12"/>
  <c r="P244" i="12"/>
  <c r="N244" i="12"/>
  <c r="P243" i="12"/>
  <c r="N243" i="12"/>
  <c r="P242" i="12"/>
  <c r="N242" i="12"/>
  <c r="P241" i="12"/>
  <c r="N241" i="12"/>
  <c r="P240" i="12"/>
  <c r="N240" i="12"/>
  <c r="P239" i="12"/>
  <c r="N239" i="12"/>
  <c r="P238" i="12"/>
  <c r="N238" i="12"/>
  <c r="P237" i="12"/>
  <c r="N237" i="12"/>
  <c r="P223" i="12"/>
  <c r="P221" i="12"/>
  <c r="O219" i="12"/>
  <c r="P218" i="12"/>
  <c r="O218" i="12"/>
  <c r="R179" i="12"/>
  <c r="R162" i="12"/>
  <c r="R157" i="12"/>
  <c r="R155" i="12"/>
  <c r="R154" i="12"/>
  <c r="R156" i="12" s="1"/>
  <c r="R148" i="12"/>
  <c r="B123" i="12"/>
  <c r="B196" i="12" s="1"/>
  <c r="B299" i="12" s="1"/>
  <c r="P114" i="12"/>
  <c r="P113" i="12"/>
  <c r="P111" i="12"/>
  <c r="P101" i="12"/>
  <c r="P89" i="12"/>
  <c r="P91" i="12" s="1"/>
  <c r="R88" i="12"/>
  <c r="R91" i="12" s="1"/>
  <c r="J75" i="12"/>
  <c r="P59" i="12"/>
  <c r="J59" i="12"/>
  <c r="H59" i="12"/>
  <c r="H72" i="12" s="1"/>
  <c r="F59" i="12"/>
  <c r="F72" i="12"/>
  <c r="R57" i="12"/>
  <c r="N47" i="12"/>
  <c r="R40" i="12"/>
  <c r="J30" i="12"/>
  <c r="H30" i="12"/>
  <c r="F30" i="12"/>
  <c r="R28" i="12"/>
  <c r="O177" i="12"/>
  <c r="P221" i="11"/>
  <c r="N56" i="11"/>
  <c r="N59" i="11" s="1"/>
  <c r="R161" i="11"/>
  <c r="R95" i="11"/>
  <c r="R79" i="11"/>
  <c r="R88" i="11"/>
  <c r="R91" i="11" s="1"/>
  <c r="L56" i="11"/>
  <c r="D30" i="11"/>
  <c r="R40" i="11"/>
  <c r="F30" i="11"/>
  <c r="H30" i="11"/>
  <c r="J30" i="11"/>
  <c r="P113" i="11"/>
  <c r="R29" i="11"/>
  <c r="R28" i="11"/>
  <c r="R34" i="11" s="1"/>
  <c r="N47" i="11"/>
  <c r="R148" i="11"/>
  <c r="R147" i="11"/>
  <c r="R149" i="11" s="1"/>
  <c r="R147" i="12" s="1"/>
  <c r="R149" i="12" s="1"/>
  <c r="P111" i="11"/>
  <c r="F59" i="11"/>
  <c r="F72" i="11"/>
  <c r="R69" i="11"/>
  <c r="R170" i="11"/>
  <c r="P285" i="11" s="1"/>
  <c r="R57" i="11"/>
  <c r="H59" i="11"/>
  <c r="N237" i="11"/>
  <c r="N238" i="11"/>
  <c r="P88" i="11"/>
  <c r="P89" i="11"/>
  <c r="P91" i="11" s="1"/>
  <c r="P120" i="11" s="1"/>
  <c r="R70" i="11" s="1"/>
  <c r="P237" i="11"/>
  <c r="P238" i="11"/>
  <c r="P239" i="11"/>
  <c r="P240" i="11"/>
  <c r="P241" i="11"/>
  <c r="P242" i="11"/>
  <c r="P243" i="11"/>
  <c r="P244" i="11"/>
  <c r="N258" i="11"/>
  <c r="O254" i="11" s="1"/>
  <c r="N239" i="11"/>
  <c r="N240" i="11"/>
  <c r="N241" i="11"/>
  <c r="N242" i="11"/>
  <c r="N243" i="11"/>
  <c r="N244" i="11"/>
  <c r="P258" i="11"/>
  <c r="P223" i="11"/>
  <c r="P224" i="11"/>
  <c r="P224" i="12" s="1"/>
  <c r="P224" i="13" s="1"/>
  <c r="P224" i="14" s="1"/>
  <c r="P224" i="15" s="1"/>
  <c r="P224" i="16" s="1"/>
  <c r="P224" i="17" s="1"/>
  <c r="P224" i="18" s="1"/>
  <c r="P224" i="19" s="1"/>
  <c r="P224" i="20" s="1"/>
  <c r="P224" i="21" s="1"/>
  <c r="H72" i="11"/>
  <c r="J59" i="11"/>
  <c r="P59" i="11"/>
  <c r="J75" i="11"/>
  <c r="P101" i="11"/>
  <c r="B123" i="11"/>
  <c r="B196" i="11" s="1"/>
  <c r="B299" i="11" s="1"/>
  <c r="R154" i="11"/>
  <c r="R156" i="11" s="1"/>
  <c r="R155" i="11"/>
  <c r="R157" i="11"/>
  <c r="R162" i="11"/>
  <c r="N270" i="11"/>
  <c r="O218" i="11" s="1"/>
  <c r="P270" i="11"/>
  <c r="N282" i="11"/>
  <c r="N284" i="11"/>
  <c r="P282" i="11"/>
  <c r="P219" i="11" s="1"/>
  <c r="P180" i="11"/>
  <c r="P178" i="12" s="1"/>
  <c r="P180" i="12" s="1"/>
  <c r="P178" i="13" s="1"/>
  <c r="P180" i="13" s="1"/>
  <c r="P178" i="14" s="1"/>
  <c r="P180" i="14" s="1"/>
  <c r="P178" i="15" s="1"/>
  <c r="P180" i="15" s="1"/>
  <c r="P178" i="16" s="1"/>
  <c r="P180" i="16" s="1"/>
  <c r="P178" i="17" s="1"/>
  <c r="P180" i="17" s="1"/>
  <c r="P178" i="18" s="1"/>
  <c r="P180" i="18" s="1"/>
  <c r="P178" i="19" s="1"/>
  <c r="P180" i="19" s="1"/>
  <c r="P178" i="20" s="1"/>
  <c r="P180" i="20" s="1"/>
  <c r="P178" i="21" s="1"/>
  <c r="P180" i="21" s="1"/>
  <c r="P114" i="11"/>
  <c r="P119" i="11" s="1"/>
  <c r="R179" i="11"/>
  <c r="O180" i="11"/>
  <c r="O178" i="12" s="1"/>
  <c r="R178" i="11"/>
  <c r="O219" i="11"/>
  <c r="O282" i="11"/>
  <c r="Q282" i="11"/>
  <c r="O270" i="11"/>
  <c r="Q270" i="11"/>
  <c r="Q251" i="11"/>
  <c r="O250" i="11"/>
  <c r="O251" i="11"/>
  <c r="O253" i="11"/>
  <c r="O255" i="11"/>
  <c r="R127" i="11"/>
  <c r="O177" i="11"/>
  <c r="O181" i="11" s="1"/>
  <c r="R127" i="12"/>
  <c r="R130" i="12"/>
  <c r="R129" i="12"/>
  <c r="R138" i="12" s="1"/>
  <c r="P213" i="12"/>
  <c r="N246" i="12"/>
  <c r="O241" i="12" s="1"/>
  <c r="P246" i="12"/>
  <c r="Q240" i="12" s="1"/>
  <c r="Q241" i="12"/>
  <c r="Q244" i="12"/>
  <c r="O239" i="12"/>
  <c r="R185" i="12"/>
  <c r="P206" i="12"/>
  <c r="R170" i="12"/>
  <c r="P285" i="12" s="1"/>
  <c r="R56" i="13"/>
  <c r="R59" i="13" s="1"/>
  <c r="R127" i="13"/>
  <c r="N246" i="13"/>
  <c r="O243" i="13" s="1"/>
  <c r="O238" i="13"/>
  <c r="O241" i="13"/>
  <c r="O239" i="13"/>
  <c r="O237" i="13"/>
  <c r="O242" i="13"/>
  <c r="O240" i="13"/>
  <c r="P285" i="13"/>
  <c r="R171" i="13"/>
  <c r="R185" i="13"/>
  <c r="Q240" i="13"/>
  <c r="O238" i="14"/>
  <c r="O242" i="14"/>
  <c r="R30" i="14"/>
  <c r="R56" i="14"/>
  <c r="R59" i="14"/>
  <c r="R72" i="14" s="1"/>
  <c r="R173" i="14" s="1"/>
  <c r="R127" i="14"/>
  <c r="R129" i="14" s="1"/>
  <c r="R138" i="14" s="1"/>
  <c r="P289" i="14" s="1"/>
  <c r="O237" i="14"/>
  <c r="R169" i="14"/>
  <c r="Q255" i="14"/>
  <c r="Q256" i="14"/>
  <c r="O255" i="14"/>
  <c r="O256" i="14"/>
  <c r="L59" i="15"/>
  <c r="R127" i="15"/>
  <c r="R130" i="15"/>
  <c r="R129" i="15" s="1"/>
  <c r="R138" i="15" s="1"/>
  <c r="R171" i="15"/>
  <c r="O249" i="15"/>
  <c r="R56" i="15"/>
  <c r="R59" i="15"/>
  <c r="R72" i="15" s="1"/>
  <c r="N59" i="15"/>
  <c r="P287" i="15" l="1"/>
  <c r="R173" i="15"/>
  <c r="P206" i="14"/>
  <c r="R185" i="14"/>
  <c r="R110" i="14"/>
  <c r="R119" i="14" s="1"/>
  <c r="R120" i="14" s="1"/>
  <c r="R187" i="14"/>
  <c r="R191" i="14"/>
  <c r="R189" i="14"/>
  <c r="R189" i="15"/>
  <c r="R187" i="15"/>
  <c r="R185" i="15"/>
  <c r="Q239" i="15"/>
  <c r="Q240" i="15"/>
  <c r="Q241" i="15"/>
  <c r="Q242" i="15"/>
  <c r="Q243" i="15"/>
  <c r="Q244" i="15"/>
  <c r="Q238" i="15"/>
  <c r="Q237" i="15"/>
  <c r="Q246" i="15" s="1"/>
  <c r="P286" i="15"/>
  <c r="R156" i="15"/>
  <c r="O250" i="15"/>
  <c r="O252" i="15"/>
  <c r="O254" i="15"/>
  <c r="O256" i="15"/>
  <c r="O258" i="16"/>
  <c r="R169" i="15"/>
  <c r="R172" i="15" s="1"/>
  <c r="R164" i="11"/>
  <c r="R161" i="12" s="1"/>
  <c r="R164" i="12" s="1"/>
  <c r="R161" i="13" s="1"/>
  <c r="R164" i="13" s="1"/>
  <c r="R161" i="14" s="1"/>
  <c r="R164" i="14" s="1"/>
  <c r="R161" i="15" s="1"/>
  <c r="R164" i="15" s="1"/>
  <c r="R161" i="16" s="1"/>
  <c r="R164" i="16" s="1"/>
  <c r="R161" i="17" s="1"/>
  <c r="R164" i="17" s="1"/>
  <c r="R161" i="21" s="1"/>
  <c r="R164" i="21" s="1"/>
  <c r="R30" i="12"/>
  <c r="O255" i="13"/>
  <c r="R29" i="14"/>
  <c r="R34" i="14" s="1"/>
  <c r="O253" i="14"/>
  <c r="R41" i="15"/>
  <c r="Q252" i="12"/>
  <c r="R29" i="12"/>
  <c r="R34" i="12" s="1"/>
  <c r="P204" i="12" s="1"/>
  <c r="P205" i="12" s="1"/>
  <c r="R130" i="13"/>
  <c r="O258" i="13"/>
  <c r="P246" i="14"/>
  <c r="O251" i="14"/>
  <c r="O254" i="14"/>
  <c r="P119" i="15"/>
  <c r="N246" i="15"/>
  <c r="O251" i="15"/>
  <c r="O258" i="15" s="1"/>
  <c r="O253" i="15"/>
  <c r="O255" i="15"/>
  <c r="Q258" i="16"/>
  <c r="P287" i="14"/>
  <c r="O244" i="13"/>
  <c r="R129" i="13"/>
  <c r="R138" i="13" s="1"/>
  <c r="Q242" i="12"/>
  <c r="R180" i="11"/>
  <c r="O256" i="11"/>
  <c r="O252" i="11"/>
  <c r="O249" i="11"/>
  <c r="O258" i="11" s="1"/>
  <c r="Q258" i="12"/>
  <c r="Q243" i="13"/>
  <c r="L59" i="14"/>
  <c r="O249" i="14"/>
  <c r="O258" i="14" s="1"/>
  <c r="O252" i="14"/>
  <c r="R171" i="11"/>
  <c r="P286" i="11"/>
  <c r="P204" i="15"/>
  <c r="P205" i="15" s="1"/>
  <c r="P200" i="15"/>
  <c r="P201" i="15" s="1"/>
  <c r="R161" i="20"/>
  <c r="R164" i="20" s="1"/>
  <c r="P204" i="11"/>
  <c r="P205" i="11" s="1"/>
  <c r="P200" i="11"/>
  <c r="P201" i="11" s="1"/>
  <c r="R56" i="11"/>
  <c r="R59" i="11" s="1"/>
  <c r="P213" i="11"/>
  <c r="Q244" i="13"/>
  <c r="Q238" i="13"/>
  <c r="Q242" i="13"/>
  <c r="P284" i="13"/>
  <c r="P286" i="13" s="1"/>
  <c r="Q255" i="13"/>
  <c r="Q253" i="13"/>
  <c r="Q251" i="13"/>
  <c r="Q249" i="13"/>
  <c r="R178" i="12"/>
  <c r="O180" i="12"/>
  <c r="O181" i="12" s="1"/>
  <c r="L59" i="11"/>
  <c r="P218" i="11"/>
  <c r="P284" i="11"/>
  <c r="Q253" i="11"/>
  <c r="Q249" i="11"/>
  <c r="Q256" i="11"/>
  <c r="Q255" i="11"/>
  <c r="Q252" i="11"/>
  <c r="Q254" i="11"/>
  <c r="P206" i="11"/>
  <c r="R187" i="11"/>
  <c r="R185" i="11"/>
  <c r="R110" i="11"/>
  <c r="R119" i="11" s="1"/>
  <c r="R120" i="11" s="1"/>
  <c r="R191" i="11"/>
  <c r="R189" i="11"/>
  <c r="P290" i="12"/>
  <c r="O238" i="12"/>
  <c r="O240" i="12"/>
  <c r="O242" i="12"/>
  <c r="O244" i="12"/>
  <c r="O256" i="12"/>
  <c r="R41" i="12"/>
  <c r="P206" i="13"/>
  <c r="R110" i="13"/>
  <c r="R119" i="13" s="1"/>
  <c r="R120" i="13" s="1"/>
  <c r="R191" i="13"/>
  <c r="R187" i="13"/>
  <c r="R189" i="13"/>
  <c r="Q250" i="13"/>
  <c r="O240" i="14"/>
  <c r="O244" i="14"/>
  <c r="Q239" i="13"/>
  <c r="R110" i="15"/>
  <c r="R119" i="15" s="1"/>
  <c r="R120" i="15" s="1"/>
  <c r="P206" i="15"/>
  <c r="O246" i="13"/>
  <c r="Q237" i="13"/>
  <c r="O243" i="12"/>
  <c r="O237" i="12"/>
  <c r="Q250" i="11"/>
  <c r="P246" i="11"/>
  <c r="Q238" i="11"/>
  <c r="R56" i="12"/>
  <c r="R59" i="12" s="1"/>
  <c r="R29" i="13"/>
  <c r="R34" i="13" s="1"/>
  <c r="R30" i="13"/>
  <c r="P289" i="13" s="1"/>
  <c r="Q256" i="13"/>
  <c r="O239" i="14"/>
  <c r="O243" i="14"/>
  <c r="O241" i="14"/>
  <c r="Q240" i="14"/>
  <c r="Q244" i="14"/>
  <c r="Q241" i="14"/>
  <c r="Q238" i="14"/>
  <c r="Q242" i="14"/>
  <c r="P91" i="14"/>
  <c r="P120" i="14" s="1"/>
  <c r="P120" i="15"/>
  <c r="N246" i="11"/>
  <c r="O237" i="11"/>
  <c r="R30" i="11"/>
  <c r="R130" i="11"/>
  <c r="R129" i="11" s="1"/>
  <c r="R138" i="11" s="1"/>
  <c r="P290" i="11" s="1"/>
  <c r="Q241" i="13"/>
  <c r="R191" i="15"/>
  <c r="R30" i="15"/>
  <c r="P289" i="15" s="1"/>
  <c r="R72" i="13"/>
  <c r="R169" i="13"/>
  <c r="R172" i="13" s="1"/>
  <c r="Q244" i="11"/>
  <c r="Q237" i="11"/>
  <c r="R41" i="11"/>
  <c r="R189" i="12"/>
  <c r="R187" i="12"/>
  <c r="R191" i="12"/>
  <c r="R110" i="12"/>
  <c r="R119" i="12" s="1"/>
  <c r="R120" i="12" s="1"/>
  <c r="N56" i="12"/>
  <c r="N59" i="12" s="1"/>
  <c r="P119" i="12"/>
  <c r="O249" i="12"/>
  <c r="N284" i="12"/>
  <c r="O255" i="12"/>
  <c r="O253" i="12"/>
  <c r="O251" i="12"/>
  <c r="P120" i="12"/>
  <c r="R70" i="12" s="1"/>
  <c r="Q254" i="13"/>
  <c r="P204" i="14"/>
  <c r="P205" i="14" s="1"/>
  <c r="P200" i="14"/>
  <c r="P201" i="14" s="1"/>
  <c r="P285" i="14"/>
  <c r="P286" i="14" s="1"/>
  <c r="R171" i="14"/>
  <c r="R172" i="14" s="1"/>
  <c r="Q239" i="12"/>
  <c r="Q237" i="12"/>
  <c r="Q238" i="12"/>
  <c r="L59" i="12"/>
  <c r="O246" i="16"/>
  <c r="Q243" i="12"/>
  <c r="Q249" i="14"/>
  <c r="Q258" i="14" s="1"/>
  <c r="Q251" i="14"/>
  <c r="Q246" i="16"/>
  <c r="R169" i="16"/>
  <c r="R172" i="16" s="1"/>
  <c r="R72" i="16"/>
  <c r="R129" i="16"/>
  <c r="R138" i="16" s="1"/>
  <c r="P289" i="16" s="1"/>
  <c r="Q246" i="12" l="1"/>
  <c r="O246" i="12"/>
  <c r="P287" i="11"/>
  <c r="O238" i="15"/>
  <c r="O242" i="15"/>
  <c r="O239" i="15"/>
  <c r="O243" i="15"/>
  <c r="O240" i="15"/>
  <c r="O244" i="15"/>
  <c r="O237" i="15"/>
  <c r="O241" i="15"/>
  <c r="Q243" i="14"/>
  <c r="Q239" i="14"/>
  <c r="Q237" i="14"/>
  <c r="R161" i="18"/>
  <c r="R164" i="18" s="1"/>
  <c r="P200" i="12"/>
  <c r="P201" i="12" s="1"/>
  <c r="O246" i="14"/>
  <c r="R161" i="19"/>
  <c r="R164" i="19" s="1"/>
  <c r="R169" i="12"/>
  <c r="R72" i="12"/>
  <c r="Q258" i="13"/>
  <c r="O258" i="12"/>
  <c r="P287" i="13"/>
  <c r="R173" i="13"/>
  <c r="O239" i="11"/>
  <c r="O242" i="11"/>
  <c r="O238" i="11"/>
  <c r="O244" i="11"/>
  <c r="O243" i="11"/>
  <c r="O241" i="11"/>
  <c r="O240" i="11"/>
  <c r="Q246" i="14"/>
  <c r="Q258" i="11"/>
  <c r="R72" i="11"/>
  <c r="R169" i="11"/>
  <c r="R172" i="11" s="1"/>
  <c r="P286" i="12"/>
  <c r="P287" i="12" s="1"/>
  <c r="R171" i="12"/>
  <c r="Q243" i="11"/>
  <c r="Q241" i="11"/>
  <c r="Q239" i="11"/>
  <c r="Q240" i="11"/>
  <c r="Q242" i="11"/>
  <c r="Q246" i="13"/>
  <c r="O178" i="13"/>
  <c r="R180" i="12"/>
  <c r="P200" i="13"/>
  <c r="P201" i="13" s="1"/>
  <c r="P204" i="13"/>
  <c r="P205" i="13" s="1"/>
  <c r="P287" i="16"/>
  <c r="R173" i="16"/>
  <c r="O246" i="11" l="1"/>
  <c r="O246" i="15"/>
  <c r="Q246" i="11"/>
  <c r="R178" i="13"/>
  <c r="O180" i="13"/>
  <c r="R173" i="12"/>
  <c r="P288" i="12"/>
  <c r="R173" i="11"/>
  <c r="P288" i="11"/>
  <c r="R172" i="12"/>
  <c r="O178" i="14" l="1"/>
  <c r="R180" i="13"/>
  <c r="O181" i="13"/>
  <c r="O180" i="14" l="1"/>
  <c r="R178" i="14"/>
  <c r="R180" i="14" l="1"/>
  <c r="O178" i="15"/>
  <c r="O181" i="14"/>
  <c r="O180" i="15" l="1"/>
  <c r="R178" i="15"/>
  <c r="O178" i="16" l="1"/>
  <c r="R180" i="15"/>
  <c r="O181" i="15"/>
  <c r="O180" i="16" l="1"/>
  <c r="R178" i="16"/>
  <c r="O178" i="17" l="1"/>
  <c r="O181" i="16"/>
  <c r="R180" i="16"/>
  <c r="O180" i="17" l="1"/>
  <c r="R178" i="17"/>
  <c r="O178" i="18" l="1"/>
  <c r="O181" i="17"/>
  <c r="R180" i="17"/>
  <c r="O180" i="18" l="1"/>
  <c r="R178" i="18"/>
  <c r="O178" i="19" l="1"/>
  <c r="O181" i="18"/>
  <c r="R180" i="18"/>
  <c r="O180" i="19" l="1"/>
  <c r="R178" i="19"/>
  <c r="O178" i="20" l="1"/>
  <c r="R180" i="19"/>
  <c r="O181" i="19"/>
  <c r="O180" i="20" l="1"/>
  <c r="O178" i="21" s="1"/>
  <c r="R178" i="20"/>
  <c r="O180" i="21" l="1"/>
  <c r="R178" i="21"/>
  <c r="O181" i="20"/>
  <c r="R180" i="20"/>
  <c r="R180" i="21" l="1"/>
  <c r="O181" i="21"/>
</calcChain>
</file>

<file path=xl/sharedStrings.xml><?xml version="1.0" encoding="utf-8"?>
<sst xmlns="http://schemas.openxmlformats.org/spreadsheetml/2006/main" count="4319" uniqueCount="270">
  <si>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</si>
  <si>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</si>
  <si>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</si>
  <si>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</si>
  <si>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</si>
  <si>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</si>
  <si>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</si>
  <si>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</si>
  <si>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</si>
  <si>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</si>
  <si>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</si>
  <si>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</si>
  <si>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</si>
  <si>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</si>
  <si>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</si>
  <si>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</si>
  <si>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</si>
  <si>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</si>
  <si>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</si>
  <si>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</si>
  <si>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</si>
  <si>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</si>
  <si>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</si>
  <si>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</si>
  <si>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</si>
  <si>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</si>
  <si>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</si>
  <si>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</si>
  <si>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</si>
  <si>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</si>
  <si>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</si>
  <si>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Discretionary Further Advances</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</si>
  <si>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</si>
  <si>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</si>
  <si>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</si>
  <si>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</si>
  <si>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</si>
  <si>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</si>
  <si>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</si>
  <si>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</si>
  <si>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</si>
  <si>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</si>
  <si>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</si>
  <si>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</si>
  <si>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</si>
  <si>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</si>
  <si>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</si>
  <si>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</si>
  <si>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</si>
  <si>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</si>
  <si>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</si>
  <si>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</si>
  <si>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</si>
  <si>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</si>
  <si>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</si>
  <si>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</si>
  <si>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</si>
  <si>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</si>
  <si>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</si>
  <si>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</si>
  <si>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</si>
  <si>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</si>
  <si>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</si>
  <si>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</si>
  <si>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</si>
  <si>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</si>
  <si>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</si>
  <si>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</si>
  <si>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</si>
  <si>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</si>
  <si>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</si>
  <si>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</si>
  <si>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</si>
  <si>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</si>
  <si>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</si>
  <si>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</si>
  <si>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</si>
  <si>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</si>
  <si>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John Harvey, St. Catherines Court, Herbert Road, Solihull, West Midlands, B91 3QE</t>
  </si>
  <si>
    <t>Jimmy Giles, St. Catherines Court, Herbert Road, Solihull, West Midlands, B91 3QE</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</si>
  <si>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</si>
  <si>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</si>
  <si>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</si>
  <si>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</si>
  <si>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</si>
  <si>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</si>
  <si>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</si>
  <si>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</si>
  <si>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</si>
  <si>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</si>
  <si>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</si>
  <si>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</si>
  <si>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</si>
  <si>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</si>
  <si>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</si>
  <si>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</si>
  <si>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</si>
  <si>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</si>
  <si>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</si>
  <si>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</si>
  <si>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</si>
  <si>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Pre Funding Reserve</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</si>
  <si>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</si>
  <si>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</si>
  <si>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</si>
  <si>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</si>
  <si>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</si>
  <si>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</si>
  <si>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</si>
  <si>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</si>
  <si>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</si>
  <si>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</si>
  <si>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</si>
  <si>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</si>
  <si>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</si>
  <si>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</si>
  <si>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</si>
  <si>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</si>
  <si>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</si>
  <si>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</si>
  <si>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</si>
  <si>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</si>
  <si>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</si>
  <si>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</si>
  <si>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Facility at Closing</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</si>
  <si>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</si>
  <si>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</si>
  <si>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</si>
  <si>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</si>
  <si>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</si>
  <si>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</si>
  <si>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</si>
  <si>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</si>
  <si>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</si>
  <si>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</si>
  <si>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</si>
  <si>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Drawings used to fund Mandatory Further Advances during the period</t>
  </si>
  <si>
    <t>Fitch Rating at Closing</t>
  </si>
  <si>
    <t>Current Fitch Rating</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</si>
  <si>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</si>
  <si>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</si>
  <si>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</si>
  <si>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</si>
  <si>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</si>
  <si>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</si>
  <si>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</si>
  <si>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</si>
  <si>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</si>
  <si>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Closing Flexible Drawing Facility balance</t>
  </si>
  <si>
    <t>Total Income as a % of the Total Assets</t>
  </si>
  <si>
    <t>Aggregate Balance of Substituted Loans (Pre Funding Reserve)</t>
  </si>
  <si>
    <t>Margin Reserve Fund</t>
  </si>
  <si>
    <t>Opening Balance</t>
  </si>
  <si>
    <t>Closing Balance</t>
  </si>
  <si>
    <t>Swap Receipts</t>
  </si>
  <si>
    <t>Scheduled Release to the Revenue Ledger</t>
  </si>
  <si>
    <t xml:space="preserve">Scheduled Releases from the Margin Reserve Fund </t>
  </si>
  <si>
    <t>Delinquency Summary (For Receiver of Rent Cases)</t>
  </si>
  <si>
    <t>Andrew Kitching, St. Catherines Court, Herbert Road, Solihull, West Midlands, B91 3QE</t>
  </si>
  <si>
    <t>+44 (0) 121 712 3896</t>
  </si>
  <si>
    <t>andrew.kitching@paragon-group.co.uk</t>
  </si>
  <si>
    <t>N/A: Sequential Paydown</t>
  </si>
  <si>
    <t>Accrual from Revenue for potential Losses</t>
  </si>
  <si>
    <t>Possession Properties Sold</t>
  </si>
  <si>
    <t>Class A Notes</t>
  </si>
  <si>
    <t>Delinquency Summary</t>
  </si>
  <si>
    <t>325bp</t>
  </si>
  <si>
    <t>Unrated</t>
  </si>
  <si>
    <t>Optional Redemption (Call) / Turbo Dates</t>
  </si>
  <si>
    <t>PM (2010) Ltd</t>
  </si>
  <si>
    <t>Class A Note Interest</t>
  </si>
  <si>
    <t>Issuer Profit Amount</t>
  </si>
  <si>
    <t>Swap Retention fund</t>
  </si>
  <si>
    <t>Junior Administration Fee to MAAL</t>
  </si>
  <si>
    <t>PM (2010) Mandatory Further Advances</t>
  </si>
  <si>
    <t>Class A Note repayment</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</si>
  <si>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</si>
  <si>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</si>
  <si>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</si>
  <si>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</si>
  <si>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</si>
  <si>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</si>
  <si>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</si>
  <si>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</si>
  <si>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</si>
  <si>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</si>
  <si>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</si>
  <si>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</si>
  <si>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Pre Funding Reserve Remaining</t>
  </si>
  <si>
    <t>MFA's</t>
  </si>
  <si>
    <t>Unutilised Pre Funding Reserve diverted to Principal</t>
  </si>
  <si>
    <t>Trustee Fee/Costs and Expenses claimed by the Substitute Administrator</t>
  </si>
  <si>
    <t>Surplus income to the Issuer (prior to Call Option Date)</t>
  </si>
  <si>
    <t>Surplus income diverted to Principal (on or after Call Option Date)</t>
  </si>
  <si>
    <t>Pre Funding Reserve Ledger</t>
  </si>
  <si>
    <t>Current Principal Balance Outstanding (£'000)</t>
  </si>
  <si>
    <t>Pre Funding Reserve Outstanding (£'000)</t>
  </si>
  <si>
    <t>Retention Requirement under Article 122a of Directive 2066/48/EC</t>
  </si>
  <si>
    <t>PDL replenishment (+) from Revenue income / Liquidity Excess Amount / Recovery (+) to Revenue income</t>
  </si>
  <si>
    <t>Accrued Arrears and Interest not Sold to Issuer</t>
  </si>
  <si>
    <t>Total Note Principal</t>
  </si>
  <si>
    <t>Total Mortgage Assets</t>
  </si>
  <si>
    <t xml:space="preserve">Outstanding Pre Funding Reserve </t>
  </si>
  <si>
    <t>Paragon Mortgages (No.17) PLC</t>
  </si>
  <si>
    <t>This performance report is issued by Moorgate Asset Administration Limited for and on behalf of Paragon Mortgages (No.17) PLC</t>
  </si>
  <si>
    <t>PM17 PLC</t>
  </si>
  <si>
    <t>Standard &amp; Poors Rating at Closing</t>
  </si>
  <si>
    <t>AA</t>
  </si>
  <si>
    <t>Class B Notes</t>
  </si>
  <si>
    <t>Class C Notes</t>
  </si>
  <si>
    <t>Class D Notes</t>
  </si>
  <si>
    <t>A</t>
  </si>
  <si>
    <t>XS0843322594</t>
  </si>
  <si>
    <t>XS0843326314</t>
  </si>
  <si>
    <t>XS0843328286</t>
  </si>
  <si>
    <t>XS0843328443</t>
  </si>
  <si>
    <t>135bp</t>
  </si>
  <si>
    <t>190bp</t>
  </si>
  <si>
    <t>290bp</t>
  </si>
  <si>
    <t>PM17 INVESTOR REPORT QUARTER ENDING DECEMBER 2012</t>
  </si>
  <si>
    <t>Drawing on the PFPLC/PM17 Subordinated Loan for Interest Shortfalls</t>
  </si>
  <si>
    <t>Class B Note repayment</t>
  </si>
  <si>
    <t>Class C Note repayment</t>
  </si>
  <si>
    <t>Class D Note repayment</t>
  </si>
  <si>
    <t>Flexile Drawing Facility (not applicable to PM17)</t>
  </si>
  <si>
    <t>Cover Ratio for Class B Notes (at last Interest Payment Date)</t>
  </si>
  <si>
    <t xml:space="preserve">Cover Ratio for Class B Notes (cumulative) </t>
  </si>
  <si>
    <t>Cover Ratio for Class C Notes (at last Interest Payment Date)</t>
  </si>
  <si>
    <t xml:space="preserve">Cover Ratio for Class C Notes (cumulative) </t>
  </si>
  <si>
    <t>Cover Ratio for Class D Notes (at last Interest Payment Date)</t>
  </si>
  <si>
    <t xml:space="preserve">Cover Ratio for Class D Notes (cumulative) </t>
  </si>
  <si>
    <t>Stated Maturity - Class B Notes</t>
  </si>
  <si>
    <t>Stated Maturity - Class C Notes</t>
  </si>
  <si>
    <t>Stated Maturity - Class D Notes</t>
  </si>
  <si>
    <t>Current Standard &amp; Poors Rating</t>
  </si>
  <si>
    <t>Class B, C and D Notes as a percentage Class A Notes at issue</t>
  </si>
  <si>
    <t>Current Outstanding Class B, C and D Notes as a percentage of Current Outstanding Class A Notes</t>
  </si>
  <si>
    <t>Determination Event for Paying Class B, C and D Notes</t>
  </si>
  <si>
    <t>Class A, B, C and D Interest Payment Cycle</t>
  </si>
  <si>
    <t>Class A, B, C and D Interest Calculated on</t>
  </si>
  <si>
    <t>Senior Administration Fee to MAAL/ Out of pocket expenses/ Substitute Administrator Commitment Fee/ Surveillance Fees to Rating Agencies</t>
  </si>
  <si>
    <t>Class B Note Interest</t>
  </si>
  <si>
    <t>Class C Note Interest</t>
  </si>
  <si>
    <t>Class D Note Interest and Deferred Interest</t>
  </si>
  <si>
    <t>Liquidity Amount (3% of the Class A, B and C Notes outstanding)</t>
  </si>
  <si>
    <t>Replenishments from drawings on the PM17/PFPLC Subordinated Loan</t>
  </si>
  <si>
    <t xml:space="preserve">Retained Available Redemption Funds for the funding of Discretionary Further Advances </t>
  </si>
  <si>
    <t>Retained Available Redemption Funds for the funding of future Discretionary Further Advances</t>
  </si>
  <si>
    <t>Pre Funding utilised this quarter</t>
  </si>
  <si>
    <t>Drawing on the Subordinated Loan in respect of Discretionary Further Advances</t>
  </si>
  <si>
    <t>PM17 INVESTOR REPORT QUARTER ENDING MARCH 2013</t>
  </si>
  <si>
    <t>Unsecured claimants in an amount not exceeding the "Prescribed Part" in The Insolvency Act (Prescribed Part) Order 2003 (as amended from time to time)</t>
  </si>
  <si>
    <t>Pre Funding Reserve Remaining / Diverted to Principal to form part of the Avialbale Redemption Funds</t>
  </si>
  <si>
    <t>PM17 INVESTOR REPORT QUARTER ENDING JUNE 2013</t>
  </si>
  <si>
    <t>John Harvey, 51 Homer Road, Solihull, West Midlands, B91 3QJ</t>
  </si>
  <si>
    <t>Andrew Kitching, 51 Homer Road, Solihull, West Midlands, B91 3QJ</t>
  </si>
  <si>
    <t>Jimmy Giles, 51 Homer Road, Solihull, West Midlands, B91 3QJ</t>
  </si>
  <si>
    <t>PM17 INVESTOR REPORT QUARTER ENDING SEPTEMBER 2013</t>
  </si>
  <si>
    <t>PM17 INVESTOR REPORT QUARTER ENDING DECEMBER 2013</t>
  </si>
  <si>
    <t>PM17 INVESTOR REPORT QUARTER ENDING MARCH 2014</t>
  </si>
  <si>
    <t>Retention Requirement under Article 405 of Regulation (EU) No.575/2013 (as amended) (the "Capital Requirements Regulation")</t>
  </si>
  <si>
    <t>PM17 INVESTOR REPORT QUARTER ENDING JUNE 2014</t>
  </si>
  <si>
    <t>PM17 INVESTOR REPORT QUARTER ENDING SEPTEMBER 2014</t>
  </si>
  <si>
    <t>PM17 INVESTOR REPORT QUARTER ENDING DECEMBER 2014</t>
  </si>
  <si>
    <t>PM17 INVESTOR REPORT QUARTER ENDING MARCH 2015</t>
  </si>
  <si>
    <t>PM17 INVESTOR REPORT QUARTER ENDING JUNE 2015</t>
  </si>
  <si>
    <t>PM17 INVESTOR REPORT QUARTER ENDING SEPTEMBER 2015</t>
  </si>
  <si>
    <t>PM17 INVESTOR REPORT QUARTER ENDING DECEMBER 2015</t>
  </si>
  <si>
    <t>Release of the First Loss Fund following repayment of the Notes</t>
  </si>
  <si>
    <t>Release of the First Loss Fund to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</si>
</sst>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s>
  <fonts count="38"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
      <sz val="12"/>
      <color rgb="FF000099"/>
      <name val="Times New Roman"/>
      <family val="1"/>
    </font>
  </fonts>
  <fills count="4">
    <fill>
      <patternFill patternType="none"/>
    </fill>
    <fill>
      <patternFill patternType="gray125"/>
    </fill>
    <fill>
      <patternFill patternType="solid">
        <fgColor indexed="38"/>
        <bgColor indexed="64"/>
      </patternFill>
    </fill>
    <fill>
      <patternFill patternType="solid">
        <fgColor indexed="18"/>
        <bgColor indexed="64"/>
      </patternFill>
    </fill>
  </fills>
  <borders count="18">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top style="thin">
        <color indexed="23"/>
      </top>
      <bottom style="thin">
        <color indexed="23"/>
      </bottom>
      <diagonal/>
    </border>
  </borders>
  <cellStyleXfs count="2">
    <xf numFmtId="0" fontId="0" fillId="0" borderId="0"/>
    <xf numFmtId="0" fontId="15" fillId="0" borderId="0" applyNumberFormat="0" applyFill="0" applyBorder="0" applyAlignment="0" applyProtection="0">
      <alignment vertical="top"/>
      <protection locked="0"/>
    </xf>
  </cellStyleXfs>
  <cellXfs count="224">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5" fillId="2" borderId="0" xfId="0" applyNumberFormat="1" applyFont="1" applyFill="1" applyAlignment="1"/>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3" fontId="10" fillId="2" borderId="7" xfId="0" applyNumberFormat="1" applyFont="1" applyFill="1" applyBorder="1" applyAlignment="1"/>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6" fillId="2" borderId="7" xfId="0" applyNumberFormat="1" applyFont="1" applyFill="1" applyBorder="1" applyAlignment="1"/>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3" fontId="9" fillId="2" borderId="15" xfId="0" applyNumberFormat="1" applyFont="1" applyFill="1" applyBorder="1" applyAlignment="1" applyProtection="1">
      <alignment horizontal="right"/>
      <protection locked="0"/>
    </xf>
    <xf numFmtId="0" fontId="24" fillId="2" borderId="0" xfId="0" applyNumberFormat="1" applyFont="1" applyFill="1" applyBorder="1" applyAlignment="1"/>
    <xf numFmtId="2" fontId="24" fillId="2" borderId="15" xfId="0" applyNumberFormat="1" applyFont="1" applyFill="1" applyBorder="1" applyAlignment="1" applyProtection="1">
      <alignment horizontal="right"/>
      <protection locked="0"/>
    </xf>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10" fillId="2" borderId="0" xfId="0" applyNumberFormat="1" applyFont="1" applyFill="1" applyBorder="1" applyAlignment="1"/>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3" fontId="24" fillId="2" borderId="0" xfId="0" applyNumberFormat="1" applyFont="1" applyFill="1" applyBorder="1" applyAlignment="1"/>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0" fontId="26" fillId="2" borderId="15" xfId="0" applyNumberFormat="1" applyFont="1" applyFill="1" applyBorder="1" applyAlignment="1" applyProtection="1">
      <alignment horizontal="right"/>
      <protection locked="0"/>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0" fontId="35" fillId="2" borderId="15" xfId="0" applyNumberFormat="1" applyFont="1" applyFill="1" applyBorder="1" applyAlignment="1"/>
    <xf numFmtId="10" fontId="35" fillId="2" borderId="15" xfId="0" applyNumberFormat="1" applyFont="1" applyFill="1" applyBorder="1" applyAlignment="1">
      <alignment horizontal="center"/>
    </xf>
    <xf numFmtId="0" fontId="36" fillId="2" borderId="15" xfId="0" applyNumberFormat="1" applyFont="1" applyFill="1" applyBorder="1" applyAlignment="1"/>
    <xf numFmtId="0" fontId="24" fillId="2" borderId="17" xfId="0" applyNumberFormat="1" applyFont="1" applyFill="1" applyBorder="1" applyAlignment="1"/>
    <xf numFmtId="0" fontId="25" fillId="2" borderId="0" xfId="0" applyNumberFormat="1" applyFont="1" applyFill="1" applyAlignment="1"/>
    <xf numFmtId="3" fontId="37" fillId="2" borderId="15" xfId="0" applyNumberFormat="1" applyFont="1" applyFill="1" applyBorder="1" applyAlignment="1"/>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5111"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25112"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25113"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297</xdr:row>
      <xdr:rowOff>161925</xdr:rowOff>
    </xdr:from>
    <xdr:to>
      <xdr:col>1</xdr:col>
      <xdr:colOff>19050</xdr:colOff>
      <xdr:row>298</xdr:row>
      <xdr:rowOff>200025</xdr:rowOff>
    </xdr:to>
    <xdr:pic>
      <xdr:nvPicPr>
        <xdr:cNvPr id="25114"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3313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297</xdr:row>
      <xdr:rowOff>123825</xdr:rowOff>
    </xdr:from>
    <xdr:to>
      <xdr:col>18</xdr:col>
      <xdr:colOff>1895475</xdr:colOff>
      <xdr:row>298</xdr:row>
      <xdr:rowOff>152400</xdr:rowOff>
    </xdr:to>
    <xdr:pic>
      <xdr:nvPicPr>
        <xdr:cNvPr id="25115"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2932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25116"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25117"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5118"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5119"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25120"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25121"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297</xdr:row>
      <xdr:rowOff>104775</xdr:rowOff>
    </xdr:from>
    <xdr:to>
      <xdr:col>18</xdr:col>
      <xdr:colOff>895350</xdr:colOff>
      <xdr:row>298</xdr:row>
      <xdr:rowOff>133350</xdr:rowOff>
    </xdr:to>
    <xdr:pic>
      <xdr:nvPicPr>
        <xdr:cNvPr id="25122"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2742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5123"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25124"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25125"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297</xdr:row>
      <xdr:rowOff>57150</xdr:rowOff>
    </xdr:from>
    <xdr:to>
      <xdr:col>17</xdr:col>
      <xdr:colOff>1219200</xdr:colOff>
      <xdr:row>298</xdr:row>
      <xdr:rowOff>190500</xdr:rowOff>
    </xdr:to>
    <xdr:pic>
      <xdr:nvPicPr>
        <xdr:cNvPr id="25126"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22657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195</xdr:row>
      <xdr:rowOff>171450</xdr:rowOff>
    </xdr:from>
    <xdr:to>
      <xdr:col>1</xdr:col>
      <xdr:colOff>47625</xdr:colOff>
      <xdr:row>196</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297</xdr:row>
      <xdr:rowOff>161925</xdr:rowOff>
    </xdr:from>
    <xdr:to>
      <xdr:col>1</xdr:col>
      <xdr:colOff>19050</xdr:colOff>
      <xdr:row>298</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297</xdr:row>
      <xdr:rowOff>123825</xdr:rowOff>
    </xdr:from>
    <xdr:to>
      <xdr:col>18</xdr:col>
      <xdr:colOff>1895475</xdr:colOff>
      <xdr:row>298</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195</xdr:row>
      <xdr:rowOff>152400</xdr:rowOff>
    </xdr:from>
    <xdr:to>
      <xdr:col>18</xdr:col>
      <xdr:colOff>1924050</xdr:colOff>
      <xdr:row>196</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195</xdr:row>
      <xdr:rowOff>104775</xdr:rowOff>
    </xdr:from>
    <xdr:to>
      <xdr:col>18</xdr:col>
      <xdr:colOff>809625</xdr:colOff>
      <xdr:row>196</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297</xdr:row>
      <xdr:rowOff>104775</xdr:rowOff>
    </xdr:from>
    <xdr:to>
      <xdr:col>18</xdr:col>
      <xdr:colOff>895350</xdr:colOff>
      <xdr:row>298</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195</xdr:row>
      <xdr:rowOff>38100</xdr:rowOff>
    </xdr:from>
    <xdr:to>
      <xdr:col>17</xdr:col>
      <xdr:colOff>1152525</xdr:colOff>
      <xdr:row>196</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297</xdr:row>
      <xdr:rowOff>57150</xdr:rowOff>
    </xdr:from>
    <xdr:to>
      <xdr:col>17</xdr:col>
      <xdr:colOff>1219200</xdr:colOff>
      <xdr:row>298</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4449"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24450"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24451"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297</xdr:row>
      <xdr:rowOff>161925</xdr:rowOff>
    </xdr:from>
    <xdr:to>
      <xdr:col>1</xdr:col>
      <xdr:colOff>19050</xdr:colOff>
      <xdr:row>298</xdr:row>
      <xdr:rowOff>200025</xdr:rowOff>
    </xdr:to>
    <xdr:pic>
      <xdr:nvPicPr>
        <xdr:cNvPr id="24452"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3313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297</xdr:row>
      <xdr:rowOff>123825</xdr:rowOff>
    </xdr:from>
    <xdr:to>
      <xdr:col>18</xdr:col>
      <xdr:colOff>1895475</xdr:colOff>
      <xdr:row>298</xdr:row>
      <xdr:rowOff>152400</xdr:rowOff>
    </xdr:to>
    <xdr:pic>
      <xdr:nvPicPr>
        <xdr:cNvPr id="24453"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2932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24454"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24455"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4456"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4457"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24458"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24459"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297</xdr:row>
      <xdr:rowOff>104775</xdr:rowOff>
    </xdr:from>
    <xdr:to>
      <xdr:col>18</xdr:col>
      <xdr:colOff>895350</xdr:colOff>
      <xdr:row>298</xdr:row>
      <xdr:rowOff>133350</xdr:rowOff>
    </xdr:to>
    <xdr:pic>
      <xdr:nvPicPr>
        <xdr:cNvPr id="24460"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2742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4461"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24462"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24463"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297</xdr:row>
      <xdr:rowOff>57150</xdr:rowOff>
    </xdr:from>
    <xdr:to>
      <xdr:col>17</xdr:col>
      <xdr:colOff>1219200</xdr:colOff>
      <xdr:row>298</xdr:row>
      <xdr:rowOff>190500</xdr:rowOff>
    </xdr:to>
    <xdr:pic>
      <xdr:nvPicPr>
        <xdr:cNvPr id="24464"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22657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6129"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26130"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26131"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26132"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26133"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26134"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26135"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6136"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6137"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26138"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26139"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26140"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6141"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26142"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26143"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26144"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6881"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26882"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26883" name="Picture 3" descr="C:\WINDOWS\TEMP\Symbol.gif"/>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26884"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26885"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26886"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26887"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6888"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6889"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26890"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26891"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26892"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6893"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26894"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26895"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26896"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7729"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27730"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27731"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27732"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27733"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27734"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27735"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7736"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7737"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27738"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27739"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27740"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27741"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27742"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27743"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27744"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121</xdr:row>
      <xdr:rowOff>161925</xdr:rowOff>
    </xdr:from>
    <xdr:to>
      <xdr:col>1</xdr:col>
      <xdr:colOff>28575</xdr:colOff>
      <xdr:row>122</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9174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6144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595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121</xdr:row>
      <xdr:rowOff>161925</xdr:rowOff>
    </xdr:from>
    <xdr:to>
      <xdr:col>18</xdr:col>
      <xdr:colOff>1952625</xdr:colOff>
      <xdr:row>122</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917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121</xdr:row>
      <xdr:rowOff>123825</xdr:rowOff>
    </xdr:from>
    <xdr:to>
      <xdr:col>18</xdr:col>
      <xdr:colOff>895350</xdr:colOff>
      <xdr:row>122</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8793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5478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447675</xdr:colOff>
      <xdr:row>50</xdr:row>
      <xdr:rowOff>85725</xdr:rowOff>
    </xdr:from>
    <xdr:to>
      <xdr:col>17</xdr:col>
      <xdr:colOff>1133475</xdr:colOff>
      <xdr:row>51</xdr:row>
      <xdr:rowOff>219075</xdr:rowOff>
    </xdr:to>
    <xdr:pic>
      <xdr:nvPicPr>
        <xdr:cNvPr id="14" name="Picture 163"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11925" y="101917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121</xdr:row>
      <xdr:rowOff>28575</xdr:rowOff>
    </xdr:from>
    <xdr:to>
      <xdr:col>17</xdr:col>
      <xdr:colOff>1152525</xdr:colOff>
      <xdr:row>122</xdr:row>
      <xdr:rowOff>161925</xdr:rowOff>
    </xdr:to>
    <xdr:pic>
      <xdr:nvPicPr>
        <xdr:cNvPr id="15" name="Picture 164"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247840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466725</xdr:colOff>
      <xdr:row>194</xdr:row>
      <xdr:rowOff>38100</xdr:rowOff>
    </xdr:from>
    <xdr:to>
      <xdr:col>17</xdr:col>
      <xdr:colOff>1152525</xdr:colOff>
      <xdr:row>195</xdr:row>
      <xdr:rowOff>171450</xdr:rowOff>
    </xdr:to>
    <xdr:pic>
      <xdr:nvPicPr>
        <xdr:cNvPr id="16" name="Picture 165"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30975" y="39481125"/>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533400</xdr:colOff>
      <xdr:row>296</xdr:row>
      <xdr:rowOff>57150</xdr:rowOff>
    </xdr:from>
    <xdr:to>
      <xdr:col>17</xdr:col>
      <xdr:colOff>1219200</xdr:colOff>
      <xdr:row>297</xdr:row>
      <xdr:rowOff>190500</xdr:rowOff>
    </xdr:to>
    <xdr:pic>
      <xdr:nvPicPr>
        <xdr:cNvPr id="17" name="Picture 166" descr="Moorgate"/>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9297650" y="60026550"/>
          <a:ext cx="685800" cy="333375"/>
        </a:xfrm>
        <a:prstGeom prst="rect">
          <a:avLst/>
        </a:prstGeom>
        <a:solidFill>
          <a:srgbClr xmlns:mc="http://schemas.openxmlformats.org/markup-compatibility/2006" xmlns:a14="http://schemas.microsoft.com/office/drawing/2010/main" val="F4F4F4" mc:Ignorable="a14" a14:legacySpreadsheetColorIndex="38"/>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IR300"/>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41296</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v>0</v>
      </c>
      <c r="E29" s="133"/>
      <c r="F29" s="208">
        <v>0</v>
      </c>
      <c r="G29" s="208"/>
      <c r="H29" s="208">
        <v>0</v>
      </c>
      <c r="I29" s="129"/>
      <c r="J29" s="208">
        <v>0</v>
      </c>
      <c r="K29" s="129"/>
      <c r="L29" s="133"/>
      <c r="M29" s="129"/>
      <c r="N29" s="133"/>
      <c r="O29" s="129"/>
      <c r="P29" s="129"/>
      <c r="Q29" s="130"/>
      <c r="R29" s="129">
        <f>SUM(D29:J29)</f>
        <v>0</v>
      </c>
      <c r="S29" s="131"/>
      <c r="T29" s="2"/>
    </row>
    <row r="30" spans="1:20" ht="15.75" x14ac:dyDescent="0.25">
      <c r="A30" s="125"/>
      <c r="B30" s="124" t="s">
        <v>112</v>
      </c>
      <c r="C30" s="128"/>
      <c r="D30" s="209">
        <f>D31*D28</f>
        <v>174595.715</v>
      </c>
      <c r="E30" s="209"/>
      <c r="F30" s="209">
        <f>F31*F28</f>
        <v>10500</v>
      </c>
      <c r="G30" s="209"/>
      <c r="H30" s="209">
        <f>H31*H28</f>
        <v>10000</v>
      </c>
      <c r="I30" s="209"/>
      <c r="J30" s="209">
        <f>J31*J28</f>
        <v>4500</v>
      </c>
      <c r="K30" s="134"/>
      <c r="L30" s="136"/>
      <c r="M30" s="134"/>
      <c r="N30" s="136"/>
      <c r="O30" s="129"/>
      <c r="P30" s="129"/>
      <c r="Q30" s="130"/>
      <c r="R30" s="210">
        <f>SUM(D30:J30)</f>
        <v>199595.715</v>
      </c>
      <c r="S30" s="131"/>
      <c r="T30" s="2"/>
    </row>
    <row r="31" spans="1:20" ht="15.75" x14ac:dyDescent="0.25">
      <c r="A31" s="115"/>
      <c r="B31" s="137" t="s">
        <v>108</v>
      </c>
      <c r="C31" s="138"/>
      <c r="D31" s="139">
        <v>0.99768979999999996</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1</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1.8686000000000001E-2</v>
      </c>
      <c r="E34" s="146"/>
      <c r="F34" s="146">
        <v>2.4185999999999999E-2</v>
      </c>
      <c r="G34" s="146"/>
      <c r="H34" s="146">
        <v>3.4186000000000001E-2</v>
      </c>
      <c r="I34" s="146"/>
      <c r="J34" s="146">
        <v>3.7685999999999997E-2</v>
      </c>
      <c r="K34" s="146"/>
      <c r="L34" s="146"/>
      <c r="M34" s="145"/>
      <c r="N34" s="146"/>
      <c r="O34" s="126"/>
      <c r="P34" s="126"/>
      <c r="Q34" s="118"/>
      <c r="R34" s="145">
        <f>SUMPRODUCT(D34:J34,D28:J28)/R28</f>
        <v>2.0177250000000001E-2</v>
      </c>
      <c r="S34" s="119"/>
      <c r="T34" s="2"/>
    </row>
    <row r="35" spans="1:21" ht="15.75" x14ac:dyDescent="0.25">
      <c r="A35" s="115"/>
      <c r="B35" s="116" t="s">
        <v>10</v>
      </c>
      <c r="C35" s="147"/>
      <c r="D35" s="146">
        <v>0</v>
      </c>
      <c r="E35" s="146"/>
      <c r="F35" s="146">
        <v>0</v>
      </c>
      <c r="G35" s="146"/>
      <c r="H35" s="146">
        <v>0</v>
      </c>
      <c r="I35" s="146"/>
      <c r="J35" s="146">
        <v>0</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0.14318793562602611</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41282</v>
      </c>
      <c r="S45" s="119"/>
      <c r="T45" s="2"/>
    </row>
    <row r="46" spans="1:21" ht="15.75" x14ac:dyDescent="0.25">
      <c r="A46" s="115"/>
      <c r="B46" s="116" t="s">
        <v>104</v>
      </c>
      <c r="C46" s="116"/>
      <c r="D46" s="153"/>
      <c r="E46" s="153"/>
      <c r="F46" s="153"/>
      <c r="G46" s="153"/>
      <c r="H46" s="153"/>
      <c r="I46" s="153"/>
      <c r="J46" s="153"/>
      <c r="K46" s="153"/>
      <c r="L46" s="153"/>
      <c r="M46" s="153"/>
      <c r="N46" s="116"/>
      <c r="O46" s="153"/>
      <c r="P46" s="154"/>
      <c r="Q46" s="155"/>
      <c r="R46" s="154"/>
      <c r="S46" s="119"/>
      <c r="T46" s="2"/>
    </row>
    <row r="47" spans="1:21" ht="15.75" x14ac:dyDescent="0.25">
      <c r="A47" s="115"/>
      <c r="B47" s="116" t="s">
        <v>105</v>
      </c>
      <c r="C47" s="116"/>
      <c r="D47" s="116"/>
      <c r="E47" s="116"/>
      <c r="F47" s="116"/>
      <c r="G47" s="116"/>
      <c r="H47" s="116"/>
      <c r="I47" s="116"/>
      <c r="J47" s="116"/>
      <c r="K47" s="116"/>
      <c r="L47" s="116"/>
      <c r="M47" s="116"/>
      <c r="N47" s="116">
        <f>+R47-P47+1</f>
        <v>75</v>
      </c>
      <c r="O47" s="116"/>
      <c r="P47" s="154">
        <v>41207</v>
      </c>
      <c r="Q47" s="155"/>
      <c r="R47" s="154">
        <v>41281</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41276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219</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143234</v>
      </c>
      <c r="I56" s="158"/>
      <c r="J56" s="159">
        <v>84</v>
      </c>
      <c r="K56" s="158"/>
      <c r="L56" s="158">
        <f>491+3</f>
        <v>494</v>
      </c>
      <c r="M56" s="158"/>
      <c r="N56" s="158">
        <f>22270+74</f>
        <v>22344</v>
      </c>
      <c r="O56" s="158"/>
      <c r="P56" s="158">
        <v>0</v>
      </c>
      <c r="Q56" s="158"/>
      <c r="R56" s="159">
        <f>F56-J56-L56+N56-P56</f>
        <v>165000</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143234</v>
      </c>
      <c r="I59" s="158"/>
      <c r="J59" s="158">
        <f>J56+J57</f>
        <v>84</v>
      </c>
      <c r="K59" s="158"/>
      <c r="L59" s="158">
        <f>SUM(L56:L58)</f>
        <v>494</v>
      </c>
      <c r="M59" s="158"/>
      <c r="N59" s="158">
        <f>SUM(N56:N58)</f>
        <v>22344</v>
      </c>
      <c r="O59" s="158"/>
      <c r="P59" s="158">
        <f>SUM(P56:P58)</f>
        <v>0</v>
      </c>
      <c r="Q59" s="158"/>
      <c r="R59" s="158">
        <f>SUM(R56:R58)</f>
        <v>165000</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56766</v>
      </c>
      <c r="I69" s="158"/>
      <c r="J69" s="158">
        <v>-22270</v>
      </c>
      <c r="K69" s="158"/>
      <c r="L69" s="158"/>
      <c r="M69" s="158"/>
      <c r="N69" s="158"/>
      <c r="O69" s="158"/>
      <c r="P69" s="158"/>
      <c r="Q69" s="158"/>
      <c r="R69" s="158">
        <f>SUM(H69:N69)</f>
        <v>34496</v>
      </c>
      <c r="S69" s="119"/>
      <c r="T69" s="2"/>
    </row>
    <row r="70" spans="1:20" ht="15.75" x14ac:dyDescent="0.25">
      <c r="A70" s="115"/>
      <c r="B70" s="116" t="s">
        <v>246</v>
      </c>
      <c r="C70" s="158"/>
      <c r="D70" s="158"/>
      <c r="E70" s="158"/>
      <c r="F70" s="158">
        <v>0</v>
      </c>
      <c r="G70" s="158"/>
      <c r="H70" s="158">
        <v>0</v>
      </c>
      <c r="I70" s="158"/>
      <c r="J70" s="158"/>
      <c r="K70" s="158"/>
      <c r="L70" s="158"/>
      <c r="M70" s="158"/>
      <c r="N70" s="158"/>
      <c r="O70" s="158"/>
      <c r="P70" s="158"/>
      <c r="Q70" s="158"/>
      <c r="R70" s="158">
        <f>+P120</f>
        <v>100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200000</v>
      </c>
      <c r="I72" s="158"/>
      <c r="J72" s="158"/>
      <c r="K72" s="158"/>
      <c r="L72" s="158"/>
      <c r="M72" s="158"/>
      <c r="N72" s="158"/>
      <c r="O72" s="158"/>
      <c r="P72" s="158"/>
      <c r="Q72" s="158"/>
      <c r="R72" s="158">
        <f>SUM(R59:R71)</f>
        <v>199596</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41274</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0</v>
      </c>
      <c r="Q76" s="81"/>
      <c r="R76" s="84">
        <v>12</v>
      </c>
      <c r="S76" s="25"/>
      <c r="T76" s="2"/>
    </row>
    <row r="77" spans="1:20" ht="15.75" x14ac:dyDescent="0.25">
      <c r="A77" s="125"/>
      <c r="B77" s="116" t="s">
        <v>190</v>
      </c>
      <c r="C77" s="138"/>
      <c r="D77" s="160"/>
      <c r="E77" s="160"/>
      <c r="F77" s="160"/>
      <c r="G77" s="161"/>
      <c r="H77" s="160"/>
      <c r="I77" s="138"/>
      <c r="J77" s="162"/>
      <c r="K77" s="138"/>
      <c r="L77" s="138"/>
      <c r="M77" s="138"/>
      <c r="N77" s="138"/>
      <c r="O77" s="138"/>
      <c r="P77" s="158">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v>578</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1818-87</f>
        <v>1731</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24</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31</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801</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578</v>
      </c>
      <c r="Q88" s="116"/>
      <c r="R88" s="158">
        <f>SUM(R76:R87)</f>
        <v>2599</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578</v>
      </c>
      <c r="Q91" s="116"/>
      <c r="R91" s="158">
        <f>R88+R89+R90</f>
        <v>2599</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-469</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-40-3</f>
        <v>-43</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-55</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-672</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-52</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-70</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-35</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-40</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-24-137</f>
        <v>-161</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-990</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-34</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-40</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-404</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-478</v>
      </c>
      <c r="Q119" s="158"/>
      <c r="R119" s="158">
        <f>SUM(R92:R118)</f>
        <v>-2599</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100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DECEMBER 2012</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147.12855000000036</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5852.8714499999996</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f>+F69</f>
        <v>56766</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-22270</v>
      </c>
      <c r="S148" s="142"/>
      <c r="T148" s="2"/>
    </row>
    <row r="149" spans="1:252" ht="15.75" x14ac:dyDescent="0.25">
      <c r="A149" s="115"/>
      <c r="B149" s="116" t="s">
        <v>188</v>
      </c>
      <c r="C149" s="116"/>
      <c r="D149" s="116"/>
      <c r="E149" s="116"/>
      <c r="F149" s="116"/>
      <c r="G149" s="116"/>
      <c r="H149" s="116"/>
      <c r="I149" s="116"/>
      <c r="J149" s="116"/>
      <c r="K149" s="116"/>
      <c r="L149" s="116"/>
      <c r="M149" s="116"/>
      <c r="N149" s="116"/>
      <c r="O149" s="116"/>
      <c r="P149" s="116"/>
      <c r="Q149" s="116"/>
      <c r="R149" s="159">
        <f>R147+R148</f>
        <v>34496</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1284+35</f>
        <v>1319</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801</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518</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165000</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34496</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100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199596</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199596</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v>0</v>
      </c>
      <c r="P178" s="159">
        <v>0</v>
      </c>
      <c r="Q178" s="116"/>
      <c r="R178" s="159">
        <f>O178+P178</f>
        <v>0</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40</v>
      </c>
      <c r="P179" s="158">
        <v>34</v>
      </c>
      <c r="Q179" s="116"/>
      <c r="R179" s="159">
        <f>O179+P179</f>
        <v>74</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40</v>
      </c>
      <c r="P180" s="159">
        <f>P179+P178</f>
        <v>34</v>
      </c>
      <c r="Q180" s="116"/>
      <c r="R180" s="159">
        <f>O180+P180</f>
        <v>74</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15926</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3.0104166666666665</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3.01</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25.98076923076923</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25.98</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18.557142857142857</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18.559999999999999</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35.028571428571432</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35.03</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DECEMBER 2012</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41274</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2.0177250000000001E-2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2.605275E-2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4.5185999999999997E-2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4.6219999999999997E-2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2.0177250000000001E-2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2.6042749999999996E-2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1.065E-2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19.059999999999999</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4.0353547342111508E-3</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1.6899999999999998E-2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22270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994</v>
      </c>
      <c r="O237" s="83">
        <f t="shared" ref="O237:O244" si="1">N237/$N$246</f>
        <v>1</v>
      </c>
      <c r="P237" s="84">
        <f t="shared" ref="P237:P244" si="2">+P249+P261+P273</f>
        <v>165000</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994</v>
      </c>
      <c r="O246" s="198">
        <f>SUM(O237:O245)</f>
        <v>1</v>
      </c>
      <c r="P246" s="159">
        <f>SUM(P237:P245)</f>
        <v>165000</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994</v>
      </c>
      <c r="O249" s="83">
        <f>N249/$N$258</f>
        <v>1</v>
      </c>
      <c r="P249" s="84">
        <v>165000</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994</v>
      </c>
      <c r="O258" s="198">
        <f>SUM(O249:O257)</f>
        <v>1</v>
      </c>
      <c r="P258" s="159">
        <f>SUM(P249:P257)</f>
        <v>165000</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994</v>
      </c>
      <c r="O284" s="198"/>
      <c r="P284" s="203">
        <f>+P282+P270+P258</f>
        <v>165000</v>
      </c>
      <c r="Q284" s="198"/>
      <c r="R284" s="116"/>
      <c r="S284" s="119"/>
      <c r="T284" s="2"/>
    </row>
    <row r="285" spans="1:20" ht="15.75" x14ac:dyDescent="0.25">
      <c r="A285" s="125"/>
      <c r="B285" s="127" t="s">
        <v>202</v>
      </c>
      <c r="C285" s="127"/>
      <c r="D285" s="213"/>
      <c r="E285" s="213"/>
      <c r="F285" s="213"/>
      <c r="G285" s="213"/>
      <c r="H285" s="213"/>
      <c r="I285" s="213"/>
      <c r="J285" s="213"/>
      <c r="K285" s="213"/>
      <c r="L285" s="213"/>
      <c r="M285" s="213"/>
      <c r="N285" s="202"/>
      <c r="O285" s="214"/>
      <c r="P285" s="215">
        <f>+R170</f>
        <v>34496</v>
      </c>
      <c r="Q285" s="198"/>
      <c r="R285" s="116"/>
      <c r="S285" s="119"/>
      <c r="T285" s="2"/>
    </row>
    <row r="286" spans="1:20" ht="15.75" x14ac:dyDescent="0.25">
      <c r="A286" s="125"/>
      <c r="B286" s="220" t="s">
        <v>247</v>
      </c>
      <c r="C286" s="127"/>
      <c r="D286" s="213"/>
      <c r="E286" s="213"/>
      <c r="F286" s="213"/>
      <c r="G286" s="213"/>
      <c r="H286" s="213"/>
      <c r="I286" s="213"/>
      <c r="J286" s="213"/>
      <c r="K286" s="213"/>
      <c r="L286" s="213"/>
      <c r="M286" s="213"/>
      <c r="N286" s="202"/>
      <c r="O286" s="214"/>
      <c r="P286" s="215">
        <f>+R70</f>
        <v>100</v>
      </c>
      <c r="Q286" s="198"/>
      <c r="R286" s="116"/>
      <c r="S286" s="119"/>
      <c r="T286" s="2"/>
    </row>
    <row r="287" spans="1:20" ht="15.75" x14ac:dyDescent="0.25">
      <c r="A287" s="125"/>
      <c r="B287" s="127" t="s">
        <v>132</v>
      </c>
      <c r="C287" s="127"/>
      <c r="D287" s="213"/>
      <c r="E287" s="213"/>
      <c r="F287" s="213"/>
      <c r="G287" s="213"/>
      <c r="H287" s="213"/>
      <c r="I287" s="213"/>
      <c r="J287" s="213"/>
      <c r="K287" s="213"/>
      <c r="L287" s="213"/>
      <c r="M287" s="213"/>
      <c r="N287" s="202"/>
      <c r="O287" s="214"/>
      <c r="P287" s="215">
        <f>+P284+P285+P286</f>
        <v>199596</v>
      </c>
      <c r="Q287" s="198"/>
      <c r="R287" s="116"/>
      <c r="S287" s="119"/>
      <c r="T287" s="2"/>
    </row>
    <row r="288" spans="1:20" ht="15.75" x14ac:dyDescent="0.25">
      <c r="A288" s="125"/>
      <c r="B288" s="127" t="s">
        <v>200</v>
      </c>
      <c r="C288" s="116"/>
      <c r="D288" s="200"/>
      <c r="E288" s="200"/>
      <c r="F288" s="200"/>
      <c r="G288" s="200"/>
      <c r="H288" s="200"/>
      <c r="I288" s="200"/>
      <c r="J288" s="200"/>
      <c r="K288" s="200"/>
      <c r="L288" s="200"/>
      <c r="M288" s="200"/>
      <c r="N288" s="202"/>
      <c r="O288" s="198"/>
      <c r="P288" s="203">
        <f>+R72</f>
        <v>199596</v>
      </c>
      <c r="Q288" s="198"/>
      <c r="R288" s="116"/>
      <c r="S288" s="119"/>
      <c r="T288" s="2"/>
    </row>
    <row r="289" spans="1:20" ht="15.75" x14ac:dyDescent="0.25">
      <c r="A289" s="125"/>
      <c r="B289" s="127"/>
      <c r="C289" s="116"/>
      <c r="D289" s="200"/>
      <c r="E289" s="200"/>
      <c r="F289" s="200"/>
      <c r="G289" s="200"/>
      <c r="H289" s="200"/>
      <c r="I289" s="200"/>
      <c r="J289" s="200"/>
      <c r="K289" s="200"/>
      <c r="L289" s="200"/>
      <c r="M289" s="200"/>
      <c r="N289" s="202"/>
      <c r="O289" s="198"/>
      <c r="P289" s="203"/>
      <c r="Q289" s="198"/>
      <c r="R289" s="116"/>
      <c r="S289" s="119"/>
      <c r="T289" s="2"/>
    </row>
    <row r="290" spans="1:20" ht="15.75" x14ac:dyDescent="0.25">
      <c r="A290" s="125"/>
      <c r="B290" s="127" t="s">
        <v>197</v>
      </c>
      <c r="C290" s="116"/>
      <c r="D290" s="200"/>
      <c r="E290" s="200"/>
      <c r="F290" s="200"/>
      <c r="G290" s="200"/>
      <c r="H290" s="200"/>
      <c r="I290" s="200"/>
      <c r="J290" s="200"/>
      <c r="K290" s="200"/>
      <c r="L290" s="200"/>
      <c r="M290" s="200"/>
      <c r="N290" s="202"/>
      <c r="O290" s="198"/>
      <c r="P290" s="211">
        <f>(J30+R138)/R30</f>
        <v>5.2606339770370325E-2</v>
      </c>
      <c r="Q290" s="198"/>
      <c r="R290" s="116"/>
      <c r="S290" s="119"/>
      <c r="T290" s="2"/>
    </row>
    <row r="291" spans="1:20" ht="15.75" x14ac:dyDescent="0.25">
      <c r="A291" s="85"/>
      <c r="B291" s="86"/>
      <c r="C291" s="86"/>
      <c r="D291" s="87"/>
      <c r="E291" s="87"/>
      <c r="F291" s="87"/>
      <c r="G291" s="87"/>
      <c r="H291" s="87"/>
      <c r="I291" s="87"/>
      <c r="J291" s="87"/>
      <c r="K291" s="87"/>
      <c r="L291" s="87"/>
      <c r="M291" s="87"/>
      <c r="N291" s="87"/>
      <c r="O291" s="87"/>
      <c r="P291" s="88"/>
      <c r="Q291" s="87"/>
      <c r="R291" s="86"/>
      <c r="S291" s="86"/>
      <c r="T291" s="2"/>
    </row>
    <row r="292" spans="1:20" ht="15.75" x14ac:dyDescent="0.25">
      <c r="A292" s="89"/>
      <c r="B292" s="90" t="s">
        <v>77</v>
      </c>
      <c r="C292" s="86"/>
      <c r="D292" s="91" t="s">
        <v>83</v>
      </c>
      <c r="E292" s="90"/>
      <c r="F292" s="90" t="s">
        <v>84</v>
      </c>
      <c r="G292" s="86"/>
      <c r="H292" s="90"/>
      <c r="I292" s="92"/>
      <c r="J292" s="92"/>
      <c r="K292" s="92"/>
      <c r="L292" s="92"/>
      <c r="M292" s="92"/>
      <c r="N292" s="92"/>
      <c r="O292" s="92"/>
      <c r="P292" s="92"/>
      <c r="Q292" s="92"/>
      <c r="R292" s="92"/>
      <c r="S292" s="92"/>
      <c r="T292" s="2"/>
    </row>
    <row r="293" spans="1:20" ht="15.75" x14ac:dyDescent="0.25">
      <c r="A293" s="89"/>
      <c r="B293" s="92"/>
      <c r="C293" s="86"/>
      <c r="D293" s="86"/>
      <c r="E293" s="86"/>
      <c r="F293" s="86"/>
      <c r="G293" s="86"/>
      <c r="H293" s="86"/>
      <c r="I293" s="92"/>
      <c r="J293" s="92"/>
      <c r="K293" s="92"/>
      <c r="L293" s="92"/>
      <c r="M293" s="92"/>
      <c r="N293" s="92"/>
      <c r="O293" s="92"/>
      <c r="P293" s="92"/>
      <c r="Q293" s="92"/>
      <c r="R293" s="92"/>
      <c r="S293" s="92"/>
      <c r="T293" s="2"/>
    </row>
    <row r="294" spans="1:20" ht="15.75" x14ac:dyDescent="0.25">
      <c r="A294" s="89"/>
      <c r="B294" s="90" t="s">
        <v>78</v>
      </c>
      <c r="C294" s="90"/>
      <c r="D294" s="93" t="s">
        <v>120</v>
      </c>
      <c r="E294" s="90"/>
      <c r="F294" s="90" t="s">
        <v>121</v>
      </c>
      <c r="G294" s="90"/>
      <c r="H294" s="90"/>
      <c r="I294" s="92"/>
      <c r="J294" s="92"/>
      <c r="K294" s="92"/>
      <c r="L294" s="92"/>
      <c r="M294" s="92"/>
      <c r="N294" s="92"/>
      <c r="O294" s="92"/>
      <c r="P294" s="92"/>
      <c r="Q294" s="92"/>
      <c r="R294" s="92"/>
      <c r="S294" s="92"/>
      <c r="T294" s="2"/>
    </row>
    <row r="295" spans="1:20" ht="15.75" x14ac:dyDescent="0.25">
      <c r="A295" s="89"/>
      <c r="B295" s="90" t="s">
        <v>158</v>
      </c>
      <c r="C295" s="90"/>
      <c r="D295" s="93" t="s">
        <v>159</v>
      </c>
      <c r="E295" s="90"/>
      <c r="F295" s="90" t="s">
        <v>160</v>
      </c>
      <c r="G295" s="90"/>
      <c r="H295" s="90"/>
      <c r="I295" s="92"/>
      <c r="J295" s="92"/>
      <c r="K295" s="92"/>
      <c r="L295" s="92"/>
      <c r="M295" s="92"/>
      <c r="N295" s="92"/>
      <c r="O295" s="92"/>
      <c r="P295" s="92"/>
      <c r="Q295" s="92"/>
      <c r="R295" s="92"/>
      <c r="S295" s="92"/>
      <c r="T295" s="2"/>
    </row>
    <row r="296" spans="1:20" ht="15.75" x14ac:dyDescent="0.25">
      <c r="A296" s="89"/>
      <c r="B296" s="90" t="s">
        <v>79</v>
      </c>
      <c r="C296" s="90"/>
      <c r="D296" s="93" t="s">
        <v>119</v>
      </c>
      <c r="E296" s="90"/>
      <c r="F296" s="90" t="s">
        <v>122</v>
      </c>
      <c r="G296" s="90"/>
      <c r="H296" s="90"/>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5.75" x14ac:dyDescent="0.25">
      <c r="A298" s="89"/>
      <c r="B298" s="90"/>
      <c r="C298" s="90"/>
      <c r="D298" s="92"/>
      <c r="E298" s="92"/>
      <c r="F298" s="92"/>
      <c r="G298" s="92"/>
      <c r="H298" s="92"/>
      <c r="I298" s="92"/>
      <c r="J298" s="92"/>
      <c r="K298" s="92"/>
      <c r="L298" s="92"/>
      <c r="M298" s="92"/>
      <c r="N298" s="92"/>
      <c r="O298" s="92"/>
      <c r="P298" s="92"/>
      <c r="Q298" s="92"/>
      <c r="R298" s="92"/>
      <c r="S298" s="92"/>
      <c r="T298" s="2"/>
    </row>
    <row r="299" spans="1:20" ht="19.5" thickBot="1" x14ac:dyDescent="0.35">
      <c r="A299" s="89"/>
      <c r="B299" s="94" t="str">
        <f>B196</f>
        <v>PM17 INVESTOR REPORT QUARTER ENDING DECEMBER 2012</v>
      </c>
      <c r="C299" s="90"/>
      <c r="D299" s="92"/>
      <c r="E299" s="92"/>
      <c r="F299" s="92"/>
      <c r="G299" s="92"/>
      <c r="H299" s="92"/>
      <c r="I299" s="92"/>
      <c r="J299" s="92"/>
      <c r="K299" s="92"/>
      <c r="L299" s="92"/>
      <c r="M299" s="92"/>
      <c r="N299" s="92"/>
      <c r="O299" s="92"/>
      <c r="P299" s="92"/>
      <c r="Q299" s="92"/>
      <c r="R299" s="92"/>
      <c r="S299" s="92"/>
      <c r="T299" s="2"/>
    </row>
    <row r="300" spans="1:20" x14ac:dyDescent="0.2">
      <c r="A300" s="3"/>
      <c r="B300" s="3"/>
      <c r="C300" s="3"/>
      <c r="D300" s="3"/>
      <c r="E300" s="3"/>
      <c r="F300" s="3"/>
      <c r="G300" s="3"/>
      <c r="H300" s="3"/>
      <c r="I300" s="3"/>
      <c r="J300" s="3"/>
      <c r="K300" s="3"/>
      <c r="L300" s="3"/>
      <c r="M300" s="3"/>
      <c r="N300" s="3"/>
      <c r="O300" s="3"/>
      <c r="P300" s="3"/>
      <c r="Q300" s="3"/>
      <c r="R300" s="3"/>
      <c r="S300" s="3"/>
    </row>
  </sheetData>
  <phoneticPr fontId="0" type="noConversion"/>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23" man="1"/>
    <brk id="123" max="14" man="1"/>
    <brk id="196" max="14"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42116</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136971.20499999999</v>
      </c>
      <c r="E29" s="133"/>
      <c r="F29" s="208">
        <f>F28</f>
        <v>10500</v>
      </c>
      <c r="G29" s="208"/>
      <c r="H29" s="208">
        <f>H28</f>
        <v>10000</v>
      </c>
      <c r="I29" s="129"/>
      <c r="J29" s="208">
        <f>J28</f>
        <v>4500</v>
      </c>
      <c r="K29" s="129"/>
      <c r="L29" s="133"/>
      <c r="M29" s="129"/>
      <c r="N29" s="133"/>
      <c r="O29" s="129"/>
      <c r="P29" s="129"/>
      <c r="Q29" s="130"/>
      <c r="R29" s="129">
        <f>SUM(D29:J29)</f>
        <v>161971.20499999999</v>
      </c>
      <c r="S29" s="131"/>
      <c r="T29" s="2"/>
    </row>
    <row r="30" spans="1:20" ht="15.75" x14ac:dyDescent="0.25">
      <c r="A30" s="125"/>
      <c r="B30" s="124" t="s">
        <v>112</v>
      </c>
      <c r="C30" s="128"/>
      <c r="D30" s="209">
        <f>D31*D28</f>
        <v>128388.61</v>
      </c>
      <c r="E30" s="209"/>
      <c r="F30" s="209">
        <f>F31*F28</f>
        <v>10500</v>
      </c>
      <c r="G30" s="209"/>
      <c r="H30" s="209">
        <f>H31*H28</f>
        <v>10000</v>
      </c>
      <c r="I30" s="209"/>
      <c r="J30" s="209">
        <f>J31*J28</f>
        <v>4500</v>
      </c>
      <c r="K30" s="134"/>
      <c r="L30" s="136"/>
      <c r="M30" s="134"/>
      <c r="N30" s="136"/>
      <c r="O30" s="129"/>
      <c r="P30" s="129"/>
      <c r="Q30" s="130"/>
      <c r="R30" s="210">
        <f>SUM(D30:J30)</f>
        <v>153388.60999999999</v>
      </c>
      <c r="S30" s="131"/>
      <c r="T30" s="2"/>
    </row>
    <row r="31" spans="1:20" ht="15.75" x14ac:dyDescent="0.25">
      <c r="A31" s="115"/>
      <c r="B31" s="137" t="s">
        <v>108</v>
      </c>
      <c r="C31" s="138"/>
      <c r="D31" s="139">
        <v>0.7336492</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0.78269259999999996</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1.9099399999999999E-2</v>
      </c>
      <c r="E34" s="146"/>
      <c r="F34" s="146">
        <v>2.45994E-2</v>
      </c>
      <c r="G34" s="146"/>
      <c r="H34" s="146">
        <v>3.4599400000000002E-2</v>
      </c>
      <c r="I34" s="146"/>
      <c r="J34" s="146">
        <v>3.8099399999999999E-2</v>
      </c>
      <c r="K34" s="146"/>
      <c r="L34" s="146"/>
      <c r="M34" s="145"/>
      <c r="N34" s="146"/>
      <c r="O34" s="126"/>
      <c r="P34" s="126"/>
      <c r="Q34" s="118"/>
      <c r="R34" s="145">
        <f>SUMPRODUCT(D34:J34,D29:J29)/R29</f>
        <v>2.0940776681737966E-2</v>
      </c>
      <c r="S34" s="119"/>
      <c r="T34" s="2"/>
    </row>
    <row r="35" spans="1:21" ht="15.75" x14ac:dyDescent="0.25">
      <c r="A35" s="115"/>
      <c r="B35" s="116" t="s">
        <v>10</v>
      </c>
      <c r="C35" s="147"/>
      <c r="D35" s="146">
        <v>1.9108799999999999E-2</v>
      </c>
      <c r="E35" s="146"/>
      <c r="F35" s="146">
        <v>2.46088E-2</v>
      </c>
      <c r="G35" s="146"/>
      <c r="H35" s="146">
        <v>3.4608800000000002E-2</v>
      </c>
      <c r="I35" s="146"/>
      <c r="J35" s="146">
        <v>3.8108799999999998E-2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0.19472132302078821</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42102</v>
      </c>
      <c r="S45" s="119"/>
      <c r="T45" s="2"/>
    </row>
    <row r="46" spans="1:21" ht="15.75" x14ac:dyDescent="0.25">
      <c r="A46" s="115"/>
      <c r="B46" s="116" t="s">
        <v>104</v>
      </c>
      <c r="C46" s="116"/>
      <c r="D46" s="153"/>
      <c r="E46" s="153"/>
      <c r="F46" s="153"/>
      <c r="G46" s="153"/>
      <c r="H46" s="153"/>
      <c r="I46" s="153"/>
      <c r="J46" s="153"/>
      <c r="K46" s="153"/>
      <c r="L46" s="153"/>
      <c r="M46" s="153"/>
      <c r="N46" s="116">
        <f>+R46-P46+1</f>
        <v>92</v>
      </c>
      <c r="O46" s="116"/>
      <c r="P46" s="154">
        <v>41920</v>
      </c>
      <c r="Q46" s="155"/>
      <c r="R46" s="154">
        <v>42011</v>
      </c>
      <c r="S46" s="119"/>
      <c r="T46" s="2"/>
    </row>
    <row r="47" spans="1:21" ht="15.75" x14ac:dyDescent="0.25">
      <c r="A47" s="115"/>
      <c r="B47" s="116" t="s">
        <v>105</v>
      </c>
      <c r="C47" s="116"/>
      <c r="D47" s="116"/>
      <c r="E47" s="116"/>
      <c r="F47" s="116"/>
      <c r="G47" s="116"/>
      <c r="H47" s="116"/>
      <c r="I47" s="116"/>
      <c r="J47" s="116"/>
      <c r="K47" s="116"/>
      <c r="L47" s="116"/>
      <c r="M47" s="116"/>
      <c r="N47" s="116">
        <f>+R47-P47+1</f>
        <v>90</v>
      </c>
      <c r="O47" s="116"/>
      <c r="P47" s="154">
        <v>42012</v>
      </c>
      <c r="Q47" s="155"/>
      <c r="R47" s="154">
        <v>42101</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42095</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264</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161971</v>
      </c>
      <c r="I56" s="158"/>
      <c r="J56" s="159">
        <v>124</v>
      </c>
      <c r="K56" s="158"/>
      <c r="L56" s="158">
        <f>8383+439-124-271</f>
        <v>8427</v>
      </c>
      <c r="M56" s="158"/>
      <c r="N56" s="158">
        <v>240</v>
      </c>
      <c r="O56" s="158"/>
      <c r="P56" s="158">
        <v>271</v>
      </c>
      <c r="Q56" s="158"/>
      <c r="R56" s="159">
        <f>H56-J56-L56+N56-P56</f>
        <v>153389</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161971</v>
      </c>
      <c r="I59" s="158"/>
      <c r="J59" s="158">
        <f>J56+J57</f>
        <v>124</v>
      </c>
      <c r="K59" s="158"/>
      <c r="L59" s="158">
        <f>SUM(L56:L58)</f>
        <v>8427</v>
      </c>
      <c r="M59" s="158"/>
      <c r="N59" s="158">
        <f>SUM(N56:N58)</f>
        <v>240</v>
      </c>
      <c r="O59" s="158"/>
      <c r="P59" s="158">
        <f>SUM(P56:P58)</f>
        <v>271</v>
      </c>
      <c r="Q59" s="158"/>
      <c r="R59" s="158">
        <f>SUM(R56:R58)</f>
        <v>153389</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0</v>
      </c>
      <c r="I70" s="158"/>
      <c r="J70" s="158">
        <v>0</v>
      </c>
      <c r="K70" s="158"/>
      <c r="L70" s="158"/>
      <c r="M70" s="158"/>
      <c r="N70" s="158"/>
      <c r="O70" s="158"/>
      <c r="P70" s="158"/>
      <c r="Q70" s="158"/>
      <c r="R70" s="158">
        <f>H70+J70</f>
        <v>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161971</v>
      </c>
      <c r="I72" s="158"/>
      <c r="J72" s="158"/>
      <c r="K72" s="158"/>
      <c r="L72" s="158"/>
      <c r="M72" s="158"/>
      <c r="N72" s="158"/>
      <c r="O72" s="158"/>
      <c r="P72" s="158"/>
      <c r="Q72" s="158"/>
      <c r="R72" s="158">
        <f>SUM(R59:R71)</f>
        <v>153389</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42094</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124+8427+271</f>
        <v>8822</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2334-439</f>
        <v>1895</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48</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10</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8822</v>
      </c>
      <c r="Q88" s="116"/>
      <c r="R88" s="158">
        <f>SUM(R76:R87)</f>
        <v>1953</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8822</v>
      </c>
      <c r="Q91" s="116"/>
      <c r="R91" s="158">
        <f>R88+R89+R90</f>
        <v>1953</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-60-5-3</f>
        <v>-68</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-6</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-645</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-64</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-85</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-42</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-60</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-8-180</f>
        <v>-188</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-783</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0</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-240</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-8582</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-8822</v>
      </c>
      <c r="Q119" s="158"/>
      <c r="R119" s="158">
        <f>SUM(R92:R118)</f>
        <v>-1953</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MARCH 2015</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1533.3417000000009</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4466.6582999999991</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+'June 14'!R164</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153389</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153389</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153389</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+'Dec 14'!O180</f>
        <v>1237</v>
      </c>
      <c r="P178" s="159">
        <f>+'Dec 14'!P180</f>
        <v>408</v>
      </c>
      <c r="Q178" s="116"/>
      <c r="R178" s="159">
        <f>O178+P178</f>
        <v>1645</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240</v>
      </c>
      <c r="P179" s="158">
        <v>0</v>
      </c>
      <c r="Q179" s="116"/>
      <c r="R179" s="159">
        <f>O179+P179</f>
        <v>240</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1477</v>
      </c>
      <c r="P180" s="159">
        <f>P179+P178</f>
        <v>408</v>
      </c>
      <c r="Q180" s="116"/>
      <c r="R180" s="159">
        <f>O180+P180</f>
        <v>1885</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14115</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2.8992248062015502</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2.85</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19.140625</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22.4</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13.658823529411764</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15.96</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25.547619047619047</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30.04</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MARCH 2015</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42094</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2.0940776681737966E-2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2.5289223318262034E-2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4.5599399999999998E-2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5.1339999999999997E-2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2.0940776681737966E-2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3.0399223318262031E-2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1.2057714035228529E-2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17</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5.2793401287884865E-2</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0.10589999999999999</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f>+P56</f>
        <v>271</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'Dec 14'!P224+P223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967</v>
      </c>
      <c r="O237" s="83">
        <f t="shared" ref="O237:O244" si="1">N237/$N$246</f>
        <v>1</v>
      </c>
      <c r="P237" s="84">
        <f t="shared" ref="P237:P244" si="2">+P249+P261+P273</f>
        <v>153389</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967</v>
      </c>
      <c r="O246" s="198">
        <f>SUM(O237:O245)</f>
        <v>1</v>
      </c>
      <c r="P246" s="159">
        <f>SUM(P237:P245)</f>
        <v>153389</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967</v>
      </c>
      <c r="O249" s="83">
        <f>N249/$N$258</f>
        <v>1</v>
      </c>
      <c r="P249" s="84">
        <v>153389</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967</v>
      </c>
      <c r="O258" s="198">
        <f>SUM(O249:O257)</f>
        <v>1</v>
      </c>
      <c r="P258" s="159">
        <f>SUM(P249:P257)</f>
        <v>153389</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967</v>
      </c>
      <c r="O284" s="198"/>
      <c r="P284" s="203">
        <f>+P282+P270+P258</f>
        <v>153389</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153389</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153389</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260</v>
      </c>
      <c r="C289" s="116"/>
      <c r="D289" s="200"/>
      <c r="E289" s="200"/>
      <c r="F289" s="200"/>
      <c r="G289" s="200"/>
      <c r="H289" s="200"/>
      <c r="I289" s="200"/>
      <c r="J289" s="200"/>
      <c r="K289" s="200"/>
      <c r="L289" s="200"/>
      <c r="M289" s="200"/>
      <c r="N289" s="202"/>
      <c r="O289" s="198"/>
      <c r="P289" s="211">
        <f>(J30+R138)/R30</f>
        <v>6.845358335276655E-2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MARCH 2015</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42207</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128388.61</v>
      </c>
      <c r="E29" s="133"/>
      <c r="F29" s="208">
        <f>F28</f>
        <v>10500</v>
      </c>
      <c r="G29" s="208"/>
      <c r="H29" s="208">
        <f>H28</f>
        <v>10000</v>
      </c>
      <c r="I29" s="129"/>
      <c r="J29" s="208">
        <f>J28</f>
        <v>4500</v>
      </c>
      <c r="K29" s="129"/>
      <c r="L29" s="133"/>
      <c r="M29" s="129"/>
      <c r="N29" s="133"/>
      <c r="O29" s="129"/>
      <c r="P29" s="129"/>
      <c r="Q29" s="130"/>
      <c r="R29" s="129">
        <f>SUM(D29:J29)</f>
        <v>153388.60999999999</v>
      </c>
      <c r="S29" s="131"/>
      <c r="T29" s="2"/>
    </row>
    <row r="30" spans="1:20" ht="15.75" x14ac:dyDescent="0.25">
      <c r="A30" s="125"/>
      <c r="B30" s="124" t="s">
        <v>112</v>
      </c>
      <c r="C30" s="128"/>
      <c r="D30" s="209">
        <f>D31*D28</f>
        <v>119867.49249999999</v>
      </c>
      <c r="E30" s="209"/>
      <c r="F30" s="209">
        <f>F31*F28</f>
        <v>10500</v>
      </c>
      <c r="G30" s="209"/>
      <c r="H30" s="209">
        <f>H31*H28</f>
        <v>10000</v>
      </c>
      <c r="I30" s="209"/>
      <c r="J30" s="209">
        <f>J31*J28</f>
        <v>4500</v>
      </c>
      <c r="K30" s="134"/>
      <c r="L30" s="136"/>
      <c r="M30" s="134"/>
      <c r="N30" s="136"/>
      <c r="O30" s="129"/>
      <c r="P30" s="129"/>
      <c r="Q30" s="130"/>
      <c r="R30" s="210">
        <f>SUM(D30:J30)+1</f>
        <v>144868.49249999999</v>
      </c>
      <c r="S30" s="131"/>
      <c r="T30" s="2"/>
    </row>
    <row r="31" spans="1:20" ht="15.75" x14ac:dyDescent="0.25">
      <c r="A31" s="115"/>
      <c r="B31" s="137" t="s">
        <v>108</v>
      </c>
      <c r="C31" s="138"/>
      <c r="D31" s="139">
        <v>0.68495709999999999</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0.7336492</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1.9189999999999999E-2</v>
      </c>
      <c r="E34" s="146"/>
      <c r="F34" s="146">
        <v>2.469E-2</v>
      </c>
      <c r="G34" s="146"/>
      <c r="H34" s="146">
        <v>3.4689999999999999E-2</v>
      </c>
      <c r="I34" s="146"/>
      <c r="J34" s="146">
        <v>3.8190000000000002E-2</v>
      </c>
      <c r="K34" s="146"/>
      <c r="L34" s="146"/>
      <c r="M34" s="145"/>
      <c r="N34" s="146"/>
      <c r="O34" s="126"/>
      <c r="P34" s="126"/>
      <c r="Q34" s="118"/>
      <c r="R34" s="145">
        <f>SUMPRODUCT(D34:J34,D29:J29)/R29</f>
        <v>2.1134407736663106E-2</v>
      </c>
      <c r="S34" s="119"/>
      <c r="T34" s="2"/>
    </row>
    <row r="35" spans="1:21" ht="15.75" x14ac:dyDescent="0.25">
      <c r="A35" s="115"/>
      <c r="B35" s="116" t="s">
        <v>10</v>
      </c>
      <c r="C35" s="147"/>
      <c r="D35" s="146">
        <v>1.9099399999999999E-2</v>
      </c>
      <c r="E35" s="146"/>
      <c r="F35" s="146">
        <v>2.45994E-2</v>
      </c>
      <c r="G35" s="146"/>
      <c r="H35" s="146">
        <v>3.4599400000000002E-2</v>
      </c>
      <c r="I35" s="146"/>
      <c r="J35" s="146">
        <v>3.8099399999999999E-2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0.20856363538262887</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42193</v>
      </c>
      <c r="S45" s="119"/>
      <c r="T45" s="2"/>
    </row>
    <row r="46" spans="1:21" ht="15.75" x14ac:dyDescent="0.25">
      <c r="A46" s="115"/>
      <c r="B46" s="116" t="s">
        <v>104</v>
      </c>
      <c r="C46" s="116"/>
      <c r="D46" s="153"/>
      <c r="E46" s="153"/>
      <c r="F46" s="153"/>
      <c r="G46" s="153"/>
      <c r="H46" s="153"/>
      <c r="I46" s="153"/>
      <c r="J46" s="153"/>
      <c r="K46" s="153"/>
      <c r="L46" s="153"/>
      <c r="M46" s="153"/>
      <c r="N46" s="116">
        <f>+R46-P46+1</f>
        <v>90</v>
      </c>
      <c r="O46" s="116"/>
      <c r="P46" s="154">
        <v>42012</v>
      </c>
      <c r="Q46" s="155"/>
      <c r="R46" s="154">
        <v>42101</v>
      </c>
      <c r="S46" s="119"/>
      <c r="T46" s="2"/>
    </row>
    <row r="47" spans="1:21" ht="15.75" x14ac:dyDescent="0.25">
      <c r="A47" s="115"/>
      <c r="B47" s="116" t="s">
        <v>105</v>
      </c>
      <c r="C47" s="116"/>
      <c r="D47" s="116"/>
      <c r="E47" s="116"/>
      <c r="F47" s="116"/>
      <c r="G47" s="116"/>
      <c r="H47" s="116"/>
      <c r="I47" s="116"/>
      <c r="J47" s="116"/>
      <c r="K47" s="116"/>
      <c r="L47" s="116"/>
      <c r="M47" s="116"/>
      <c r="N47" s="116">
        <f>+R47-P47+1</f>
        <v>91</v>
      </c>
      <c r="O47" s="116"/>
      <c r="P47" s="154">
        <v>42102</v>
      </c>
      <c r="Q47" s="155"/>
      <c r="R47" s="154">
        <v>42192</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42186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265</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153389</v>
      </c>
      <c r="I56" s="158"/>
      <c r="J56" s="159">
        <v>124</v>
      </c>
      <c r="K56" s="158"/>
      <c r="L56" s="158">
        <f>8269+451-124-1156</f>
        <v>7440</v>
      </c>
      <c r="M56" s="158"/>
      <c r="N56" s="158">
        <v>199</v>
      </c>
      <c r="O56" s="158"/>
      <c r="P56" s="223">
        <v>1156</v>
      </c>
      <c r="Q56" s="158"/>
      <c r="R56" s="159">
        <f>H56-J56-L56+N56-P56</f>
        <v>144868</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153389</v>
      </c>
      <c r="I59" s="158"/>
      <c r="J59" s="158">
        <f>J56+J57</f>
        <v>124</v>
      </c>
      <c r="K59" s="158"/>
      <c r="L59" s="158">
        <f>SUM(L56:L58)</f>
        <v>7440</v>
      </c>
      <c r="M59" s="158"/>
      <c r="N59" s="158">
        <f>SUM(N56:N58)</f>
        <v>199</v>
      </c>
      <c r="O59" s="158"/>
      <c r="P59" s="158">
        <f>SUM(P56:P58)</f>
        <v>1156</v>
      </c>
      <c r="Q59" s="158"/>
      <c r="R59" s="158">
        <f>SUM(R56:R58)</f>
        <v>144868</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0</v>
      </c>
      <c r="I70" s="158"/>
      <c r="J70" s="158">
        <v>0</v>
      </c>
      <c r="K70" s="158"/>
      <c r="L70" s="158"/>
      <c r="M70" s="158"/>
      <c r="N70" s="158"/>
      <c r="O70" s="158"/>
      <c r="P70" s="158"/>
      <c r="Q70" s="158"/>
      <c r="R70" s="158">
        <f>H70+J70</f>
        <v>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153389</v>
      </c>
      <c r="I72" s="158"/>
      <c r="J72" s="158"/>
      <c r="K72" s="158"/>
      <c r="L72" s="158"/>
      <c r="M72" s="158"/>
      <c r="N72" s="158"/>
      <c r="O72" s="158"/>
      <c r="P72" s="158"/>
      <c r="Q72" s="158"/>
      <c r="R72" s="158">
        <f>SUM(R59:R71)</f>
        <v>144868</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42185</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124+7440+1156</f>
        <v>8720</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2461-451</f>
        <v>2010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46</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11</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8720</v>
      </c>
      <c r="Q88" s="116"/>
      <c r="R88" s="158">
        <f>SUM(R76:R87)</f>
        <v>2067</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8720</v>
      </c>
      <c r="Q91" s="116"/>
      <c r="R91" s="158">
        <f>R88+R89+R90</f>
        <v>2067</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-57-5-3</f>
        <v>-65</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-1</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-614</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-65</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-86</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-43</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-58</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-6-180</f>
        <v>-186</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-937</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0</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-199</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-8521</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-8720</v>
      </c>
      <c r="Q119" s="158"/>
      <c r="R119" s="158">
        <f>SUM(R92:R118)</f>
        <v>-2067</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JUNE 2015</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1788.9752250000001</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4211.0247749999999</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+'June 14'!R164</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144868</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144868</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144868</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+'March 15'!O180</f>
        <v>1477</v>
      </c>
      <c r="P178" s="159">
        <f>+'March 15'!P180</f>
        <v>408</v>
      </c>
      <c r="Q178" s="116"/>
      <c r="R178" s="159">
        <f>O178+P178</f>
        <v>1885</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199</v>
      </c>
      <c r="P179" s="158">
        <v>0</v>
      </c>
      <c r="Q179" s="116"/>
      <c r="R179" s="159">
        <f>O179+P179</f>
        <v>199</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1676</v>
      </c>
      <c r="P180" s="159">
        <f>P179+P178</f>
        <v>408</v>
      </c>
      <c r="Q180" s="116"/>
      <c r="R180" s="159">
        <f>O180+P180</f>
        <v>2084</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13916</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3.2442996742671011</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2.88</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21.2</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22.28</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15.267441860465116</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15.9</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28.465116279069768</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29.89</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JUNE 2015</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42185</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2.1134407736663106E-2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2.5095592263336894E-2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4.5690000000000001E-2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5.1819999999999998E-2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2.1134407736663106E-2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3.0685592263336892E-2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1.3475542574760902E-2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16.72</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(+J56+L56+P56)/H56</f>
        <v>5.6848926585348361E-2</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0.11600000000000001</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f>+P56</f>
        <v>1156</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'March 15'!P224+P223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905</v>
      </c>
      <c r="O237" s="83">
        <f t="shared" ref="O237:O244" si="1">N237/$N$246</f>
        <v>1</v>
      </c>
      <c r="P237" s="84">
        <f t="shared" ref="P237:P244" si="2">+P249+P261+P273</f>
        <v>144868</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905</v>
      </c>
      <c r="O246" s="198">
        <f>SUM(O237:O245)</f>
        <v>1</v>
      </c>
      <c r="P246" s="159">
        <f>SUM(P237:P245)</f>
        <v>144868</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905</v>
      </c>
      <c r="O249" s="83">
        <f>N249/$N$258</f>
        <v>1</v>
      </c>
      <c r="P249" s="84">
        <v>144868</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905</v>
      </c>
      <c r="O258" s="198">
        <f>SUM(O249:O257)</f>
        <v>1</v>
      </c>
      <c r="P258" s="159">
        <f>SUM(P249:P257)</f>
        <v>144868</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905</v>
      </c>
      <c r="O284" s="198"/>
      <c r="P284" s="203">
        <f>+P282+P270+P258</f>
        <v>144868</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144868</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144868</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260</v>
      </c>
      <c r="C289" s="116"/>
      <c r="D289" s="200"/>
      <c r="E289" s="200"/>
      <c r="F289" s="200"/>
      <c r="G289" s="200"/>
      <c r="H289" s="200"/>
      <c r="I289" s="200"/>
      <c r="J289" s="200"/>
      <c r="K289" s="200"/>
      <c r="L289" s="200"/>
      <c r="M289" s="200"/>
      <c r="N289" s="202"/>
      <c r="O289" s="198"/>
      <c r="P289" s="211">
        <f>(J30+R138)/R30</f>
        <v>7.2479528286663167E-2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JUNE 2015</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42298</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119867.49249999999</v>
      </c>
      <c r="E29" s="133"/>
      <c r="F29" s="208">
        <f>F28</f>
        <v>10500</v>
      </c>
      <c r="G29" s="208"/>
      <c r="H29" s="208">
        <f>H28</f>
        <v>10000</v>
      </c>
      <c r="I29" s="129"/>
      <c r="J29" s="208">
        <f>J28</f>
        <v>4500</v>
      </c>
      <c r="K29" s="129"/>
      <c r="L29" s="133"/>
      <c r="M29" s="129"/>
      <c r="N29" s="133"/>
      <c r="O29" s="129"/>
      <c r="P29" s="129"/>
      <c r="Q29" s="130"/>
      <c r="R29" s="129">
        <f>SUM(D29:J29)+1</f>
        <v>144868.49249999999</v>
      </c>
      <c r="S29" s="131"/>
      <c r="T29" s="2"/>
    </row>
    <row r="30" spans="1:20" ht="15.75" x14ac:dyDescent="0.25">
      <c r="A30" s="125"/>
      <c r="B30" s="124" t="s">
        <v>112</v>
      </c>
      <c r="C30" s="128"/>
      <c r="D30" s="209">
        <f>D31*D28</f>
        <v>109026.68000000001</v>
      </c>
      <c r="E30" s="209"/>
      <c r="F30" s="209">
        <f>F31*F28</f>
        <v>10500</v>
      </c>
      <c r="G30" s="209"/>
      <c r="H30" s="209">
        <f>H31*H28</f>
        <v>10000</v>
      </c>
      <c r="I30" s="209"/>
      <c r="J30" s="209">
        <f>J31*J28</f>
        <v>4500</v>
      </c>
      <c r="K30" s="134"/>
      <c r="L30" s="136"/>
      <c r="M30" s="134"/>
      <c r="N30" s="136"/>
      <c r="O30" s="129"/>
      <c r="P30" s="129"/>
      <c r="Q30" s="130"/>
      <c r="R30" s="210">
        <f>SUM(D30:J30)</f>
        <v>134026.68</v>
      </c>
      <c r="S30" s="131"/>
      <c r="T30" s="2"/>
    </row>
    <row r="31" spans="1:20" ht="15.75" x14ac:dyDescent="0.25">
      <c r="A31" s="115"/>
      <c r="B31" s="137" t="s">
        <v>108</v>
      </c>
      <c r="C31" s="138"/>
      <c r="D31" s="139">
        <v>0.62300960000000005</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0.68495709999999999</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1.9281300000000001E-2</v>
      </c>
      <c r="E34" s="146"/>
      <c r="F34" s="146">
        <v>2.4781299999999999E-2</v>
      </c>
      <c r="G34" s="146"/>
      <c r="H34" s="146">
        <v>3.4781300000000001E-2</v>
      </c>
      <c r="I34" s="146"/>
      <c r="J34" s="146">
        <v>3.8281299999999997E-2</v>
      </c>
      <c r="K34" s="146"/>
      <c r="L34" s="146"/>
      <c r="M34" s="145"/>
      <c r="N34" s="146"/>
      <c r="O34" s="126"/>
      <c r="P34" s="126"/>
      <c r="Q34" s="118"/>
      <c r="R34" s="145">
        <f>SUMPRODUCT(D34:J34,D29:J29)/R29</f>
        <v>2.1339930648758908E-2</v>
      </c>
      <c r="S34" s="119"/>
      <c r="T34" s="2"/>
    </row>
    <row r="35" spans="1:21" ht="15.75" x14ac:dyDescent="0.25">
      <c r="A35" s="115"/>
      <c r="B35" s="116" t="s">
        <v>10</v>
      </c>
      <c r="C35" s="147"/>
      <c r="D35" s="146">
        <v>1.9189999999999999E-2</v>
      </c>
      <c r="E35" s="146"/>
      <c r="F35" s="146">
        <v>2.469E-2</v>
      </c>
      <c r="G35" s="146"/>
      <c r="H35" s="146">
        <v>3.4689999999999999E-2</v>
      </c>
      <c r="I35" s="146"/>
      <c r="J35" s="146">
        <v>3.8190000000000002E-2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0.22930167184766148</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42285</v>
      </c>
      <c r="S45" s="119"/>
      <c r="T45" s="2"/>
    </row>
    <row r="46" spans="1:21" ht="15.75" x14ac:dyDescent="0.25">
      <c r="A46" s="115"/>
      <c r="B46" s="116" t="s">
        <v>104</v>
      </c>
      <c r="C46" s="116"/>
      <c r="D46" s="153"/>
      <c r="E46" s="153"/>
      <c r="F46" s="153"/>
      <c r="G46" s="153"/>
      <c r="H46" s="153"/>
      <c r="I46" s="153"/>
      <c r="J46" s="153"/>
      <c r="K46" s="153"/>
      <c r="L46" s="153"/>
      <c r="M46" s="153"/>
      <c r="N46" s="116">
        <f>+R46-P46+1</f>
        <v>91</v>
      </c>
      <c r="O46" s="116"/>
      <c r="P46" s="154">
        <v>42102</v>
      </c>
      <c r="Q46" s="155"/>
      <c r="R46" s="154">
        <v>42192</v>
      </c>
      <c r="S46" s="119"/>
      <c r="T46" s="2"/>
    </row>
    <row r="47" spans="1:21" ht="15.75" x14ac:dyDescent="0.25">
      <c r="A47" s="115"/>
      <c r="B47" s="116" t="s">
        <v>105</v>
      </c>
      <c r="C47" s="116"/>
      <c r="D47" s="116"/>
      <c r="E47" s="116"/>
      <c r="F47" s="116"/>
      <c r="G47" s="116"/>
      <c r="H47" s="116"/>
      <c r="I47" s="116"/>
      <c r="J47" s="116"/>
      <c r="K47" s="116"/>
      <c r="L47" s="116"/>
      <c r="M47" s="116"/>
      <c r="N47" s="116">
        <f>+R47-P47+1</f>
        <v>92</v>
      </c>
      <c r="O47" s="116"/>
      <c r="P47" s="154">
        <v>42193</v>
      </c>
      <c r="Q47" s="155"/>
      <c r="R47" s="154">
        <v>42284</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42278</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266</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144868</v>
      </c>
      <c r="I56" s="158"/>
      <c r="J56" s="159">
        <v>121</v>
      </c>
      <c r="K56" s="158"/>
      <c r="L56" s="158">
        <f>10817+301-2016-121</f>
        <v>8981</v>
      </c>
      <c r="M56" s="158"/>
      <c r="N56" s="158">
        <v>277</v>
      </c>
      <c r="O56" s="158"/>
      <c r="P56" s="223">
        <f>956+1060</f>
        <v>2016</v>
      </c>
      <c r="Q56" s="158"/>
      <c r="R56" s="159">
        <f>H56-J56-L56+N56-P56</f>
        <v>134027</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144868</v>
      </c>
      <c r="I59" s="158"/>
      <c r="J59" s="158">
        <f>J56+J57</f>
        <v>121</v>
      </c>
      <c r="K59" s="158"/>
      <c r="L59" s="158">
        <f>SUM(L56:L58)</f>
        <v>8981</v>
      </c>
      <c r="M59" s="158"/>
      <c r="N59" s="158">
        <f>SUM(N56:N58)</f>
        <v>277</v>
      </c>
      <c r="O59" s="158"/>
      <c r="P59" s="158">
        <f>SUM(P56:P58)</f>
        <v>2016</v>
      </c>
      <c r="Q59" s="158"/>
      <c r="R59" s="158">
        <f>SUM(R56:R58)</f>
        <v>134027</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0</v>
      </c>
      <c r="I70" s="158"/>
      <c r="J70" s="158">
        <v>0</v>
      </c>
      <c r="K70" s="158"/>
      <c r="L70" s="158"/>
      <c r="M70" s="158"/>
      <c r="N70" s="158"/>
      <c r="O70" s="158"/>
      <c r="P70" s="158"/>
      <c r="Q70" s="158"/>
      <c r="R70" s="158">
        <f>H70+J70</f>
        <v>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144868</v>
      </c>
      <c r="I72" s="158"/>
      <c r="J72" s="158"/>
      <c r="K72" s="158"/>
      <c r="L72" s="158"/>
      <c r="M72" s="158"/>
      <c r="N72" s="158"/>
      <c r="O72" s="158"/>
      <c r="P72" s="158"/>
      <c r="Q72" s="158"/>
      <c r="R72" s="158">
        <f>SUM(R59:R71)</f>
        <v>134027</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42277</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121+8981+2016</f>
        <v>11118</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2044-301</f>
        <v>1743</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56</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16</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11118</v>
      </c>
      <c r="Q88" s="116"/>
      <c r="R88" s="158">
        <f>SUM(R76:R87)</f>
        <v>1815</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11118</v>
      </c>
      <c r="Q91" s="116"/>
      <c r="R91" s="158">
        <f>R88+R89+R90</f>
        <v>1815</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-55-5-3</f>
        <v>-63</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0</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-583</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-66</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-88</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-43</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-55</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-4-180</f>
        <v>-184</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-721</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0</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-277</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-10841</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-11118</v>
      </c>
      <c r="Q119" s="158"/>
      <c r="R119" s="158">
        <f>SUM(R92:R118)</f>
        <v>-1815</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SEPTEMBER 2015</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2114.1995999999999</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3885.8004000000001</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+'June 14'!R164</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134027</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134027</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134027</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+'June 15'!O180</f>
        <v>1676</v>
      </c>
      <c r="P178" s="159">
        <f>+'June 15'!P180</f>
        <v>408</v>
      </c>
      <c r="Q178" s="116"/>
      <c r="R178" s="159">
        <f>O178+P178</f>
        <v>2084</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277</v>
      </c>
      <c r="P179" s="158">
        <v>0</v>
      </c>
      <c r="Q179" s="116"/>
      <c r="R179" s="159">
        <f>O179+P179</f>
        <v>277</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1953</v>
      </c>
      <c r="P180" s="159">
        <f>P179+P178</f>
        <v>408</v>
      </c>
      <c r="Q180" s="116"/>
      <c r="R180" s="159">
        <f>O180+P180</f>
        <v>2361</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13639</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2.9897084048027445</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2.89</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17.575757575757574</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21.87</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12.431818181818182</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15.6</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23.325581395348838</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29.33</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SEPTEMBER 2015</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42277</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2.1339930648758908E-2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2.4890069351241093E-2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4.5781299999999997E-2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5.178E-2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2.1339930648758908E-2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3.0440069351241092E-2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1.2528646768092332E-2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16.41</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(+J56+L56+P56)/H56</f>
        <v>7.6745727144711048E-2</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0.1305</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f>+P56</f>
        <v>2016</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'June 15'!P224+P223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844</v>
      </c>
      <c r="O237" s="83">
        <f t="shared" ref="O237:O244" si="1">N237/$N$246</f>
        <v>1</v>
      </c>
      <c r="P237" s="84">
        <f t="shared" ref="P237:P244" si="2">+P249+P261+P273</f>
        <v>134027</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844</v>
      </c>
      <c r="O246" s="198">
        <f>SUM(O237:O245)</f>
        <v>1</v>
      </c>
      <c r="P246" s="159">
        <f>SUM(P237:P245)</f>
        <v>134027</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844</v>
      </c>
      <c r="O249" s="83">
        <f>N249/$N$258</f>
        <v>1</v>
      </c>
      <c r="P249" s="84">
        <v>134027</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844</v>
      </c>
      <c r="O258" s="198">
        <f>SUM(O249:O257)</f>
        <v>1</v>
      </c>
      <c r="P258" s="159">
        <f>SUM(P249:P257)</f>
        <v>134027</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844</v>
      </c>
      <c r="O284" s="198"/>
      <c r="P284" s="203">
        <f>+P282+P270+P258</f>
        <v>134027</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134027</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134027</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260</v>
      </c>
      <c r="C289" s="116"/>
      <c r="D289" s="200"/>
      <c r="E289" s="200"/>
      <c r="F289" s="200"/>
      <c r="G289" s="200"/>
      <c r="H289" s="200"/>
      <c r="I289" s="200"/>
      <c r="J289" s="200"/>
      <c r="K289" s="200"/>
      <c r="L289" s="200"/>
      <c r="M289" s="200"/>
      <c r="N289" s="202"/>
      <c r="O289" s="198"/>
      <c r="P289" s="211">
        <f>(J30+R138)/R30</f>
        <v>7.834261059066748E-2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SEPTEMBER 2015</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300"/>
  <sheetViews>
    <sheetView showGridLines="0" tabSelected="1"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42391</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109026.68000000001</v>
      </c>
      <c r="E29" s="133"/>
      <c r="F29" s="208">
        <f>F28</f>
        <v>10500</v>
      </c>
      <c r="G29" s="208"/>
      <c r="H29" s="208">
        <f>H28</f>
        <v>10000</v>
      </c>
      <c r="I29" s="129"/>
      <c r="J29" s="208">
        <f>J28</f>
        <v>4500</v>
      </c>
      <c r="K29" s="129"/>
      <c r="L29" s="133"/>
      <c r="M29" s="129"/>
      <c r="N29" s="133"/>
      <c r="O29" s="129"/>
      <c r="P29" s="129"/>
      <c r="Q29" s="130"/>
      <c r="R29" s="129">
        <f>SUM(D29:J29)</f>
        <v>134026.68</v>
      </c>
      <c r="S29" s="131"/>
      <c r="T29" s="2"/>
    </row>
    <row r="30" spans="1:20" ht="15.75" x14ac:dyDescent="0.25">
      <c r="A30" s="125"/>
      <c r="B30" s="124" t="s">
        <v>112</v>
      </c>
      <c r="C30" s="128"/>
      <c r="D30" s="209">
        <f>D31*D28</f>
        <v>0</v>
      </c>
      <c r="E30" s="209"/>
      <c r="F30" s="209">
        <f>F31*F28</f>
        <v>0</v>
      </c>
      <c r="G30" s="209"/>
      <c r="H30" s="209">
        <f>H31*H28</f>
        <v>0</v>
      </c>
      <c r="I30" s="209"/>
      <c r="J30" s="209">
        <f>J31*J28</f>
        <v>0</v>
      </c>
      <c r="K30" s="134"/>
      <c r="L30" s="136"/>
      <c r="M30" s="134"/>
      <c r="N30" s="136"/>
      <c r="O30" s="129"/>
      <c r="P30" s="129"/>
      <c r="Q30" s="130"/>
      <c r="R30" s="210">
        <f>SUM(D30:J30)</f>
        <v>0</v>
      </c>
      <c r="S30" s="131"/>
      <c r="T30" s="2"/>
    </row>
    <row r="31" spans="1:20" ht="15.75" x14ac:dyDescent="0.25">
      <c r="A31" s="115"/>
      <c r="B31" s="137" t="s">
        <v>108</v>
      </c>
      <c r="C31" s="138"/>
      <c r="D31" s="139">
        <v>0</v>
      </c>
      <c r="E31" s="139"/>
      <c r="F31" s="139">
        <v>0</v>
      </c>
      <c r="G31" s="139"/>
      <c r="H31" s="139">
        <v>0</v>
      </c>
      <c r="I31" s="139"/>
      <c r="J31" s="139">
        <v>0</v>
      </c>
      <c r="K31" s="139"/>
      <c r="L31" s="139"/>
      <c r="M31" s="139"/>
      <c r="N31" s="139"/>
      <c r="O31" s="140"/>
      <c r="P31" s="140"/>
      <c r="Q31" s="141"/>
      <c r="R31" s="212"/>
      <c r="S31" s="142"/>
      <c r="T31" s="2"/>
    </row>
    <row r="32" spans="1:20" ht="15.75" x14ac:dyDescent="0.25">
      <c r="A32" s="115"/>
      <c r="B32" s="137" t="s">
        <v>109</v>
      </c>
      <c r="C32" s="138"/>
      <c r="D32" s="139">
        <v>0.62300960000000005</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1.9318800000000001E-2</v>
      </c>
      <c r="E34" s="146"/>
      <c r="F34" s="146">
        <v>2.4818799999999999E-2</v>
      </c>
      <c r="G34" s="146"/>
      <c r="H34" s="146">
        <v>3.4818799999999997E-2</v>
      </c>
      <c r="I34" s="146"/>
      <c r="J34" s="146">
        <v>3.83188E-2</v>
      </c>
      <c r="K34" s="146"/>
      <c r="L34" s="146"/>
      <c r="M34" s="145"/>
      <c r="N34" s="146"/>
      <c r="O34" s="126"/>
      <c r="P34" s="126"/>
      <c r="Q34" s="118"/>
      <c r="R34" s="145">
        <f>SUMPRODUCT(D34:J34,D29:J29)/R29</f>
        <v>2.154410320082539E-2</v>
      </c>
      <c r="S34" s="119"/>
      <c r="T34" s="2"/>
    </row>
    <row r="35" spans="1:21" ht="15.75" x14ac:dyDescent="0.25">
      <c r="A35" s="115"/>
      <c r="B35" s="116" t="s">
        <v>10</v>
      </c>
      <c r="C35" s="147"/>
      <c r="D35" s="146">
        <v>1.9281300000000001E-2</v>
      </c>
      <c r="E35" s="146"/>
      <c r="F35" s="146">
        <v>2.4781299999999999E-2</v>
      </c>
      <c r="G35" s="146"/>
      <c r="H35" s="146">
        <v>3.4781300000000001E-2</v>
      </c>
      <c r="I35" s="146"/>
      <c r="J35" s="146">
        <v>3.8281299999999997E-2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v>0</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42377</v>
      </c>
      <c r="S45" s="119"/>
      <c r="T45" s="2"/>
    </row>
    <row r="46" spans="1:21" ht="15.75" x14ac:dyDescent="0.25">
      <c r="A46" s="115"/>
      <c r="B46" s="116" t="s">
        <v>104</v>
      </c>
      <c r="C46" s="116"/>
      <c r="D46" s="153"/>
      <c r="E46" s="153"/>
      <c r="F46" s="153"/>
      <c r="G46" s="153"/>
      <c r="H46" s="153"/>
      <c r="I46" s="153"/>
      <c r="J46" s="153"/>
      <c r="K46" s="153"/>
      <c r="L46" s="153"/>
      <c r="M46" s="153"/>
      <c r="N46" s="116">
        <f>+R46-P46+1</f>
        <v>92</v>
      </c>
      <c r="O46" s="116"/>
      <c r="P46" s="154">
        <v>42193</v>
      </c>
      <c r="Q46" s="155"/>
      <c r="R46" s="154">
        <v>42284</v>
      </c>
      <c r="S46" s="119"/>
      <c r="T46" s="2"/>
    </row>
    <row r="47" spans="1:21" ht="15.75" x14ac:dyDescent="0.25">
      <c r="A47" s="115"/>
      <c r="B47" s="116" t="s">
        <v>105</v>
      </c>
      <c r="C47" s="116"/>
      <c r="D47" s="116"/>
      <c r="E47" s="116"/>
      <c r="F47" s="116"/>
      <c r="G47" s="116"/>
      <c r="H47" s="116"/>
      <c r="I47" s="116"/>
      <c r="J47" s="116"/>
      <c r="K47" s="116"/>
      <c r="L47" s="116"/>
      <c r="M47" s="116"/>
      <c r="N47" s="116">
        <f>+R47-P47+1</f>
        <v>92</v>
      </c>
      <c r="O47" s="116"/>
      <c r="P47" s="154">
        <v>42285</v>
      </c>
      <c r="Q47" s="155"/>
      <c r="R47" s="154">
        <v>42376</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42373</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267</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134027</v>
      </c>
      <c r="I56" s="158"/>
      <c r="J56" s="159">
        <v>0</v>
      </c>
      <c r="K56" s="158"/>
      <c r="L56" s="158">
        <f>134027-2127</f>
        <v>131900</v>
      </c>
      <c r="M56" s="158"/>
      <c r="N56" s="158">
        <v>0</v>
      </c>
      <c r="O56" s="158"/>
      <c r="P56" s="223">
        <v>2127</v>
      </c>
      <c r="Q56" s="158"/>
      <c r="R56" s="159">
        <f>H56-J56-L56+N56-P56</f>
        <v>0</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134027</v>
      </c>
      <c r="I59" s="158"/>
      <c r="J59" s="158">
        <f>J56+J57</f>
        <v>0</v>
      </c>
      <c r="K59" s="158"/>
      <c r="L59" s="158">
        <f>SUM(L56:L58)</f>
        <v>131900</v>
      </c>
      <c r="M59" s="158"/>
      <c r="N59" s="158">
        <f>SUM(N56:N58)</f>
        <v>0</v>
      </c>
      <c r="O59" s="158"/>
      <c r="P59" s="158">
        <f>SUM(P56:P58)</f>
        <v>2127</v>
      </c>
      <c r="Q59" s="158"/>
      <c r="R59" s="158">
        <f>SUM(R56:R58)</f>
        <v>0</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0</v>
      </c>
      <c r="I70" s="158"/>
      <c r="J70" s="158">
        <v>0</v>
      </c>
      <c r="K70" s="158"/>
      <c r="L70" s="158"/>
      <c r="M70" s="158"/>
      <c r="N70" s="158"/>
      <c r="O70" s="158"/>
      <c r="P70" s="158"/>
      <c r="Q70" s="158"/>
      <c r="R70" s="158">
        <f>H70+J70</f>
        <v>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134027</v>
      </c>
      <c r="I72" s="158"/>
      <c r="J72" s="158"/>
      <c r="K72" s="158"/>
      <c r="L72" s="158"/>
      <c r="M72" s="158"/>
      <c r="N72" s="158"/>
      <c r="O72" s="158"/>
      <c r="P72" s="158"/>
      <c r="Q72" s="158"/>
      <c r="R72" s="158">
        <f>SUM(R59:R71)</f>
        <v>0</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+P198</f>
        <v>42369</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131900+2127</f>
        <v>134027</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2113-494</f>
        <v>1619</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51</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16</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268</v>
      </c>
      <c r="C87" s="138"/>
      <c r="D87" s="138"/>
      <c r="E87" s="138"/>
      <c r="F87" s="138"/>
      <c r="G87" s="138"/>
      <c r="H87" s="138"/>
      <c r="I87" s="138"/>
      <c r="J87" s="138"/>
      <c r="K87" s="138"/>
      <c r="L87" s="138"/>
      <c r="M87" s="138"/>
      <c r="N87" s="138"/>
      <c r="O87" s="138"/>
      <c r="P87" s="158"/>
      <c r="Q87" s="116"/>
      <c r="R87" s="159">
        <f>-R131</f>
        <v>6000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134027</v>
      </c>
      <c r="Q88" s="116"/>
      <c r="R88" s="158">
        <f>SUM(R76:R87)</f>
        <v>7686</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134027</v>
      </c>
      <c r="Q91" s="116"/>
      <c r="R91" s="158">
        <f>R88+R89+R90</f>
        <v>7686</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-51-5-3</f>
        <v>-59</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0</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-531</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-66</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-88</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-43</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-50</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-2-180</f>
        <v>-182</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-6655</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-P180</f>
        <v>0</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-O180</f>
        <v>0</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-109027</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-10500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-10000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-4500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-134027</v>
      </c>
      <c r="Q119" s="158"/>
      <c r="R119" s="158">
        <f>SUM(R92:R118)</f>
        <v>-7686</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DECEMBER 2015</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6000</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0</v>
      </c>
      <c r="S130" s="119"/>
      <c r="T130" s="2"/>
    </row>
    <row r="131" spans="1:21" ht="15.75" x14ac:dyDescent="0.25">
      <c r="A131" s="115"/>
      <c r="B131" s="116" t="s">
        <v>269</v>
      </c>
      <c r="C131" s="116"/>
      <c r="D131" s="116"/>
      <c r="E131" s="116"/>
      <c r="F131" s="116"/>
      <c r="G131" s="116"/>
      <c r="H131" s="116"/>
      <c r="I131" s="116"/>
      <c r="J131" s="116"/>
      <c r="K131" s="116"/>
      <c r="L131" s="116"/>
      <c r="M131" s="116"/>
      <c r="N131" s="116"/>
      <c r="O131" s="116"/>
      <c r="P131" s="116"/>
      <c r="Q131" s="116"/>
      <c r="R131" s="159">
        <v>-6000</v>
      </c>
      <c r="S131" s="119"/>
      <c r="T131" s="2"/>
    </row>
    <row r="132" spans="1:21" ht="15.75" x14ac:dyDescent="0.25">
      <c r="A132" s="115"/>
      <c r="B132" s="116" t="s">
        <v>113</v>
      </c>
      <c r="C132" s="116"/>
      <c r="D132" s="116"/>
      <c r="E132" s="116"/>
      <c r="F132" s="116"/>
      <c r="G132" s="116"/>
      <c r="H132" s="116"/>
      <c r="I132" s="116"/>
      <c r="J132" s="116"/>
      <c r="K132" s="116"/>
      <c r="L132" s="116"/>
      <c r="M132" s="116"/>
      <c r="N132" s="116"/>
      <c r="O132" s="116"/>
      <c r="P132" s="116"/>
      <c r="Q132" s="116"/>
      <c r="R132" s="159"/>
      <c r="S132" s="119"/>
      <c r="T132" s="2"/>
    </row>
    <row r="133" spans="1:21" ht="15.75" x14ac:dyDescent="0.25">
      <c r="A133" s="115"/>
      <c r="B133" s="116" t="s">
        <v>170</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241</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242</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38</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107</v>
      </c>
      <c r="C137" s="116"/>
      <c r="D137" s="116"/>
      <c r="E137" s="116"/>
      <c r="F137" s="116"/>
      <c r="G137" s="116"/>
      <c r="H137" s="116"/>
      <c r="I137" s="116"/>
      <c r="J137" s="116"/>
      <c r="K137" s="116"/>
      <c r="L137" s="116"/>
      <c r="M137" s="116"/>
      <c r="N137" s="116"/>
      <c r="O137" s="116"/>
      <c r="P137" s="116"/>
      <c r="Q137" s="116"/>
      <c r="R137" s="159">
        <v>0</v>
      </c>
      <c r="S137" s="119"/>
      <c r="T137" s="2"/>
    </row>
    <row r="138" spans="1:21" ht="15.75" x14ac:dyDescent="0.25">
      <c r="A138" s="115"/>
      <c r="B138" s="116" t="s">
        <v>245</v>
      </c>
      <c r="C138" s="116"/>
      <c r="D138" s="116"/>
      <c r="E138" s="116"/>
      <c r="F138" s="116"/>
      <c r="G138" s="116"/>
      <c r="H138" s="116"/>
      <c r="I138" s="116"/>
      <c r="J138" s="116"/>
      <c r="K138" s="116"/>
      <c r="L138" s="116"/>
      <c r="M138" s="116"/>
      <c r="N138" s="116"/>
      <c r="O138" s="116"/>
      <c r="P138" s="116"/>
      <c r="Q138" s="116"/>
      <c r="R138" s="159">
        <v>0</v>
      </c>
      <c r="S138" s="119"/>
      <c r="T138" s="2"/>
      <c r="U138" s="4"/>
    </row>
    <row r="139" spans="1:21" ht="15.75" x14ac:dyDescent="0.25">
      <c r="A139" s="115"/>
      <c r="B139" s="116" t="s">
        <v>39</v>
      </c>
      <c r="C139" s="116"/>
      <c r="D139" s="116"/>
      <c r="E139" s="116"/>
      <c r="F139" s="116"/>
      <c r="G139" s="116"/>
      <c r="H139" s="116"/>
      <c r="I139" s="116"/>
      <c r="J139" s="116"/>
      <c r="K139" s="116"/>
      <c r="L139" s="116"/>
      <c r="M139" s="116"/>
      <c r="N139" s="116"/>
      <c r="O139" s="116"/>
      <c r="P139" s="116"/>
      <c r="Q139" s="116"/>
      <c r="R139" s="159">
        <f>SUM(R128:R138)</f>
        <v>0</v>
      </c>
      <c r="S139" s="119"/>
      <c r="T139" s="2"/>
    </row>
    <row r="140" spans="1:21" ht="15.75" x14ac:dyDescent="0.25">
      <c r="A140" s="115"/>
      <c r="B140" s="138"/>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63" t="s">
        <v>224</v>
      </c>
      <c r="C141" s="138"/>
      <c r="D141" s="138"/>
      <c r="E141" s="138"/>
      <c r="F141" s="138"/>
      <c r="G141" s="138"/>
      <c r="H141" s="138"/>
      <c r="I141" s="138"/>
      <c r="J141" s="138"/>
      <c r="K141" s="138"/>
      <c r="L141" s="138"/>
      <c r="M141" s="138"/>
      <c r="N141" s="138"/>
      <c r="O141" s="138"/>
      <c r="P141" s="138"/>
      <c r="Q141" s="138"/>
      <c r="R141" s="166"/>
      <c r="S141" s="142"/>
      <c r="T141" s="2"/>
    </row>
    <row r="142" spans="1:21" ht="15.75" x14ac:dyDescent="0.25">
      <c r="A142" s="115"/>
      <c r="B142" s="116" t="s">
        <v>124</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136</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16" t="s">
        <v>148</v>
      </c>
      <c r="C144" s="116"/>
      <c r="D144" s="116"/>
      <c r="E144" s="116"/>
      <c r="F144" s="116"/>
      <c r="G144" s="116"/>
      <c r="H144" s="116"/>
      <c r="I144" s="116"/>
      <c r="J144" s="116"/>
      <c r="K144" s="116"/>
      <c r="L144" s="116"/>
      <c r="M144" s="116"/>
      <c r="N144" s="116"/>
      <c r="O144" s="116"/>
      <c r="P144" s="116"/>
      <c r="Q144" s="116"/>
      <c r="R144" s="159">
        <v>0</v>
      </c>
      <c r="S144" s="119"/>
      <c r="T144" s="2"/>
    </row>
    <row r="145" spans="1:20" ht="15.75" x14ac:dyDescent="0.25">
      <c r="A145" s="115"/>
      <c r="B145" s="138"/>
      <c r="C145" s="138"/>
      <c r="D145" s="138"/>
      <c r="E145" s="138"/>
      <c r="F145" s="138"/>
      <c r="G145" s="138"/>
      <c r="H145" s="138"/>
      <c r="I145" s="138"/>
      <c r="J145" s="138"/>
      <c r="K145" s="138"/>
      <c r="L145" s="138"/>
      <c r="M145" s="138"/>
      <c r="N145" s="138"/>
      <c r="O145" s="138"/>
      <c r="P145" s="138"/>
      <c r="Q145" s="138"/>
      <c r="R145" s="166"/>
      <c r="S145" s="142"/>
      <c r="T145" s="2"/>
    </row>
    <row r="146" spans="1:20" ht="15.75" x14ac:dyDescent="0.25">
      <c r="A146" s="12"/>
      <c r="B146" s="43"/>
      <c r="C146" s="43"/>
      <c r="D146" s="43"/>
      <c r="E146" s="43"/>
      <c r="F146" s="43"/>
      <c r="G146" s="43"/>
      <c r="H146" s="43"/>
      <c r="I146" s="43"/>
      <c r="J146" s="43"/>
      <c r="K146" s="43"/>
      <c r="L146" s="43"/>
      <c r="M146" s="43"/>
      <c r="N146" s="43"/>
      <c r="O146" s="43"/>
      <c r="P146" s="43"/>
      <c r="Q146" s="43"/>
      <c r="R146" s="165"/>
      <c r="S146" s="43"/>
      <c r="T146" s="2"/>
    </row>
    <row r="147" spans="1:20" ht="15.75" x14ac:dyDescent="0.25">
      <c r="A147" s="12"/>
      <c r="B147" s="41" t="s">
        <v>194</v>
      </c>
      <c r="C147" s="14"/>
      <c r="D147" s="14"/>
      <c r="E147" s="14"/>
      <c r="F147" s="14"/>
      <c r="G147" s="14"/>
      <c r="H147" s="14"/>
      <c r="I147" s="14"/>
      <c r="J147" s="14"/>
      <c r="K147" s="14"/>
      <c r="L147" s="14"/>
      <c r="M147" s="14"/>
      <c r="N147" s="14"/>
      <c r="O147" s="14"/>
      <c r="P147" s="14"/>
      <c r="Q147" s="14"/>
      <c r="R147" s="33"/>
      <c r="S147" s="14"/>
      <c r="T147" s="2"/>
    </row>
    <row r="148" spans="1:20" ht="15.75" x14ac:dyDescent="0.25">
      <c r="A148" s="115"/>
      <c r="B148" s="116" t="s">
        <v>186</v>
      </c>
      <c r="C148" s="116"/>
      <c r="D148" s="116"/>
      <c r="E148" s="116"/>
      <c r="F148" s="116"/>
      <c r="G148" s="116"/>
      <c r="H148" s="116"/>
      <c r="I148" s="116"/>
      <c r="J148" s="116"/>
      <c r="K148" s="116"/>
      <c r="L148" s="116"/>
      <c r="M148" s="116"/>
      <c r="N148" s="116"/>
      <c r="O148" s="116"/>
      <c r="P148" s="116"/>
      <c r="Q148" s="116"/>
      <c r="R148" s="159">
        <v>0</v>
      </c>
      <c r="S148" s="142"/>
      <c r="T148" s="2"/>
    </row>
    <row r="149" spans="1:20" ht="15.75" x14ac:dyDescent="0.25">
      <c r="A149" s="115"/>
      <c r="B149" s="116" t="s">
        <v>248</v>
      </c>
      <c r="C149" s="118"/>
      <c r="D149" s="118"/>
      <c r="E149" s="118"/>
      <c r="F149" s="118"/>
      <c r="G149" s="118"/>
      <c r="H149" s="118"/>
      <c r="I149" s="118"/>
      <c r="J149" s="118"/>
      <c r="K149" s="118"/>
      <c r="L149" s="118"/>
      <c r="M149" s="118"/>
      <c r="N149" s="118"/>
      <c r="O149" s="118"/>
      <c r="P149" s="118"/>
      <c r="Q149" s="118"/>
      <c r="R149" s="159">
        <f>J69</f>
        <v>0</v>
      </c>
      <c r="S149" s="142"/>
      <c r="T149" s="2"/>
    </row>
    <row r="150" spans="1:20" ht="15.75" x14ac:dyDescent="0.25">
      <c r="A150" s="115"/>
      <c r="B150" s="116" t="s">
        <v>252</v>
      </c>
      <c r="C150" s="116"/>
      <c r="D150" s="116"/>
      <c r="E150" s="116"/>
      <c r="F150" s="116"/>
      <c r="G150" s="116"/>
      <c r="H150" s="116"/>
      <c r="I150" s="116"/>
      <c r="J150" s="116"/>
      <c r="K150" s="116"/>
      <c r="L150" s="116"/>
      <c r="M150" s="116"/>
      <c r="N150" s="116"/>
      <c r="O150" s="116"/>
      <c r="P150" s="116"/>
      <c r="Q150" s="116"/>
      <c r="R150" s="159">
        <f>R148+R149</f>
        <v>0</v>
      </c>
      <c r="S150" s="142"/>
      <c r="T150" s="2"/>
    </row>
    <row r="151" spans="1:20" ht="15.75" x14ac:dyDescent="0.25">
      <c r="A151" s="12"/>
      <c r="B151" s="43"/>
      <c r="C151" s="43"/>
      <c r="D151" s="43"/>
      <c r="E151" s="43"/>
      <c r="F151" s="43"/>
      <c r="G151" s="43"/>
      <c r="H151" s="43"/>
      <c r="I151" s="43"/>
      <c r="J151" s="43"/>
      <c r="K151" s="43"/>
      <c r="L151" s="43"/>
      <c r="M151" s="43"/>
      <c r="N151" s="43"/>
      <c r="O151" s="43"/>
      <c r="P151" s="43"/>
      <c r="Q151" s="43"/>
      <c r="R151" s="165"/>
      <c r="S151" s="43"/>
      <c r="T151" s="2"/>
    </row>
    <row r="152" spans="1:20" ht="15.75" x14ac:dyDescent="0.25">
      <c r="A152" s="12"/>
      <c r="B152" s="41" t="s">
        <v>40</v>
      </c>
      <c r="C152" s="14"/>
      <c r="D152" s="14"/>
      <c r="E152" s="14"/>
      <c r="F152" s="14"/>
      <c r="G152" s="14"/>
      <c r="H152" s="14"/>
      <c r="I152" s="14"/>
      <c r="J152" s="14"/>
      <c r="K152" s="14"/>
      <c r="L152" s="14"/>
      <c r="M152" s="14"/>
      <c r="N152" s="14"/>
      <c r="O152" s="14"/>
      <c r="P152" s="14"/>
      <c r="Q152" s="14"/>
      <c r="R152" s="42"/>
      <c r="S152" s="14"/>
      <c r="T152" s="2"/>
    </row>
    <row r="153" spans="1:20" ht="15.75" x14ac:dyDescent="0.25">
      <c r="A153" s="115"/>
      <c r="B153" s="116" t="s">
        <v>41</v>
      </c>
      <c r="C153" s="116"/>
      <c r="D153" s="116"/>
      <c r="E153" s="116"/>
      <c r="F153" s="116"/>
      <c r="G153" s="116"/>
      <c r="H153" s="116"/>
      <c r="I153" s="116"/>
      <c r="J153" s="116"/>
      <c r="K153" s="116"/>
      <c r="L153" s="116"/>
      <c r="M153" s="116"/>
      <c r="N153" s="116"/>
      <c r="O153" s="116"/>
      <c r="P153" s="116"/>
      <c r="Q153" s="116"/>
      <c r="R153" s="159">
        <v>0</v>
      </c>
      <c r="S153" s="119"/>
      <c r="T153" s="2"/>
    </row>
    <row r="154" spans="1:20" ht="15.75" x14ac:dyDescent="0.25">
      <c r="A154" s="115"/>
      <c r="B154" s="116" t="s">
        <v>42</v>
      </c>
      <c r="C154" s="116"/>
      <c r="D154" s="116"/>
      <c r="E154" s="116"/>
      <c r="F154" s="116"/>
      <c r="G154" s="116"/>
      <c r="H154" s="116"/>
      <c r="I154" s="116"/>
      <c r="J154" s="116"/>
      <c r="K154" s="116"/>
      <c r="L154" s="116"/>
      <c r="M154" s="116"/>
      <c r="N154" s="116"/>
      <c r="O154" s="116"/>
      <c r="P154" s="116"/>
      <c r="Q154" s="116"/>
      <c r="R154" s="159">
        <v>0</v>
      </c>
      <c r="S154" s="119"/>
      <c r="T154" s="2"/>
    </row>
    <row r="155" spans="1:20" ht="15.75" x14ac:dyDescent="0.25">
      <c r="A155" s="115"/>
      <c r="B155" s="116" t="s">
        <v>43</v>
      </c>
      <c r="C155" s="116"/>
      <c r="D155" s="116"/>
      <c r="E155" s="116"/>
      <c r="F155" s="116"/>
      <c r="G155" s="116"/>
      <c r="H155" s="116"/>
      <c r="I155" s="116"/>
      <c r="J155" s="116"/>
      <c r="K155" s="116"/>
      <c r="L155" s="116"/>
      <c r="M155" s="116"/>
      <c r="N155" s="116"/>
      <c r="O155" s="116"/>
      <c r="P155" s="116"/>
      <c r="Q155" s="116"/>
      <c r="R155" s="159">
        <f>R154+R153</f>
        <v>0</v>
      </c>
      <c r="S155" s="119"/>
      <c r="T155" s="2"/>
    </row>
    <row r="156" spans="1:20" ht="15.75" x14ac:dyDescent="0.25">
      <c r="A156" s="115"/>
      <c r="B156" s="116" t="s">
        <v>198</v>
      </c>
      <c r="C156" s="116"/>
      <c r="D156" s="116"/>
      <c r="E156" s="116"/>
      <c r="F156" s="116"/>
      <c r="G156" s="116"/>
      <c r="H156" s="116"/>
      <c r="I156" s="116"/>
      <c r="J156" s="116"/>
      <c r="K156" s="116"/>
      <c r="L156" s="116"/>
      <c r="M156" s="116"/>
      <c r="N156" s="116"/>
      <c r="O156" s="116"/>
      <c r="P156" s="116"/>
      <c r="Q156" s="116"/>
      <c r="R156" s="159">
        <f>R101</f>
        <v>0</v>
      </c>
      <c r="S156" s="119"/>
      <c r="T156" s="2"/>
    </row>
    <row r="157" spans="1:20" ht="15.75" x14ac:dyDescent="0.25">
      <c r="A157" s="115"/>
      <c r="B157" s="116" t="s">
        <v>44</v>
      </c>
      <c r="C157" s="116"/>
      <c r="D157" s="116"/>
      <c r="E157" s="116"/>
      <c r="F157" s="116"/>
      <c r="G157" s="116"/>
      <c r="H157" s="116"/>
      <c r="I157" s="116"/>
      <c r="J157" s="116"/>
      <c r="K157" s="116"/>
      <c r="L157" s="116"/>
      <c r="M157" s="116"/>
      <c r="N157" s="116"/>
      <c r="O157" s="116"/>
      <c r="P157" s="116"/>
      <c r="Q157" s="116"/>
      <c r="R157" s="159">
        <f>R155+R156</f>
        <v>0</v>
      </c>
      <c r="S157" s="119"/>
      <c r="T157" s="2"/>
    </row>
    <row r="158" spans="1:20" ht="15.75" x14ac:dyDescent="0.25">
      <c r="A158" s="115"/>
      <c r="B158" s="116" t="s">
        <v>162</v>
      </c>
      <c r="C158" s="116"/>
      <c r="D158" s="116"/>
      <c r="E158" s="116"/>
      <c r="F158" s="116"/>
      <c r="G158" s="116"/>
      <c r="H158" s="116"/>
      <c r="I158" s="116"/>
      <c r="J158" s="116"/>
      <c r="K158" s="116"/>
      <c r="L158" s="116"/>
      <c r="M158" s="116"/>
      <c r="N158" s="116"/>
      <c r="O158" s="116"/>
      <c r="P158" s="116"/>
      <c r="Q158" s="116"/>
      <c r="R158" s="159">
        <f>-R90</f>
        <v>0</v>
      </c>
      <c r="S158" s="119"/>
      <c r="T158" s="2"/>
    </row>
    <row r="159" spans="1:20" ht="16.5" thickBot="1" x14ac:dyDescent="0.3">
      <c r="A159" s="12"/>
      <c r="B159" s="43"/>
      <c r="C159" s="43"/>
      <c r="D159" s="43"/>
      <c r="E159" s="43"/>
      <c r="F159" s="43"/>
      <c r="G159" s="43"/>
      <c r="H159" s="43"/>
      <c r="I159" s="43"/>
      <c r="J159" s="43"/>
      <c r="K159" s="43"/>
      <c r="L159" s="43"/>
      <c r="M159" s="43"/>
      <c r="N159" s="43"/>
      <c r="O159" s="43"/>
      <c r="P159" s="43"/>
      <c r="Q159" s="43"/>
      <c r="R159" s="165"/>
      <c r="S159" s="43"/>
      <c r="T159" s="2"/>
    </row>
    <row r="160" spans="1:20" ht="15.75" x14ac:dyDescent="0.25">
      <c r="A160" s="10"/>
      <c r="B160" s="11"/>
      <c r="C160" s="11"/>
      <c r="D160" s="11"/>
      <c r="E160" s="11"/>
      <c r="F160" s="11"/>
      <c r="G160" s="11"/>
      <c r="H160" s="11"/>
      <c r="I160" s="11"/>
      <c r="J160" s="11"/>
      <c r="K160" s="11"/>
      <c r="L160" s="11"/>
      <c r="M160" s="11"/>
      <c r="N160" s="11"/>
      <c r="O160" s="11"/>
      <c r="P160" s="11"/>
      <c r="Q160" s="11"/>
      <c r="R160" s="32"/>
      <c r="S160" s="11"/>
      <c r="T160" s="2"/>
    </row>
    <row r="161" spans="1:252" s="6" customFormat="1" ht="15.75" x14ac:dyDescent="0.25">
      <c r="A161" s="12"/>
      <c r="B161" s="41" t="s">
        <v>151</v>
      </c>
      <c r="C161" s="43"/>
      <c r="D161" s="43"/>
      <c r="E161" s="43"/>
      <c r="F161" s="43"/>
      <c r="G161" s="43"/>
      <c r="H161" s="43"/>
      <c r="I161" s="43"/>
      <c r="J161" s="43"/>
      <c r="K161" s="43"/>
      <c r="L161" s="43"/>
      <c r="M161" s="43"/>
      <c r="N161" s="43"/>
      <c r="O161" s="43"/>
      <c r="P161" s="43"/>
      <c r="Q161" s="43"/>
      <c r="R161" s="44"/>
      <c r="S161" s="43"/>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152</v>
      </c>
      <c r="C162" s="116"/>
      <c r="D162" s="116"/>
      <c r="E162" s="116"/>
      <c r="F162" s="116"/>
      <c r="G162" s="116"/>
      <c r="H162" s="116"/>
      <c r="I162" s="116"/>
      <c r="J162" s="116"/>
      <c r="K162" s="116"/>
      <c r="L162" s="116"/>
      <c r="M162" s="116"/>
      <c r="N162" s="116"/>
      <c r="O162" s="116"/>
      <c r="P162" s="116"/>
      <c r="Q162" s="116"/>
      <c r="R162" s="159">
        <f>+'June 14'!R164</f>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155</v>
      </c>
      <c r="C163" s="116"/>
      <c r="D163" s="116"/>
      <c r="E163" s="116"/>
      <c r="F163" s="116"/>
      <c r="G163" s="116"/>
      <c r="H163" s="116"/>
      <c r="I163" s="116"/>
      <c r="J163" s="116"/>
      <c r="K163" s="116"/>
      <c r="L163" s="116"/>
      <c r="M163" s="116"/>
      <c r="N163" s="116"/>
      <c r="O163" s="116"/>
      <c r="P163" s="116"/>
      <c r="Q163" s="116"/>
      <c r="R163" s="159">
        <f>+R83</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249</v>
      </c>
      <c r="C164" s="116"/>
      <c r="D164" s="116"/>
      <c r="E164" s="116"/>
      <c r="F164" s="116"/>
      <c r="G164" s="116"/>
      <c r="H164" s="116"/>
      <c r="I164" s="116"/>
      <c r="J164" s="116"/>
      <c r="K164" s="116"/>
      <c r="L164" s="116"/>
      <c r="M164" s="116"/>
      <c r="N164" s="116"/>
      <c r="O164" s="116"/>
      <c r="P164" s="116"/>
      <c r="Q164" s="116"/>
      <c r="R164" s="159">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7" customFormat="1" ht="15.75" x14ac:dyDescent="0.25">
      <c r="A165" s="115"/>
      <c r="B165" s="116" t="s">
        <v>153</v>
      </c>
      <c r="C165" s="116"/>
      <c r="D165" s="116"/>
      <c r="E165" s="116"/>
      <c r="F165" s="116"/>
      <c r="G165" s="116"/>
      <c r="H165" s="116"/>
      <c r="I165" s="116"/>
      <c r="J165" s="116"/>
      <c r="K165" s="116"/>
      <c r="L165" s="116"/>
      <c r="M165" s="116"/>
      <c r="N165" s="116"/>
      <c r="O165" s="116"/>
      <c r="P165" s="116"/>
      <c r="Q165" s="116"/>
      <c r="R165" s="159">
        <f>+R162-R163+R164</f>
        <v>0</v>
      </c>
      <c r="S165" s="119"/>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8" customFormat="1" ht="16.5" thickBot="1" x14ac:dyDescent="0.3">
      <c r="A166" s="28"/>
      <c r="B166" s="43"/>
      <c r="C166" s="43"/>
      <c r="D166" s="43"/>
      <c r="E166" s="43"/>
      <c r="F166" s="43"/>
      <c r="G166" s="43"/>
      <c r="H166" s="43"/>
      <c r="I166" s="43"/>
      <c r="J166" s="43"/>
      <c r="K166" s="43"/>
      <c r="L166" s="43"/>
      <c r="M166" s="43"/>
      <c r="N166" s="43"/>
      <c r="O166" s="43"/>
      <c r="P166" s="43"/>
      <c r="Q166" s="43"/>
      <c r="R166" s="165"/>
      <c r="S166" s="43"/>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s="9" customFormat="1" ht="15.75" x14ac:dyDescent="0.25">
      <c r="A167" s="10"/>
      <c r="B167" s="11"/>
      <c r="C167" s="11"/>
      <c r="D167" s="11"/>
      <c r="E167" s="11"/>
      <c r="F167" s="11"/>
      <c r="G167" s="11"/>
      <c r="H167" s="11"/>
      <c r="I167" s="11"/>
      <c r="J167" s="11"/>
      <c r="K167" s="11"/>
      <c r="L167" s="11"/>
      <c r="M167" s="11"/>
      <c r="N167" s="11"/>
      <c r="O167" s="11"/>
      <c r="P167" s="11"/>
      <c r="Q167" s="11"/>
      <c r="R167" s="32"/>
      <c r="S167" s="11"/>
      <c r="T167" s="2"/>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row>
    <row r="168" spans="1:252" ht="15.75" x14ac:dyDescent="0.25">
      <c r="A168" s="12"/>
      <c r="B168" s="41" t="s">
        <v>45</v>
      </c>
      <c r="C168" s="14"/>
      <c r="D168" s="14"/>
      <c r="E168" s="14"/>
      <c r="F168" s="14"/>
      <c r="G168" s="14"/>
      <c r="H168" s="14"/>
      <c r="I168" s="14"/>
      <c r="J168" s="14"/>
      <c r="K168" s="14"/>
      <c r="L168" s="14"/>
      <c r="M168" s="14"/>
      <c r="N168" s="14"/>
      <c r="O168" s="14"/>
      <c r="P168" s="14"/>
      <c r="Q168" s="14"/>
      <c r="R168" s="33"/>
      <c r="S168" s="14"/>
      <c r="T168" s="2"/>
    </row>
    <row r="169" spans="1:252" ht="15.75" x14ac:dyDescent="0.25">
      <c r="A169" s="12"/>
      <c r="B169" s="22"/>
      <c r="C169" s="14"/>
      <c r="D169" s="14"/>
      <c r="E169" s="14"/>
      <c r="F169" s="14"/>
      <c r="G169" s="14"/>
      <c r="H169" s="14"/>
      <c r="I169" s="14"/>
      <c r="J169" s="14"/>
      <c r="K169" s="14"/>
      <c r="L169" s="14"/>
      <c r="M169" s="14"/>
      <c r="N169" s="14"/>
      <c r="O169" s="14"/>
      <c r="P169" s="14"/>
      <c r="Q169" s="14"/>
      <c r="R169" s="33"/>
      <c r="S169" s="14"/>
      <c r="T169" s="2"/>
    </row>
    <row r="170" spans="1:252" ht="15.75" x14ac:dyDescent="0.25">
      <c r="A170" s="115"/>
      <c r="B170" s="116" t="s">
        <v>195</v>
      </c>
      <c r="C170" s="116"/>
      <c r="D170" s="116"/>
      <c r="E170" s="116"/>
      <c r="F170" s="116"/>
      <c r="G170" s="116"/>
      <c r="H170" s="116"/>
      <c r="I170" s="116"/>
      <c r="J170" s="116"/>
      <c r="K170" s="116"/>
      <c r="L170" s="116"/>
      <c r="M170" s="116"/>
      <c r="N170" s="116"/>
      <c r="O170" s="116"/>
      <c r="P170" s="116"/>
      <c r="Q170" s="116"/>
      <c r="R170" s="159">
        <f>+R59</f>
        <v>0</v>
      </c>
      <c r="S170" s="119"/>
      <c r="T170" s="2"/>
    </row>
    <row r="171" spans="1:252" ht="15.75" x14ac:dyDescent="0.25">
      <c r="A171" s="115"/>
      <c r="B171" s="116" t="s">
        <v>196</v>
      </c>
      <c r="C171" s="116"/>
      <c r="D171" s="116"/>
      <c r="E171" s="116"/>
      <c r="F171" s="116"/>
      <c r="G171" s="116"/>
      <c r="H171" s="116"/>
      <c r="I171" s="116"/>
      <c r="J171" s="116"/>
      <c r="K171" s="116"/>
      <c r="L171" s="116"/>
      <c r="M171" s="116"/>
      <c r="N171" s="116"/>
      <c r="O171" s="116"/>
      <c r="P171" s="116"/>
      <c r="Q171" s="116"/>
      <c r="R171" s="159">
        <f>+R69</f>
        <v>0</v>
      </c>
      <c r="S171" s="119"/>
      <c r="T171" s="2"/>
    </row>
    <row r="172" spans="1:252" ht="15.75" x14ac:dyDescent="0.25">
      <c r="A172" s="115"/>
      <c r="B172" s="218" t="s">
        <v>247</v>
      </c>
      <c r="C172" s="116"/>
      <c r="D172" s="116"/>
      <c r="E172" s="116"/>
      <c r="F172" s="116"/>
      <c r="G172" s="116"/>
      <c r="H172" s="116"/>
      <c r="I172" s="116"/>
      <c r="J172" s="116"/>
      <c r="K172" s="116"/>
      <c r="L172" s="116"/>
      <c r="M172" s="116"/>
      <c r="N172" s="116"/>
      <c r="O172" s="116"/>
      <c r="P172" s="116"/>
      <c r="Q172" s="116"/>
      <c r="R172" s="159">
        <f>+R70</f>
        <v>0</v>
      </c>
      <c r="S172" s="119"/>
      <c r="T172" s="2"/>
    </row>
    <row r="173" spans="1:252" ht="15.75" x14ac:dyDescent="0.25">
      <c r="A173" s="115"/>
      <c r="B173" s="116" t="s">
        <v>132</v>
      </c>
      <c r="C173" s="116"/>
      <c r="D173" s="116"/>
      <c r="E173" s="116"/>
      <c r="F173" s="116"/>
      <c r="G173" s="116"/>
      <c r="H173" s="116"/>
      <c r="I173" s="116"/>
      <c r="J173" s="116"/>
      <c r="K173" s="116"/>
      <c r="L173" s="116"/>
      <c r="M173" s="116"/>
      <c r="N173" s="116"/>
      <c r="O173" s="116"/>
      <c r="P173" s="116"/>
      <c r="Q173" s="116"/>
      <c r="R173" s="159">
        <f>+R170+R171+R172</f>
        <v>0</v>
      </c>
      <c r="S173" s="119"/>
      <c r="T173" s="2"/>
    </row>
    <row r="174" spans="1:252" ht="15.75" x14ac:dyDescent="0.25">
      <c r="A174" s="115"/>
      <c r="B174" s="116" t="s">
        <v>46</v>
      </c>
      <c r="C174" s="116"/>
      <c r="D174" s="116"/>
      <c r="E174" s="116"/>
      <c r="F174" s="116"/>
      <c r="G174" s="116"/>
      <c r="H174" s="116"/>
      <c r="I174" s="116"/>
      <c r="J174" s="116"/>
      <c r="K174" s="116"/>
      <c r="L174" s="116"/>
      <c r="M174" s="116"/>
      <c r="N174" s="116"/>
      <c r="O174" s="116"/>
      <c r="P174" s="116"/>
      <c r="Q174" s="116"/>
      <c r="R174" s="159">
        <f>R72</f>
        <v>0</v>
      </c>
      <c r="S174" s="119"/>
      <c r="T174" s="2"/>
    </row>
    <row r="175" spans="1:252" ht="16.5" thickBot="1" x14ac:dyDescent="0.3">
      <c r="A175" s="12"/>
      <c r="B175" s="43"/>
      <c r="C175" s="43"/>
      <c r="D175" s="43"/>
      <c r="E175" s="43"/>
      <c r="F175" s="43"/>
      <c r="G175" s="43"/>
      <c r="H175" s="43"/>
      <c r="I175" s="43"/>
      <c r="J175" s="43"/>
      <c r="K175" s="43"/>
      <c r="L175" s="43"/>
      <c r="M175" s="43"/>
      <c r="N175" s="43"/>
      <c r="O175" s="43"/>
      <c r="P175" s="43"/>
      <c r="Q175" s="43"/>
      <c r="R175" s="165"/>
      <c r="S175" s="43"/>
      <c r="T175" s="2"/>
    </row>
    <row r="176" spans="1:252" ht="15.75" x14ac:dyDescent="0.25">
      <c r="A176" s="10"/>
      <c r="B176" s="11"/>
      <c r="C176" s="11"/>
      <c r="D176" s="11"/>
      <c r="E176" s="11"/>
      <c r="F176" s="11"/>
      <c r="G176" s="11"/>
      <c r="H176" s="11"/>
      <c r="I176" s="11"/>
      <c r="J176" s="11"/>
      <c r="K176" s="11"/>
      <c r="L176" s="11"/>
      <c r="M176" s="11"/>
      <c r="N176" s="11"/>
      <c r="O176" s="11"/>
      <c r="P176" s="11"/>
      <c r="Q176" s="11"/>
      <c r="R176" s="32"/>
      <c r="S176" s="11"/>
      <c r="T176" s="2"/>
    </row>
    <row r="177" spans="1:20" ht="15.75" x14ac:dyDescent="0.25">
      <c r="A177" s="12"/>
      <c r="B177" s="41" t="s">
        <v>47</v>
      </c>
      <c r="C177" s="37"/>
      <c r="D177" s="45"/>
      <c r="E177" s="45"/>
      <c r="F177" s="45"/>
      <c r="G177" s="45"/>
      <c r="H177" s="45"/>
      <c r="I177" s="45"/>
      <c r="J177" s="45"/>
      <c r="K177" s="45"/>
      <c r="L177" s="45"/>
      <c r="M177" s="45"/>
      <c r="N177" s="45"/>
      <c r="O177" s="45" t="s">
        <v>86</v>
      </c>
      <c r="P177" s="45" t="s">
        <v>189</v>
      </c>
      <c r="Q177" s="16"/>
      <c r="R177" s="46" t="s">
        <v>98</v>
      </c>
      <c r="S177" s="47"/>
      <c r="T177" s="2"/>
    </row>
    <row r="178" spans="1:20" ht="15.75" x14ac:dyDescent="0.25">
      <c r="A178" s="115"/>
      <c r="B178" s="116" t="s">
        <v>48</v>
      </c>
      <c r="C178" s="116"/>
      <c r="D178" s="116"/>
      <c r="E178" s="116"/>
      <c r="F178" s="116"/>
      <c r="G178" s="116"/>
      <c r="H178" s="116"/>
      <c r="I178" s="116"/>
      <c r="J178" s="116"/>
      <c r="K178" s="116"/>
      <c r="L178" s="116"/>
      <c r="M178" s="116"/>
      <c r="N178" s="116"/>
      <c r="O178" s="159">
        <f>+R28*0.08</f>
        <v>16000</v>
      </c>
      <c r="P178" s="148"/>
      <c r="Q178" s="116"/>
      <c r="R178" s="159"/>
      <c r="S178" s="119"/>
      <c r="T178" s="2"/>
    </row>
    <row r="179" spans="1:20" ht="15.75" x14ac:dyDescent="0.25">
      <c r="A179" s="115"/>
      <c r="B179" s="116" t="s">
        <v>49</v>
      </c>
      <c r="C179" s="116"/>
      <c r="D179" s="116"/>
      <c r="E179" s="116"/>
      <c r="F179" s="116"/>
      <c r="G179" s="116"/>
      <c r="H179" s="116"/>
      <c r="I179" s="116"/>
      <c r="J179" s="116"/>
      <c r="K179" s="116"/>
      <c r="L179" s="116"/>
      <c r="M179" s="116"/>
      <c r="N179" s="116"/>
      <c r="O179" s="159">
        <f>+'Sept 15'!O180</f>
        <v>1953</v>
      </c>
      <c r="P179" s="159">
        <f>+'Sept 15'!P180</f>
        <v>408</v>
      </c>
      <c r="Q179" s="116"/>
      <c r="R179" s="159">
        <f>O179+P179</f>
        <v>2361</v>
      </c>
      <c r="S179" s="119"/>
      <c r="T179" s="2"/>
    </row>
    <row r="180" spans="1:20" ht="15.75" x14ac:dyDescent="0.25">
      <c r="A180" s="115"/>
      <c r="B180" s="116" t="s">
        <v>50</v>
      </c>
      <c r="C180" s="116"/>
      <c r="D180" s="116"/>
      <c r="E180" s="116"/>
      <c r="F180" s="116"/>
      <c r="G180" s="116"/>
      <c r="H180" s="116"/>
      <c r="I180" s="116"/>
      <c r="J180" s="116"/>
      <c r="K180" s="116"/>
      <c r="L180" s="116"/>
      <c r="M180" s="116"/>
      <c r="N180" s="116"/>
      <c r="O180" s="158">
        <v>0</v>
      </c>
      <c r="P180" s="158">
        <v>0</v>
      </c>
      <c r="Q180" s="116"/>
      <c r="R180" s="159">
        <f>O180+P180</f>
        <v>0</v>
      </c>
      <c r="S180" s="119"/>
      <c r="T180" s="2"/>
    </row>
    <row r="181" spans="1:20" ht="15.75" x14ac:dyDescent="0.25">
      <c r="A181" s="115"/>
      <c r="B181" s="116" t="s">
        <v>51</v>
      </c>
      <c r="C181" s="116"/>
      <c r="D181" s="116"/>
      <c r="E181" s="116"/>
      <c r="F181" s="116"/>
      <c r="G181" s="116"/>
      <c r="H181" s="116"/>
      <c r="I181" s="116"/>
      <c r="J181" s="116"/>
      <c r="K181" s="116"/>
      <c r="L181" s="116"/>
      <c r="M181" s="116"/>
      <c r="N181" s="116"/>
      <c r="O181" s="159">
        <f>O179+O180</f>
        <v>1953</v>
      </c>
      <c r="P181" s="159">
        <f>P180+P179</f>
        <v>408</v>
      </c>
      <c r="Q181" s="116"/>
      <c r="R181" s="159">
        <f>O181+P181</f>
        <v>2361</v>
      </c>
      <c r="S181" s="119"/>
      <c r="T181" s="2"/>
    </row>
    <row r="182" spans="1:20" ht="15.75" x14ac:dyDescent="0.25">
      <c r="A182" s="115"/>
      <c r="B182" s="116" t="s">
        <v>52</v>
      </c>
      <c r="C182" s="116"/>
      <c r="D182" s="116"/>
      <c r="E182" s="116"/>
      <c r="F182" s="116"/>
      <c r="G182" s="116"/>
      <c r="H182" s="116"/>
      <c r="I182" s="116"/>
      <c r="J182" s="116"/>
      <c r="K182" s="116"/>
      <c r="L182" s="116"/>
      <c r="M182" s="116"/>
      <c r="N182" s="116"/>
      <c r="O182" s="159">
        <f>O178-O181-P181</f>
        <v>13639</v>
      </c>
      <c r="P182" s="148"/>
      <c r="Q182" s="116"/>
      <c r="R182" s="159"/>
      <c r="S182" s="119"/>
      <c r="T182" s="2"/>
    </row>
    <row r="183" spans="1:20" ht="16.5" thickBot="1" x14ac:dyDescent="0.3">
      <c r="A183" s="12"/>
      <c r="B183" s="43"/>
      <c r="C183" s="43"/>
      <c r="D183" s="43"/>
      <c r="E183" s="43"/>
      <c r="F183" s="43"/>
      <c r="G183" s="43"/>
      <c r="H183" s="43"/>
      <c r="I183" s="43"/>
      <c r="J183" s="43"/>
      <c r="K183" s="43"/>
      <c r="L183" s="43"/>
      <c r="M183" s="43"/>
      <c r="N183" s="43"/>
      <c r="O183" s="43"/>
      <c r="P183" s="43"/>
      <c r="Q183" s="43"/>
      <c r="R183" s="165"/>
      <c r="S183" s="43"/>
      <c r="T183" s="2"/>
    </row>
    <row r="184" spans="1:20" ht="15.75" x14ac:dyDescent="0.25">
      <c r="A184" s="10"/>
      <c r="B184" s="11"/>
      <c r="C184" s="11"/>
      <c r="D184" s="11"/>
      <c r="E184" s="11"/>
      <c r="F184" s="11"/>
      <c r="G184" s="11"/>
      <c r="H184" s="11"/>
      <c r="I184" s="11"/>
      <c r="J184" s="11"/>
      <c r="K184" s="11"/>
      <c r="L184" s="11"/>
      <c r="M184" s="11"/>
      <c r="N184" s="11"/>
      <c r="O184" s="11"/>
      <c r="P184" s="11"/>
      <c r="Q184" s="11"/>
      <c r="R184" s="32"/>
      <c r="S184" s="11"/>
      <c r="T184" s="2"/>
    </row>
    <row r="185" spans="1:20" ht="15.75" x14ac:dyDescent="0.25">
      <c r="A185" s="12"/>
      <c r="B185" s="41" t="s">
        <v>53</v>
      </c>
      <c r="C185" s="14"/>
      <c r="D185" s="14"/>
      <c r="E185" s="14"/>
      <c r="F185" s="14"/>
      <c r="G185" s="14"/>
      <c r="H185" s="14"/>
      <c r="I185" s="14"/>
      <c r="J185" s="14"/>
      <c r="K185" s="14"/>
      <c r="L185" s="14"/>
      <c r="M185" s="14"/>
      <c r="N185" s="14"/>
      <c r="O185" s="14"/>
      <c r="P185" s="14"/>
      <c r="Q185" s="14"/>
      <c r="R185" s="48"/>
      <c r="S185" s="14"/>
      <c r="T185" s="2"/>
    </row>
    <row r="186" spans="1:20" ht="15.75" x14ac:dyDescent="0.25">
      <c r="A186" s="115"/>
      <c r="B186" s="116" t="s">
        <v>54</v>
      </c>
      <c r="C186" s="116"/>
      <c r="D186" s="116"/>
      <c r="E186" s="116"/>
      <c r="F186" s="116"/>
      <c r="G186" s="116"/>
      <c r="H186" s="116"/>
      <c r="I186" s="116"/>
      <c r="J186" s="116"/>
      <c r="K186" s="116"/>
      <c r="L186" s="116"/>
      <c r="M186" s="116"/>
      <c r="N186" s="116"/>
      <c r="O186" s="116"/>
      <c r="P186" s="116"/>
      <c r="Q186" s="116"/>
      <c r="R186" s="164">
        <v>0</v>
      </c>
      <c r="S186" s="119" t="s">
        <v>99</v>
      </c>
      <c r="T186" s="2"/>
    </row>
    <row r="187" spans="1:20" ht="15.75" x14ac:dyDescent="0.25">
      <c r="A187" s="115"/>
      <c r="B187" s="116" t="s">
        <v>55</v>
      </c>
      <c r="C187" s="116"/>
      <c r="D187" s="116"/>
      <c r="E187" s="116"/>
      <c r="F187" s="116"/>
      <c r="G187" s="116"/>
      <c r="H187" s="116"/>
      <c r="I187" s="116"/>
      <c r="J187" s="116"/>
      <c r="K187" s="116"/>
      <c r="L187" s="116"/>
      <c r="M187" s="116"/>
      <c r="N187" s="116"/>
      <c r="O187" s="116"/>
      <c r="P187" s="116"/>
      <c r="Q187" s="116"/>
      <c r="R187" s="168">
        <v>0</v>
      </c>
      <c r="S187" s="119" t="s">
        <v>99</v>
      </c>
      <c r="T187" s="2"/>
    </row>
    <row r="188" spans="1:20" ht="15.75" x14ac:dyDescent="0.25">
      <c r="A188" s="115"/>
      <c r="B188" s="116" t="s">
        <v>225</v>
      </c>
      <c r="C188" s="116"/>
      <c r="D188" s="116"/>
      <c r="E188" s="116"/>
      <c r="F188" s="116"/>
      <c r="G188" s="116"/>
      <c r="H188" s="116"/>
      <c r="I188" s="116"/>
      <c r="J188" s="116"/>
      <c r="K188" s="116"/>
      <c r="L188" s="116"/>
      <c r="M188" s="116"/>
      <c r="N188" s="116"/>
      <c r="O188" s="116"/>
      <c r="P188" s="116"/>
      <c r="Q188" s="116"/>
      <c r="R188" s="164">
        <v>0</v>
      </c>
      <c r="S188" s="119" t="s">
        <v>99</v>
      </c>
      <c r="T188" s="2"/>
    </row>
    <row r="189" spans="1:20" ht="15.75" x14ac:dyDescent="0.25">
      <c r="A189" s="115"/>
      <c r="B189" s="116" t="s">
        <v>226</v>
      </c>
      <c r="C189" s="116"/>
      <c r="D189" s="116"/>
      <c r="E189" s="116"/>
      <c r="F189" s="116"/>
      <c r="G189" s="116"/>
      <c r="H189" s="116"/>
      <c r="I189" s="116"/>
      <c r="J189" s="116"/>
      <c r="K189" s="116"/>
      <c r="L189" s="116"/>
      <c r="M189" s="116"/>
      <c r="N189" s="116"/>
      <c r="O189" s="116"/>
      <c r="P189" s="116"/>
      <c r="Q189" s="116"/>
      <c r="R189" s="168">
        <v>0</v>
      </c>
      <c r="S189" s="119" t="s">
        <v>99</v>
      </c>
      <c r="T189" s="2"/>
    </row>
    <row r="190" spans="1:20" ht="15.75" x14ac:dyDescent="0.25">
      <c r="A190" s="115"/>
      <c r="B190" s="116" t="s">
        <v>227</v>
      </c>
      <c r="C190" s="116"/>
      <c r="D190" s="116"/>
      <c r="E190" s="116"/>
      <c r="F190" s="116"/>
      <c r="G190" s="116"/>
      <c r="H190" s="116"/>
      <c r="I190" s="116"/>
      <c r="J190" s="116"/>
      <c r="K190" s="116"/>
      <c r="L190" s="116"/>
      <c r="M190" s="116"/>
      <c r="N190" s="116"/>
      <c r="O190" s="116"/>
      <c r="P190" s="116"/>
      <c r="Q190" s="116"/>
      <c r="R190" s="164">
        <v>0</v>
      </c>
      <c r="S190" s="119" t="s">
        <v>99</v>
      </c>
      <c r="T190" s="2"/>
    </row>
    <row r="191" spans="1:20" ht="15.75" x14ac:dyDescent="0.25">
      <c r="A191" s="115"/>
      <c r="B191" s="116" t="s">
        <v>228</v>
      </c>
      <c r="C191" s="116"/>
      <c r="D191" s="116"/>
      <c r="E191" s="116"/>
      <c r="F191" s="116"/>
      <c r="G191" s="116"/>
      <c r="H191" s="116"/>
      <c r="I191" s="116"/>
      <c r="J191" s="116"/>
      <c r="K191" s="116"/>
      <c r="L191" s="116"/>
      <c r="M191" s="116"/>
      <c r="N191" s="116"/>
      <c r="O191" s="116"/>
      <c r="P191" s="116"/>
      <c r="Q191" s="116"/>
      <c r="R191" s="168">
        <v>0</v>
      </c>
      <c r="S191" s="119" t="s">
        <v>99</v>
      </c>
      <c r="T191" s="2"/>
    </row>
    <row r="192" spans="1:20" ht="15.75" x14ac:dyDescent="0.25">
      <c r="A192" s="115"/>
      <c r="B192" s="116" t="s">
        <v>229</v>
      </c>
      <c r="C192" s="116"/>
      <c r="D192" s="116"/>
      <c r="E192" s="116"/>
      <c r="F192" s="116"/>
      <c r="G192" s="116"/>
      <c r="H192" s="116"/>
      <c r="I192" s="116"/>
      <c r="J192" s="116"/>
      <c r="K192" s="116"/>
      <c r="L192" s="116"/>
      <c r="M192" s="116"/>
      <c r="N192" s="116"/>
      <c r="O192" s="116"/>
      <c r="P192" s="116"/>
      <c r="Q192" s="116"/>
      <c r="R192" s="164">
        <v>0</v>
      </c>
      <c r="S192" s="119" t="s">
        <v>99</v>
      </c>
      <c r="T192" s="2"/>
    </row>
    <row r="193" spans="1:20" ht="15.75" x14ac:dyDescent="0.25">
      <c r="A193" s="115"/>
      <c r="B193" s="116" t="s">
        <v>230</v>
      </c>
      <c r="C193" s="116"/>
      <c r="D193" s="116"/>
      <c r="E193" s="116"/>
      <c r="F193" s="116"/>
      <c r="G193" s="116"/>
      <c r="H193" s="116"/>
      <c r="I193" s="116"/>
      <c r="J193" s="116"/>
      <c r="K193" s="116"/>
      <c r="L193" s="116"/>
      <c r="M193" s="116"/>
      <c r="N193" s="116"/>
      <c r="O193" s="116"/>
      <c r="P193" s="116"/>
      <c r="Q193" s="116"/>
      <c r="R193" s="168">
        <v>0</v>
      </c>
      <c r="S193" s="119" t="s">
        <v>99</v>
      </c>
      <c r="T193" s="2"/>
    </row>
    <row r="194" spans="1:20" ht="15.75" x14ac:dyDescent="0.25">
      <c r="A194" s="115"/>
      <c r="B194" s="116"/>
      <c r="C194" s="116"/>
      <c r="D194" s="116"/>
      <c r="E194" s="116"/>
      <c r="F194" s="116"/>
      <c r="G194" s="116"/>
      <c r="H194" s="116"/>
      <c r="I194" s="116"/>
      <c r="J194" s="116"/>
      <c r="K194" s="116"/>
      <c r="L194" s="116"/>
      <c r="M194" s="116"/>
      <c r="N194" s="116"/>
      <c r="O194" s="116"/>
      <c r="P194" s="116"/>
      <c r="Q194" s="116"/>
      <c r="R194" s="116"/>
      <c r="S194" s="119"/>
      <c r="T194" s="2"/>
    </row>
    <row r="195" spans="1:20" ht="15.75" x14ac:dyDescent="0.25">
      <c r="A195" s="12"/>
      <c r="B195" s="167"/>
      <c r="C195" s="167"/>
      <c r="D195" s="167"/>
      <c r="E195" s="167"/>
      <c r="F195" s="167"/>
      <c r="G195" s="167"/>
      <c r="H195" s="167"/>
      <c r="I195" s="167"/>
      <c r="J195" s="167"/>
      <c r="K195" s="167"/>
      <c r="L195" s="167"/>
      <c r="M195" s="167"/>
      <c r="N195" s="167"/>
      <c r="O195" s="167"/>
      <c r="P195" s="167"/>
      <c r="Q195" s="167"/>
      <c r="R195" s="167"/>
      <c r="S195" s="167"/>
      <c r="T195" s="2"/>
    </row>
    <row r="196" spans="1:20" ht="15.75" x14ac:dyDescent="0.25">
      <c r="A196" s="12"/>
      <c r="B196" s="86"/>
      <c r="C196" s="86"/>
      <c r="D196" s="86"/>
      <c r="E196" s="86"/>
      <c r="F196" s="86"/>
      <c r="G196" s="86"/>
      <c r="H196" s="86"/>
      <c r="I196" s="86"/>
      <c r="J196" s="86"/>
      <c r="K196" s="86"/>
      <c r="L196" s="86"/>
      <c r="M196" s="86"/>
      <c r="N196" s="86"/>
      <c r="O196" s="86"/>
      <c r="P196" s="86"/>
      <c r="Q196" s="86"/>
      <c r="R196" s="86"/>
      <c r="S196" s="86"/>
      <c r="T196" s="2"/>
    </row>
    <row r="197" spans="1:20" ht="19.5" thickBot="1" x14ac:dyDescent="0.35">
      <c r="A197" s="28"/>
      <c r="B197" s="100" t="str">
        <f>B123</f>
        <v>PM17 INVESTOR REPORT QUARTER ENDING DECEMBER 2015</v>
      </c>
      <c r="C197" s="101"/>
      <c r="D197" s="101"/>
      <c r="E197" s="101"/>
      <c r="F197" s="101"/>
      <c r="G197" s="101"/>
      <c r="H197" s="101"/>
      <c r="I197" s="101"/>
      <c r="J197" s="101"/>
      <c r="K197" s="101"/>
      <c r="L197" s="101"/>
      <c r="M197" s="101"/>
      <c r="N197" s="101"/>
      <c r="O197" s="101"/>
      <c r="P197" s="101"/>
      <c r="Q197" s="101"/>
      <c r="R197" s="101"/>
      <c r="S197" s="102"/>
      <c r="T197" s="2"/>
    </row>
    <row r="198" spans="1:20" ht="15.75" x14ac:dyDescent="0.25">
      <c r="A198" s="67"/>
      <c r="B198" s="68" t="s">
        <v>56</v>
      </c>
      <c r="C198" s="71"/>
      <c r="D198" s="72"/>
      <c r="E198" s="72"/>
      <c r="F198" s="72"/>
      <c r="G198" s="72"/>
      <c r="H198" s="72"/>
      <c r="I198" s="72"/>
      <c r="J198" s="72"/>
      <c r="K198" s="72"/>
      <c r="L198" s="72"/>
      <c r="M198" s="72"/>
      <c r="N198" s="72"/>
      <c r="O198" s="72"/>
      <c r="P198" s="72">
        <v>42369</v>
      </c>
      <c r="Q198" s="69"/>
      <c r="R198" s="69"/>
      <c r="S198" s="69"/>
      <c r="T198" s="2"/>
    </row>
    <row r="199" spans="1:20" ht="15.75" x14ac:dyDescent="0.25">
      <c r="A199" s="49"/>
      <c r="B199" s="50"/>
      <c r="C199" s="51"/>
      <c r="D199" s="52"/>
      <c r="E199" s="52"/>
      <c r="F199" s="52"/>
      <c r="G199" s="52"/>
      <c r="H199" s="52"/>
      <c r="I199" s="52"/>
      <c r="J199" s="52"/>
      <c r="K199" s="52"/>
      <c r="L199" s="52"/>
      <c r="M199" s="52"/>
      <c r="N199" s="52"/>
      <c r="O199" s="52"/>
      <c r="P199" s="52"/>
      <c r="Q199" s="14"/>
      <c r="R199" s="14"/>
      <c r="S199" s="14"/>
      <c r="T199" s="2"/>
    </row>
    <row r="200" spans="1:20" ht="15.75" x14ac:dyDescent="0.25">
      <c r="A200" s="171"/>
      <c r="B200" s="116" t="s">
        <v>57</v>
      </c>
      <c r="C200" s="172"/>
      <c r="D200" s="151"/>
      <c r="E200" s="151"/>
      <c r="F200" s="151"/>
      <c r="G200" s="151"/>
      <c r="H200" s="151"/>
      <c r="I200" s="151"/>
      <c r="J200" s="151"/>
      <c r="K200" s="151"/>
      <c r="L200" s="151"/>
      <c r="M200" s="151"/>
      <c r="N200" s="151"/>
      <c r="O200" s="151"/>
      <c r="P200" s="145">
        <v>4.623E-2</v>
      </c>
      <c r="Q200" s="116"/>
      <c r="R200" s="116"/>
      <c r="S200" s="119"/>
      <c r="T200" s="2"/>
    </row>
    <row r="201" spans="1:20" ht="15.75" x14ac:dyDescent="0.25">
      <c r="A201" s="171"/>
      <c r="B201" s="116" t="s">
        <v>176</v>
      </c>
      <c r="C201" s="172"/>
      <c r="D201" s="151"/>
      <c r="E201" s="151"/>
      <c r="F201" s="151"/>
      <c r="G201" s="151"/>
      <c r="H201" s="151"/>
      <c r="I201" s="151"/>
      <c r="J201" s="151"/>
      <c r="K201" s="151"/>
      <c r="L201" s="151"/>
      <c r="M201" s="151"/>
      <c r="N201" s="151"/>
      <c r="O201" s="151"/>
      <c r="P201" s="145">
        <f>+R34</f>
        <v>2.154410320082539E-2</v>
      </c>
      <c r="Q201" s="116"/>
      <c r="R201" s="116"/>
      <c r="S201" s="119"/>
      <c r="T201" s="2"/>
    </row>
    <row r="202" spans="1:20" ht="15.75" x14ac:dyDescent="0.25">
      <c r="A202" s="171"/>
      <c r="B202" s="116" t="s">
        <v>58</v>
      </c>
      <c r="C202" s="172"/>
      <c r="D202" s="151"/>
      <c r="E202" s="151"/>
      <c r="F202" s="151"/>
      <c r="G202" s="151"/>
      <c r="H202" s="151"/>
      <c r="I202" s="151"/>
      <c r="J202" s="151"/>
      <c r="K202" s="151"/>
      <c r="L202" s="151"/>
      <c r="M202" s="151"/>
      <c r="N202" s="151"/>
      <c r="O202" s="151"/>
      <c r="P202" s="219">
        <f>P200-P201</f>
        <v>2.4685896799174611E-2</v>
      </c>
      <c r="Q202" s="116"/>
      <c r="R202" s="116"/>
      <c r="S202" s="119"/>
      <c r="T202" s="2"/>
    </row>
    <row r="203" spans="1:20" ht="15.75" x14ac:dyDescent="0.25">
      <c r="A203" s="171"/>
      <c r="B203" s="116" t="s">
        <v>179</v>
      </c>
      <c r="C203" s="172"/>
      <c r="D203" s="151"/>
      <c r="E203" s="151"/>
      <c r="F203" s="151"/>
      <c r="G203" s="151"/>
      <c r="H203" s="151"/>
      <c r="I203" s="151"/>
      <c r="J203" s="151"/>
      <c r="K203" s="151"/>
      <c r="L203" s="151"/>
      <c r="M203" s="151"/>
      <c r="N203" s="151"/>
      <c r="O203" s="151"/>
      <c r="P203" s="219">
        <v>4.58188E-2</v>
      </c>
      <c r="Q203" s="116"/>
      <c r="R203" s="116"/>
      <c r="S203" s="119"/>
      <c r="T203" s="2"/>
    </row>
    <row r="204" spans="1:20" ht="15.75" x14ac:dyDescent="0.25">
      <c r="A204" s="171"/>
      <c r="B204" s="116" t="s">
        <v>59</v>
      </c>
      <c r="C204" s="172"/>
      <c r="D204" s="151"/>
      <c r="E204" s="151"/>
      <c r="F204" s="151"/>
      <c r="G204" s="151"/>
      <c r="H204" s="151"/>
      <c r="I204" s="151"/>
      <c r="J204" s="151"/>
      <c r="K204" s="151"/>
      <c r="L204" s="151"/>
      <c r="M204" s="151"/>
      <c r="N204" s="151"/>
      <c r="O204" s="151"/>
      <c r="P204" s="216">
        <v>0</v>
      </c>
      <c r="Q204" s="116"/>
      <c r="R204" s="116"/>
      <c r="S204" s="119"/>
      <c r="T204" s="2"/>
    </row>
    <row r="205" spans="1:20" ht="15.75" x14ac:dyDescent="0.25">
      <c r="A205" s="171"/>
      <c r="B205" s="116" t="s">
        <v>177</v>
      </c>
      <c r="C205" s="172"/>
      <c r="D205" s="151"/>
      <c r="E205" s="151"/>
      <c r="F205" s="151"/>
      <c r="G205" s="151"/>
      <c r="H205" s="151"/>
      <c r="I205" s="151"/>
      <c r="J205" s="151"/>
      <c r="K205" s="151"/>
      <c r="L205" s="151"/>
      <c r="M205" s="151"/>
      <c r="N205" s="151"/>
      <c r="O205" s="151"/>
      <c r="P205" s="145">
        <v>0</v>
      </c>
      <c r="Q205" s="116"/>
      <c r="R205" s="116"/>
      <c r="S205" s="119"/>
      <c r="T205" s="2"/>
    </row>
    <row r="206" spans="1:20" ht="15.75" x14ac:dyDescent="0.25">
      <c r="A206" s="171"/>
      <c r="B206" s="116" t="s">
        <v>60</v>
      </c>
      <c r="C206" s="172"/>
      <c r="D206" s="151"/>
      <c r="E206" s="151"/>
      <c r="F206" s="151"/>
      <c r="G206" s="151"/>
      <c r="H206" s="151"/>
      <c r="I206" s="151"/>
      <c r="J206" s="151"/>
      <c r="K206" s="151"/>
      <c r="L206" s="151"/>
      <c r="M206" s="151"/>
      <c r="N206" s="151"/>
      <c r="O206" s="151"/>
      <c r="P206" s="145">
        <f>P204-P205</f>
        <v>0</v>
      </c>
      <c r="Q206" s="116"/>
      <c r="R206" s="116"/>
      <c r="S206" s="119"/>
      <c r="T206" s="2"/>
    </row>
    <row r="207" spans="1:20" ht="15.75" x14ac:dyDescent="0.25">
      <c r="A207" s="171"/>
      <c r="B207" s="116" t="s">
        <v>149</v>
      </c>
      <c r="C207" s="172"/>
      <c r="D207" s="151"/>
      <c r="E207" s="151"/>
      <c r="F207" s="151"/>
      <c r="G207" s="151"/>
      <c r="H207" s="151"/>
      <c r="I207" s="151"/>
      <c r="J207" s="151"/>
      <c r="K207" s="151"/>
      <c r="L207" s="151"/>
      <c r="M207" s="151"/>
      <c r="N207" s="151"/>
      <c r="O207" s="151"/>
      <c r="P207" s="145">
        <v>0</v>
      </c>
      <c r="Q207" s="116"/>
      <c r="R207" s="116"/>
      <c r="S207" s="119"/>
      <c r="T207" s="2"/>
    </row>
    <row r="208" spans="1:20" ht="15.75" x14ac:dyDescent="0.25">
      <c r="A208" s="171"/>
      <c r="B208" s="116" t="s">
        <v>141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231</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232</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233</v>
      </c>
      <c r="C211" s="172"/>
      <c r="D211" s="151"/>
      <c r="E211" s="151"/>
      <c r="F211" s="151"/>
      <c r="G211" s="151"/>
      <c r="H211" s="151"/>
      <c r="I211" s="151"/>
      <c r="J211" s="151"/>
      <c r="K211" s="151"/>
      <c r="L211" s="151"/>
      <c r="M211" s="151"/>
      <c r="N211" s="151"/>
      <c r="O211" s="151"/>
      <c r="P211" s="173">
        <v>51227</v>
      </c>
      <c r="Q211" s="116"/>
      <c r="R211" s="116"/>
      <c r="S211" s="119"/>
      <c r="T211" s="2"/>
    </row>
    <row r="212" spans="1:20" ht="15.75" x14ac:dyDescent="0.25">
      <c r="A212" s="171"/>
      <c r="B212" s="116" t="s">
        <v>61</v>
      </c>
      <c r="C212" s="172"/>
      <c r="D212" s="151"/>
      <c r="E212" s="151"/>
      <c r="F212" s="151"/>
      <c r="G212" s="151"/>
      <c r="H212" s="151"/>
      <c r="I212" s="151"/>
      <c r="J212" s="151"/>
      <c r="K212" s="151"/>
      <c r="L212" s="151"/>
      <c r="M212" s="151"/>
      <c r="N212" s="151"/>
      <c r="O212" s="151"/>
      <c r="P212" s="149">
        <v>19.04</v>
      </c>
      <c r="Q212" s="116" t="s">
        <v>94</v>
      </c>
      <c r="R212" s="116"/>
      <c r="S212" s="119"/>
      <c r="T212" s="2"/>
    </row>
    <row r="213" spans="1:20" ht="15.75" x14ac:dyDescent="0.25">
      <c r="A213" s="171"/>
      <c r="B213" s="116" t="s">
        <v>62</v>
      </c>
      <c r="C213" s="172"/>
      <c r="D213" s="151"/>
      <c r="E213" s="151"/>
      <c r="F213" s="151"/>
      <c r="G213" s="151"/>
      <c r="H213" s="151"/>
      <c r="I213" s="151"/>
      <c r="J213" s="151"/>
      <c r="K213" s="151"/>
      <c r="L213" s="151"/>
      <c r="M213" s="151"/>
      <c r="N213" s="151"/>
      <c r="O213" s="151"/>
      <c r="P213" s="217">
        <v>0</v>
      </c>
      <c r="Q213" s="116" t="s">
        <v>94</v>
      </c>
      <c r="R213" s="116"/>
      <c r="S213" s="119"/>
      <c r="T213" s="2"/>
    </row>
    <row r="214" spans="1:20" ht="15.75" x14ac:dyDescent="0.25">
      <c r="A214" s="171"/>
      <c r="B214" s="116" t="s">
        <v>63</v>
      </c>
      <c r="C214" s="172"/>
      <c r="D214" s="151"/>
      <c r="E214" s="151"/>
      <c r="F214" s="151"/>
      <c r="G214" s="151"/>
      <c r="H214" s="151"/>
      <c r="I214" s="151"/>
      <c r="J214" s="151"/>
      <c r="K214" s="151"/>
      <c r="L214" s="151"/>
      <c r="M214" s="151"/>
      <c r="N214" s="151"/>
      <c r="O214" s="151"/>
      <c r="P214" s="145">
        <f>(+J56+L56+P56)/H56</f>
        <v>1</v>
      </c>
      <c r="Q214" s="116"/>
      <c r="R214" s="116"/>
      <c r="S214" s="119"/>
      <c r="T214" s="2"/>
    </row>
    <row r="215" spans="1:20" ht="15.75" x14ac:dyDescent="0.25">
      <c r="A215" s="171"/>
      <c r="B215" s="116" t="s">
        <v>64</v>
      </c>
      <c r="C215" s="172"/>
      <c r="D215" s="151"/>
      <c r="E215" s="151"/>
      <c r="F215" s="151"/>
      <c r="G215" s="151"/>
      <c r="H215" s="151"/>
      <c r="I215" s="151"/>
      <c r="J215" s="151"/>
      <c r="K215" s="151"/>
      <c r="L215" s="151"/>
      <c r="M215" s="151"/>
      <c r="N215" s="151"/>
      <c r="O215" s="151"/>
      <c r="P215" s="219">
        <v>1</v>
      </c>
      <c r="Q215" s="116"/>
      <c r="R215" s="116"/>
      <c r="S215" s="119"/>
      <c r="T215" s="2"/>
    </row>
    <row r="216" spans="1:20" ht="15.75" x14ac:dyDescent="0.25">
      <c r="A216" s="49"/>
      <c r="B216" s="169"/>
      <c r="C216" s="169"/>
      <c r="D216" s="43"/>
      <c r="E216" s="43"/>
      <c r="F216" s="43"/>
      <c r="G216" s="43"/>
      <c r="H216" s="43"/>
      <c r="I216" s="43"/>
      <c r="J216" s="43"/>
      <c r="K216" s="43"/>
      <c r="L216" s="43"/>
      <c r="M216" s="43"/>
      <c r="N216" s="43"/>
      <c r="O216" s="43"/>
      <c r="P216" s="165"/>
      <c r="Q216" s="43"/>
      <c r="R216" s="170"/>
      <c r="S216" s="43"/>
      <c r="T216" s="2"/>
    </row>
    <row r="217" spans="1:20" ht="15.75" x14ac:dyDescent="0.25">
      <c r="A217" s="73"/>
      <c r="B217" s="63" t="s">
        <v>65</v>
      </c>
      <c r="C217" s="64"/>
      <c r="D217" s="64"/>
      <c r="E217" s="64"/>
      <c r="F217" s="64"/>
      <c r="G217" s="64"/>
      <c r="H217" s="64"/>
      <c r="I217" s="64"/>
      <c r="J217" s="64"/>
      <c r="K217" s="64"/>
      <c r="L217" s="64"/>
      <c r="M217" s="64"/>
      <c r="N217" s="64"/>
      <c r="O217" s="64" t="s">
        <v>87</v>
      </c>
      <c r="P217" s="74" t="s">
        <v>92</v>
      </c>
      <c r="Q217" s="56"/>
      <c r="R217" s="56"/>
      <c r="S217" s="56"/>
      <c r="T217" s="2"/>
    </row>
    <row r="218" spans="1:20" ht="15.75" x14ac:dyDescent="0.25">
      <c r="A218" s="53"/>
      <c r="B218" s="81" t="s">
        <v>66</v>
      </c>
      <c r="C218" s="80"/>
      <c r="D218" s="98"/>
      <c r="E218" s="98"/>
      <c r="F218" s="98"/>
      <c r="G218" s="98"/>
      <c r="H218" s="98"/>
      <c r="I218" s="98"/>
      <c r="J218" s="98"/>
      <c r="K218" s="98"/>
      <c r="L218" s="98"/>
      <c r="M218" s="98"/>
      <c r="N218" s="98"/>
      <c r="O218" s="98">
        <v>0</v>
      </c>
      <c r="P218" s="99">
        <v>0</v>
      </c>
      <c r="Q218" s="81"/>
      <c r="R218" s="96"/>
      <c r="S218" s="54"/>
      <c r="T218" s="2"/>
    </row>
    <row r="219" spans="1:20" ht="15.75" x14ac:dyDescent="0.25">
      <c r="A219" s="178"/>
      <c r="B219" s="116" t="s">
        <v>118</v>
      </c>
      <c r="C219" s="158"/>
      <c r="D219" s="126"/>
      <c r="E219" s="126"/>
      <c r="F219" s="126"/>
      <c r="G219" s="126"/>
      <c r="H219" s="126"/>
      <c r="I219" s="126"/>
      <c r="J219" s="126"/>
      <c r="K219" s="126"/>
      <c r="L219" s="126"/>
      <c r="M219" s="126"/>
      <c r="N219" s="126"/>
      <c r="O219" s="179">
        <f>+N271</f>
        <v>0</v>
      </c>
      <c r="P219" s="180">
        <f>+P271</f>
        <v>0</v>
      </c>
      <c r="Q219" s="116"/>
      <c r="R219" s="181"/>
      <c r="S219" s="182"/>
      <c r="T219" s="2"/>
    </row>
    <row r="220" spans="1:20" ht="15.75" x14ac:dyDescent="0.25">
      <c r="A220" s="178"/>
      <c r="B220" s="116" t="s">
        <v>67</v>
      </c>
      <c r="C220" s="158"/>
      <c r="D220" s="126"/>
      <c r="E220" s="126"/>
      <c r="F220" s="126"/>
      <c r="G220" s="126"/>
      <c r="H220" s="126"/>
      <c r="I220" s="126"/>
      <c r="J220" s="126"/>
      <c r="K220" s="126"/>
      <c r="L220" s="126"/>
      <c r="M220" s="126"/>
      <c r="N220" s="126"/>
      <c r="O220" s="179">
        <f>+N283</f>
        <v>0</v>
      </c>
      <c r="P220" s="180">
        <f>+P283</f>
        <v>0</v>
      </c>
      <c r="Q220" s="116"/>
      <c r="R220" s="181"/>
      <c r="S220" s="182"/>
      <c r="T220" s="2"/>
    </row>
    <row r="221" spans="1:20" ht="15.75" x14ac:dyDescent="0.25">
      <c r="A221" s="178"/>
      <c r="B221" s="137" t="s">
        <v>68</v>
      </c>
      <c r="C221" s="183"/>
      <c r="D221" s="138"/>
      <c r="E221" s="138"/>
      <c r="F221" s="138"/>
      <c r="G221" s="138"/>
      <c r="H221" s="138"/>
      <c r="I221" s="138"/>
      <c r="J221" s="138"/>
      <c r="K221" s="138"/>
      <c r="L221" s="138"/>
      <c r="M221" s="138"/>
      <c r="N221" s="138"/>
      <c r="O221" s="116"/>
      <c r="P221" s="180">
        <f>+P56</f>
        <v>2127</v>
      </c>
      <c r="Q221" s="138"/>
      <c r="R221" s="184"/>
      <c r="S221" s="182"/>
      <c r="T221" s="2"/>
    </row>
    <row r="222" spans="1:20" ht="15.75" x14ac:dyDescent="0.25">
      <c r="A222" s="178"/>
      <c r="B222" s="137" t="s">
        <v>150</v>
      </c>
      <c r="C222" s="183"/>
      <c r="D222" s="138"/>
      <c r="E222" s="138"/>
      <c r="F222" s="138"/>
      <c r="G222" s="138"/>
      <c r="H222" s="138"/>
      <c r="I222" s="138"/>
      <c r="J222" s="138"/>
      <c r="K222" s="138"/>
      <c r="L222" s="138"/>
      <c r="M222" s="138"/>
      <c r="N222" s="138"/>
      <c r="O222" s="116"/>
      <c r="P222" s="180">
        <f>-J69</f>
        <v>0</v>
      </c>
      <c r="Q222" s="138"/>
      <c r="R222" s="184"/>
      <c r="S222" s="182"/>
      <c r="T222" s="2"/>
    </row>
    <row r="223" spans="1:20" ht="15.75" x14ac:dyDescent="0.25">
      <c r="A223" s="185"/>
      <c r="B223" s="137" t="s">
        <v>69</v>
      </c>
      <c r="C223" s="186"/>
      <c r="D223" s="138"/>
      <c r="E223" s="138"/>
      <c r="F223" s="138"/>
      <c r="G223" s="138"/>
      <c r="H223" s="138"/>
      <c r="I223" s="138"/>
      <c r="J223" s="138"/>
      <c r="K223" s="138"/>
      <c r="L223" s="138"/>
      <c r="M223" s="138"/>
      <c r="N223" s="138"/>
      <c r="O223" s="116"/>
      <c r="P223" s="180"/>
      <c r="Q223" s="138"/>
      <c r="R223" s="184"/>
      <c r="S223" s="187"/>
      <c r="T223" s="2"/>
    </row>
    <row r="224" spans="1:20" ht="15.75" x14ac:dyDescent="0.25">
      <c r="A224" s="185"/>
      <c r="B224" s="121" t="s">
        <v>70</v>
      </c>
      <c r="C224" s="186"/>
      <c r="D224" s="138"/>
      <c r="E224" s="138"/>
      <c r="F224" s="138"/>
      <c r="G224" s="138"/>
      <c r="H224" s="138"/>
      <c r="I224" s="138"/>
      <c r="J224" s="138"/>
      <c r="K224" s="138"/>
      <c r="L224" s="138"/>
      <c r="M224" s="138"/>
      <c r="N224" s="138"/>
      <c r="O224" s="126"/>
      <c r="P224" s="180">
        <f>R154</f>
        <v>0</v>
      </c>
      <c r="Q224" s="138"/>
      <c r="R224" s="184"/>
      <c r="S224" s="187"/>
      <c r="T224" s="2"/>
    </row>
    <row r="225" spans="1:20" ht="15.75" x14ac:dyDescent="0.25">
      <c r="A225" s="178"/>
      <c r="B225" s="116" t="s">
        <v>71</v>
      </c>
      <c r="C225" s="183"/>
      <c r="D225" s="138"/>
      <c r="E225" s="138"/>
      <c r="F225" s="138"/>
      <c r="G225" s="138"/>
      <c r="H225" s="138"/>
      <c r="I225" s="138"/>
      <c r="J225" s="138"/>
      <c r="K225" s="138"/>
      <c r="L225" s="138"/>
      <c r="M225" s="138"/>
      <c r="N225" s="138"/>
      <c r="O225" s="126"/>
      <c r="P225" s="180">
        <f>'Sept 15'!P224+P224</f>
        <v>0</v>
      </c>
      <c r="Q225" s="138"/>
      <c r="R225" s="184"/>
      <c r="S225" s="187"/>
      <c r="T225" s="2"/>
    </row>
    <row r="226" spans="1:20" ht="15.75" x14ac:dyDescent="0.25">
      <c r="A226" s="185"/>
      <c r="B226" s="137" t="s">
        <v>163</v>
      </c>
      <c r="C226" s="186"/>
      <c r="D226" s="138"/>
      <c r="E226" s="138"/>
      <c r="F226" s="138"/>
      <c r="G226" s="138"/>
      <c r="H226" s="138"/>
      <c r="I226" s="138"/>
      <c r="J226" s="138"/>
      <c r="K226" s="138"/>
      <c r="L226" s="138"/>
      <c r="M226" s="138"/>
      <c r="N226" s="138"/>
      <c r="O226" s="126"/>
      <c r="P226" s="180"/>
      <c r="Q226" s="138"/>
      <c r="R226" s="184"/>
      <c r="S226" s="187"/>
      <c r="T226" s="2"/>
    </row>
    <row r="227" spans="1:20" ht="15.75" x14ac:dyDescent="0.25">
      <c r="A227" s="185"/>
      <c r="B227" s="116" t="s">
        <v>178</v>
      </c>
      <c r="C227" s="186"/>
      <c r="D227" s="138"/>
      <c r="E227" s="138"/>
      <c r="F227" s="138"/>
      <c r="G227" s="138"/>
      <c r="H227" s="138"/>
      <c r="I227" s="138"/>
      <c r="J227" s="138"/>
      <c r="K227" s="138"/>
      <c r="L227" s="138"/>
      <c r="M227" s="138"/>
      <c r="N227" s="138"/>
      <c r="O227" s="126">
        <v>0</v>
      </c>
      <c r="P227" s="180">
        <v>0</v>
      </c>
      <c r="Q227" s="138"/>
      <c r="R227" s="184"/>
      <c r="S227" s="187"/>
      <c r="T227" s="2"/>
    </row>
    <row r="228" spans="1:20" ht="15.75" x14ac:dyDescent="0.25">
      <c r="A228" s="178"/>
      <c r="B228" s="116" t="s">
        <v>72</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16" t="s">
        <v>73</v>
      </c>
      <c r="C229" s="188"/>
      <c r="D229" s="138"/>
      <c r="E229" s="138"/>
      <c r="F229" s="138"/>
      <c r="G229" s="138"/>
      <c r="H229" s="138"/>
      <c r="I229" s="138"/>
      <c r="J229" s="138"/>
      <c r="K229" s="138"/>
      <c r="L229" s="138"/>
      <c r="M229" s="138"/>
      <c r="N229" s="138"/>
      <c r="O229" s="116"/>
      <c r="P229" s="189">
        <v>0</v>
      </c>
      <c r="Q229" s="138"/>
      <c r="R229" s="184"/>
      <c r="S229" s="187"/>
      <c r="T229" s="2"/>
    </row>
    <row r="230" spans="1:20" ht="15.75" x14ac:dyDescent="0.25">
      <c r="A230" s="178"/>
      <c r="B230" s="137" t="s">
        <v>145</v>
      </c>
      <c r="C230" s="188"/>
      <c r="D230" s="138"/>
      <c r="E230" s="138"/>
      <c r="F230" s="138"/>
      <c r="G230" s="138"/>
      <c r="H230" s="138"/>
      <c r="I230" s="138"/>
      <c r="J230" s="138"/>
      <c r="K230" s="138"/>
      <c r="L230" s="138"/>
      <c r="M230" s="138"/>
      <c r="N230" s="138"/>
      <c r="O230" s="116"/>
      <c r="P230" s="190"/>
      <c r="Q230" s="138"/>
      <c r="R230" s="184"/>
      <c r="S230" s="187"/>
      <c r="T230" s="2"/>
    </row>
    <row r="231" spans="1:20" ht="15.75" x14ac:dyDescent="0.25">
      <c r="A231" s="178"/>
      <c r="B231" s="116" t="s">
        <v>178</v>
      </c>
      <c r="C231" s="188"/>
      <c r="D231" s="138"/>
      <c r="E231" s="138"/>
      <c r="F231" s="138"/>
      <c r="G231" s="138"/>
      <c r="H231" s="138"/>
      <c r="I231" s="138"/>
      <c r="J231" s="138"/>
      <c r="K231" s="138"/>
      <c r="L231" s="138"/>
      <c r="M231" s="138"/>
      <c r="N231" s="138"/>
      <c r="O231" s="126">
        <v>0</v>
      </c>
      <c r="P231" s="180">
        <v>0</v>
      </c>
      <c r="Q231" s="138"/>
      <c r="R231" s="184"/>
      <c r="S231" s="187"/>
      <c r="T231" s="2"/>
    </row>
    <row r="232" spans="1:20" ht="15.75" x14ac:dyDescent="0.25">
      <c r="A232" s="178"/>
      <c r="B232" s="116" t="s">
        <v>146</v>
      </c>
      <c r="C232" s="188"/>
      <c r="D232" s="138"/>
      <c r="E232" s="138"/>
      <c r="F232" s="138"/>
      <c r="G232" s="138"/>
      <c r="H232" s="138"/>
      <c r="I232" s="138"/>
      <c r="J232" s="138"/>
      <c r="K232" s="138"/>
      <c r="L232" s="138"/>
      <c r="M232" s="138"/>
      <c r="N232" s="138"/>
      <c r="O232" s="116"/>
      <c r="P232" s="189">
        <v>0</v>
      </c>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16"/>
      <c r="P233" s="190"/>
      <c r="Q233" s="138"/>
      <c r="R233" s="184"/>
      <c r="S233" s="187"/>
      <c r="T233" s="2"/>
    </row>
    <row r="234" spans="1:20" ht="15.75" x14ac:dyDescent="0.25">
      <c r="A234" s="178"/>
      <c r="B234" s="186"/>
      <c r="C234" s="188"/>
      <c r="D234" s="138"/>
      <c r="E234" s="138"/>
      <c r="F234" s="138"/>
      <c r="G234" s="138"/>
      <c r="H234" s="138"/>
      <c r="I234" s="138"/>
      <c r="J234" s="138"/>
      <c r="K234" s="138"/>
      <c r="L234" s="138"/>
      <c r="M234" s="138"/>
      <c r="N234" s="138"/>
      <c r="O234" s="138"/>
      <c r="P234" s="191"/>
      <c r="Q234" s="138"/>
      <c r="R234" s="184"/>
      <c r="S234" s="187"/>
      <c r="T234" s="2"/>
    </row>
    <row r="235" spans="1:20" ht="18.75" x14ac:dyDescent="0.3">
      <c r="A235" s="178"/>
      <c r="B235" s="192" t="s">
        <v>135</v>
      </c>
      <c r="C235" s="188"/>
      <c r="D235" s="138"/>
      <c r="E235" s="138"/>
      <c r="F235" s="138"/>
      <c r="G235" s="138"/>
      <c r="H235" s="138"/>
      <c r="I235" s="138"/>
      <c r="J235" s="138"/>
      <c r="K235" s="138"/>
      <c r="L235" s="193"/>
      <c r="M235" s="138"/>
      <c r="N235" s="193" t="s">
        <v>134</v>
      </c>
      <c r="O235" s="193"/>
      <c r="P235" s="191"/>
      <c r="Q235" s="138"/>
      <c r="R235" s="184"/>
      <c r="S235" s="187"/>
      <c r="T235" s="2"/>
    </row>
    <row r="236" spans="1:20" ht="18.75" x14ac:dyDescent="0.3">
      <c r="A236" s="174"/>
      <c r="B236" s="206"/>
      <c r="C236" s="175"/>
      <c r="D236" s="43"/>
      <c r="E236" s="43"/>
      <c r="F236" s="43"/>
      <c r="G236" s="43"/>
      <c r="H236" s="43"/>
      <c r="I236" s="43"/>
      <c r="J236" s="43"/>
      <c r="K236" s="43"/>
      <c r="L236" s="207"/>
      <c r="M236" s="43"/>
      <c r="N236" s="43"/>
      <c r="O236" s="43"/>
      <c r="P236" s="176"/>
      <c r="Q236" s="43"/>
      <c r="R236" s="170"/>
      <c r="S236" s="177"/>
      <c r="T236" s="2"/>
    </row>
    <row r="237" spans="1:20" ht="15.75" x14ac:dyDescent="0.25">
      <c r="A237" s="55"/>
      <c r="B237" s="63" t="s">
        <v>165</v>
      </c>
      <c r="C237" s="64"/>
      <c r="D237" s="64"/>
      <c r="E237" s="64"/>
      <c r="F237" s="64"/>
      <c r="G237" s="64"/>
      <c r="H237" s="64"/>
      <c r="I237" s="64"/>
      <c r="J237" s="64"/>
      <c r="K237" s="64"/>
      <c r="L237" s="64"/>
      <c r="M237" s="64"/>
      <c r="N237" s="74" t="s">
        <v>87</v>
      </c>
      <c r="O237" s="64" t="s">
        <v>88</v>
      </c>
      <c r="P237" s="74" t="s">
        <v>93</v>
      </c>
      <c r="Q237" s="64" t="s">
        <v>88</v>
      </c>
      <c r="R237" s="56"/>
      <c r="S237" s="63"/>
      <c r="T237" s="2"/>
    </row>
    <row r="238" spans="1:20" ht="15.75" x14ac:dyDescent="0.25">
      <c r="A238" s="24"/>
      <c r="B238" s="80" t="s">
        <v>74</v>
      </c>
      <c r="C238" s="95"/>
      <c r="D238" s="95"/>
      <c r="E238" s="95"/>
      <c r="F238" s="95"/>
      <c r="G238" s="95"/>
      <c r="H238" s="95"/>
      <c r="I238" s="95"/>
      <c r="J238" s="95"/>
      <c r="K238" s="95"/>
      <c r="L238" s="95"/>
      <c r="M238" s="95"/>
      <c r="N238" s="80">
        <f t="shared" ref="N238:N245" si="0">+N250+N262+N274</f>
        <v>0</v>
      </c>
      <c r="O238" s="83">
        <v>0</v>
      </c>
      <c r="P238" s="84">
        <f t="shared" ref="P238:P245" si="1">+P250+P262+P274</f>
        <v>0</v>
      </c>
      <c r="Q238" s="83">
        <v>0</v>
      </c>
      <c r="R238" s="96"/>
      <c r="S238" s="97"/>
      <c r="T238" s="2"/>
    </row>
    <row r="239" spans="1:20" ht="15.75" x14ac:dyDescent="0.25">
      <c r="A239" s="115"/>
      <c r="B239" s="158" t="s">
        <v>75</v>
      </c>
      <c r="C239" s="197"/>
      <c r="D239" s="197"/>
      <c r="E239" s="197"/>
      <c r="F239" s="197"/>
      <c r="G239" s="197"/>
      <c r="H239" s="197"/>
      <c r="I239" s="197"/>
      <c r="J239" s="197"/>
      <c r="K239" s="197"/>
      <c r="L239" s="197"/>
      <c r="M239" s="197"/>
      <c r="N239" s="158">
        <f t="shared" si="0"/>
        <v>0</v>
      </c>
      <c r="O239" s="198">
        <v>0</v>
      </c>
      <c r="P239" s="159">
        <f t="shared" si="1"/>
        <v>0</v>
      </c>
      <c r="Q239" s="198">
        <v>0</v>
      </c>
      <c r="R239" s="181"/>
      <c r="S239" s="199"/>
      <c r="T239" s="2"/>
    </row>
    <row r="240" spans="1:20" ht="15.75" x14ac:dyDescent="0.25">
      <c r="A240" s="115"/>
      <c r="B240" s="158" t="s">
        <v>76</v>
      </c>
      <c r="C240" s="197"/>
      <c r="D240" s="197"/>
      <c r="E240" s="197"/>
      <c r="F240" s="197"/>
      <c r="G240" s="197"/>
      <c r="H240" s="197"/>
      <c r="I240" s="197"/>
      <c r="J240" s="197"/>
      <c r="K240" s="197"/>
      <c r="L240" s="197"/>
      <c r="M240" s="197"/>
      <c r="N240" s="158">
        <f t="shared" si="0"/>
        <v>0</v>
      </c>
      <c r="O240" s="198">
        <v>0</v>
      </c>
      <c r="P240" s="159">
        <f t="shared" si="1"/>
        <v>0</v>
      </c>
      <c r="Q240" s="198">
        <v>0</v>
      </c>
      <c r="R240" s="181"/>
      <c r="S240" s="199"/>
      <c r="T240" s="2"/>
    </row>
    <row r="241" spans="1:21" ht="15.75" x14ac:dyDescent="0.25">
      <c r="A241" s="115"/>
      <c r="B241" s="158" t="s">
        <v>125</v>
      </c>
      <c r="C241" s="197"/>
      <c r="D241" s="197"/>
      <c r="E241" s="197"/>
      <c r="F241" s="197"/>
      <c r="G241" s="197"/>
      <c r="H241" s="197"/>
      <c r="I241" s="197"/>
      <c r="J241" s="197"/>
      <c r="K241" s="197"/>
      <c r="L241" s="197"/>
      <c r="M241" s="197"/>
      <c r="N241" s="158">
        <f t="shared" si="0"/>
        <v>0</v>
      </c>
      <c r="O241" s="198">
        <v>0</v>
      </c>
      <c r="P241" s="159">
        <f t="shared" si="1"/>
        <v>0</v>
      </c>
      <c r="Q241" s="198">
        <v>0</v>
      </c>
      <c r="R241" s="181"/>
      <c r="S241" s="199"/>
      <c r="T241" s="2"/>
    </row>
    <row r="242" spans="1:21" ht="15.75" x14ac:dyDescent="0.25">
      <c r="A242" s="115"/>
      <c r="B242" s="158" t="s">
        <v>126</v>
      </c>
      <c r="C242" s="197"/>
      <c r="D242" s="197"/>
      <c r="E242" s="197"/>
      <c r="F242" s="197"/>
      <c r="G242" s="197"/>
      <c r="H242" s="197"/>
      <c r="I242" s="197"/>
      <c r="J242" s="197"/>
      <c r="K242" s="197"/>
      <c r="L242" s="197"/>
      <c r="M242" s="197"/>
      <c r="N242" s="158">
        <f t="shared" si="0"/>
        <v>0</v>
      </c>
      <c r="O242" s="198">
        <v>0</v>
      </c>
      <c r="P242" s="159">
        <f t="shared" si="1"/>
        <v>0</v>
      </c>
      <c r="Q242" s="198">
        <v>0</v>
      </c>
      <c r="R242" s="181"/>
      <c r="S242" s="199"/>
      <c r="T242" s="2"/>
    </row>
    <row r="243" spans="1:21" ht="15.75" x14ac:dyDescent="0.25">
      <c r="A243" s="115"/>
      <c r="B243" s="158" t="s">
        <v>127</v>
      </c>
      <c r="C243" s="197"/>
      <c r="D243" s="197"/>
      <c r="E243" s="197"/>
      <c r="F243" s="197"/>
      <c r="G243" s="197"/>
      <c r="H243" s="197"/>
      <c r="I243" s="197"/>
      <c r="J243" s="197"/>
      <c r="K243" s="197"/>
      <c r="L243" s="197"/>
      <c r="M243" s="197"/>
      <c r="N243" s="158">
        <f t="shared" si="0"/>
        <v>0</v>
      </c>
      <c r="O243" s="198">
        <v>0</v>
      </c>
      <c r="P243" s="159">
        <f t="shared" si="1"/>
        <v>0</v>
      </c>
      <c r="Q243" s="198">
        <v>0</v>
      </c>
      <c r="R243" s="181"/>
      <c r="S243" s="199"/>
      <c r="T243" s="2"/>
    </row>
    <row r="244" spans="1:21" ht="15.75" x14ac:dyDescent="0.25">
      <c r="A244" s="115"/>
      <c r="B244" s="158" t="s">
        <v>128</v>
      </c>
      <c r="C244" s="197"/>
      <c r="D244" s="197"/>
      <c r="E244" s="197"/>
      <c r="F244" s="197"/>
      <c r="G244" s="197"/>
      <c r="H244" s="197"/>
      <c r="I244" s="197"/>
      <c r="J244" s="197"/>
      <c r="K244" s="197"/>
      <c r="L244" s="197"/>
      <c r="M244" s="197"/>
      <c r="N244" s="158">
        <f t="shared" si="0"/>
        <v>0</v>
      </c>
      <c r="O244" s="198">
        <v>0</v>
      </c>
      <c r="P244" s="159">
        <f t="shared" si="1"/>
        <v>0</v>
      </c>
      <c r="Q244" s="198">
        <v>0</v>
      </c>
      <c r="R244" s="181"/>
      <c r="S244" s="199"/>
      <c r="T244" s="2"/>
    </row>
    <row r="245" spans="1:21" ht="15.75" x14ac:dyDescent="0.25">
      <c r="A245" s="115"/>
      <c r="B245" s="158" t="s">
        <v>129</v>
      </c>
      <c r="C245" s="197"/>
      <c r="D245" s="197"/>
      <c r="E245" s="197"/>
      <c r="F245" s="197"/>
      <c r="G245" s="197"/>
      <c r="H245" s="197"/>
      <c r="I245" s="197"/>
      <c r="J245" s="197"/>
      <c r="K245" s="197"/>
      <c r="L245" s="197"/>
      <c r="M245" s="197"/>
      <c r="N245" s="204">
        <f t="shared" si="0"/>
        <v>0</v>
      </c>
      <c r="O245" s="198">
        <v>0</v>
      </c>
      <c r="P245" s="201">
        <f t="shared" si="1"/>
        <v>0</v>
      </c>
      <c r="Q245" s="198">
        <v>0</v>
      </c>
      <c r="R245" s="181"/>
      <c r="S245" s="199"/>
      <c r="T245" s="2"/>
    </row>
    <row r="246" spans="1:21" ht="15.75" x14ac:dyDescent="0.25">
      <c r="A246" s="115"/>
      <c r="B246" s="158"/>
      <c r="C246" s="197"/>
      <c r="D246" s="197"/>
      <c r="E246" s="197"/>
      <c r="F246" s="197"/>
      <c r="G246" s="197"/>
      <c r="H246" s="197"/>
      <c r="I246" s="197"/>
      <c r="J246" s="197"/>
      <c r="K246" s="197"/>
      <c r="L246" s="197"/>
      <c r="M246" s="197"/>
      <c r="N246" s="158"/>
      <c r="O246" s="198"/>
      <c r="P246" s="159"/>
      <c r="Q246" s="198"/>
      <c r="R246" s="181"/>
      <c r="S246" s="199"/>
      <c r="T246" s="2"/>
    </row>
    <row r="247" spans="1:21" ht="15.75" x14ac:dyDescent="0.25">
      <c r="A247" s="115"/>
      <c r="B247" s="116" t="s">
        <v>98</v>
      </c>
      <c r="C247" s="116"/>
      <c r="D247" s="200"/>
      <c r="E247" s="200"/>
      <c r="F247" s="200"/>
      <c r="G247" s="200"/>
      <c r="H247" s="200"/>
      <c r="I247" s="200"/>
      <c r="J247" s="200"/>
      <c r="K247" s="200"/>
      <c r="L247" s="200"/>
      <c r="M247" s="200"/>
      <c r="N247" s="158">
        <f>SUM(N238:N246)</f>
        <v>0</v>
      </c>
      <c r="O247" s="198">
        <f>SUM(O238:O246)</f>
        <v>0</v>
      </c>
      <c r="P247" s="159">
        <f>SUM(P238:P246)</f>
        <v>0</v>
      </c>
      <c r="Q247" s="198">
        <f>SUM(Q238:Q246)</f>
        <v>0</v>
      </c>
      <c r="R247" s="116"/>
      <c r="S247" s="119"/>
      <c r="T247" s="2"/>
    </row>
    <row r="248" spans="1:21" ht="15.75" x14ac:dyDescent="0.25">
      <c r="A248" s="12"/>
      <c r="B248" s="169"/>
      <c r="C248" s="175"/>
      <c r="D248" s="43"/>
      <c r="E248" s="43"/>
      <c r="F248" s="43"/>
      <c r="G248" s="43"/>
      <c r="H248" s="43"/>
      <c r="I248" s="43"/>
      <c r="J248" s="43"/>
      <c r="K248" s="43"/>
      <c r="L248" s="43"/>
      <c r="M248" s="43"/>
      <c r="N248" s="43"/>
      <c r="O248" s="43"/>
      <c r="P248" s="176"/>
      <c r="Q248" s="43"/>
      <c r="R248" s="43"/>
      <c r="S248" s="43"/>
      <c r="T248" s="2"/>
    </row>
    <row r="249" spans="1:21" ht="15.75" x14ac:dyDescent="0.25">
      <c r="A249" s="55"/>
      <c r="B249" s="63" t="s">
        <v>130</v>
      </c>
      <c r="C249" s="64"/>
      <c r="D249" s="64"/>
      <c r="E249" s="64"/>
      <c r="F249" s="64"/>
      <c r="G249" s="64"/>
      <c r="H249" s="64"/>
      <c r="I249" s="64"/>
      <c r="J249" s="64"/>
      <c r="K249" s="64"/>
      <c r="L249" s="64"/>
      <c r="M249" s="64"/>
      <c r="N249" s="74" t="s">
        <v>87</v>
      </c>
      <c r="O249" s="64" t="s">
        <v>88</v>
      </c>
      <c r="P249" s="74" t="s">
        <v>93</v>
      </c>
      <c r="Q249" s="64" t="s">
        <v>88</v>
      </c>
      <c r="R249" s="56"/>
      <c r="S249" s="63"/>
      <c r="T249" s="2"/>
    </row>
    <row r="250" spans="1:21" ht="15.75" x14ac:dyDescent="0.25">
      <c r="A250" s="24"/>
      <c r="B250" s="80" t="s">
        <v>74</v>
      </c>
      <c r="C250" s="95"/>
      <c r="D250" s="95"/>
      <c r="E250" s="95"/>
      <c r="F250" s="95"/>
      <c r="G250" s="95"/>
      <c r="H250" s="95"/>
      <c r="I250" s="95"/>
      <c r="J250" s="95"/>
      <c r="K250" s="95"/>
      <c r="L250" s="95"/>
      <c r="M250" s="95"/>
      <c r="N250" s="80">
        <v>0</v>
      </c>
      <c r="O250" s="83">
        <v>0</v>
      </c>
      <c r="P250" s="84">
        <v>0</v>
      </c>
      <c r="Q250" s="83">
        <v>0</v>
      </c>
      <c r="R250" s="96"/>
      <c r="S250" s="97"/>
      <c r="T250" s="2"/>
    </row>
    <row r="251" spans="1:21" ht="15.75" x14ac:dyDescent="0.25">
      <c r="A251" s="115"/>
      <c r="B251" s="158" t="s">
        <v>75</v>
      </c>
      <c r="C251" s="197"/>
      <c r="D251" s="197"/>
      <c r="E251" s="197"/>
      <c r="F251" s="197"/>
      <c r="G251" s="197"/>
      <c r="H251" s="197"/>
      <c r="I251" s="197"/>
      <c r="J251" s="197"/>
      <c r="K251" s="197"/>
      <c r="L251" s="197"/>
      <c r="M251" s="197"/>
      <c r="N251" s="158">
        <v>0</v>
      </c>
      <c r="O251" s="198">
        <v>0</v>
      </c>
      <c r="P251" s="159">
        <v>0</v>
      </c>
      <c r="Q251" s="198">
        <v>0</v>
      </c>
      <c r="R251" s="181"/>
      <c r="S251" s="199"/>
      <c r="T251" s="2"/>
      <c r="U251" s="4"/>
    </row>
    <row r="252" spans="1:21" ht="15.75" x14ac:dyDescent="0.25">
      <c r="A252" s="115"/>
      <c r="B252" s="158" t="s">
        <v>76</v>
      </c>
      <c r="C252" s="197"/>
      <c r="D252" s="197"/>
      <c r="E252" s="197"/>
      <c r="F252" s="197"/>
      <c r="G252" s="197"/>
      <c r="H252" s="197"/>
      <c r="I252" s="197"/>
      <c r="J252" s="197"/>
      <c r="K252" s="197"/>
      <c r="L252" s="197"/>
      <c r="M252" s="197"/>
      <c r="N252" s="158">
        <v>0</v>
      </c>
      <c r="O252" s="198">
        <v>0</v>
      </c>
      <c r="P252" s="159">
        <v>0</v>
      </c>
      <c r="Q252" s="198">
        <v>0</v>
      </c>
      <c r="R252" s="181"/>
      <c r="S252" s="199"/>
      <c r="T252" s="2"/>
    </row>
    <row r="253" spans="1:21" ht="15.75" x14ac:dyDescent="0.25">
      <c r="A253" s="115"/>
      <c r="B253" s="158" t="s">
        <v>125</v>
      </c>
      <c r="C253" s="197"/>
      <c r="D253" s="197"/>
      <c r="E253" s="197"/>
      <c r="F253" s="197"/>
      <c r="G253" s="197"/>
      <c r="H253" s="197"/>
      <c r="I253" s="197"/>
      <c r="J253" s="197"/>
      <c r="K253" s="197"/>
      <c r="L253" s="197"/>
      <c r="M253" s="197"/>
      <c r="N253" s="158">
        <v>0</v>
      </c>
      <c r="O253" s="198">
        <v>0</v>
      </c>
      <c r="P253" s="159">
        <v>0</v>
      </c>
      <c r="Q253" s="198">
        <v>0</v>
      </c>
      <c r="R253" s="181"/>
      <c r="S253" s="199"/>
      <c r="T253" s="2"/>
      <c r="U253" s="4"/>
    </row>
    <row r="254" spans="1:21" ht="15.75" x14ac:dyDescent="0.25">
      <c r="A254" s="115"/>
      <c r="B254" s="158" t="s">
        <v>126</v>
      </c>
      <c r="C254" s="197"/>
      <c r="D254" s="197"/>
      <c r="E254" s="197"/>
      <c r="F254" s="197"/>
      <c r="G254" s="197"/>
      <c r="H254" s="197"/>
      <c r="I254" s="197"/>
      <c r="J254" s="197"/>
      <c r="K254" s="197"/>
      <c r="L254" s="197"/>
      <c r="M254" s="197"/>
      <c r="N254" s="158">
        <v>0</v>
      </c>
      <c r="O254" s="198">
        <v>0</v>
      </c>
      <c r="P254" s="159">
        <v>0</v>
      </c>
      <c r="Q254" s="198">
        <v>0</v>
      </c>
      <c r="R254" s="181"/>
      <c r="S254" s="199"/>
      <c r="T254" s="2"/>
    </row>
    <row r="255" spans="1:21" ht="15.75" x14ac:dyDescent="0.25">
      <c r="A255" s="115"/>
      <c r="B255" s="158" t="s">
        <v>127</v>
      </c>
      <c r="C255" s="197"/>
      <c r="D255" s="197"/>
      <c r="E255" s="197"/>
      <c r="F255" s="197"/>
      <c r="G255" s="197"/>
      <c r="H255" s="197"/>
      <c r="I255" s="197"/>
      <c r="J255" s="197"/>
      <c r="K255" s="197"/>
      <c r="L255" s="197"/>
      <c r="M255" s="197"/>
      <c r="N255" s="158">
        <v>0</v>
      </c>
      <c r="O255" s="198">
        <v>0</v>
      </c>
      <c r="P255" s="159">
        <v>0</v>
      </c>
      <c r="Q255" s="198">
        <v>0</v>
      </c>
      <c r="R255" s="181"/>
      <c r="S255" s="199"/>
      <c r="T255" s="2"/>
      <c r="U255" s="4"/>
    </row>
    <row r="256" spans="1:21" ht="15.75" x14ac:dyDescent="0.25">
      <c r="A256" s="115"/>
      <c r="B256" s="158" t="s">
        <v>128</v>
      </c>
      <c r="C256" s="197"/>
      <c r="D256" s="197"/>
      <c r="E256" s="197"/>
      <c r="F256" s="197"/>
      <c r="G256" s="197"/>
      <c r="H256" s="197"/>
      <c r="I256" s="197"/>
      <c r="J256" s="197"/>
      <c r="K256" s="197"/>
      <c r="L256" s="197"/>
      <c r="M256" s="197"/>
      <c r="N256" s="158">
        <v>0</v>
      </c>
      <c r="O256" s="198">
        <v>0</v>
      </c>
      <c r="P256" s="159">
        <v>0</v>
      </c>
      <c r="Q256" s="198">
        <v>0</v>
      </c>
      <c r="R256" s="181"/>
      <c r="S256" s="199"/>
      <c r="T256" s="2"/>
    </row>
    <row r="257" spans="1:21" ht="15.75" x14ac:dyDescent="0.25">
      <c r="A257" s="115"/>
      <c r="B257" s="158" t="s">
        <v>129</v>
      </c>
      <c r="C257" s="197"/>
      <c r="D257" s="197"/>
      <c r="E257" s="197"/>
      <c r="F257" s="197"/>
      <c r="G257" s="197"/>
      <c r="H257" s="197"/>
      <c r="I257" s="197"/>
      <c r="J257" s="197"/>
      <c r="K257" s="197"/>
      <c r="L257" s="197"/>
      <c r="M257" s="197"/>
      <c r="N257" s="158">
        <v>0</v>
      </c>
      <c r="O257" s="198">
        <v>0</v>
      </c>
      <c r="P257" s="159">
        <v>0</v>
      </c>
      <c r="Q257" s="198">
        <v>0</v>
      </c>
      <c r="R257" s="181"/>
      <c r="S257" s="199"/>
      <c r="T257" s="2"/>
      <c r="U257" s="4"/>
    </row>
    <row r="258" spans="1:21" ht="15.75" x14ac:dyDescent="0.25">
      <c r="A258" s="115"/>
      <c r="B258" s="158"/>
      <c r="C258" s="197"/>
      <c r="D258" s="197"/>
      <c r="E258" s="197"/>
      <c r="F258" s="197"/>
      <c r="G258" s="197"/>
      <c r="H258" s="197"/>
      <c r="I258" s="197"/>
      <c r="J258" s="197"/>
      <c r="K258" s="197"/>
      <c r="L258" s="197"/>
      <c r="M258" s="197"/>
      <c r="N258" s="158"/>
      <c r="O258" s="198"/>
      <c r="P258" s="159"/>
      <c r="Q258" s="198"/>
      <c r="R258" s="181"/>
      <c r="S258" s="199"/>
      <c r="T258" s="2"/>
    </row>
    <row r="259" spans="1:21" ht="15.75" x14ac:dyDescent="0.25">
      <c r="A259" s="115"/>
      <c r="B259" s="116" t="s">
        <v>98</v>
      </c>
      <c r="C259" s="116"/>
      <c r="D259" s="200"/>
      <c r="E259" s="200"/>
      <c r="F259" s="200"/>
      <c r="G259" s="200"/>
      <c r="H259" s="200"/>
      <c r="I259" s="200"/>
      <c r="J259" s="200"/>
      <c r="K259" s="200"/>
      <c r="L259" s="200"/>
      <c r="M259" s="200"/>
      <c r="N259" s="158">
        <f>SUM(N250:N258)</f>
        <v>0</v>
      </c>
      <c r="O259" s="198">
        <f>SUM(O250:O258)</f>
        <v>0</v>
      </c>
      <c r="P259" s="159">
        <f>SUM(P250:P258)</f>
        <v>0</v>
      </c>
      <c r="Q259" s="198">
        <f>SUM(Q250:Q258)</f>
        <v>0</v>
      </c>
      <c r="R259" s="116"/>
      <c r="S259" s="119"/>
      <c r="T259" s="2"/>
    </row>
    <row r="260" spans="1:21" ht="15.75" x14ac:dyDescent="0.25">
      <c r="A260" s="12"/>
      <c r="B260" s="43"/>
      <c r="C260" s="43"/>
      <c r="D260" s="194"/>
      <c r="E260" s="194"/>
      <c r="F260" s="194"/>
      <c r="G260" s="194"/>
      <c r="H260" s="194"/>
      <c r="I260" s="194"/>
      <c r="J260" s="194"/>
      <c r="K260" s="194"/>
      <c r="L260" s="194"/>
      <c r="M260" s="194"/>
      <c r="N260" s="156"/>
      <c r="O260" s="195"/>
      <c r="P260" s="196"/>
      <c r="Q260" s="195"/>
      <c r="R260" s="43"/>
      <c r="S260" s="43"/>
      <c r="T260" s="2"/>
    </row>
    <row r="261" spans="1:21" ht="15.75" x14ac:dyDescent="0.25">
      <c r="A261" s="75"/>
      <c r="B261" s="63" t="s">
        <v>157</v>
      </c>
      <c r="C261" s="64"/>
      <c r="D261" s="64"/>
      <c r="E261" s="64"/>
      <c r="F261" s="64"/>
      <c r="G261" s="64"/>
      <c r="H261" s="64"/>
      <c r="I261" s="64"/>
      <c r="J261" s="64"/>
      <c r="K261" s="64"/>
      <c r="L261" s="64"/>
      <c r="M261" s="64"/>
      <c r="N261" s="74" t="s">
        <v>87</v>
      </c>
      <c r="O261" s="64" t="s">
        <v>88</v>
      </c>
      <c r="P261" s="74" t="s">
        <v>93</v>
      </c>
      <c r="Q261" s="64" t="s">
        <v>88</v>
      </c>
      <c r="R261" s="76"/>
      <c r="S261" s="77"/>
      <c r="T261" s="2"/>
    </row>
    <row r="262" spans="1:21" ht="15.75" x14ac:dyDescent="0.25">
      <c r="A262" s="24"/>
      <c r="B262" s="80" t="s">
        <v>74</v>
      </c>
      <c r="C262" s="95"/>
      <c r="D262" s="95"/>
      <c r="E262" s="95"/>
      <c r="F262" s="95"/>
      <c r="G262" s="95"/>
      <c r="H262" s="95"/>
      <c r="I262" s="95"/>
      <c r="J262" s="95"/>
      <c r="K262" s="95"/>
      <c r="L262" s="95"/>
      <c r="M262" s="95"/>
      <c r="N262" s="80">
        <v>0</v>
      </c>
      <c r="O262" s="83">
        <v>0</v>
      </c>
      <c r="P262" s="84">
        <v>0</v>
      </c>
      <c r="Q262" s="83">
        <v>0</v>
      </c>
      <c r="R262" s="81"/>
      <c r="S262" s="81"/>
      <c r="T262" s="2"/>
    </row>
    <row r="263" spans="1:21" ht="15.75" x14ac:dyDescent="0.25">
      <c r="A263" s="115"/>
      <c r="B263" s="158" t="s">
        <v>75</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1" ht="15.75" x14ac:dyDescent="0.25">
      <c r="A264" s="115"/>
      <c r="B264" s="158" t="s">
        <v>76</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1" ht="15.75" x14ac:dyDescent="0.25">
      <c r="A265" s="115"/>
      <c r="B265" s="158" t="s">
        <v>125</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1" ht="15.75" x14ac:dyDescent="0.25">
      <c r="A266" s="115"/>
      <c r="B266" s="158" t="s">
        <v>126</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1" ht="15.75" x14ac:dyDescent="0.25">
      <c r="A267" s="115"/>
      <c r="B267" s="158" t="s">
        <v>127</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1" ht="15.75" x14ac:dyDescent="0.25">
      <c r="A268" s="115"/>
      <c r="B268" s="158" t="s">
        <v>128</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1" ht="15.75" x14ac:dyDescent="0.25">
      <c r="A269" s="115"/>
      <c r="B269" s="158" t="s">
        <v>129</v>
      </c>
      <c r="C269" s="197"/>
      <c r="D269" s="197"/>
      <c r="E269" s="197"/>
      <c r="F269" s="197"/>
      <c r="G269" s="197"/>
      <c r="H269" s="197"/>
      <c r="I269" s="197"/>
      <c r="J269" s="197"/>
      <c r="K269" s="197"/>
      <c r="L269" s="197"/>
      <c r="M269" s="197"/>
      <c r="N269" s="158">
        <v>0</v>
      </c>
      <c r="O269" s="198">
        <v>0</v>
      </c>
      <c r="P269" s="159">
        <v>0</v>
      </c>
      <c r="Q269" s="198">
        <v>0</v>
      </c>
      <c r="R269" s="116"/>
      <c r="S269" s="119"/>
      <c r="T269" s="2"/>
    </row>
    <row r="270" spans="1:21" ht="15.75" x14ac:dyDescent="0.25">
      <c r="A270" s="115"/>
      <c r="B270" s="158"/>
      <c r="C270" s="197"/>
      <c r="D270" s="197"/>
      <c r="E270" s="197"/>
      <c r="F270" s="197"/>
      <c r="G270" s="197"/>
      <c r="H270" s="197"/>
      <c r="I270" s="197"/>
      <c r="J270" s="197"/>
      <c r="K270" s="197"/>
      <c r="L270" s="197"/>
      <c r="M270" s="197"/>
      <c r="N270" s="158"/>
      <c r="O270" s="198"/>
      <c r="P270" s="159"/>
      <c r="Q270" s="198"/>
      <c r="R270" s="116"/>
      <c r="S270" s="119"/>
      <c r="T270" s="2"/>
    </row>
    <row r="271" spans="1:21" ht="15.75" x14ac:dyDescent="0.25">
      <c r="A271" s="115"/>
      <c r="B271" s="116" t="s">
        <v>98</v>
      </c>
      <c r="C271" s="116"/>
      <c r="D271" s="200"/>
      <c r="E271" s="200"/>
      <c r="F271" s="200"/>
      <c r="G271" s="200"/>
      <c r="H271" s="200"/>
      <c r="I271" s="200"/>
      <c r="J271" s="200"/>
      <c r="K271" s="200"/>
      <c r="L271" s="200"/>
      <c r="M271" s="200"/>
      <c r="N271" s="158">
        <f>SUM(N262:N270)</f>
        <v>0</v>
      </c>
      <c r="O271" s="198">
        <f>SUM(O262:O270)</f>
        <v>0</v>
      </c>
      <c r="P271" s="159">
        <f>SUM(P262:P270)</f>
        <v>0</v>
      </c>
      <c r="Q271" s="198">
        <f>SUM(Q262:Q270)</f>
        <v>0</v>
      </c>
      <c r="R271" s="116"/>
      <c r="S271" s="119"/>
      <c r="T271" s="2"/>
    </row>
    <row r="272" spans="1:21" ht="15.75" x14ac:dyDescent="0.25">
      <c r="A272" s="12"/>
      <c r="B272" s="43"/>
      <c r="C272" s="43"/>
      <c r="D272" s="194"/>
      <c r="E272" s="194"/>
      <c r="F272" s="194"/>
      <c r="G272" s="194"/>
      <c r="H272" s="194"/>
      <c r="I272" s="194"/>
      <c r="J272" s="194"/>
      <c r="K272" s="194"/>
      <c r="L272" s="194"/>
      <c r="M272" s="194"/>
      <c r="N272" s="156"/>
      <c r="O272" s="195"/>
      <c r="P272" s="196"/>
      <c r="Q272" s="195"/>
      <c r="R272" s="43"/>
      <c r="S272" s="43"/>
      <c r="T272" s="2"/>
    </row>
    <row r="273" spans="1:20" ht="15.75" x14ac:dyDescent="0.25">
      <c r="A273" s="75"/>
      <c r="B273" s="63" t="s">
        <v>131</v>
      </c>
      <c r="C273" s="76"/>
      <c r="D273" s="78"/>
      <c r="E273" s="78"/>
      <c r="F273" s="78"/>
      <c r="G273" s="78"/>
      <c r="H273" s="78"/>
      <c r="I273" s="78"/>
      <c r="J273" s="78"/>
      <c r="K273" s="78"/>
      <c r="L273" s="78"/>
      <c r="M273" s="78"/>
      <c r="N273" s="74" t="s">
        <v>87</v>
      </c>
      <c r="O273" s="64" t="s">
        <v>88</v>
      </c>
      <c r="P273" s="74" t="s">
        <v>93</v>
      </c>
      <c r="Q273" s="64" t="s">
        <v>88</v>
      </c>
      <c r="R273" s="76"/>
      <c r="S273" s="77"/>
      <c r="T273" s="2"/>
    </row>
    <row r="274" spans="1:20" ht="15.75" x14ac:dyDescent="0.25">
      <c r="A274" s="79"/>
      <c r="B274" s="80" t="s">
        <v>74</v>
      </c>
      <c r="C274" s="81"/>
      <c r="D274" s="82"/>
      <c r="E274" s="82"/>
      <c r="F274" s="82"/>
      <c r="G274" s="82"/>
      <c r="H274" s="82"/>
      <c r="I274" s="82"/>
      <c r="J274" s="82"/>
      <c r="K274" s="82"/>
      <c r="L274" s="82"/>
      <c r="M274" s="82"/>
      <c r="N274" s="80">
        <v>0</v>
      </c>
      <c r="O274" s="83">
        <v>0</v>
      </c>
      <c r="P274" s="84">
        <v>0</v>
      </c>
      <c r="Q274" s="83">
        <v>0</v>
      </c>
      <c r="R274" s="81"/>
      <c r="S274" s="81"/>
      <c r="T274" s="2"/>
    </row>
    <row r="275" spans="1:20" ht="15.75" x14ac:dyDescent="0.25">
      <c r="A275" s="125"/>
      <c r="B275" s="158" t="s">
        <v>75</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76</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125</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126</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127</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128</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t="s">
        <v>129</v>
      </c>
      <c r="C281" s="116"/>
      <c r="D281" s="200"/>
      <c r="E281" s="200"/>
      <c r="F281" s="200"/>
      <c r="G281" s="200"/>
      <c r="H281" s="200"/>
      <c r="I281" s="200"/>
      <c r="J281" s="200"/>
      <c r="K281" s="200"/>
      <c r="L281" s="200"/>
      <c r="M281" s="200"/>
      <c r="N281" s="158">
        <v>0</v>
      </c>
      <c r="O281" s="198">
        <v>0</v>
      </c>
      <c r="P281" s="159">
        <v>0</v>
      </c>
      <c r="Q281" s="198">
        <v>0</v>
      </c>
      <c r="R281" s="116"/>
      <c r="S281" s="119"/>
      <c r="T281" s="2"/>
    </row>
    <row r="282" spans="1:20" ht="15.75" x14ac:dyDescent="0.25">
      <c r="A282" s="125"/>
      <c r="B282" s="158"/>
      <c r="C282" s="116"/>
      <c r="D282" s="200"/>
      <c r="E282" s="200"/>
      <c r="F282" s="200"/>
      <c r="G282" s="200"/>
      <c r="H282" s="200"/>
      <c r="I282" s="200"/>
      <c r="J282" s="200"/>
      <c r="K282" s="200"/>
      <c r="L282" s="200"/>
      <c r="M282" s="200"/>
      <c r="N282" s="158"/>
      <c r="O282" s="198"/>
      <c r="P282" s="159"/>
      <c r="Q282" s="198"/>
      <c r="R282" s="116"/>
      <c r="S282" s="119"/>
      <c r="T282" s="2"/>
    </row>
    <row r="283" spans="1:20" ht="15.75" x14ac:dyDescent="0.25">
      <c r="A283" s="125"/>
      <c r="B283" s="116" t="s">
        <v>98</v>
      </c>
      <c r="C283" s="116"/>
      <c r="D283" s="200"/>
      <c r="E283" s="200"/>
      <c r="F283" s="200"/>
      <c r="G283" s="200"/>
      <c r="H283" s="200"/>
      <c r="I283" s="200"/>
      <c r="J283" s="200"/>
      <c r="K283" s="200"/>
      <c r="L283" s="200"/>
      <c r="M283" s="200"/>
      <c r="N283" s="158">
        <f>SUM(N274:N281)</f>
        <v>0</v>
      </c>
      <c r="O283" s="198">
        <f>SUM(O274:O281)</f>
        <v>0</v>
      </c>
      <c r="P283" s="159">
        <f>SUM(P274:P281)</f>
        <v>0</v>
      </c>
      <c r="Q283" s="198">
        <f>SUM(Q274:Q281)</f>
        <v>0</v>
      </c>
      <c r="R283" s="116"/>
      <c r="S283" s="119"/>
      <c r="T283" s="2"/>
    </row>
    <row r="284" spans="1:20" ht="15.75" x14ac:dyDescent="0.25">
      <c r="A284" s="125"/>
      <c r="B284" s="116"/>
      <c r="C284" s="116"/>
      <c r="D284" s="200"/>
      <c r="E284" s="200"/>
      <c r="F284" s="200"/>
      <c r="G284" s="200"/>
      <c r="H284" s="200"/>
      <c r="I284" s="200"/>
      <c r="J284" s="200"/>
      <c r="K284" s="200"/>
      <c r="L284" s="200"/>
      <c r="M284" s="200"/>
      <c r="N284" s="158"/>
      <c r="O284" s="198"/>
      <c r="P284" s="159"/>
      <c r="Q284" s="198"/>
      <c r="R284" s="116"/>
      <c r="S284" s="119"/>
      <c r="T284" s="2"/>
    </row>
    <row r="285" spans="1:20" ht="15.75" x14ac:dyDescent="0.25">
      <c r="A285" s="125"/>
      <c r="B285" s="127" t="s">
        <v>201</v>
      </c>
      <c r="C285" s="116"/>
      <c r="D285" s="200"/>
      <c r="E285" s="200"/>
      <c r="F285" s="200"/>
      <c r="G285" s="200"/>
      <c r="H285" s="200"/>
      <c r="I285" s="200"/>
      <c r="J285" s="200"/>
      <c r="K285" s="200"/>
      <c r="L285" s="200"/>
      <c r="M285" s="200"/>
      <c r="N285" s="202">
        <f>N283+N271+N259</f>
        <v>0</v>
      </c>
      <c r="O285" s="198"/>
      <c r="P285" s="203">
        <f>+P283+P271+P259</f>
        <v>0</v>
      </c>
      <c r="Q285" s="198"/>
      <c r="R285" s="116"/>
      <c r="S285" s="119"/>
      <c r="T285" s="2"/>
    </row>
    <row r="286" spans="1:20" ht="15.75" x14ac:dyDescent="0.25">
      <c r="A286" s="125"/>
      <c r="B286" s="220" t="s">
        <v>247</v>
      </c>
      <c r="C286" s="127"/>
      <c r="D286" s="213"/>
      <c r="E286" s="213"/>
      <c r="F286" s="213"/>
      <c r="G286" s="213"/>
      <c r="H286" s="213"/>
      <c r="I286" s="213"/>
      <c r="J286" s="213"/>
      <c r="K286" s="213"/>
      <c r="L286" s="213"/>
      <c r="M286" s="213"/>
      <c r="N286" s="202"/>
      <c r="O286" s="214"/>
      <c r="P286" s="215">
        <f>+R70</f>
        <v>0</v>
      </c>
      <c r="Q286" s="198"/>
      <c r="R286" s="116"/>
      <c r="S286" s="119"/>
      <c r="T286" s="2"/>
    </row>
    <row r="287" spans="1:20" ht="15.75" x14ac:dyDescent="0.25">
      <c r="A287" s="125"/>
      <c r="B287" s="127" t="s">
        <v>132</v>
      </c>
      <c r="C287" s="127"/>
      <c r="D287" s="213"/>
      <c r="E287" s="213"/>
      <c r="F287" s="213"/>
      <c r="G287" s="213"/>
      <c r="H287" s="213"/>
      <c r="I287" s="213"/>
      <c r="J287" s="213"/>
      <c r="K287" s="213"/>
      <c r="L287" s="213"/>
      <c r="M287" s="213"/>
      <c r="N287" s="202"/>
      <c r="O287" s="214"/>
      <c r="P287" s="215">
        <f>+P285+P286</f>
        <v>0</v>
      </c>
      <c r="Q287" s="198"/>
      <c r="R287" s="116"/>
      <c r="S287" s="119"/>
      <c r="T287" s="2"/>
    </row>
    <row r="288" spans="1:20" ht="15.75" x14ac:dyDescent="0.25">
      <c r="A288" s="125"/>
      <c r="B288" s="127" t="s">
        <v>200</v>
      </c>
      <c r="C288" s="116"/>
      <c r="D288" s="200"/>
      <c r="E288" s="200"/>
      <c r="F288" s="200"/>
      <c r="G288" s="200"/>
      <c r="H288" s="200"/>
      <c r="I288" s="200"/>
      <c r="J288" s="200"/>
      <c r="K288" s="200"/>
      <c r="L288" s="200"/>
      <c r="M288" s="200"/>
      <c r="N288" s="202"/>
      <c r="O288" s="198"/>
      <c r="P288" s="203">
        <f>+R72</f>
        <v>0</v>
      </c>
      <c r="Q288" s="198"/>
      <c r="R288" s="116"/>
      <c r="S288" s="119"/>
      <c r="T288" s="2"/>
    </row>
    <row r="289" spans="1:20" ht="15.75" x14ac:dyDescent="0.25">
      <c r="A289" s="125"/>
      <c r="B289" s="127"/>
      <c r="C289" s="116"/>
      <c r="D289" s="200"/>
      <c r="E289" s="200"/>
      <c r="F289" s="200"/>
      <c r="G289" s="200"/>
      <c r="H289" s="200"/>
      <c r="I289" s="200"/>
      <c r="J289" s="200"/>
      <c r="K289" s="200"/>
      <c r="L289" s="200"/>
      <c r="M289" s="200"/>
      <c r="N289" s="202"/>
      <c r="O289" s="198"/>
      <c r="P289" s="203"/>
      <c r="Q289" s="198"/>
      <c r="R289" s="116"/>
      <c r="S289" s="119"/>
      <c r="T289" s="2"/>
    </row>
    <row r="290" spans="1:20" ht="15.75" x14ac:dyDescent="0.25">
      <c r="A290" s="125"/>
      <c r="B290" s="127" t="s">
        <v>260</v>
      </c>
      <c r="C290" s="116"/>
      <c r="D290" s="200"/>
      <c r="E290" s="200"/>
      <c r="F290" s="200"/>
      <c r="G290" s="200"/>
      <c r="H290" s="200"/>
      <c r="I290" s="200"/>
      <c r="J290" s="200"/>
      <c r="K290" s="200"/>
      <c r="L290" s="200"/>
      <c r="M290" s="200"/>
      <c r="N290" s="202"/>
      <c r="O290" s="198"/>
      <c r="P290" s="211">
        <v>0</v>
      </c>
      <c r="Q290" s="198"/>
      <c r="R290" s="116"/>
      <c r="S290" s="119"/>
      <c r="T290" s="2"/>
    </row>
    <row r="291" spans="1:20" ht="15.75" x14ac:dyDescent="0.25">
      <c r="A291" s="85"/>
      <c r="B291" s="86"/>
      <c r="C291" s="86"/>
      <c r="D291" s="87"/>
      <c r="E291" s="87"/>
      <c r="F291" s="87"/>
      <c r="G291" s="87"/>
      <c r="H291" s="87"/>
      <c r="I291" s="87"/>
      <c r="J291" s="87"/>
      <c r="K291" s="87"/>
      <c r="L291" s="87"/>
      <c r="M291" s="87"/>
      <c r="N291" s="87"/>
      <c r="O291" s="87"/>
      <c r="P291" s="88"/>
      <c r="Q291" s="87"/>
      <c r="R291" s="86"/>
      <c r="S291" s="86"/>
      <c r="T291" s="2"/>
    </row>
    <row r="292" spans="1:20" ht="15.75" x14ac:dyDescent="0.25">
      <c r="A292" s="89"/>
      <c r="B292" s="90" t="s">
        <v>77</v>
      </c>
      <c r="C292" s="86"/>
      <c r="D292" s="91" t="s">
        <v>83</v>
      </c>
      <c r="E292" s="90"/>
      <c r="F292" s="90" t="s">
        <v>84</v>
      </c>
      <c r="G292" s="86"/>
      <c r="H292" s="90"/>
      <c r="I292" s="92"/>
      <c r="J292" s="92"/>
      <c r="K292" s="92"/>
      <c r="L292" s="92"/>
      <c r="M292" s="92"/>
      <c r="N292" s="92"/>
      <c r="O292" s="92"/>
      <c r="P292" s="92"/>
      <c r="Q292" s="92"/>
      <c r="R292" s="92"/>
      <c r="S292" s="92"/>
      <c r="T292" s="2"/>
    </row>
    <row r="293" spans="1:20" ht="15.75" x14ac:dyDescent="0.25">
      <c r="A293" s="89"/>
      <c r="B293" s="92"/>
      <c r="C293" s="86"/>
      <c r="D293" s="86"/>
      <c r="E293" s="86"/>
      <c r="F293" s="86"/>
      <c r="G293" s="86"/>
      <c r="H293" s="86"/>
      <c r="I293" s="92"/>
      <c r="J293" s="92"/>
      <c r="K293" s="92"/>
      <c r="L293" s="92"/>
      <c r="M293" s="92"/>
      <c r="N293" s="92"/>
      <c r="O293" s="92"/>
      <c r="P293" s="92"/>
      <c r="Q293" s="92"/>
      <c r="R293" s="92"/>
      <c r="S293" s="92"/>
      <c r="T293" s="2"/>
    </row>
    <row r="294" spans="1:20" ht="15.75" x14ac:dyDescent="0.25">
      <c r="A294" s="89"/>
      <c r="B294" s="222" t="s">
        <v>254</v>
      </c>
      <c r="C294" s="90"/>
      <c r="D294" s="93" t="s">
        <v>120</v>
      </c>
      <c r="E294" s="90"/>
      <c r="F294" s="90" t="s">
        <v>121</v>
      </c>
      <c r="G294" s="90"/>
      <c r="H294" s="90"/>
      <c r="I294" s="92"/>
      <c r="J294" s="92"/>
      <c r="K294" s="92"/>
      <c r="L294" s="92"/>
      <c r="M294" s="92"/>
      <c r="N294" s="92"/>
      <c r="O294" s="92"/>
      <c r="P294" s="92"/>
      <c r="Q294" s="92"/>
      <c r="R294" s="92"/>
      <c r="S294" s="92"/>
      <c r="T294" s="2"/>
    </row>
    <row r="295" spans="1:20" ht="15.75" x14ac:dyDescent="0.25">
      <c r="A295" s="89"/>
      <c r="B295" s="222" t="s">
        <v>255</v>
      </c>
      <c r="C295" s="90"/>
      <c r="D295" s="93" t="s">
        <v>159</v>
      </c>
      <c r="E295" s="90"/>
      <c r="F295" s="90" t="s">
        <v>160</v>
      </c>
      <c r="G295" s="90"/>
      <c r="H295" s="90"/>
      <c r="I295" s="92"/>
      <c r="J295" s="92"/>
      <c r="K295" s="92"/>
      <c r="L295" s="92"/>
      <c r="M295" s="92"/>
      <c r="N295" s="92"/>
      <c r="O295" s="92"/>
      <c r="P295" s="92"/>
      <c r="Q295" s="92"/>
      <c r="R295" s="92"/>
      <c r="S295" s="92"/>
      <c r="T295" s="2"/>
    </row>
    <row r="296" spans="1:20" ht="15.75" x14ac:dyDescent="0.25">
      <c r="A296" s="89"/>
      <c r="B296" s="222" t="s">
        <v>256</v>
      </c>
      <c r="C296" s="90"/>
      <c r="D296" s="93" t="s">
        <v>119</v>
      </c>
      <c r="E296" s="90"/>
      <c r="F296" s="90" t="s">
        <v>122</v>
      </c>
      <c r="G296" s="90"/>
      <c r="H296" s="90"/>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5.75" x14ac:dyDescent="0.25">
      <c r="A298" s="89"/>
      <c r="B298" s="90"/>
      <c r="C298" s="90"/>
      <c r="D298" s="92"/>
      <c r="E298" s="92"/>
      <c r="F298" s="92"/>
      <c r="G298" s="92"/>
      <c r="H298" s="92"/>
      <c r="I298" s="92"/>
      <c r="J298" s="92"/>
      <c r="K298" s="92"/>
      <c r="L298" s="92"/>
      <c r="M298" s="92"/>
      <c r="N298" s="92"/>
      <c r="O298" s="92"/>
      <c r="P298" s="92"/>
      <c r="Q298" s="92"/>
      <c r="R298" s="92"/>
      <c r="S298" s="92"/>
      <c r="T298" s="2"/>
    </row>
    <row r="299" spans="1:20" ht="19.5" thickBot="1" x14ac:dyDescent="0.35">
      <c r="A299" s="89"/>
      <c r="B299" s="94" t="str">
        <f>B197</f>
        <v>PM17 INVESTOR REPORT QUARTER ENDING DECEMBER 2015</v>
      </c>
      <c r="C299" s="90"/>
      <c r="D299" s="92"/>
      <c r="E299" s="92"/>
      <c r="F299" s="92"/>
      <c r="G299" s="92"/>
      <c r="H299" s="92"/>
      <c r="I299" s="92"/>
      <c r="J299" s="92"/>
      <c r="K299" s="92"/>
      <c r="L299" s="92"/>
      <c r="M299" s="92"/>
      <c r="N299" s="92"/>
      <c r="O299" s="92"/>
      <c r="P299" s="92"/>
      <c r="Q299" s="92"/>
      <c r="R299" s="92"/>
      <c r="S299" s="92"/>
      <c r="T299" s="2"/>
    </row>
    <row r="300" spans="1:20" x14ac:dyDescent="0.2">
      <c r="A300" s="3"/>
      <c r="B300" s="3"/>
      <c r="C300" s="3"/>
      <c r="D300" s="3"/>
      <c r="E300" s="3"/>
      <c r="F300" s="3"/>
      <c r="G300" s="3"/>
      <c r="H300" s="3"/>
      <c r="I300" s="3"/>
      <c r="J300" s="3"/>
      <c r="K300" s="3"/>
      <c r="L300" s="3"/>
      <c r="M300" s="3"/>
      <c r="N300" s="3"/>
      <c r="O300" s="3"/>
      <c r="P300" s="3"/>
      <c r="Q300" s="3"/>
      <c r="R300" s="3"/>
      <c r="S300" s="3"/>
    </row>
  </sheetData>
  <hyperlinks>
    <hyperlink ref="N235"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3" max="18" man="1"/>
    <brk id="197"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300"/>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41386</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174595.715</v>
      </c>
      <c r="E29" s="133"/>
      <c r="F29" s="208">
        <f>F28</f>
        <v>10500</v>
      </c>
      <c r="G29" s="208"/>
      <c r="H29" s="208">
        <f>H28</f>
        <v>10000</v>
      </c>
      <c r="I29" s="129"/>
      <c r="J29" s="208">
        <f>J28</f>
        <v>4500</v>
      </c>
      <c r="K29" s="129"/>
      <c r="L29" s="133"/>
      <c r="M29" s="129"/>
      <c r="N29" s="133"/>
      <c r="O29" s="129"/>
      <c r="P29" s="129"/>
      <c r="Q29" s="130"/>
      <c r="R29" s="129">
        <f>SUM(D29:J29)</f>
        <v>199595.715</v>
      </c>
      <c r="S29" s="131"/>
      <c r="T29" s="2"/>
    </row>
    <row r="30" spans="1:20" ht="15.75" x14ac:dyDescent="0.25">
      <c r="A30" s="125"/>
      <c r="B30" s="124" t="s">
        <v>112</v>
      </c>
      <c r="C30" s="128"/>
      <c r="D30" s="209">
        <f>D31*D28</f>
        <v>173763.25750000001</v>
      </c>
      <c r="E30" s="209"/>
      <c r="F30" s="209">
        <f>F31*F28</f>
        <v>10500</v>
      </c>
      <c r="G30" s="209"/>
      <c r="H30" s="209">
        <f>H31*H28</f>
        <v>10000</v>
      </c>
      <c r="I30" s="209"/>
      <c r="J30" s="209">
        <f>J31*J28</f>
        <v>4500</v>
      </c>
      <c r="K30" s="134"/>
      <c r="L30" s="136"/>
      <c r="M30" s="134"/>
      <c r="N30" s="136"/>
      <c r="O30" s="129"/>
      <c r="P30" s="129"/>
      <c r="Q30" s="130"/>
      <c r="R30" s="210">
        <f>SUM(D30:J30)</f>
        <v>198763.25750000001</v>
      </c>
      <c r="S30" s="131"/>
      <c r="T30" s="2"/>
    </row>
    <row r="31" spans="1:20" ht="15.75" x14ac:dyDescent="0.25">
      <c r="A31" s="115"/>
      <c r="B31" s="137" t="s">
        <v>108</v>
      </c>
      <c r="C31" s="138"/>
      <c r="D31" s="139">
        <v>0.99293290000000001</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0.99768979999999996</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1.8637500000000001E-2</v>
      </c>
      <c r="E34" s="146"/>
      <c r="F34" s="146">
        <v>2.4137499999999999E-2</v>
      </c>
      <c r="G34" s="146"/>
      <c r="H34" s="146">
        <v>3.4137500000000001E-2</v>
      </c>
      <c r="I34" s="146"/>
      <c r="J34" s="146">
        <v>3.7637499999999997E-2</v>
      </c>
      <c r="K34" s="146"/>
      <c r="L34" s="146"/>
      <c r="M34" s="145"/>
      <c r="N34" s="146"/>
      <c r="O34" s="126"/>
      <c r="P34" s="126"/>
      <c r="Q34" s="118"/>
      <c r="R34" s="145">
        <f>SUMPRODUCT(D34:J34,D29:J29)/R29</f>
        <v>2.0131770555858377E-2</v>
      </c>
      <c r="S34" s="119"/>
      <c r="T34" s="2"/>
    </row>
    <row r="35" spans="1:21" ht="15.75" x14ac:dyDescent="0.25">
      <c r="A35" s="115"/>
      <c r="B35" s="116" t="s">
        <v>10</v>
      </c>
      <c r="C35" s="147"/>
      <c r="D35" s="146">
        <v>1.8686000000000001E-2</v>
      </c>
      <c r="E35" s="146"/>
      <c r="F35" s="146">
        <v>2.4185999999999999E-2</v>
      </c>
      <c r="G35" s="146"/>
      <c r="H35" s="146">
        <v>3.4186000000000001E-2</v>
      </c>
      <c r="I35" s="146"/>
      <c r="J35" s="146">
        <v>3.7685999999999997E-2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0.14387391419615853</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41372</v>
      </c>
      <c r="S45" s="119"/>
      <c r="T45" s="2"/>
    </row>
    <row r="46" spans="1:21" ht="15.75" x14ac:dyDescent="0.25">
      <c r="A46" s="115"/>
      <c r="B46" s="116" t="s">
        <v>104</v>
      </c>
      <c r="C46" s="116"/>
      <c r="D46" s="153"/>
      <c r="E46" s="153"/>
      <c r="F46" s="153"/>
      <c r="G46" s="153"/>
      <c r="H46" s="153"/>
      <c r="I46" s="153"/>
      <c r="J46" s="153"/>
      <c r="K46" s="153"/>
      <c r="L46" s="153"/>
      <c r="M46" s="153"/>
      <c r="N46" s="116">
        <f>+R46-P46+1</f>
        <v>75</v>
      </c>
      <c r="O46" s="116"/>
      <c r="P46" s="154">
        <v>41207</v>
      </c>
      <c r="Q46" s="155"/>
      <c r="R46" s="154">
        <v>41281</v>
      </c>
      <c r="S46" s="119"/>
      <c r="T46" s="2"/>
    </row>
    <row r="47" spans="1:21" ht="15.75" x14ac:dyDescent="0.25">
      <c r="A47" s="115"/>
      <c r="B47" s="116" t="s">
        <v>105</v>
      </c>
      <c r="C47" s="116"/>
      <c r="D47" s="116"/>
      <c r="E47" s="116"/>
      <c r="F47" s="116"/>
      <c r="G47" s="116"/>
      <c r="H47" s="116"/>
      <c r="I47" s="116"/>
      <c r="J47" s="116"/>
      <c r="K47" s="116"/>
      <c r="L47" s="116"/>
      <c r="M47" s="116"/>
      <c r="N47" s="116">
        <f>+R47-P47+1</f>
        <v>90</v>
      </c>
      <c r="O47" s="116"/>
      <c r="P47" s="154">
        <v>41282</v>
      </c>
      <c r="Q47" s="155"/>
      <c r="R47" s="154">
        <v>41371</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41366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250</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165000</v>
      </c>
      <c r="I56" s="158"/>
      <c r="J56" s="159">
        <v>94</v>
      </c>
      <c r="K56" s="158"/>
      <c r="L56" s="158">
        <f>773+3</f>
        <v>776</v>
      </c>
      <c r="M56" s="158"/>
      <c r="N56" s="158">
        <f>-J69-P113-P114</f>
        <v>34199</v>
      </c>
      <c r="O56" s="158"/>
      <c r="P56" s="158">
        <v>0</v>
      </c>
      <c r="Q56" s="158"/>
      <c r="R56" s="159">
        <f>H56-J56-L56+N56-P56</f>
        <v>198329</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165000</v>
      </c>
      <c r="I59" s="158"/>
      <c r="J59" s="158">
        <f>J56+J57</f>
        <v>94</v>
      </c>
      <c r="K59" s="158"/>
      <c r="L59" s="158">
        <f>SUM(L56:L58)</f>
        <v>776</v>
      </c>
      <c r="M59" s="158"/>
      <c r="N59" s="158">
        <f>SUM(N56:N58)</f>
        <v>34199</v>
      </c>
      <c r="O59" s="158"/>
      <c r="P59" s="158">
        <f>SUM(P56:P58)</f>
        <v>0</v>
      </c>
      <c r="Q59" s="158"/>
      <c r="R59" s="158">
        <f>SUM(R56:R58)</f>
        <v>198329</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34496</v>
      </c>
      <c r="I69" s="158"/>
      <c r="J69" s="158">
        <v>-34062</v>
      </c>
      <c r="K69" s="158"/>
      <c r="L69" s="158">
        <f>+H69+J69</f>
        <v>434</v>
      </c>
      <c r="M69" s="158"/>
      <c r="N69" s="158"/>
      <c r="O69" s="158"/>
      <c r="P69" s="158"/>
      <c r="Q69" s="158"/>
      <c r="R69" s="158">
        <v>0</v>
      </c>
      <c r="S69" s="119"/>
      <c r="T69" s="2"/>
    </row>
    <row r="70" spans="1:20" ht="15.75" x14ac:dyDescent="0.25">
      <c r="A70" s="115"/>
      <c r="B70" s="116" t="s">
        <v>246</v>
      </c>
      <c r="C70" s="158"/>
      <c r="D70" s="158"/>
      <c r="E70" s="158"/>
      <c r="F70" s="158">
        <v>0</v>
      </c>
      <c r="G70" s="158"/>
      <c r="H70" s="158">
        <v>100</v>
      </c>
      <c r="I70" s="158"/>
      <c r="J70" s="158"/>
      <c r="K70" s="158"/>
      <c r="L70" s="158"/>
      <c r="M70" s="158"/>
      <c r="N70" s="158"/>
      <c r="O70" s="158"/>
      <c r="P70" s="158"/>
      <c r="Q70" s="158"/>
      <c r="R70" s="158">
        <f>+P120</f>
        <v>434</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199596</v>
      </c>
      <c r="I72" s="158"/>
      <c r="J72" s="158"/>
      <c r="K72" s="158"/>
      <c r="L72" s="158"/>
      <c r="M72" s="158"/>
      <c r="N72" s="158"/>
      <c r="O72" s="158"/>
      <c r="P72" s="158"/>
      <c r="Q72" s="158"/>
      <c r="R72" s="158">
        <f>SUM(R59:R71)</f>
        <v>198763</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41361</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100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434</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94+776</f>
        <v>870</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2107-97</f>
        <v>2010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31</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46</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404</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1404</v>
      </c>
      <c r="Q88" s="116"/>
      <c r="R88" s="158">
        <f>SUM(R76:R87)</f>
        <v>2491</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1404</v>
      </c>
      <c r="Q91" s="116"/>
      <c r="R91" s="158">
        <f>R88+R89+R90</f>
        <v>2491</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-86</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-61-3</f>
        <v>-64</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-70</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-802</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-62</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-84</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-42</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-61</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-27-205</f>
        <v>-232</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-976</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-58</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-79</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-833</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-970</v>
      </c>
      <c r="Q119" s="158"/>
      <c r="R119" s="158">
        <f>SUM(R92:R118)</f>
        <v>-2491</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434</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MARCH 2013</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172.10227500000019</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5827.8977249999998</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f>+'Dec 12'!R149</f>
        <v>34496</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-34062</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434</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+'Dec 12'!R164+167</f>
        <v>685</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404</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281</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198329</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434</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198763</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198763</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+'Dec 12'!O180</f>
        <v>40</v>
      </c>
      <c r="P178" s="159">
        <f>+'Dec 12'!P180</f>
        <v>34</v>
      </c>
      <c r="Q178" s="116"/>
      <c r="R178" s="159">
        <f>O178+P178</f>
        <v>74</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79</v>
      </c>
      <c r="P179" s="158">
        <v>58</v>
      </c>
      <c r="Q179" s="116"/>
      <c r="R179" s="159">
        <f>O179+P179</f>
        <v>137</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119</v>
      </c>
      <c r="P180" s="159">
        <f>P179+P178</f>
        <v>92</v>
      </c>
      <c r="Q180" s="116"/>
      <c r="R180" s="159">
        <f>O180+P180</f>
        <v>211</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15789</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2.8204488778054864</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2.91</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23.548387096774192</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24.66</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16.642857142857142</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17.510000000000002</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31.214285714285715</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32.950000000000003</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MARCH 2013</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41361</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2.0131770555858377E-2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2.6098229444141623E-2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4.5137499999999997E-2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4.5900000000000003E-2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2.0131770555858377E-2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2.5768229444141626E-2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1.2049339666125574E-2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19.010000000000002</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5.2727272727272727E-3</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1.9199999999999998E-2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34062</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+'Dec 12'!P224+P223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1213</v>
      </c>
      <c r="O237" s="83">
        <f t="shared" ref="O237:O244" si="1">N237/$N$246</f>
        <v>1</v>
      </c>
      <c r="P237" s="84">
        <f t="shared" ref="P237:P244" si="2">+P249+P261+P273</f>
        <v>198329</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1213</v>
      </c>
      <c r="O246" s="198">
        <f>SUM(O237:O245)</f>
        <v>1</v>
      </c>
      <c r="P246" s="159">
        <f>SUM(P237:P245)</f>
        <v>198329</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1213</v>
      </c>
      <c r="O249" s="83">
        <f>N249/$N$258</f>
        <v>1</v>
      </c>
      <c r="P249" s="84">
        <v>198329</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1213</v>
      </c>
      <c r="O258" s="198">
        <f>SUM(O249:O257)</f>
        <v>1</v>
      </c>
      <c r="P258" s="159">
        <f>SUM(P249:P257)</f>
        <v>198329</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1213</v>
      </c>
      <c r="O284" s="198"/>
      <c r="P284" s="203">
        <f>+P282+P270+P258</f>
        <v>198329</v>
      </c>
      <c r="Q284" s="198"/>
      <c r="R284" s="116"/>
      <c r="S284" s="119"/>
      <c r="T284" s="2"/>
    </row>
    <row r="285" spans="1:20" ht="15.75" x14ac:dyDescent="0.25">
      <c r="A285" s="125"/>
      <c r="B285" s="127" t="s">
        <v>202</v>
      </c>
      <c r="C285" s="127"/>
      <c r="D285" s="213"/>
      <c r="E285" s="213"/>
      <c r="F285" s="213"/>
      <c r="G285" s="213"/>
      <c r="H285" s="213"/>
      <c r="I285" s="213"/>
      <c r="J285" s="213"/>
      <c r="K285" s="213"/>
      <c r="L285" s="213"/>
      <c r="M285" s="213"/>
      <c r="N285" s="202"/>
      <c r="O285" s="214"/>
      <c r="P285" s="215">
        <f>+R170</f>
        <v>0</v>
      </c>
      <c r="Q285" s="198"/>
      <c r="R285" s="116"/>
      <c r="S285" s="119"/>
      <c r="T285" s="2"/>
    </row>
    <row r="286" spans="1:20" ht="15.75" x14ac:dyDescent="0.25">
      <c r="A286" s="125"/>
      <c r="B286" s="220" t="s">
        <v>247</v>
      </c>
      <c r="C286" s="127"/>
      <c r="D286" s="213"/>
      <c r="E286" s="213"/>
      <c r="F286" s="213"/>
      <c r="G286" s="213"/>
      <c r="H286" s="213"/>
      <c r="I286" s="213"/>
      <c r="J286" s="213"/>
      <c r="K286" s="213"/>
      <c r="L286" s="213"/>
      <c r="M286" s="213"/>
      <c r="N286" s="202"/>
      <c r="O286" s="214"/>
      <c r="P286" s="215">
        <f>+R70</f>
        <v>434</v>
      </c>
      <c r="Q286" s="198"/>
      <c r="R286" s="116"/>
      <c r="S286" s="119"/>
      <c r="T286" s="2"/>
    </row>
    <row r="287" spans="1:20" ht="15.75" x14ac:dyDescent="0.25">
      <c r="A287" s="125"/>
      <c r="B287" s="127" t="s">
        <v>132</v>
      </c>
      <c r="C287" s="127"/>
      <c r="D287" s="213"/>
      <c r="E287" s="213"/>
      <c r="F287" s="213"/>
      <c r="G287" s="213"/>
      <c r="H287" s="213"/>
      <c r="I287" s="213"/>
      <c r="J287" s="213"/>
      <c r="K287" s="213"/>
      <c r="L287" s="213"/>
      <c r="M287" s="213"/>
      <c r="N287" s="202"/>
      <c r="O287" s="214"/>
      <c r="P287" s="215">
        <f>+P284+P285+P286</f>
        <v>198763</v>
      </c>
      <c r="Q287" s="198"/>
      <c r="R287" s="116"/>
      <c r="S287" s="119"/>
      <c r="T287" s="2"/>
    </row>
    <row r="288" spans="1:20" ht="15.75" x14ac:dyDescent="0.25">
      <c r="A288" s="125"/>
      <c r="B288" s="127" t="s">
        <v>200</v>
      </c>
      <c r="C288" s="116"/>
      <c r="D288" s="200"/>
      <c r="E288" s="200"/>
      <c r="F288" s="200"/>
      <c r="G288" s="200"/>
      <c r="H288" s="200"/>
      <c r="I288" s="200"/>
      <c r="J288" s="200"/>
      <c r="K288" s="200"/>
      <c r="L288" s="200"/>
      <c r="M288" s="200"/>
      <c r="N288" s="202"/>
      <c r="O288" s="198"/>
      <c r="P288" s="203">
        <f>+R72</f>
        <v>198763</v>
      </c>
      <c r="Q288" s="198"/>
      <c r="R288" s="116"/>
      <c r="S288" s="119"/>
      <c r="T288" s="2"/>
    </row>
    <row r="289" spans="1:20" ht="15.75" x14ac:dyDescent="0.25">
      <c r="A289" s="125"/>
      <c r="B289" s="127"/>
      <c r="C289" s="116"/>
      <c r="D289" s="200"/>
      <c r="E289" s="200"/>
      <c r="F289" s="200"/>
      <c r="G289" s="200"/>
      <c r="H289" s="200"/>
      <c r="I289" s="200"/>
      <c r="J289" s="200"/>
      <c r="K289" s="200"/>
      <c r="L289" s="200"/>
      <c r="M289" s="200"/>
      <c r="N289" s="202"/>
      <c r="O289" s="198"/>
      <c r="P289" s="203"/>
      <c r="Q289" s="198"/>
      <c r="R289" s="116"/>
      <c r="S289" s="119"/>
      <c r="T289" s="2"/>
    </row>
    <row r="290" spans="1:20" ht="15.75" x14ac:dyDescent="0.25">
      <c r="A290" s="125"/>
      <c r="B290" s="127" t="s">
        <v>197</v>
      </c>
      <c r="C290" s="116"/>
      <c r="D290" s="200"/>
      <c r="E290" s="200"/>
      <c r="F290" s="200"/>
      <c r="G290" s="200"/>
      <c r="H290" s="200"/>
      <c r="I290" s="200"/>
      <c r="J290" s="200"/>
      <c r="K290" s="200"/>
      <c r="L290" s="200"/>
      <c r="M290" s="200"/>
      <c r="N290" s="202"/>
      <c r="O290" s="198"/>
      <c r="P290" s="211">
        <f>(J30+R138)/R30</f>
        <v>5.2826664908125688E-2</v>
      </c>
      <c r="Q290" s="198"/>
      <c r="R290" s="116"/>
      <c r="S290" s="119"/>
      <c r="T290" s="2"/>
    </row>
    <row r="291" spans="1:20" ht="15.75" x14ac:dyDescent="0.25">
      <c r="A291" s="85"/>
      <c r="B291" s="86"/>
      <c r="C291" s="86"/>
      <c r="D291" s="87"/>
      <c r="E291" s="87"/>
      <c r="F291" s="87"/>
      <c r="G291" s="87"/>
      <c r="H291" s="87"/>
      <c r="I291" s="87"/>
      <c r="J291" s="87"/>
      <c r="K291" s="87"/>
      <c r="L291" s="87"/>
      <c r="M291" s="87"/>
      <c r="N291" s="87"/>
      <c r="O291" s="87"/>
      <c r="P291" s="88"/>
      <c r="Q291" s="87"/>
      <c r="R291" s="86"/>
      <c r="S291" s="86"/>
      <c r="T291" s="2"/>
    </row>
    <row r="292" spans="1:20" ht="15.75" x14ac:dyDescent="0.25">
      <c r="A292" s="89"/>
      <c r="B292" s="90" t="s">
        <v>77</v>
      </c>
      <c r="C292" s="86"/>
      <c r="D292" s="91" t="s">
        <v>83</v>
      </c>
      <c r="E292" s="90"/>
      <c r="F292" s="90" t="s">
        <v>84</v>
      </c>
      <c r="G292" s="86"/>
      <c r="H292" s="90"/>
      <c r="I292" s="92"/>
      <c r="J292" s="92"/>
      <c r="K292" s="92"/>
      <c r="L292" s="92"/>
      <c r="M292" s="92"/>
      <c r="N292" s="92"/>
      <c r="O292" s="92"/>
      <c r="P292" s="92"/>
      <c r="Q292" s="92"/>
      <c r="R292" s="92"/>
      <c r="S292" s="92"/>
      <c r="T292" s="2"/>
    </row>
    <row r="293" spans="1:20" ht="15.75" x14ac:dyDescent="0.25">
      <c r="A293" s="89"/>
      <c r="B293" s="92"/>
      <c r="C293" s="86"/>
      <c r="D293" s="86"/>
      <c r="E293" s="86"/>
      <c r="F293" s="86"/>
      <c r="G293" s="86"/>
      <c r="H293" s="86"/>
      <c r="I293" s="92"/>
      <c r="J293" s="92"/>
      <c r="K293" s="92"/>
      <c r="L293" s="92"/>
      <c r="M293" s="92"/>
      <c r="N293" s="92"/>
      <c r="O293" s="92"/>
      <c r="P293" s="92"/>
      <c r="Q293" s="92"/>
      <c r="R293" s="92"/>
      <c r="S293" s="92"/>
      <c r="T293" s="2"/>
    </row>
    <row r="294" spans="1:20" ht="15.75" x14ac:dyDescent="0.25">
      <c r="A294" s="89"/>
      <c r="B294" s="90" t="s">
        <v>78</v>
      </c>
      <c r="C294" s="90"/>
      <c r="D294" s="93" t="s">
        <v>120</v>
      </c>
      <c r="E294" s="90"/>
      <c r="F294" s="90" t="s">
        <v>121</v>
      </c>
      <c r="G294" s="90"/>
      <c r="H294" s="90"/>
      <c r="I294" s="92"/>
      <c r="J294" s="92"/>
      <c r="K294" s="92"/>
      <c r="L294" s="92"/>
      <c r="M294" s="92"/>
      <c r="N294" s="92"/>
      <c r="O294" s="92"/>
      <c r="P294" s="92"/>
      <c r="Q294" s="92"/>
      <c r="R294" s="92"/>
      <c r="S294" s="92"/>
      <c r="T294" s="2"/>
    </row>
    <row r="295" spans="1:20" ht="15.75" x14ac:dyDescent="0.25">
      <c r="A295" s="89"/>
      <c r="B295" s="90" t="s">
        <v>158</v>
      </c>
      <c r="C295" s="90"/>
      <c r="D295" s="93" t="s">
        <v>159</v>
      </c>
      <c r="E295" s="90"/>
      <c r="F295" s="90" t="s">
        <v>160</v>
      </c>
      <c r="G295" s="90"/>
      <c r="H295" s="90"/>
      <c r="I295" s="92"/>
      <c r="J295" s="92"/>
      <c r="K295" s="92"/>
      <c r="L295" s="92"/>
      <c r="M295" s="92"/>
      <c r="N295" s="92"/>
      <c r="O295" s="92"/>
      <c r="P295" s="92"/>
      <c r="Q295" s="92"/>
      <c r="R295" s="92"/>
      <c r="S295" s="92"/>
      <c r="T295" s="2"/>
    </row>
    <row r="296" spans="1:20" ht="15.75" x14ac:dyDescent="0.25">
      <c r="A296" s="89"/>
      <c r="B296" s="90" t="s">
        <v>79</v>
      </c>
      <c r="C296" s="90"/>
      <c r="D296" s="93" t="s">
        <v>119</v>
      </c>
      <c r="E296" s="90"/>
      <c r="F296" s="90" t="s">
        <v>122</v>
      </c>
      <c r="G296" s="90"/>
      <c r="H296" s="90"/>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5.75" x14ac:dyDescent="0.25">
      <c r="A298" s="89"/>
      <c r="B298" s="90"/>
      <c r="C298" s="90"/>
      <c r="D298" s="92"/>
      <c r="E298" s="92"/>
      <c r="F298" s="92"/>
      <c r="G298" s="92"/>
      <c r="H298" s="92"/>
      <c r="I298" s="92"/>
      <c r="J298" s="92"/>
      <c r="K298" s="92"/>
      <c r="L298" s="92"/>
      <c r="M298" s="92"/>
      <c r="N298" s="92"/>
      <c r="O298" s="92"/>
      <c r="P298" s="92"/>
      <c r="Q298" s="92"/>
      <c r="R298" s="92"/>
      <c r="S298" s="92"/>
      <c r="T298" s="2"/>
    </row>
    <row r="299" spans="1:20" ht="19.5" thickBot="1" x14ac:dyDescent="0.35">
      <c r="A299" s="89"/>
      <c r="B299" s="94" t="str">
        <f>B196</f>
        <v>PM17 INVESTOR REPORT QUARTER ENDING MARCH 2013</v>
      </c>
      <c r="C299" s="90"/>
      <c r="D299" s="92"/>
      <c r="E299" s="92"/>
      <c r="F299" s="92"/>
      <c r="G299" s="92"/>
      <c r="H299" s="92"/>
      <c r="I299" s="92"/>
      <c r="J299" s="92"/>
      <c r="K299" s="92"/>
      <c r="L299" s="92"/>
      <c r="M299" s="92"/>
      <c r="N299" s="92"/>
      <c r="O299" s="92"/>
      <c r="P299" s="92"/>
      <c r="Q299" s="92"/>
      <c r="R299" s="92"/>
      <c r="S299" s="92"/>
      <c r="T299" s="2"/>
    </row>
    <row r="300" spans="1:20" x14ac:dyDescent="0.2">
      <c r="A300" s="3"/>
      <c r="B300" s="3"/>
      <c r="C300" s="3"/>
      <c r="D300" s="3"/>
      <c r="E300" s="3"/>
      <c r="F300" s="3"/>
      <c r="G300" s="3"/>
      <c r="H300" s="3"/>
      <c r="I300" s="3"/>
      <c r="J300" s="3"/>
      <c r="K300" s="3"/>
      <c r="L300" s="3"/>
      <c r="M300" s="3"/>
      <c r="N300" s="3"/>
      <c r="O300" s="3"/>
      <c r="P300" s="3"/>
      <c r="Q300" s="3"/>
      <c r="R300" s="3"/>
      <c r="S300"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23" man="1"/>
    <brk id="123" max="14" man="1"/>
    <brk id="196" max="14"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41474</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173763.25750000001</v>
      </c>
      <c r="E29" s="133"/>
      <c r="F29" s="208">
        <f>F28</f>
        <v>10500</v>
      </c>
      <c r="G29" s="208"/>
      <c r="H29" s="208">
        <f>H28</f>
        <v>10000</v>
      </c>
      <c r="I29" s="129"/>
      <c r="J29" s="208">
        <f>J28</f>
        <v>4500</v>
      </c>
      <c r="K29" s="129"/>
      <c r="L29" s="133"/>
      <c r="M29" s="129"/>
      <c r="N29" s="133"/>
      <c r="O29" s="129"/>
      <c r="P29" s="129"/>
      <c r="Q29" s="130"/>
      <c r="R29" s="129">
        <f>SUM(D29:J29)</f>
        <v>198763.25750000001</v>
      </c>
      <c r="S29" s="131"/>
      <c r="T29" s="2"/>
    </row>
    <row r="30" spans="1:20" ht="15.75" x14ac:dyDescent="0.25">
      <c r="A30" s="125"/>
      <c r="B30" s="124" t="s">
        <v>112</v>
      </c>
      <c r="C30" s="128"/>
      <c r="D30" s="209">
        <f>D31*D28</f>
        <v>172933.6525</v>
      </c>
      <c r="E30" s="209"/>
      <c r="F30" s="209">
        <f>F31*F28</f>
        <v>10500</v>
      </c>
      <c r="G30" s="209"/>
      <c r="H30" s="209">
        <f>H31*H28</f>
        <v>10000</v>
      </c>
      <c r="I30" s="209"/>
      <c r="J30" s="209">
        <f>J31*J28</f>
        <v>4500</v>
      </c>
      <c r="K30" s="134"/>
      <c r="L30" s="136"/>
      <c r="M30" s="134"/>
      <c r="N30" s="136"/>
      <c r="O30" s="129"/>
      <c r="P30" s="129"/>
      <c r="Q30" s="130"/>
      <c r="R30" s="210">
        <f>SUM(D30:J30)</f>
        <v>197933.6525</v>
      </c>
      <c r="S30" s="131"/>
      <c r="T30" s="2"/>
    </row>
    <row r="31" spans="1:20" ht="15.75" x14ac:dyDescent="0.25">
      <c r="A31" s="115"/>
      <c r="B31" s="137" t="s">
        <v>108</v>
      </c>
      <c r="C31" s="138"/>
      <c r="D31" s="139">
        <v>0.98819230000000002</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0.99293290000000001</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1.85688E-2</v>
      </c>
      <c r="E34" s="146"/>
      <c r="F34" s="146">
        <v>2.4068800000000001E-2</v>
      </c>
      <c r="G34" s="146"/>
      <c r="H34" s="146">
        <v>3.4068800000000003E-2</v>
      </c>
      <c r="I34" s="146"/>
      <c r="J34" s="146">
        <v>3.7568799999999999E-2</v>
      </c>
      <c r="K34" s="146"/>
      <c r="L34" s="146"/>
      <c r="M34" s="145"/>
      <c r="N34" s="146"/>
      <c r="O34" s="126"/>
      <c r="P34" s="126"/>
      <c r="Q34" s="118"/>
      <c r="R34" s="145">
        <f>SUMPRODUCT(D34:J34,D29:J29)/R29</f>
        <v>2.0069328838937955E-2</v>
      </c>
      <c r="S34" s="119"/>
      <c r="T34" s="2"/>
    </row>
    <row r="35" spans="1:21" ht="15.75" x14ac:dyDescent="0.25">
      <c r="A35" s="115"/>
      <c r="B35" s="116" t="s">
        <v>10</v>
      </c>
      <c r="C35" s="147"/>
      <c r="D35" s="146">
        <v>1.8637500000000001E-2</v>
      </c>
      <c r="E35" s="146"/>
      <c r="F35" s="146">
        <v>2.4137499999999999E-2</v>
      </c>
      <c r="G35" s="146"/>
      <c r="H35" s="146">
        <v>3.4137500000000001E-2</v>
      </c>
      <c r="I35" s="146"/>
      <c r="J35" s="146">
        <v>3.7637499999999997E-2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0.14456411252864737</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41463</v>
      </c>
      <c r="S45" s="119"/>
      <c r="T45" s="2"/>
    </row>
    <row r="46" spans="1:21" ht="15.75" x14ac:dyDescent="0.25">
      <c r="A46" s="115"/>
      <c r="B46" s="116" t="s">
        <v>104</v>
      </c>
      <c r="C46" s="116"/>
      <c r="D46" s="153"/>
      <c r="E46" s="153"/>
      <c r="F46" s="153"/>
      <c r="G46" s="153"/>
      <c r="H46" s="153"/>
      <c r="I46" s="153"/>
      <c r="J46" s="153"/>
      <c r="K46" s="153"/>
      <c r="L46" s="153"/>
      <c r="M46" s="153"/>
      <c r="N46" s="116">
        <f>+R46-P46+1</f>
        <v>90</v>
      </c>
      <c r="O46" s="116"/>
      <c r="P46" s="154">
        <v>41282</v>
      </c>
      <c r="Q46" s="155"/>
      <c r="R46" s="154">
        <v>41371</v>
      </c>
      <c r="S46" s="119"/>
      <c r="T46" s="2"/>
    </row>
    <row r="47" spans="1:21" ht="15.75" x14ac:dyDescent="0.25">
      <c r="A47" s="115"/>
      <c r="B47" s="116" t="s">
        <v>105</v>
      </c>
      <c r="C47" s="116"/>
      <c r="D47" s="116"/>
      <c r="E47" s="116"/>
      <c r="F47" s="116"/>
      <c r="G47" s="116"/>
      <c r="H47" s="116"/>
      <c r="I47" s="116"/>
      <c r="J47" s="116"/>
      <c r="K47" s="116"/>
      <c r="L47" s="116"/>
      <c r="M47" s="116"/>
      <c r="N47" s="116">
        <f>+R47-P47+1</f>
        <v>91</v>
      </c>
      <c r="O47" s="116"/>
      <c r="P47" s="154">
        <v>41372</v>
      </c>
      <c r="Q47" s="155"/>
      <c r="R47" s="154">
        <v>41462</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41456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253</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198329</v>
      </c>
      <c r="I56" s="158"/>
      <c r="J56" s="159">
        <v>114</v>
      </c>
      <c r="K56" s="158"/>
      <c r="L56" s="158">
        <f>971+1</f>
        <v>972</v>
      </c>
      <c r="M56" s="158"/>
      <c r="N56" s="158">
        <f>111+80</f>
        <v>191</v>
      </c>
      <c r="O56" s="158"/>
      <c r="P56" s="158">
        <v>0</v>
      </c>
      <c r="Q56" s="158"/>
      <c r="R56" s="159">
        <f>H56-J56-L56+N56-P56</f>
        <v>197434</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198329</v>
      </c>
      <c r="I59" s="158"/>
      <c r="J59" s="158">
        <f>J56+J57</f>
        <v>114</v>
      </c>
      <c r="K59" s="158"/>
      <c r="L59" s="158">
        <f>SUM(L56:L58)</f>
        <v>972</v>
      </c>
      <c r="M59" s="158"/>
      <c r="N59" s="158">
        <f>SUM(N56:N58)</f>
        <v>191</v>
      </c>
      <c r="O59" s="158"/>
      <c r="P59" s="158">
        <f>SUM(P56:P58)</f>
        <v>0</v>
      </c>
      <c r="Q59" s="158"/>
      <c r="R59" s="158">
        <f>SUM(R56:R58)</f>
        <v>197434</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434</v>
      </c>
      <c r="I70" s="158"/>
      <c r="J70" s="158"/>
      <c r="K70" s="158"/>
      <c r="L70" s="158"/>
      <c r="M70" s="158"/>
      <c r="N70" s="158"/>
      <c r="O70" s="158"/>
      <c r="P70" s="158"/>
      <c r="Q70" s="158"/>
      <c r="R70" s="158">
        <v>500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198763</v>
      </c>
      <c r="I72" s="158"/>
      <c r="J72" s="158"/>
      <c r="K72" s="158"/>
      <c r="L72" s="158"/>
      <c r="M72" s="158"/>
      <c r="N72" s="158"/>
      <c r="O72" s="158"/>
      <c r="P72" s="158"/>
      <c r="Q72" s="158"/>
      <c r="R72" s="158">
        <f>SUM(R59:R71)</f>
        <v>197934</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41453</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434</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114+972</f>
        <v>1086</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2393-116</f>
        <v>2277</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54</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6</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82</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1520</v>
      </c>
      <c r="Q88" s="116"/>
      <c r="R88" s="158">
        <f>SUM(R76:R87)</f>
        <v>2419</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1520</v>
      </c>
      <c r="Q91" s="116"/>
      <c r="R91" s="158">
        <f>R88+R89+R90</f>
        <v>2419</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-74-3</f>
        <v>-77</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-75</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-804</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-63</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-85</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-42</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-74</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-20-160</f>
        <v>-180</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-1007</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-80</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-111</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-829</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-1020</v>
      </c>
      <c r="Q119" s="158"/>
      <c r="R119" s="158">
        <f>SUM(R92:R118)</f>
        <v>-2419</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500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JUNE 2013</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196.99042499999996</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5803.009575</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+'March 13'!R164</f>
        <v>281</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82</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199</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197434</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500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197934</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197934</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+'March 13'!O180</f>
        <v>119</v>
      </c>
      <c r="P178" s="159">
        <f>+'March 13'!P180</f>
        <v>92</v>
      </c>
      <c r="Q178" s="116"/>
      <c r="R178" s="159">
        <f>O178+P178</f>
        <v>211</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111</v>
      </c>
      <c r="P179" s="158">
        <v>80</v>
      </c>
      <c r="Q179" s="116"/>
      <c r="R179" s="159">
        <f>O179+P179</f>
        <v>191</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230</v>
      </c>
      <c r="P180" s="159">
        <f>P179+P178</f>
        <v>172</v>
      </c>
      <c r="Q180" s="116"/>
      <c r="R180" s="159">
        <f>O180+P180</f>
        <v>402</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15598</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2.8084577114427862</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2.87</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23.079365079365079</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24.1</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16.36470588235294</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17.100000000000001</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31.023809523809526</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32.270000000000003</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JUNE 2013</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41453</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2.0069328838937955E-2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2.6160671161062046E-2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4.5068799999999999E-2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4.6080000000000003E-2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2.0069328838937955E-2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2.6010671161062048E-2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1.2170273139366986E-2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18.78</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5.4757498903337384E-3</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2.01E-2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'March 13'!P224+P223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1208</v>
      </c>
      <c r="O237" s="83">
        <f t="shared" ref="O237:O244" si="1">N237/$N$246</f>
        <v>1</v>
      </c>
      <c r="P237" s="84">
        <f t="shared" ref="P237:P244" si="2">+P249+P261+P273</f>
        <v>197434</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1208</v>
      </c>
      <c r="O246" s="198">
        <f>SUM(O237:O245)</f>
        <v>1</v>
      </c>
      <c r="P246" s="159">
        <f>SUM(P237:P245)</f>
        <v>197434</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1208</v>
      </c>
      <c r="O249" s="83">
        <f>N249/$N$258</f>
        <v>1</v>
      </c>
      <c r="P249" s="84">
        <v>197434</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1208</v>
      </c>
      <c r="O258" s="198">
        <f>SUM(O249:O257)</f>
        <v>1</v>
      </c>
      <c r="P258" s="159">
        <f>SUM(P249:P257)</f>
        <v>197434</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1208</v>
      </c>
      <c r="O284" s="198"/>
      <c r="P284" s="203">
        <f>+P282+P270+P258</f>
        <v>197434</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500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197934</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197934</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197</v>
      </c>
      <c r="C289" s="116"/>
      <c r="D289" s="200"/>
      <c r="E289" s="200"/>
      <c r="F289" s="200"/>
      <c r="G289" s="200"/>
      <c r="H289" s="200"/>
      <c r="I289" s="200"/>
      <c r="J289" s="200"/>
      <c r="K289" s="200"/>
      <c r="L289" s="200"/>
      <c r="M289" s="200"/>
      <c r="N289" s="202"/>
      <c r="O289" s="198"/>
      <c r="P289" s="211">
        <f>(J30+R138)/R30</f>
        <v>5.3048078825302332E-2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JUNE 2013</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23" man="1"/>
    <brk id="123" max="14" man="1"/>
    <brk id="196" max="14"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41565</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172933.6525</v>
      </c>
      <c r="E29" s="133"/>
      <c r="F29" s="208">
        <f>F28</f>
        <v>10500</v>
      </c>
      <c r="G29" s="208"/>
      <c r="H29" s="208">
        <f>H28</f>
        <v>10000</v>
      </c>
      <c r="I29" s="129"/>
      <c r="J29" s="208">
        <f>J28</f>
        <v>4500</v>
      </c>
      <c r="K29" s="129"/>
      <c r="L29" s="133"/>
      <c r="M29" s="129"/>
      <c r="N29" s="133"/>
      <c r="O29" s="129"/>
      <c r="P29" s="129"/>
      <c r="Q29" s="130"/>
      <c r="R29" s="129">
        <f>SUM(D29:J29)</f>
        <v>197933.6525</v>
      </c>
      <c r="S29" s="131"/>
      <c r="T29" s="2"/>
    </row>
    <row r="30" spans="1:20" ht="15.75" x14ac:dyDescent="0.25">
      <c r="A30" s="125"/>
      <c r="B30" s="124" t="s">
        <v>112</v>
      </c>
      <c r="C30" s="128"/>
      <c r="D30" s="209">
        <f>D31*D28</f>
        <v>170923.00750000001</v>
      </c>
      <c r="E30" s="209"/>
      <c r="F30" s="209">
        <f>F31*F28</f>
        <v>10500</v>
      </c>
      <c r="G30" s="209"/>
      <c r="H30" s="209">
        <f>H31*H28</f>
        <v>10000</v>
      </c>
      <c r="I30" s="209"/>
      <c r="J30" s="209">
        <f>J31*J28</f>
        <v>4500</v>
      </c>
      <c r="K30" s="134"/>
      <c r="L30" s="136"/>
      <c r="M30" s="134"/>
      <c r="N30" s="136"/>
      <c r="O30" s="129"/>
      <c r="P30" s="129"/>
      <c r="Q30" s="130"/>
      <c r="R30" s="210">
        <f>SUM(D30:J30)</f>
        <v>195923.00750000001</v>
      </c>
      <c r="S30" s="131"/>
      <c r="T30" s="2"/>
    </row>
    <row r="31" spans="1:20" ht="15.75" x14ac:dyDescent="0.25">
      <c r="A31" s="115"/>
      <c r="B31" s="137" t="s">
        <v>108</v>
      </c>
      <c r="C31" s="138"/>
      <c r="D31" s="139">
        <v>0.97670290000000004</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0.98819230000000002</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1.8581299999999999E-2</v>
      </c>
      <c r="E34" s="146"/>
      <c r="F34" s="146">
        <v>2.40813E-2</v>
      </c>
      <c r="G34" s="146"/>
      <c r="H34" s="146">
        <v>3.4081300000000002E-2</v>
      </c>
      <c r="I34" s="146"/>
      <c r="J34" s="146">
        <v>3.7581299999999998E-2</v>
      </c>
      <c r="K34" s="146"/>
      <c r="L34" s="146"/>
      <c r="M34" s="145"/>
      <c r="N34" s="146"/>
      <c r="O34" s="126"/>
      <c r="P34" s="126"/>
      <c r="Q34" s="118"/>
      <c r="R34" s="145">
        <f>SUMPRODUCT(D34:J34,D29:J29)/R29</f>
        <v>2.0088118048537756E-2</v>
      </c>
      <c r="S34" s="119"/>
      <c r="T34" s="2"/>
    </row>
    <row r="35" spans="1:21" ht="15.75" x14ac:dyDescent="0.25">
      <c r="A35" s="115"/>
      <c r="B35" s="116" t="s">
        <v>10</v>
      </c>
      <c r="C35" s="147"/>
      <c r="D35" s="146">
        <v>1.85688E-2</v>
      </c>
      <c r="E35" s="146"/>
      <c r="F35" s="146">
        <v>2.4068800000000001E-2</v>
      </c>
      <c r="G35" s="146"/>
      <c r="H35" s="146">
        <v>3.4068800000000003E-2</v>
      </c>
      <c r="I35" s="146"/>
      <c r="J35" s="146">
        <v>3.7568799999999999E-2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0.14626468587033259</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41555</v>
      </c>
      <c r="S45" s="119"/>
      <c r="T45" s="2"/>
    </row>
    <row r="46" spans="1:21" ht="15.75" x14ac:dyDescent="0.25">
      <c r="A46" s="115"/>
      <c r="B46" s="116" t="s">
        <v>104</v>
      </c>
      <c r="C46" s="116"/>
      <c r="D46" s="153"/>
      <c r="E46" s="153"/>
      <c r="F46" s="153"/>
      <c r="G46" s="153"/>
      <c r="H46" s="153"/>
      <c r="I46" s="153"/>
      <c r="J46" s="153"/>
      <c r="K46" s="153"/>
      <c r="L46" s="153"/>
      <c r="M46" s="153"/>
      <c r="N46" s="116">
        <f>+R46-P46+1</f>
        <v>91</v>
      </c>
      <c r="O46" s="116"/>
      <c r="P46" s="154">
        <v>41372</v>
      </c>
      <c r="Q46" s="155"/>
      <c r="R46" s="154">
        <v>41462</v>
      </c>
      <c r="S46" s="119"/>
      <c r="T46" s="2"/>
    </row>
    <row r="47" spans="1:21" ht="15.75" x14ac:dyDescent="0.25">
      <c r="A47" s="115"/>
      <c r="B47" s="116" t="s">
        <v>105</v>
      </c>
      <c r="C47" s="116"/>
      <c r="D47" s="116"/>
      <c r="E47" s="116"/>
      <c r="F47" s="116"/>
      <c r="G47" s="116"/>
      <c r="H47" s="116"/>
      <c r="I47" s="116"/>
      <c r="J47" s="116"/>
      <c r="K47" s="116"/>
      <c r="L47" s="116"/>
      <c r="M47" s="116"/>
      <c r="N47" s="116">
        <f>+R47-P47+1</f>
        <v>92</v>
      </c>
      <c r="O47" s="116"/>
      <c r="P47" s="154">
        <v>41463</v>
      </c>
      <c r="Q47" s="155"/>
      <c r="R47" s="154">
        <v>41554</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41548</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257</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197434</v>
      </c>
      <c r="I56" s="158"/>
      <c r="J56" s="159">
        <v>118</v>
      </c>
      <c r="K56" s="158"/>
      <c r="L56" s="158">
        <f>1803+2</f>
        <v>1805</v>
      </c>
      <c r="M56" s="158"/>
      <c r="N56" s="158">
        <v>312</v>
      </c>
      <c r="O56" s="158"/>
      <c r="P56" s="158">
        <v>0</v>
      </c>
      <c r="Q56" s="158"/>
      <c r="R56" s="159">
        <f>H56-J56-L56+N56-P56</f>
        <v>195823</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197434</v>
      </c>
      <c r="I59" s="158"/>
      <c r="J59" s="158">
        <f>J56+J57</f>
        <v>118</v>
      </c>
      <c r="K59" s="158"/>
      <c r="L59" s="158">
        <f>SUM(L56:L58)</f>
        <v>1805</v>
      </c>
      <c r="M59" s="158"/>
      <c r="N59" s="158">
        <f>SUM(N56:N58)</f>
        <v>312</v>
      </c>
      <c r="O59" s="158"/>
      <c r="P59" s="158">
        <f>SUM(P56:P58)</f>
        <v>0</v>
      </c>
      <c r="Q59" s="158"/>
      <c r="R59" s="158">
        <f>SUM(R56:R58)</f>
        <v>195823</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500</v>
      </c>
      <c r="I70" s="158"/>
      <c r="J70" s="158">
        <v>-400</v>
      </c>
      <c r="K70" s="158"/>
      <c r="L70" s="158"/>
      <c r="M70" s="158"/>
      <c r="N70" s="158"/>
      <c r="O70" s="158"/>
      <c r="P70" s="158"/>
      <c r="Q70" s="158"/>
      <c r="R70" s="158">
        <f>+H70+J70</f>
        <v>100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197934</v>
      </c>
      <c r="I72" s="158"/>
      <c r="J72" s="158"/>
      <c r="K72" s="158"/>
      <c r="L72" s="158"/>
      <c r="M72" s="158"/>
      <c r="N72" s="158"/>
      <c r="O72" s="158"/>
      <c r="P72" s="158"/>
      <c r="Q72" s="158"/>
      <c r="R72" s="158">
        <f>SUM(R59:R71)</f>
        <v>195923</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41547</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500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118+1805</f>
        <v>1923</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2380-120</f>
        <v>2260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40</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8</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84</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2423</v>
      </c>
      <c r="Q88" s="116"/>
      <c r="R88" s="158">
        <f>SUM(R76:R87)</f>
        <v>2392</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2423</v>
      </c>
      <c r="Q91" s="116"/>
      <c r="R91" s="158">
        <f>R88+R89+R90</f>
        <v>2392</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-75-3</f>
        <v>-78</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-69</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-810</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-64</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-86</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-43</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-74</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-20-179</f>
        <v>-199</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-957</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-68</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-244</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-2011</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-2323</v>
      </c>
      <c r="Q119" s="158"/>
      <c r="R119" s="158">
        <f>SUM(R92:R118)</f>
        <v>-2392</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100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SEPTEMBER 2013</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257.30977499999972</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5742.6902250000003</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+'June 13'!R164</f>
        <v>199</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84</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115</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195823</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100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195923</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195923</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+'June 13'!O180</f>
        <v>230</v>
      </c>
      <c r="P178" s="159">
        <f>+'June 13'!P180</f>
        <v>172</v>
      </c>
      <c r="Q178" s="116"/>
      <c r="R178" s="159">
        <f>O178+P178</f>
        <v>402</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244</v>
      </c>
      <c r="P179" s="158">
        <v>68</v>
      </c>
      <c r="Q179" s="116"/>
      <c r="R179" s="159">
        <f>O179+P179</f>
        <v>312</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474</v>
      </c>
      <c r="P180" s="159">
        <f>P179+P178</f>
        <v>240</v>
      </c>
      <c r="Q180" s="116"/>
      <c r="R180" s="159">
        <f>O180+P180</f>
        <v>714</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15286</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2.7604938271604937</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2.84</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22.28125</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23.61</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15.837209302325581</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16.77</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29.604651162790699</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31.56</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SEPTEMBER 2013</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41547</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2.0088118048537756E-2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2.6141881951462245E-2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4.5081299999999998E-2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4.6100000000000002E-2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2.0088118048537756E-2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2.6011881951462246E-2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1.2084836359594613E-2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18.54</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9.7399637347164118E-3</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2.4899999999999999E-2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'June 13'!P224+P223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1201</v>
      </c>
      <c r="O237" s="83">
        <f t="shared" ref="O237:O244" si="1">N237/$N$246</f>
        <v>1</v>
      </c>
      <c r="P237" s="84">
        <f t="shared" ref="P237:P244" si="2">+P249+P261+P273</f>
        <v>195823</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1201</v>
      </c>
      <c r="O246" s="198">
        <f>SUM(O237:O245)</f>
        <v>1</v>
      </c>
      <c r="P246" s="159">
        <f>SUM(P237:P245)</f>
        <v>195823</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1201</v>
      </c>
      <c r="O249" s="83">
        <f>N249/$N$258</f>
        <v>1</v>
      </c>
      <c r="P249" s="84">
        <v>195823</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1201</v>
      </c>
      <c r="O258" s="198">
        <f>SUM(O249:O257)</f>
        <v>1</v>
      </c>
      <c r="P258" s="159">
        <f>SUM(P249:P257)</f>
        <v>195823</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1201</v>
      </c>
      <c r="O284" s="198"/>
      <c r="P284" s="203">
        <f>+P282+P270+P258</f>
        <v>195823</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100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195923</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195923</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197</v>
      </c>
      <c r="C289" s="116"/>
      <c r="D289" s="200"/>
      <c r="E289" s="200"/>
      <c r="F289" s="200"/>
      <c r="G289" s="200"/>
      <c r="H289" s="200"/>
      <c r="I289" s="200"/>
      <c r="J289" s="200"/>
      <c r="K289" s="200"/>
      <c r="L289" s="200"/>
      <c r="M289" s="200"/>
      <c r="N289" s="202"/>
      <c r="O289" s="198"/>
      <c r="P289" s="211">
        <f>(J30+R138)/R30</f>
        <v>5.3592480709546066E-2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SEPTEMBER 2013</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23" man="1"/>
    <brk id="123" max="14" man="1"/>
    <brk id="196" max="14"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41661</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170923.00750000001</v>
      </c>
      <c r="E29" s="133"/>
      <c r="F29" s="208">
        <f>F28</f>
        <v>10500</v>
      </c>
      <c r="G29" s="208"/>
      <c r="H29" s="208">
        <f>H28</f>
        <v>10000</v>
      </c>
      <c r="I29" s="129"/>
      <c r="J29" s="208">
        <f>J28</f>
        <v>4500</v>
      </c>
      <c r="K29" s="129"/>
      <c r="L29" s="133"/>
      <c r="M29" s="129"/>
      <c r="N29" s="133"/>
      <c r="O29" s="129"/>
      <c r="P29" s="129"/>
      <c r="Q29" s="130"/>
      <c r="R29" s="129">
        <f>SUM(D29:J29)</f>
        <v>195923.00750000001</v>
      </c>
      <c r="S29" s="131"/>
      <c r="T29" s="2"/>
    </row>
    <row r="30" spans="1:20" ht="15.75" x14ac:dyDescent="0.25">
      <c r="A30" s="125"/>
      <c r="B30" s="124" t="s">
        <v>112</v>
      </c>
      <c r="C30" s="128"/>
      <c r="D30" s="209">
        <f>D31*D28</f>
        <v>170263.95749999999</v>
      </c>
      <c r="E30" s="209"/>
      <c r="F30" s="209">
        <f>F31*F28</f>
        <v>10500</v>
      </c>
      <c r="G30" s="209"/>
      <c r="H30" s="209">
        <f>H31*H28</f>
        <v>10000</v>
      </c>
      <c r="I30" s="209"/>
      <c r="J30" s="209">
        <f>J31*J28</f>
        <v>4500</v>
      </c>
      <c r="K30" s="134"/>
      <c r="L30" s="136"/>
      <c r="M30" s="134"/>
      <c r="N30" s="136"/>
      <c r="O30" s="129"/>
      <c r="P30" s="129"/>
      <c r="Q30" s="130"/>
      <c r="R30" s="210">
        <f>SUM(D30:J30)</f>
        <v>195263.95749999999</v>
      </c>
      <c r="S30" s="131"/>
      <c r="T30" s="2"/>
    </row>
    <row r="31" spans="1:20" ht="15.75" x14ac:dyDescent="0.25">
      <c r="A31" s="115"/>
      <c r="B31" s="137" t="s">
        <v>108</v>
      </c>
      <c r="C31" s="138"/>
      <c r="D31" s="139">
        <v>0.97293689999999999</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0.97670290000000004</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1.8668799999999999E-2</v>
      </c>
      <c r="E34" s="146"/>
      <c r="F34" s="146">
        <v>2.4168800000000001E-2</v>
      </c>
      <c r="G34" s="146"/>
      <c r="H34" s="146">
        <v>3.4168799999999999E-2</v>
      </c>
      <c r="I34" s="146"/>
      <c r="J34" s="146">
        <v>3.7668800000000002E-2</v>
      </c>
      <c r="K34" s="146"/>
      <c r="L34" s="146"/>
      <c r="M34" s="145"/>
      <c r="N34" s="146"/>
      <c r="O34" s="126"/>
      <c r="P34" s="126"/>
      <c r="Q34" s="118"/>
      <c r="R34" s="145">
        <f>SUMPRODUCT(D34:J34,D29:J29)/R29</f>
        <v>2.01910816544402E-2</v>
      </c>
      <c r="S34" s="119"/>
      <c r="T34" s="2"/>
    </row>
    <row r="35" spans="1:21" ht="15.75" x14ac:dyDescent="0.25">
      <c r="A35" s="115"/>
      <c r="B35" s="116" t="s">
        <v>10</v>
      </c>
      <c r="C35" s="147"/>
      <c r="D35" s="146">
        <v>1.8581299999999999E-2</v>
      </c>
      <c r="E35" s="146"/>
      <c r="F35" s="146">
        <v>2.40813E-2</v>
      </c>
      <c r="G35" s="146"/>
      <c r="H35" s="146">
        <v>3.4081300000000002E-2</v>
      </c>
      <c r="I35" s="146"/>
      <c r="J35" s="146">
        <v>3.7581299999999998E-2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0.14683084057881129</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41647</v>
      </c>
      <c r="S45" s="119"/>
      <c r="T45" s="2"/>
    </row>
    <row r="46" spans="1:21" ht="15.75" x14ac:dyDescent="0.25">
      <c r="A46" s="115"/>
      <c r="B46" s="116" t="s">
        <v>104</v>
      </c>
      <c r="C46" s="116"/>
      <c r="D46" s="153"/>
      <c r="E46" s="153"/>
      <c r="F46" s="153"/>
      <c r="G46" s="153"/>
      <c r="H46" s="153"/>
      <c r="I46" s="153"/>
      <c r="J46" s="153"/>
      <c r="K46" s="153"/>
      <c r="L46" s="153"/>
      <c r="M46" s="153"/>
      <c r="N46" s="116">
        <f>+R46-P46+1</f>
        <v>92</v>
      </c>
      <c r="O46" s="116"/>
      <c r="P46" s="154">
        <v>41463</v>
      </c>
      <c r="Q46" s="155"/>
      <c r="R46" s="154">
        <v>41554</v>
      </c>
      <c r="S46" s="119"/>
      <c r="T46" s="2"/>
    </row>
    <row r="47" spans="1:21" ht="15.75" x14ac:dyDescent="0.25">
      <c r="A47" s="115"/>
      <c r="B47" s="116" t="s">
        <v>105</v>
      </c>
      <c r="C47" s="116"/>
      <c r="D47" s="116"/>
      <c r="E47" s="116"/>
      <c r="F47" s="116"/>
      <c r="G47" s="116"/>
      <c r="H47" s="116"/>
      <c r="I47" s="116"/>
      <c r="J47" s="116"/>
      <c r="K47" s="116"/>
      <c r="L47" s="116"/>
      <c r="M47" s="116"/>
      <c r="N47" s="116">
        <f>+R47-P47+1</f>
        <v>92</v>
      </c>
      <c r="O47" s="116"/>
      <c r="P47" s="154">
        <v>41555</v>
      </c>
      <c r="Q47" s="155"/>
      <c r="R47" s="154">
        <v>41646</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41641</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258</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195823</v>
      </c>
      <c r="I56" s="158"/>
      <c r="J56" s="159">
        <v>119</v>
      </c>
      <c r="K56" s="158"/>
      <c r="L56" s="158">
        <f>696+166-3</f>
        <v>859</v>
      </c>
      <c r="M56" s="158"/>
      <c r="N56" s="158">
        <f>214+105</f>
        <v>319</v>
      </c>
      <c r="O56" s="158"/>
      <c r="P56" s="158">
        <v>0</v>
      </c>
      <c r="Q56" s="158"/>
      <c r="R56" s="159">
        <f>H56-J56-L56+N56-P56</f>
        <v>195164</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195823</v>
      </c>
      <c r="I59" s="158"/>
      <c r="J59" s="158">
        <f>J56+J57</f>
        <v>119</v>
      </c>
      <c r="K59" s="158"/>
      <c r="L59" s="158">
        <f>SUM(L56:L58)</f>
        <v>859</v>
      </c>
      <c r="M59" s="158"/>
      <c r="N59" s="158">
        <f>SUM(N56:N58)</f>
        <v>319</v>
      </c>
      <c r="O59" s="158"/>
      <c r="P59" s="158">
        <f>SUM(P56:P58)</f>
        <v>0</v>
      </c>
      <c r="Q59" s="158"/>
      <c r="R59" s="158">
        <f>SUM(R56:R58)</f>
        <v>195164</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100</v>
      </c>
      <c r="I70" s="158"/>
      <c r="J70" s="158">
        <v>0</v>
      </c>
      <c r="K70" s="158"/>
      <c r="L70" s="158"/>
      <c r="M70" s="158"/>
      <c r="N70" s="158"/>
      <c r="O70" s="158"/>
      <c r="P70" s="158"/>
      <c r="Q70" s="158"/>
      <c r="R70" s="158">
        <f>+H70+J70</f>
        <v>100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195923</v>
      </c>
      <c r="I72" s="158"/>
      <c r="J72" s="158"/>
      <c r="K72" s="158"/>
      <c r="L72" s="158"/>
      <c r="M72" s="158"/>
      <c r="N72" s="158"/>
      <c r="O72" s="158"/>
      <c r="P72" s="158"/>
      <c r="Q72" s="158"/>
      <c r="R72" s="158">
        <f>SUM(R59:R71)</f>
        <v>195264</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41639</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100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119+859</f>
        <v>978</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2552-282</f>
        <v>2270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30</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6</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58</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1078</v>
      </c>
      <c r="Q88" s="116"/>
      <c r="R88" s="158">
        <f>SUM(R76:R87)</f>
        <v>2364</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1078</v>
      </c>
      <c r="Q91" s="116"/>
      <c r="R91" s="158">
        <f>R88+R89+R90</f>
        <v>2364</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-74-3</f>
        <v>-77</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-45</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-804</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-64</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-86</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-43</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-74</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-18-179</f>
        <v>-197</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-962</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-105</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-214</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-659</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-978</v>
      </c>
      <c r="Q119" s="158"/>
      <c r="R119" s="158">
        <f>SUM(R92:R118)</f>
        <v>-2364</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100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DECEMBER 2013</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277.08127500000046</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5722.9187249999995</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+'September 13'!R164</f>
        <v>115</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58</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57</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195164</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100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195264</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195264</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+'September 13'!O180</f>
        <v>474</v>
      </c>
      <c r="P178" s="159">
        <f>+'September 13'!P180</f>
        <v>240</v>
      </c>
      <c r="Q178" s="116"/>
      <c r="R178" s="159">
        <f>O178+P178</f>
        <v>714</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214</v>
      </c>
      <c r="P179" s="158">
        <v>105</v>
      </c>
      <c r="Q179" s="116"/>
      <c r="R179" s="159">
        <f>O179+P179</f>
        <v>319</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688</v>
      </c>
      <c r="P180" s="159">
        <f>P179+P178</f>
        <v>345</v>
      </c>
      <c r="Q180" s="116"/>
      <c r="R180" s="159">
        <f>O180+P180</f>
        <v>1033</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14967</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2.777363184079602</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2.83</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22.328125</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23.34</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15.872093023255815</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16.579999999999998</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29.674418604651162</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31.17</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DECEMBER 2013</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41639</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2.01910816544402E-2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2.6038918345559801E-2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4.5168800000000002E-2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4.6519999999999999E-2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2.01910816544402E-2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2.6328918345559799E-2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1.2065964690209929E-2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18.29</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4.9943060825337164E-3</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2.3800000000000002E-2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'September 13'!P224+P223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1196</v>
      </c>
      <c r="O237" s="83">
        <f t="shared" ref="O237:O244" si="1">N237/$N$246</f>
        <v>1</v>
      </c>
      <c r="P237" s="84">
        <f t="shared" ref="P237:P244" si="2">+P249+P261+P273</f>
        <v>195164</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1196</v>
      </c>
      <c r="O246" s="198">
        <f>SUM(O237:O245)</f>
        <v>1</v>
      </c>
      <c r="P246" s="159">
        <f>SUM(P237:P245)</f>
        <v>195164</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1196</v>
      </c>
      <c r="O249" s="83">
        <f>N249/$N$258</f>
        <v>1</v>
      </c>
      <c r="P249" s="84">
        <v>195164</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1196</v>
      </c>
      <c r="O258" s="198">
        <f>SUM(O249:O257)</f>
        <v>1</v>
      </c>
      <c r="P258" s="159">
        <f>SUM(P249:P257)</f>
        <v>195164</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1196</v>
      </c>
      <c r="O284" s="198"/>
      <c r="P284" s="203">
        <f>+P282+P270+P258</f>
        <v>195164</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100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195264</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195264</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197</v>
      </c>
      <c r="C289" s="116"/>
      <c r="D289" s="200"/>
      <c r="E289" s="200"/>
      <c r="F289" s="200"/>
      <c r="G289" s="200"/>
      <c r="H289" s="200"/>
      <c r="I289" s="200"/>
      <c r="J289" s="200"/>
      <c r="K289" s="200"/>
      <c r="L289" s="200"/>
      <c r="M289" s="200"/>
      <c r="N289" s="202"/>
      <c r="O289" s="198"/>
      <c r="P289" s="211">
        <f>(J30+R138)/R30</f>
        <v>5.3773364703007212E-2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DECEMBER 2013</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23" man="1"/>
    <brk id="123" max="14" man="1"/>
    <brk id="196" max="14"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41751</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170263.95749999999</v>
      </c>
      <c r="E29" s="133"/>
      <c r="F29" s="208">
        <f>F28</f>
        <v>10500</v>
      </c>
      <c r="G29" s="208"/>
      <c r="H29" s="208">
        <f>H28</f>
        <v>10000</v>
      </c>
      <c r="I29" s="129"/>
      <c r="J29" s="208">
        <f>J28</f>
        <v>4500</v>
      </c>
      <c r="K29" s="129"/>
      <c r="L29" s="133"/>
      <c r="M29" s="129"/>
      <c r="N29" s="133"/>
      <c r="O29" s="129"/>
      <c r="P29" s="129"/>
      <c r="Q29" s="130"/>
      <c r="R29" s="129">
        <f>SUM(D29:J29)</f>
        <v>195263.95749999999</v>
      </c>
      <c r="S29" s="131"/>
      <c r="T29" s="2"/>
    </row>
    <row r="30" spans="1:20" ht="15.75" x14ac:dyDescent="0.25">
      <c r="A30" s="125"/>
      <c r="B30" s="124" t="s">
        <v>112</v>
      </c>
      <c r="C30" s="128"/>
      <c r="D30" s="209">
        <f>D31*D28</f>
        <v>167579.8075</v>
      </c>
      <c r="E30" s="209"/>
      <c r="F30" s="209">
        <f>F31*F28</f>
        <v>10500</v>
      </c>
      <c r="G30" s="209"/>
      <c r="H30" s="209">
        <f>H31*H28</f>
        <v>10000</v>
      </c>
      <c r="I30" s="209"/>
      <c r="J30" s="209">
        <f>J31*J28</f>
        <v>4500</v>
      </c>
      <c r="K30" s="134"/>
      <c r="L30" s="136"/>
      <c r="M30" s="134"/>
      <c r="N30" s="136"/>
      <c r="O30" s="129"/>
      <c r="P30" s="129"/>
      <c r="Q30" s="130"/>
      <c r="R30" s="210">
        <f>SUM(D30:J30)</f>
        <v>192579.8075</v>
      </c>
      <c r="S30" s="131"/>
      <c r="T30" s="2"/>
    </row>
    <row r="31" spans="1:20" ht="15.75" x14ac:dyDescent="0.25">
      <c r="A31" s="115"/>
      <c r="B31" s="137" t="s">
        <v>108</v>
      </c>
      <c r="C31" s="138"/>
      <c r="D31" s="139">
        <v>0.95759890000000003</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0.97293689999999999</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1.8706299999999999E-2</v>
      </c>
      <c r="E34" s="146"/>
      <c r="F34" s="146">
        <v>2.42063E-2</v>
      </c>
      <c r="G34" s="146"/>
      <c r="H34" s="146">
        <v>3.4206300000000002E-2</v>
      </c>
      <c r="I34" s="146"/>
      <c r="J34" s="146">
        <v>3.7706299999999998E-2</v>
      </c>
      <c r="K34" s="146"/>
      <c r="L34" s="146"/>
      <c r="M34" s="145"/>
      <c r="N34" s="146"/>
      <c r="O34" s="126"/>
      <c r="P34" s="126"/>
      <c r="Q34" s="118"/>
      <c r="R34" s="145">
        <f>SUMPRODUCT(D34:J34,D29:J29)/R29</f>
        <v>2.0233719621206847E-2</v>
      </c>
      <c r="S34" s="119"/>
      <c r="T34" s="2"/>
    </row>
    <row r="35" spans="1:21" ht="15.75" x14ac:dyDescent="0.25">
      <c r="A35" s="115"/>
      <c r="B35" s="116" t="s">
        <v>10</v>
      </c>
      <c r="C35" s="147"/>
      <c r="D35" s="146">
        <v>1.8668799999999999E-2</v>
      </c>
      <c r="E35" s="146"/>
      <c r="F35" s="146">
        <v>2.4168800000000001E-2</v>
      </c>
      <c r="G35" s="146"/>
      <c r="H35" s="146">
        <v>3.4168799999999999E-2</v>
      </c>
      <c r="I35" s="146"/>
      <c r="J35" s="146">
        <v>3.7668800000000002E-2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0.14918265137641956</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41737</v>
      </c>
      <c r="S45" s="119"/>
      <c r="T45" s="2"/>
    </row>
    <row r="46" spans="1:21" ht="15.75" x14ac:dyDescent="0.25">
      <c r="A46" s="115"/>
      <c r="B46" s="116" t="s">
        <v>104</v>
      </c>
      <c r="C46" s="116"/>
      <c r="D46" s="153"/>
      <c r="E46" s="153"/>
      <c r="F46" s="153"/>
      <c r="G46" s="153"/>
      <c r="H46" s="153"/>
      <c r="I46" s="153"/>
      <c r="J46" s="153"/>
      <c r="K46" s="153"/>
      <c r="L46" s="153"/>
      <c r="M46" s="153"/>
      <c r="N46" s="116">
        <f>+R46-P46+1</f>
        <v>92</v>
      </c>
      <c r="O46" s="116"/>
      <c r="P46" s="154">
        <v>41555</v>
      </c>
      <c r="Q46" s="155"/>
      <c r="R46" s="154">
        <v>41646</v>
      </c>
      <c r="S46" s="119"/>
      <c r="T46" s="2"/>
    </row>
    <row r="47" spans="1:21" ht="15.75" x14ac:dyDescent="0.25">
      <c r="A47" s="115"/>
      <c r="B47" s="116" t="s">
        <v>105</v>
      </c>
      <c r="C47" s="116"/>
      <c r="D47" s="116"/>
      <c r="E47" s="116"/>
      <c r="F47" s="116"/>
      <c r="G47" s="116"/>
      <c r="H47" s="116"/>
      <c r="I47" s="116"/>
      <c r="J47" s="116"/>
      <c r="K47" s="116"/>
      <c r="L47" s="116"/>
      <c r="M47" s="116"/>
      <c r="N47" s="116">
        <f>+R47-P47+1</f>
        <v>90</v>
      </c>
      <c r="O47" s="116"/>
      <c r="P47" s="154">
        <v>41647</v>
      </c>
      <c r="Q47" s="155"/>
      <c r="R47" s="154">
        <v>41736</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41730</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259</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195164</v>
      </c>
      <c r="I56" s="158"/>
      <c r="J56" s="159">
        <v>120</v>
      </c>
      <c r="K56" s="158"/>
      <c r="L56" s="158">
        <f>2515+175-7</f>
        <v>2683</v>
      </c>
      <c r="M56" s="158"/>
      <c r="N56" s="158">
        <f>84+35</f>
        <v>119</v>
      </c>
      <c r="O56" s="158"/>
      <c r="P56" s="158">
        <v>0</v>
      </c>
      <c r="Q56" s="158"/>
      <c r="R56" s="159">
        <f>H56-J56-L56+N56-P56</f>
        <v>192480</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195164</v>
      </c>
      <c r="I59" s="158"/>
      <c r="J59" s="158">
        <f>J56+J57</f>
        <v>120</v>
      </c>
      <c r="K59" s="158"/>
      <c r="L59" s="158">
        <f>SUM(L56:L58)</f>
        <v>2683</v>
      </c>
      <c r="M59" s="158"/>
      <c r="N59" s="158">
        <f>SUM(N56:N58)</f>
        <v>119</v>
      </c>
      <c r="O59" s="158"/>
      <c r="P59" s="158">
        <f>SUM(P56:P58)</f>
        <v>0</v>
      </c>
      <c r="Q59" s="158"/>
      <c r="R59" s="158">
        <f>SUM(R56:R58)</f>
        <v>192480</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100</v>
      </c>
      <c r="I70" s="158"/>
      <c r="J70" s="158">
        <v>0</v>
      </c>
      <c r="K70" s="158"/>
      <c r="L70" s="158"/>
      <c r="M70" s="158"/>
      <c r="N70" s="158"/>
      <c r="O70" s="158"/>
      <c r="P70" s="158"/>
      <c r="Q70" s="158"/>
      <c r="R70" s="158">
        <f>+H70+J70</f>
        <v>100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195264</v>
      </c>
      <c r="I72" s="158"/>
      <c r="J72" s="158"/>
      <c r="K72" s="158"/>
      <c r="L72" s="158"/>
      <c r="M72" s="158"/>
      <c r="N72" s="158"/>
      <c r="O72" s="158"/>
      <c r="P72" s="158"/>
      <c r="Q72" s="158"/>
      <c r="R72" s="158">
        <f>SUM(R59:R71)</f>
        <v>192580</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41729</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100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120+2683</f>
        <v>2803</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2558-288</f>
        <v>2270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75</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7</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47</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2903</v>
      </c>
      <c r="Q88" s="116"/>
      <c r="R88" s="158">
        <f>SUM(R76:R87)</f>
        <v>2399</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2903</v>
      </c>
      <c r="Q91" s="116"/>
      <c r="R91" s="158">
        <f>R88+R89+R90</f>
        <v>2399</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-72-3</f>
        <v>-75</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-36</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-785</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-63</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-84</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-42</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-72</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-16-179</f>
        <v>-195</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-1035</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-35</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-84</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-2684</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-2803</v>
      </c>
      <c r="Q119" s="158"/>
      <c r="R119" s="158">
        <f>SUM(R92:R118)</f>
        <v>-2399</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100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MARCH 2014</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357.60577499999999</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5642.394225</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+'Dec 13'!R164</f>
        <v>57</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47</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10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192480</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100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192580</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192580</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+'Dec 13'!O180</f>
        <v>688</v>
      </c>
      <c r="P178" s="159">
        <f>+'Dec 13'!P180</f>
        <v>345</v>
      </c>
      <c r="Q178" s="116"/>
      <c r="R178" s="159">
        <f>O178+P178</f>
        <v>1033</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84</v>
      </c>
      <c r="P179" s="158">
        <v>35</v>
      </c>
      <c r="Q179" s="116"/>
      <c r="R179" s="159">
        <f>O179+P179</f>
        <v>119</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772</v>
      </c>
      <c r="P180" s="159">
        <f>P179+P178</f>
        <v>380</v>
      </c>
      <c r="Q180" s="116"/>
      <c r="R180" s="159">
        <f>O180+P180</f>
        <v>1152</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14848</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2.9031847133757962</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2.84</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23.714285714285715</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23.41</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17.035714285714285</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16.66</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32</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31.31</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MARCH 2014</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41729</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2.0233719621206847E-2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2.5996280378793153E-2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4.5206299999999998E-2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4.7280000000000003E-2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2.0233719621206847E-2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2.7046280378793155E-2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1.2285930842346771E-2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18.07</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1.436227992867537E-2</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2.9499999999999998E-2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'Dec 13'!P224+P223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1179</v>
      </c>
      <c r="O237" s="83">
        <f t="shared" ref="O237:O244" si="1">N237/$N$246</f>
        <v>1</v>
      </c>
      <c r="P237" s="84">
        <f t="shared" ref="P237:P244" si="2">+P249+P261+P273</f>
        <v>192480</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1179</v>
      </c>
      <c r="O246" s="198">
        <f>SUM(O237:O245)</f>
        <v>1</v>
      </c>
      <c r="P246" s="159">
        <f>SUM(P237:P245)</f>
        <v>192480</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1179</v>
      </c>
      <c r="O249" s="83">
        <f>N249/$N$258</f>
        <v>1</v>
      </c>
      <c r="P249" s="84">
        <v>192480</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1179</v>
      </c>
      <c r="O258" s="198">
        <f>SUM(O249:O257)</f>
        <v>1</v>
      </c>
      <c r="P258" s="159">
        <f>SUM(P249:P257)</f>
        <v>192480</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1179</v>
      </c>
      <c r="O284" s="198"/>
      <c r="P284" s="203">
        <f>+P282+P270+P258</f>
        <v>192480</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100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192580</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192580</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260</v>
      </c>
      <c r="C289" s="116"/>
      <c r="D289" s="200"/>
      <c r="E289" s="200"/>
      <c r="F289" s="200"/>
      <c r="G289" s="200"/>
      <c r="H289" s="200"/>
      <c r="I289" s="200"/>
      <c r="J289" s="200"/>
      <c r="K289" s="200"/>
      <c r="L289" s="200"/>
      <c r="M289" s="200"/>
      <c r="N289" s="202"/>
      <c r="O289" s="198"/>
      <c r="P289" s="211">
        <f>(J30+R138)/R30</f>
        <v>5.4522850221459487E-2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MARCH 2014</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23" man="1"/>
    <brk id="123" max="14" man="1"/>
    <brk id="196" max="14"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41842</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167579.8075</v>
      </c>
      <c r="E29" s="133"/>
      <c r="F29" s="208">
        <f>F28</f>
        <v>10500</v>
      </c>
      <c r="G29" s="208"/>
      <c r="H29" s="208">
        <f>H28</f>
        <v>10000</v>
      </c>
      <c r="I29" s="129"/>
      <c r="J29" s="208">
        <f>J28</f>
        <v>4500</v>
      </c>
      <c r="K29" s="129"/>
      <c r="L29" s="133"/>
      <c r="M29" s="129"/>
      <c r="N29" s="133"/>
      <c r="O29" s="129"/>
      <c r="P29" s="129"/>
      <c r="Q29" s="130"/>
      <c r="R29" s="129">
        <f>SUM(D29:J29)</f>
        <v>192579.8075</v>
      </c>
      <c r="S29" s="131"/>
      <c r="T29" s="2"/>
    </row>
    <row r="30" spans="1:20" ht="15.75" x14ac:dyDescent="0.25">
      <c r="A30" s="125"/>
      <c r="B30" s="124" t="s">
        <v>112</v>
      </c>
      <c r="C30" s="128"/>
      <c r="D30" s="209">
        <f>D31*D28</f>
        <v>155805.73749999999</v>
      </c>
      <c r="E30" s="209"/>
      <c r="F30" s="209">
        <f>F31*F28</f>
        <v>10500</v>
      </c>
      <c r="G30" s="209"/>
      <c r="H30" s="209">
        <f>H31*H28</f>
        <v>10000</v>
      </c>
      <c r="I30" s="209"/>
      <c r="J30" s="209">
        <f>J31*J28</f>
        <v>4500</v>
      </c>
      <c r="K30" s="134"/>
      <c r="L30" s="136"/>
      <c r="M30" s="134"/>
      <c r="N30" s="136"/>
      <c r="O30" s="129"/>
      <c r="P30" s="129"/>
      <c r="Q30" s="130"/>
      <c r="R30" s="210">
        <f>SUM(D30:J30)</f>
        <v>180805.73749999999</v>
      </c>
      <c r="S30" s="131"/>
      <c r="T30" s="2"/>
    </row>
    <row r="31" spans="1:20" ht="15.75" x14ac:dyDescent="0.25">
      <c r="A31" s="115"/>
      <c r="B31" s="137" t="s">
        <v>108</v>
      </c>
      <c r="C31" s="138"/>
      <c r="D31" s="139">
        <v>0.89031850000000001</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0.95759890000000003</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1.8759399999999999E-2</v>
      </c>
      <c r="E34" s="146"/>
      <c r="F34" s="146">
        <v>2.42594E-2</v>
      </c>
      <c r="G34" s="146"/>
      <c r="H34" s="146">
        <v>3.4259400000000002E-2</v>
      </c>
      <c r="I34" s="146"/>
      <c r="J34" s="146">
        <v>3.7759399999999999E-2</v>
      </c>
      <c r="K34" s="146"/>
      <c r="L34" s="146"/>
      <c r="M34" s="145"/>
      <c r="N34" s="146"/>
      <c r="O34" s="126"/>
      <c r="P34" s="126"/>
      <c r="Q34" s="118"/>
      <c r="R34" s="145">
        <f>SUMPRODUCT(D34:J34,D29:J29)/R29</f>
        <v>2.0308108578909551E-2</v>
      </c>
      <c r="S34" s="119"/>
      <c r="T34" s="2"/>
    </row>
    <row r="35" spans="1:21" ht="15.75" x14ac:dyDescent="0.25">
      <c r="A35" s="115"/>
      <c r="B35" s="116" t="s">
        <v>10</v>
      </c>
      <c r="C35" s="147"/>
      <c r="D35" s="146">
        <v>1.8706299999999999E-2</v>
      </c>
      <c r="E35" s="146"/>
      <c r="F35" s="146">
        <v>2.42063E-2</v>
      </c>
      <c r="G35" s="146"/>
      <c r="H35" s="146">
        <v>3.4206300000000002E-2</v>
      </c>
      <c r="I35" s="146"/>
      <c r="J35" s="146">
        <v>3.7706299999999998E-2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0.16045622196679377</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41828</v>
      </c>
      <c r="S45" s="119"/>
      <c r="T45" s="2"/>
    </row>
    <row r="46" spans="1:21" ht="15.75" x14ac:dyDescent="0.25">
      <c r="A46" s="115"/>
      <c r="B46" s="116" t="s">
        <v>104</v>
      </c>
      <c r="C46" s="116"/>
      <c r="D46" s="153"/>
      <c r="E46" s="153"/>
      <c r="F46" s="153"/>
      <c r="G46" s="153"/>
      <c r="H46" s="153"/>
      <c r="I46" s="153"/>
      <c r="J46" s="153"/>
      <c r="K46" s="153"/>
      <c r="L46" s="153"/>
      <c r="M46" s="153"/>
      <c r="N46" s="116">
        <f>+R46-P46+1</f>
        <v>90</v>
      </c>
      <c r="O46" s="116"/>
      <c r="P46" s="154">
        <v>41647</v>
      </c>
      <c r="Q46" s="155"/>
      <c r="R46" s="154">
        <v>41736</v>
      </c>
      <c r="S46" s="119"/>
      <c r="T46" s="2"/>
    </row>
    <row r="47" spans="1:21" ht="15.75" x14ac:dyDescent="0.25">
      <c r="A47" s="115"/>
      <c r="B47" s="116" t="s">
        <v>105</v>
      </c>
      <c r="C47" s="116"/>
      <c r="D47" s="116"/>
      <c r="E47" s="116"/>
      <c r="F47" s="116"/>
      <c r="G47" s="116"/>
      <c r="H47" s="116"/>
      <c r="I47" s="116"/>
      <c r="J47" s="116"/>
      <c r="K47" s="116"/>
      <c r="L47" s="116"/>
      <c r="M47" s="116"/>
      <c r="N47" s="116">
        <f>+R47-P47+1</f>
        <v>91</v>
      </c>
      <c r="O47" s="116"/>
      <c r="P47" s="154">
        <v>41737</v>
      </c>
      <c r="Q47" s="155"/>
      <c r="R47" s="154">
        <v>41827</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41821</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261</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192480</v>
      </c>
      <c r="I56" s="158"/>
      <c r="J56" s="159">
        <v>122</v>
      </c>
      <c r="K56" s="158"/>
      <c r="L56" s="158">
        <f>11787+146</f>
        <v>11933</v>
      </c>
      <c r="M56" s="158"/>
      <c r="N56" s="158">
        <f>361+20</f>
        <v>381</v>
      </c>
      <c r="O56" s="158"/>
      <c r="P56" s="158">
        <v>0</v>
      </c>
      <c r="Q56" s="158"/>
      <c r="R56" s="159">
        <f>H56-J56-L56+N56-P56</f>
        <v>180806</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192480</v>
      </c>
      <c r="I59" s="158"/>
      <c r="J59" s="158">
        <f>J56+J57</f>
        <v>122</v>
      </c>
      <c r="K59" s="158"/>
      <c r="L59" s="158">
        <f>SUM(L56:L58)</f>
        <v>11933</v>
      </c>
      <c r="M59" s="158"/>
      <c r="N59" s="158">
        <f>SUM(N56:N58)</f>
        <v>381</v>
      </c>
      <c r="O59" s="158"/>
      <c r="P59" s="158">
        <f>SUM(P56:P58)</f>
        <v>0</v>
      </c>
      <c r="Q59" s="158"/>
      <c r="R59" s="158">
        <f>SUM(R56:R58)</f>
        <v>180806</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100</v>
      </c>
      <c r="I70" s="158"/>
      <c r="J70" s="158">
        <v>-100</v>
      </c>
      <c r="K70" s="158"/>
      <c r="L70" s="158"/>
      <c r="M70" s="158"/>
      <c r="N70" s="158"/>
      <c r="O70" s="158"/>
      <c r="P70" s="158"/>
      <c r="Q70" s="158"/>
      <c r="R70" s="158">
        <f>H70+J70</f>
        <v>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192580</v>
      </c>
      <c r="I72" s="158"/>
      <c r="J72" s="158"/>
      <c r="K72" s="158"/>
      <c r="L72" s="158"/>
      <c r="M72" s="158"/>
      <c r="N72" s="158"/>
      <c r="O72" s="158"/>
      <c r="P72" s="158"/>
      <c r="Q72" s="158"/>
      <c r="R72" s="158">
        <f>SUM(R59:R71)</f>
        <v>180806</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41820</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100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122+11933</f>
        <v>12055</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2489-269</f>
        <v>2220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116</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11</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10</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12155</v>
      </c>
      <c r="Q88" s="116"/>
      <c r="R88" s="158">
        <f>SUM(R76:R87)</f>
        <v>2357</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12155</v>
      </c>
      <c r="Q91" s="116"/>
      <c r="R91" s="158">
        <f>R88+R89+R90</f>
        <v>2357</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-72-3</f>
        <v>-75</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-21</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-784</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-64</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-85</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-42</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-72</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-14-179</f>
        <v>-193</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-1009</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-20</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-361</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-11774</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-12155</v>
      </c>
      <c r="Q119" s="158"/>
      <c r="R119" s="158">
        <f>SUM(R92:R118)</f>
        <v>-2357</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JUNE 2014</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710.82787500000086</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5289.1721249999991</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+'March 14'!R164</f>
        <v>10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10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180806</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180806</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180806</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+'March 14'!O180</f>
        <v>772</v>
      </c>
      <c r="P178" s="159">
        <f>+'March 14'!P180</f>
        <v>380</v>
      </c>
      <c r="Q178" s="116"/>
      <c r="R178" s="159">
        <f>O178+P178</f>
        <v>1152</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361</v>
      </c>
      <c r="P179" s="158">
        <v>20</v>
      </c>
      <c r="Q179" s="116"/>
      <c r="R179" s="159">
        <f>O179+P179</f>
        <v>381</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1133</v>
      </c>
      <c r="P180" s="159">
        <f>P179+P178</f>
        <v>400</v>
      </c>
      <c r="Q180" s="116"/>
      <c r="R180" s="159">
        <f>O180+P180</f>
        <v>1533</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14467</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2.8724489795918369</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2.85</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22.9375</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23.34</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16.517647058823531</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16.64</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31.333333333333332</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31.31</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JUNE 2014</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41820</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2.0308108578909551E-2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2.592189142109045E-2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4.5259399999999998E-2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4.854E-2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2.0308108578909551E-2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2.8231891421090449E-2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1.223906947761969E-2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17.739999999999998</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6.2629883624272645E-2</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6.1499999999999999E-2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1</v>
      </c>
      <c r="P217" s="99">
        <v>121</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'March 14'!P224+P223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1131</v>
      </c>
      <c r="O237" s="83">
        <f t="shared" ref="O237:O244" si="1">N237/$N$246</f>
        <v>1</v>
      </c>
      <c r="P237" s="84">
        <f t="shared" ref="P237:P244" si="2">+P249+P261+P273</f>
        <v>180806</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1131</v>
      </c>
      <c r="O246" s="198">
        <f>SUM(O237:O245)</f>
        <v>1</v>
      </c>
      <c r="P246" s="159">
        <f>SUM(P237:P245)</f>
        <v>180806</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1131</v>
      </c>
      <c r="O249" s="83">
        <f>N249/$N$258</f>
        <v>1</v>
      </c>
      <c r="P249" s="84">
        <v>180806</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1131</v>
      </c>
      <c r="O258" s="198">
        <f>SUM(O249:O257)</f>
        <v>1</v>
      </c>
      <c r="P258" s="159">
        <f>SUM(P249:P257)</f>
        <v>180806</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1131</v>
      </c>
      <c r="O284" s="198"/>
      <c r="P284" s="203">
        <f>+P282+P270+P258</f>
        <v>180806</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180806</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180806</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260</v>
      </c>
      <c r="C289" s="116"/>
      <c r="D289" s="200"/>
      <c r="E289" s="200"/>
      <c r="F289" s="200"/>
      <c r="G289" s="200"/>
      <c r="H289" s="200"/>
      <c r="I289" s="200"/>
      <c r="J289" s="200"/>
      <c r="K289" s="200"/>
      <c r="L289" s="200"/>
      <c r="M289" s="200"/>
      <c r="N289" s="202"/>
      <c r="O289" s="198"/>
      <c r="P289" s="211">
        <f>(J30+R138)/R30</f>
        <v>5.8073378340662452E-2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JUNE 2014</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23" man="1"/>
    <brk id="123" max="14" man="1"/>
    <brk id="196" max="14"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41934</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155805.73749999999</v>
      </c>
      <c r="E29" s="133"/>
      <c r="F29" s="208">
        <f>F28</f>
        <v>10500</v>
      </c>
      <c r="G29" s="208"/>
      <c r="H29" s="208">
        <f>H28</f>
        <v>10000</v>
      </c>
      <c r="I29" s="129"/>
      <c r="J29" s="208">
        <f>J28</f>
        <v>4500</v>
      </c>
      <c r="K29" s="129"/>
      <c r="L29" s="133"/>
      <c r="M29" s="129"/>
      <c r="N29" s="133"/>
      <c r="O29" s="129"/>
      <c r="P29" s="129"/>
      <c r="Q29" s="130"/>
      <c r="R29" s="129">
        <f>SUM(D29:J29)</f>
        <v>180805.73749999999</v>
      </c>
      <c r="S29" s="131"/>
      <c r="T29" s="2"/>
    </row>
    <row r="30" spans="1:20" ht="15.75" x14ac:dyDescent="0.25">
      <c r="A30" s="125"/>
      <c r="B30" s="124" t="s">
        <v>112</v>
      </c>
      <c r="C30" s="128"/>
      <c r="D30" s="209">
        <f>D31*D28</f>
        <v>146602.0675</v>
      </c>
      <c r="E30" s="209"/>
      <c r="F30" s="209">
        <f>F31*F28</f>
        <v>10500</v>
      </c>
      <c r="G30" s="209"/>
      <c r="H30" s="209">
        <f>H31*H28</f>
        <v>10000</v>
      </c>
      <c r="I30" s="209"/>
      <c r="J30" s="209">
        <f>J31*J28</f>
        <v>4500</v>
      </c>
      <c r="K30" s="134"/>
      <c r="L30" s="136"/>
      <c r="M30" s="134"/>
      <c r="N30" s="136"/>
      <c r="O30" s="129"/>
      <c r="P30" s="129"/>
      <c r="Q30" s="130"/>
      <c r="R30" s="210">
        <f>SUM(D30:J30)</f>
        <v>171602.0675</v>
      </c>
      <c r="S30" s="131"/>
      <c r="T30" s="2"/>
    </row>
    <row r="31" spans="1:20" ht="15.75" x14ac:dyDescent="0.25">
      <c r="A31" s="115"/>
      <c r="B31" s="137" t="s">
        <v>108</v>
      </c>
      <c r="C31" s="138"/>
      <c r="D31" s="139">
        <v>0.83772610000000003</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0.89031850000000001</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1.9056300000000002E-2</v>
      </c>
      <c r="E34" s="146"/>
      <c r="F34" s="146">
        <v>2.45563E-2</v>
      </c>
      <c r="G34" s="146"/>
      <c r="H34" s="146">
        <v>3.4556299999999998E-2</v>
      </c>
      <c r="I34" s="146"/>
      <c r="J34" s="146">
        <v>3.8056300000000001E-2</v>
      </c>
      <c r="K34" s="146"/>
      <c r="L34" s="146"/>
      <c r="M34" s="145"/>
      <c r="N34" s="146"/>
      <c r="O34" s="126"/>
      <c r="P34" s="126"/>
      <c r="Q34" s="118"/>
      <c r="R34" s="145">
        <f>SUMPRODUCT(D34:J34,D29:J29)/R29</f>
        <v>2.0705860484771677E-2</v>
      </c>
      <c r="S34" s="119"/>
      <c r="T34" s="2"/>
    </row>
    <row r="35" spans="1:21" ht="15.75" x14ac:dyDescent="0.25">
      <c r="A35" s="115"/>
      <c r="B35" s="116" t="s">
        <v>10</v>
      </c>
      <c r="C35" s="147"/>
      <c r="D35" s="146">
        <v>1.8759399999999999E-2</v>
      </c>
      <c r="E35" s="146"/>
      <c r="F35" s="146">
        <v>2.42594E-2</v>
      </c>
      <c r="G35" s="146"/>
      <c r="H35" s="146">
        <v>3.4259400000000002E-2</v>
      </c>
      <c r="I35" s="146"/>
      <c r="J35" s="146">
        <v>3.7759399999999999E-2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0.17052965504732734</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41920</v>
      </c>
      <c r="S45" s="119"/>
      <c r="T45" s="2"/>
    </row>
    <row r="46" spans="1:21" ht="15.75" x14ac:dyDescent="0.25">
      <c r="A46" s="115"/>
      <c r="B46" s="116" t="s">
        <v>104</v>
      </c>
      <c r="C46" s="116"/>
      <c r="D46" s="153"/>
      <c r="E46" s="153"/>
      <c r="F46" s="153"/>
      <c r="G46" s="153"/>
      <c r="H46" s="153"/>
      <c r="I46" s="153"/>
      <c r="J46" s="153"/>
      <c r="K46" s="153"/>
      <c r="L46" s="153"/>
      <c r="M46" s="153"/>
      <c r="N46" s="116">
        <f>+R46-P46+1</f>
        <v>91</v>
      </c>
      <c r="O46" s="116"/>
      <c r="P46" s="154">
        <v>41737</v>
      </c>
      <c r="Q46" s="155"/>
      <c r="R46" s="154">
        <v>41827</v>
      </c>
      <c r="S46" s="119"/>
      <c r="T46" s="2"/>
    </row>
    <row r="47" spans="1:21" ht="15.75" x14ac:dyDescent="0.25">
      <c r="A47" s="115"/>
      <c r="B47" s="116" t="s">
        <v>105</v>
      </c>
      <c r="C47" s="116"/>
      <c r="D47" s="116"/>
      <c r="E47" s="116"/>
      <c r="F47" s="116"/>
      <c r="G47" s="116"/>
      <c r="H47" s="116"/>
      <c r="I47" s="116"/>
      <c r="J47" s="116"/>
      <c r="K47" s="116"/>
      <c r="L47" s="116"/>
      <c r="M47" s="116"/>
      <c r="N47" s="116">
        <f>+R47-P47+1</f>
        <v>92</v>
      </c>
      <c r="O47" s="116"/>
      <c r="P47" s="154">
        <v>41828</v>
      </c>
      <c r="Q47" s="155"/>
      <c r="R47" s="154">
        <v>41919</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41913</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262</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180806</v>
      </c>
      <c r="I56" s="158"/>
      <c r="J56" s="159">
        <v>121</v>
      </c>
      <c r="K56" s="158"/>
      <c r="L56" s="158">
        <f>8770+543-121</f>
        <v>9192</v>
      </c>
      <c r="M56" s="158"/>
      <c r="N56" s="158">
        <f>104+5</f>
        <v>109</v>
      </c>
      <c r="O56" s="158"/>
      <c r="P56" s="158">
        <v>0</v>
      </c>
      <c r="Q56" s="158"/>
      <c r="R56" s="159">
        <f>H56-J56-L56+N56-P56</f>
        <v>171602</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180806</v>
      </c>
      <c r="I59" s="158"/>
      <c r="J59" s="158">
        <f>J56+J57</f>
        <v>121</v>
      </c>
      <c r="K59" s="158"/>
      <c r="L59" s="158">
        <f>SUM(L56:L58)</f>
        <v>9192</v>
      </c>
      <c r="M59" s="158"/>
      <c r="N59" s="158">
        <f>SUM(N56:N58)</f>
        <v>109</v>
      </c>
      <c r="O59" s="158"/>
      <c r="P59" s="158">
        <f>SUM(P56:P58)</f>
        <v>0</v>
      </c>
      <c r="Q59" s="158"/>
      <c r="R59" s="158">
        <f>SUM(R56:R58)</f>
        <v>171602</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0</v>
      </c>
      <c r="I70" s="158"/>
      <c r="J70" s="158">
        <v>0</v>
      </c>
      <c r="K70" s="158"/>
      <c r="L70" s="158"/>
      <c r="M70" s="158"/>
      <c r="N70" s="158"/>
      <c r="O70" s="158"/>
      <c r="P70" s="158"/>
      <c r="Q70" s="158"/>
      <c r="R70" s="158">
        <f>H70+J70</f>
        <v>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180806</v>
      </c>
      <c r="I72" s="158"/>
      <c r="J72" s="158"/>
      <c r="K72" s="158"/>
      <c r="L72" s="158"/>
      <c r="M72" s="158"/>
      <c r="N72" s="158"/>
      <c r="O72" s="158"/>
      <c r="P72" s="158"/>
      <c r="Q72" s="158"/>
      <c r="R72" s="158">
        <f>SUM(R59:R71)</f>
        <v>171602</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41912</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9192+121</f>
        <v>9313</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2653-543</f>
        <v>2110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90</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11</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9313</v>
      </c>
      <c r="Q88" s="116"/>
      <c r="R88" s="158">
        <f>SUM(R76:R87)</f>
        <v>2211</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9313</v>
      </c>
      <c r="Q91" s="116"/>
      <c r="R91" s="158">
        <f>R88+R89+R90</f>
        <v>2211</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-69-6-3</f>
        <v>-78</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-10</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-748</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-65</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-87</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-43</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-68</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-12-180</f>
        <v>-192</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-908</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-5</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-104</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-9204</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-9313</v>
      </c>
      <c r="Q119" s="158"/>
      <c r="R119" s="158">
        <f>SUM(R92:R118)</f>
        <v>-2211</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SEPTEMBER 2014</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986.93797499999982</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5013.0620250000002</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+'June 14'!R164</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171602</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171602</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171602</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+'June 14'!O180</f>
        <v>1133</v>
      </c>
      <c r="P178" s="159">
        <f>+'June 14'!P180</f>
        <v>400</v>
      </c>
      <c r="Q178" s="116"/>
      <c r="R178" s="159">
        <f>O178+P178</f>
        <v>1533</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104</v>
      </c>
      <c r="P179" s="158">
        <v>5</v>
      </c>
      <c r="Q179" s="116"/>
      <c r="R179" s="159">
        <f>O179+P179</f>
        <v>109</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1237</v>
      </c>
      <c r="P180" s="159">
        <f>P179+P178</f>
        <v>405</v>
      </c>
      <c r="Q180" s="116"/>
      <c r="R180" s="159">
        <f>O180+P180</f>
        <v>1642</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14358</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2.8262032085561497</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2.84</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21.015384615384615</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23.03</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14.954022988505747</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16.420000000000002</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28.162790697674417</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30.9</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SEPTEMBER 2014</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41912</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2.0705860484771677E-2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2.5524139515228323E-2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4.5556300000000001E-2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4.947E-2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2.0705860484771677E-2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2.8764139515228323E-2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1.222857648529363E-2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17.489999999999998</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5.1508246407751958E-2</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7.9100000000000004E-2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'June 14'!P224+P223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1078</v>
      </c>
      <c r="O237" s="83">
        <f t="shared" ref="O237:O244" si="1">N237/$N$246</f>
        <v>1</v>
      </c>
      <c r="P237" s="84">
        <f t="shared" ref="P237:P244" si="2">+P249+P261+P273</f>
        <v>171602</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1078</v>
      </c>
      <c r="O246" s="198">
        <f>SUM(O237:O245)</f>
        <v>1</v>
      </c>
      <c r="P246" s="159">
        <f>SUM(P237:P245)</f>
        <v>171602</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1078</v>
      </c>
      <c r="O249" s="83">
        <f>N249/$N$258</f>
        <v>1</v>
      </c>
      <c r="P249" s="84">
        <v>171602</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1078</v>
      </c>
      <c r="O258" s="198">
        <f>SUM(O249:O257)</f>
        <v>1</v>
      </c>
      <c r="P258" s="159">
        <f>SUM(P249:P257)</f>
        <v>171602</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1078</v>
      </c>
      <c r="O284" s="198"/>
      <c r="P284" s="203">
        <f>+P282+P270+P258</f>
        <v>171602</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171602</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171602</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260</v>
      </c>
      <c r="C289" s="116"/>
      <c r="D289" s="200"/>
      <c r="E289" s="200"/>
      <c r="F289" s="200"/>
      <c r="G289" s="200"/>
      <c r="H289" s="200"/>
      <c r="I289" s="200"/>
      <c r="J289" s="200"/>
      <c r="K289" s="200"/>
      <c r="L289" s="200"/>
      <c r="M289" s="200"/>
      <c r="N289" s="202"/>
      <c r="O289" s="198"/>
      <c r="P289" s="211">
        <f>(J30+R138)/R30</f>
        <v>6.11880739723605E-2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SEPTEMBER 2014</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18" man="1"/>
    <brk id="123" max="18" man="1"/>
    <brk id="196"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640625" defaultRowHeight="15" x14ac:dyDescent="0.2"/>
  <cols>
    <col min="1" max="1" width="4" style="1" customWidth="1"/>
    <col min="2" max="2" width="71.21875" style="1" customWidth="1"/>
    <col min="3" max="3" width="2.21875" style="1" customWidth="1"/>
    <col min="4" max="4" width="16.21875" style="1" customWidth="1"/>
    <col min="5" max="5" width="2.88671875" style="1" customWidth="1"/>
    <col min="6" max="6" width="16.21875" style="1" customWidth="1"/>
    <col min="7" max="7" width="2.21875" style="1" customWidth="1"/>
    <col min="8" max="8" width="17.88671875" style="1" customWidth="1"/>
    <col min="9" max="9" width="2.33203125" style="1" customWidth="1"/>
    <col min="10" max="10" width="14.88671875" style="1" customWidth="1"/>
    <col min="11" max="11" width="2.33203125" style="1" customWidth="1"/>
    <col min="12" max="12" width="15.5546875" style="1" customWidth="1"/>
    <col min="13" max="13" width="2.21875" style="1" customWidth="1"/>
    <col min="14" max="14" width="15.5546875" style="1" customWidth="1"/>
    <col min="15" max="16" width="12.6640625" style="1" customWidth="1"/>
    <col min="17" max="17" width="7.77734375" style="1" customWidth="1"/>
    <col min="18" max="18" width="14.6640625" style="1" customWidth="1"/>
    <col min="19" max="19" width="11.77734375" style="1" customWidth="1"/>
    <col min="20" max="16384" width="9.6640625" style="1"/>
  </cols>
  <sheetData>
    <row r="1" spans="1:20" ht="20.25" x14ac:dyDescent="0.3">
      <c r="A1" s="10"/>
      <c r="B1" s="104" t="s">
        <v>203</v>
      </c>
      <c r="C1" s="11"/>
      <c r="D1" s="11"/>
      <c r="E1" s="11"/>
      <c r="F1" s="11"/>
      <c r="G1" s="11"/>
      <c r="H1" s="11"/>
      <c r="I1" s="11"/>
      <c r="J1" s="11"/>
      <c r="K1" s="11"/>
      <c r="L1" s="11"/>
      <c r="M1" s="11"/>
      <c r="N1" s="11"/>
      <c r="O1" s="11"/>
      <c r="P1" s="11"/>
      <c r="Q1" s="11"/>
      <c r="R1" s="11"/>
      <c r="S1" s="11"/>
      <c r="T1" s="2"/>
    </row>
    <row r="2" spans="1:20" ht="15.75" x14ac:dyDescent="0.25">
      <c r="A2" s="12"/>
      <c r="B2" s="13"/>
      <c r="C2" s="14"/>
      <c r="D2" s="14"/>
      <c r="E2" s="14"/>
      <c r="F2" s="14"/>
      <c r="G2" s="14"/>
      <c r="H2" s="14"/>
      <c r="I2" s="14"/>
      <c r="J2" s="14"/>
      <c r="K2" s="14"/>
      <c r="L2" s="14"/>
      <c r="M2" s="14"/>
      <c r="N2" s="14"/>
      <c r="O2" s="14"/>
      <c r="P2" s="14"/>
      <c r="Q2" s="14"/>
      <c r="R2" s="14"/>
      <c r="S2" s="14"/>
      <c r="T2" s="2"/>
    </row>
    <row r="3" spans="1:20" ht="15.75" x14ac:dyDescent="0.25">
      <c r="A3" s="15"/>
      <c r="B3" s="16" t="s">
        <v>204</v>
      </c>
      <c r="C3" s="14"/>
      <c r="D3" s="14"/>
      <c r="E3" s="14"/>
      <c r="F3" s="14"/>
      <c r="G3" s="14"/>
      <c r="H3" s="14"/>
      <c r="I3" s="14"/>
      <c r="J3" s="14"/>
      <c r="K3" s="14"/>
      <c r="L3" s="14"/>
      <c r="M3" s="14"/>
      <c r="N3" s="14"/>
      <c r="O3" s="14"/>
      <c r="P3" s="14"/>
      <c r="Q3" s="14"/>
      <c r="R3" s="14"/>
      <c r="S3" s="14"/>
      <c r="T3" s="2"/>
    </row>
    <row r="4" spans="1:20" ht="15.75" x14ac:dyDescent="0.25">
      <c r="A4" s="12"/>
      <c r="B4" s="13"/>
      <c r="C4" s="14"/>
      <c r="D4" s="14"/>
      <c r="E4" s="14"/>
      <c r="F4" s="14"/>
      <c r="G4" s="14"/>
      <c r="H4" s="14"/>
      <c r="I4" s="14"/>
      <c r="J4" s="14"/>
      <c r="K4" s="14"/>
      <c r="L4" s="14"/>
      <c r="M4" s="14"/>
      <c r="N4" s="14"/>
      <c r="O4" s="14"/>
      <c r="P4" s="14"/>
      <c r="Q4" s="14"/>
      <c r="R4" s="14"/>
      <c r="S4" s="14"/>
      <c r="T4" s="2"/>
    </row>
    <row r="5" spans="1:20" ht="15.75" x14ac:dyDescent="0.25">
      <c r="A5" s="12"/>
      <c r="B5" s="105" t="s">
        <v>114</v>
      </c>
      <c r="C5" s="14"/>
      <c r="D5" s="14"/>
      <c r="E5" s="14"/>
      <c r="F5" s="14"/>
      <c r="G5" s="14"/>
      <c r="H5" s="14"/>
      <c r="I5" s="14"/>
      <c r="J5" s="14"/>
      <c r="K5" s="14"/>
      <c r="L5" s="14"/>
      <c r="M5" s="14"/>
      <c r="N5" s="14"/>
      <c r="O5" s="14"/>
      <c r="P5" s="14"/>
      <c r="Q5" s="14"/>
      <c r="R5" s="14"/>
      <c r="S5" s="14"/>
      <c r="T5" s="2"/>
    </row>
    <row r="6" spans="1:20" ht="15.75" x14ac:dyDescent="0.25">
      <c r="A6" s="12"/>
      <c r="B6" s="105" t="s">
        <v>116</v>
      </c>
      <c r="C6" s="14"/>
      <c r="D6" s="14"/>
      <c r="E6" s="14"/>
      <c r="F6" s="14"/>
      <c r="G6" s="14"/>
      <c r="H6" s="14"/>
      <c r="I6" s="14"/>
      <c r="J6" s="14"/>
      <c r="K6" s="14"/>
      <c r="L6" s="14"/>
      <c r="M6" s="14"/>
      <c r="N6" s="14"/>
      <c r="O6" s="14"/>
      <c r="P6" s="14"/>
      <c r="Q6" s="14"/>
      <c r="R6" s="14"/>
      <c r="S6" s="14"/>
      <c r="T6" s="2"/>
    </row>
    <row r="7" spans="1:20" ht="15.75" x14ac:dyDescent="0.25">
      <c r="A7" s="12"/>
      <c r="B7" s="105" t="s">
        <v>115</v>
      </c>
      <c r="C7" s="14"/>
      <c r="D7" s="14"/>
      <c r="E7" s="14"/>
      <c r="F7" s="14"/>
      <c r="G7" s="14"/>
      <c r="H7" s="14"/>
      <c r="I7" s="14"/>
      <c r="J7" s="14"/>
      <c r="K7" s="14"/>
      <c r="L7" s="14"/>
      <c r="M7" s="14"/>
      <c r="N7" s="14"/>
      <c r="O7" s="14"/>
      <c r="P7" s="14"/>
      <c r="Q7" s="14"/>
      <c r="R7" s="14"/>
      <c r="S7" s="14"/>
      <c r="T7" s="2"/>
    </row>
    <row r="8" spans="1:20" ht="15.75" x14ac:dyDescent="0.25">
      <c r="A8" s="12"/>
      <c r="B8" s="17"/>
      <c r="C8" s="14"/>
      <c r="D8" s="14"/>
      <c r="E8" s="14"/>
      <c r="F8" s="14"/>
      <c r="G8" s="14"/>
      <c r="H8" s="14"/>
      <c r="I8" s="14"/>
      <c r="J8" s="14"/>
      <c r="K8" s="14"/>
      <c r="L8" s="14"/>
      <c r="M8" s="14"/>
      <c r="N8" s="14"/>
      <c r="O8" s="14"/>
      <c r="P8" s="14"/>
      <c r="Q8" s="14"/>
      <c r="R8" s="14"/>
      <c r="S8" s="14"/>
      <c r="T8" s="2"/>
    </row>
    <row r="9" spans="1:20" ht="18.75" x14ac:dyDescent="0.3">
      <c r="A9" s="12"/>
      <c r="B9" s="18" t="s">
        <v>133</v>
      </c>
      <c r="C9" s="14"/>
      <c r="D9" s="14"/>
      <c r="E9" s="19"/>
      <c r="F9" s="14"/>
      <c r="G9" s="14"/>
      <c r="H9" s="19"/>
      <c r="I9" s="14"/>
      <c r="J9" s="19"/>
      <c r="K9" s="19" t="s">
        <v>134</v>
      </c>
      <c r="L9" s="19"/>
      <c r="M9" s="14"/>
      <c r="N9" s="14"/>
      <c r="O9" s="14"/>
      <c r="P9" s="14"/>
      <c r="Q9" s="14"/>
      <c r="R9" s="14"/>
      <c r="S9" s="14"/>
      <c r="T9" s="2"/>
    </row>
    <row r="10" spans="1:20" ht="15.75" x14ac:dyDescent="0.25">
      <c r="A10" s="12"/>
      <c r="B10" s="17"/>
      <c r="C10" s="20"/>
      <c r="D10" s="14"/>
      <c r="E10" s="14"/>
      <c r="F10" s="14"/>
      <c r="G10" s="14"/>
      <c r="H10" s="14"/>
      <c r="I10" s="14"/>
      <c r="J10" s="14"/>
      <c r="K10" s="14"/>
      <c r="L10" s="14"/>
      <c r="M10" s="14"/>
      <c r="N10" s="14"/>
      <c r="O10" s="14"/>
      <c r="P10" s="14"/>
      <c r="Q10" s="14"/>
      <c r="R10" s="14"/>
      <c r="S10" s="14"/>
      <c r="T10" s="2"/>
    </row>
    <row r="11" spans="1:20" ht="15.75" x14ac:dyDescent="0.25">
      <c r="A11" s="12"/>
      <c r="B11" s="90" t="s">
        <v>0</v>
      </c>
      <c r="C11" s="14"/>
      <c r="D11" s="14"/>
      <c r="E11" s="14"/>
      <c r="F11" s="14"/>
      <c r="G11" s="14"/>
      <c r="H11" s="14"/>
      <c r="I11" s="14"/>
      <c r="J11" s="14"/>
      <c r="K11" s="14"/>
      <c r="L11" s="14"/>
      <c r="M11" s="14"/>
      <c r="N11" s="14"/>
      <c r="O11" s="14"/>
      <c r="P11" s="14"/>
      <c r="Q11" s="14"/>
      <c r="R11" s="14"/>
      <c r="S11" s="14"/>
      <c r="T11" s="2"/>
    </row>
    <row r="12" spans="1:20" ht="16.5" thickBot="1" x14ac:dyDescent="0.3">
      <c r="A12" s="12"/>
      <c r="B12" s="20"/>
      <c r="C12" s="14"/>
      <c r="D12" s="14"/>
      <c r="E12" s="14"/>
      <c r="F12" s="14"/>
      <c r="G12" s="14"/>
      <c r="H12" s="14"/>
      <c r="I12" s="14"/>
      <c r="J12" s="14"/>
      <c r="K12" s="14"/>
      <c r="L12" s="14"/>
      <c r="M12" s="14"/>
      <c r="N12" s="14"/>
      <c r="O12" s="14"/>
      <c r="P12" s="14"/>
      <c r="Q12" s="14"/>
      <c r="R12" s="14"/>
      <c r="S12" s="14"/>
      <c r="T12" s="2"/>
    </row>
    <row r="13" spans="1:20" ht="15.75" x14ac:dyDescent="0.25">
      <c r="A13" s="10"/>
      <c r="B13" s="11"/>
      <c r="C13" s="11"/>
      <c r="D13" s="11"/>
      <c r="E13" s="11"/>
      <c r="F13" s="11"/>
      <c r="G13" s="11"/>
      <c r="H13" s="11"/>
      <c r="I13" s="11"/>
      <c r="J13" s="11"/>
      <c r="K13" s="11"/>
      <c r="L13" s="11"/>
      <c r="M13" s="11"/>
      <c r="N13" s="11"/>
      <c r="O13" s="11"/>
      <c r="P13" s="11"/>
      <c r="Q13" s="11"/>
      <c r="R13" s="11"/>
      <c r="S13" s="11"/>
      <c r="T13" s="2"/>
    </row>
    <row r="14" spans="1:20" ht="15.75" x14ac:dyDescent="0.25">
      <c r="A14" s="12"/>
      <c r="B14" s="90" t="s">
        <v>1</v>
      </c>
      <c r="C14" s="86"/>
      <c r="D14" s="86"/>
      <c r="E14" s="86"/>
      <c r="F14" s="86"/>
      <c r="G14" s="86"/>
      <c r="H14" s="86"/>
      <c r="I14" s="86"/>
      <c r="J14" s="86"/>
      <c r="K14" s="86"/>
      <c r="L14" s="86"/>
      <c r="M14" s="86"/>
      <c r="N14" s="86"/>
      <c r="O14" s="86"/>
      <c r="P14" s="86"/>
      <c r="Q14" s="86"/>
      <c r="R14" s="106" t="s">
        <v>205</v>
      </c>
      <c r="S14" s="86"/>
      <c r="T14" s="2"/>
    </row>
    <row r="15" spans="1:20" ht="15.75" x14ac:dyDescent="0.25">
      <c r="A15" s="12"/>
      <c r="B15" s="90" t="s">
        <v>2</v>
      </c>
      <c r="C15" s="86"/>
      <c r="D15" s="107"/>
      <c r="E15" s="107"/>
      <c r="F15" s="107"/>
      <c r="G15" s="107"/>
      <c r="H15" s="107"/>
      <c r="I15" s="107"/>
      <c r="J15" s="107"/>
      <c r="K15" s="107"/>
      <c r="L15" s="107"/>
      <c r="M15" s="107"/>
      <c r="N15" s="107"/>
      <c r="O15" s="108" t="s">
        <v>169</v>
      </c>
      <c r="P15" s="108">
        <v>1</v>
      </c>
      <c r="Q15" s="108"/>
      <c r="R15" s="106"/>
      <c r="S15" s="86"/>
      <c r="T15" s="2"/>
    </row>
    <row r="16" spans="1:20" ht="15.75" x14ac:dyDescent="0.25">
      <c r="A16" s="12"/>
      <c r="B16" s="90" t="s">
        <v>3</v>
      </c>
      <c r="C16" s="86"/>
      <c r="D16" s="107"/>
      <c r="E16" s="107"/>
      <c r="F16" s="107"/>
      <c r="G16" s="107"/>
      <c r="H16" s="107"/>
      <c r="I16" s="107"/>
      <c r="J16" s="107"/>
      <c r="K16" s="107"/>
      <c r="L16" s="107"/>
      <c r="M16" s="107"/>
      <c r="N16" s="107"/>
      <c r="O16" s="108" t="s">
        <v>169</v>
      </c>
      <c r="P16" s="108">
        <v>1</v>
      </c>
      <c r="Q16" s="108"/>
      <c r="R16" s="106"/>
      <c r="S16" s="86"/>
      <c r="T16" s="2"/>
    </row>
    <row r="17" spans="1:20" ht="15.75" x14ac:dyDescent="0.25">
      <c r="A17" s="12"/>
      <c r="B17" s="90" t="s">
        <v>4</v>
      </c>
      <c r="C17" s="86"/>
      <c r="D17" s="86"/>
      <c r="E17" s="86"/>
      <c r="F17" s="86"/>
      <c r="G17" s="86"/>
      <c r="H17" s="86"/>
      <c r="I17" s="86"/>
      <c r="J17" s="86"/>
      <c r="K17" s="86"/>
      <c r="L17" s="86"/>
      <c r="M17" s="86"/>
      <c r="N17" s="86"/>
      <c r="O17" s="86"/>
      <c r="P17" s="86"/>
      <c r="Q17" s="86"/>
      <c r="R17" s="109">
        <v>41207</v>
      </c>
      <c r="S17" s="86"/>
      <c r="T17" s="2"/>
    </row>
    <row r="18" spans="1:20" ht="15.75" x14ac:dyDescent="0.25">
      <c r="A18" s="12"/>
      <c r="B18" s="90" t="s">
        <v>5</v>
      </c>
      <c r="C18" s="86"/>
      <c r="D18" s="86"/>
      <c r="E18" s="86"/>
      <c r="F18" s="86"/>
      <c r="G18" s="86"/>
      <c r="H18" s="86"/>
      <c r="I18" s="86"/>
      <c r="J18" s="86"/>
      <c r="K18" s="86"/>
      <c r="L18" s="86"/>
      <c r="M18" s="86"/>
      <c r="N18" s="86"/>
      <c r="O18" s="86"/>
      <c r="P18" s="86"/>
      <c r="Q18" s="86"/>
      <c r="R18" s="109">
        <v>42026</v>
      </c>
      <c r="S18" s="86"/>
      <c r="T18" s="2"/>
    </row>
    <row r="19" spans="1:20" ht="15.75" x14ac:dyDescent="0.25">
      <c r="A19" s="12"/>
      <c r="B19" s="14"/>
      <c r="C19" s="14"/>
      <c r="D19" s="14"/>
      <c r="E19" s="14"/>
      <c r="F19" s="14"/>
      <c r="G19" s="14"/>
      <c r="H19" s="14"/>
      <c r="I19" s="14"/>
      <c r="J19" s="14"/>
      <c r="K19" s="14"/>
      <c r="L19" s="14"/>
      <c r="M19" s="14"/>
      <c r="N19" s="14"/>
      <c r="O19" s="14"/>
      <c r="P19" s="14"/>
      <c r="Q19" s="14"/>
      <c r="R19" s="21"/>
      <c r="S19" s="14"/>
      <c r="T19" s="2"/>
    </row>
    <row r="20" spans="1:20" ht="15.75" x14ac:dyDescent="0.25">
      <c r="A20" s="12"/>
      <c r="B20" s="110" t="s">
        <v>6</v>
      </c>
      <c r="C20" s="86"/>
      <c r="D20" s="86"/>
      <c r="E20" s="86"/>
      <c r="F20" s="86"/>
      <c r="G20" s="86"/>
      <c r="H20" s="86"/>
      <c r="I20" s="86"/>
      <c r="J20" s="86"/>
      <c r="K20" s="86"/>
      <c r="L20" s="86"/>
      <c r="M20" s="86"/>
      <c r="N20" s="86"/>
      <c r="O20" s="86"/>
      <c r="P20" s="111" t="s">
        <v>89</v>
      </c>
      <c r="Q20" s="86"/>
      <c r="R20" s="92"/>
      <c r="S20" s="14"/>
      <c r="T20" s="2"/>
    </row>
    <row r="21" spans="1:20" ht="15.75" x14ac:dyDescent="0.25">
      <c r="A21" s="12"/>
      <c r="B21" s="14"/>
      <c r="C21" s="14"/>
      <c r="D21" s="14"/>
      <c r="E21" s="14"/>
      <c r="F21" s="14"/>
      <c r="G21" s="14"/>
      <c r="H21" s="14"/>
      <c r="I21" s="14"/>
      <c r="J21" s="14"/>
      <c r="K21" s="14"/>
      <c r="L21" s="14"/>
      <c r="M21" s="14"/>
      <c r="N21" s="14"/>
      <c r="O21" s="14"/>
      <c r="P21" s="14"/>
      <c r="Q21" s="14"/>
      <c r="R21" s="23"/>
      <c r="S21" s="14"/>
      <c r="T21" s="2"/>
    </row>
    <row r="22" spans="1:20" ht="15.75" x14ac:dyDescent="0.25">
      <c r="A22" s="55"/>
      <c r="B22" s="56"/>
      <c r="C22" s="57"/>
      <c r="D22" s="57" t="s">
        <v>164</v>
      </c>
      <c r="E22" s="57"/>
      <c r="F22" s="57" t="s">
        <v>208</v>
      </c>
      <c r="G22" s="57"/>
      <c r="H22" s="57" t="s">
        <v>209</v>
      </c>
      <c r="I22" s="57"/>
      <c r="J22" s="57" t="s">
        <v>210</v>
      </c>
      <c r="K22" s="57"/>
      <c r="L22" s="57"/>
      <c r="M22" s="57"/>
      <c r="N22" s="57"/>
      <c r="O22" s="58"/>
      <c r="P22" s="59"/>
      <c r="Q22" s="60"/>
      <c r="R22" s="60"/>
      <c r="S22" s="56"/>
      <c r="T22" s="2"/>
    </row>
    <row r="23" spans="1:20" ht="15.75" x14ac:dyDescent="0.25">
      <c r="A23" s="24"/>
      <c r="B23" s="81" t="s">
        <v>206</v>
      </c>
      <c r="C23" s="112"/>
      <c r="D23" s="112" t="s">
        <v>117</v>
      </c>
      <c r="E23" s="112"/>
      <c r="F23" s="112" t="s">
        <v>207</v>
      </c>
      <c r="G23" s="112"/>
      <c r="H23" s="112" t="s">
        <v>211</v>
      </c>
      <c r="I23" s="112"/>
      <c r="J23" s="112" t="s">
        <v>167</v>
      </c>
      <c r="K23" s="112"/>
      <c r="L23" s="112"/>
      <c r="M23" s="112"/>
      <c r="N23" s="112"/>
      <c r="O23" s="112"/>
      <c r="P23" s="112"/>
      <c r="Q23" s="103"/>
      <c r="R23" s="103"/>
      <c r="S23" s="81"/>
      <c r="T23" s="2"/>
    </row>
    <row r="24" spans="1:20" ht="15.75" x14ac:dyDescent="0.25">
      <c r="A24" s="120"/>
      <c r="B24" s="121" t="s">
        <v>137</v>
      </c>
      <c r="C24" s="122"/>
      <c r="D24" s="117" t="s">
        <v>117</v>
      </c>
      <c r="E24" s="117"/>
      <c r="F24" s="117" t="s">
        <v>207</v>
      </c>
      <c r="G24" s="117"/>
      <c r="H24" s="117" t="s">
        <v>211</v>
      </c>
      <c r="I24" s="117"/>
      <c r="J24" s="117" t="s">
        <v>167</v>
      </c>
      <c r="K24" s="117"/>
      <c r="L24" s="117"/>
      <c r="M24" s="117"/>
      <c r="N24" s="117"/>
      <c r="O24" s="122"/>
      <c r="P24" s="117"/>
      <c r="Q24" s="118"/>
      <c r="R24" s="118"/>
      <c r="S24" s="119"/>
      <c r="T24" s="2"/>
    </row>
    <row r="25" spans="1:20" ht="15.75" x14ac:dyDescent="0.25">
      <c r="A25" s="123"/>
      <c r="B25" s="127" t="s">
        <v>234</v>
      </c>
      <c r="C25" s="122"/>
      <c r="D25" s="122" t="s">
        <v>117</v>
      </c>
      <c r="E25" s="122"/>
      <c r="F25" s="122" t="s">
        <v>207</v>
      </c>
      <c r="G25" s="122"/>
      <c r="H25" s="122" t="s">
        <v>211</v>
      </c>
      <c r="I25" s="122"/>
      <c r="J25" s="122" t="s">
        <v>167</v>
      </c>
      <c r="K25" s="122"/>
      <c r="L25" s="122"/>
      <c r="M25" s="122"/>
      <c r="N25" s="122"/>
      <c r="O25" s="122"/>
      <c r="P25" s="117"/>
      <c r="Q25" s="118"/>
      <c r="R25" s="118"/>
      <c r="S25" s="119"/>
      <c r="T25" s="2"/>
    </row>
    <row r="26" spans="1:20" ht="15.75" x14ac:dyDescent="0.25">
      <c r="A26" s="125"/>
      <c r="B26" s="127" t="s">
        <v>138</v>
      </c>
      <c r="C26" s="117"/>
      <c r="D26" s="122" t="s">
        <v>117</v>
      </c>
      <c r="E26" s="122"/>
      <c r="F26" s="122" t="s">
        <v>207</v>
      </c>
      <c r="G26" s="122"/>
      <c r="H26" s="122" t="s">
        <v>211</v>
      </c>
      <c r="I26" s="122"/>
      <c r="J26" s="122" t="s">
        <v>167</v>
      </c>
      <c r="K26" s="122"/>
      <c r="L26" s="122"/>
      <c r="M26" s="122"/>
      <c r="N26" s="122"/>
      <c r="O26" s="117"/>
      <c r="P26" s="126"/>
      <c r="Q26" s="118"/>
      <c r="R26" s="118"/>
      <c r="S26" s="119"/>
      <c r="T26" s="2"/>
    </row>
    <row r="27" spans="1:20" ht="15.75" x14ac:dyDescent="0.25">
      <c r="A27" s="125"/>
      <c r="B27" s="116" t="s">
        <v>7</v>
      </c>
      <c r="C27" s="128"/>
      <c r="D27" s="117" t="s">
        <v>212</v>
      </c>
      <c r="E27" s="117"/>
      <c r="F27" s="117" t="s">
        <v>213</v>
      </c>
      <c r="G27" s="117"/>
      <c r="H27" s="117" t="s">
        <v>214</v>
      </c>
      <c r="I27" s="117"/>
      <c r="J27" s="117" t="s">
        <v>215</v>
      </c>
      <c r="K27" s="117"/>
      <c r="L27" s="117"/>
      <c r="M27" s="117"/>
      <c r="N27" s="117"/>
      <c r="O27" s="129"/>
      <c r="P27" s="129"/>
      <c r="Q27" s="130"/>
      <c r="R27" s="129"/>
      <c r="S27" s="131"/>
      <c r="T27" s="2"/>
    </row>
    <row r="28" spans="1:20" ht="15.75" x14ac:dyDescent="0.25">
      <c r="A28" s="123"/>
      <c r="B28" s="116" t="s">
        <v>111</v>
      </c>
      <c r="C28" s="132"/>
      <c r="D28" s="208">
        <v>175000</v>
      </c>
      <c r="E28" s="133"/>
      <c r="F28" s="208">
        <v>10500</v>
      </c>
      <c r="G28" s="205"/>
      <c r="H28" s="208">
        <v>10000</v>
      </c>
      <c r="I28" s="129"/>
      <c r="J28" s="208">
        <v>4500</v>
      </c>
      <c r="K28" s="129"/>
      <c r="L28" s="133"/>
      <c r="M28" s="129"/>
      <c r="N28" s="133"/>
      <c r="O28" s="134"/>
      <c r="P28" s="134"/>
      <c r="Q28" s="135"/>
      <c r="R28" s="129">
        <f>SUM(D28:J28)</f>
        <v>200000</v>
      </c>
      <c r="S28" s="131"/>
      <c r="T28" s="2"/>
    </row>
    <row r="29" spans="1:20" ht="15.75" x14ac:dyDescent="0.25">
      <c r="A29" s="125"/>
      <c r="B29" s="116" t="s">
        <v>110</v>
      </c>
      <c r="C29" s="128"/>
      <c r="D29" s="208">
        <f>D28*D32</f>
        <v>146602.0675</v>
      </c>
      <c r="E29" s="133"/>
      <c r="F29" s="208">
        <f>F28</f>
        <v>10500</v>
      </c>
      <c r="G29" s="208"/>
      <c r="H29" s="208">
        <f>H28</f>
        <v>10000</v>
      </c>
      <c r="I29" s="129"/>
      <c r="J29" s="208">
        <f>J28</f>
        <v>4500</v>
      </c>
      <c r="K29" s="129"/>
      <c r="L29" s="133"/>
      <c r="M29" s="129"/>
      <c r="N29" s="133"/>
      <c r="O29" s="129"/>
      <c r="P29" s="129"/>
      <c r="Q29" s="130"/>
      <c r="R29" s="129">
        <f>SUM(D29:J29)</f>
        <v>171602.0675</v>
      </c>
      <c r="S29" s="131"/>
      <c r="T29" s="2"/>
    </row>
    <row r="30" spans="1:20" ht="15.75" x14ac:dyDescent="0.25">
      <c r="A30" s="125"/>
      <c r="B30" s="124" t="s">
        <v>112</v>
      </c>
      <c r="C30" s="128"/>
      <c r="D30" s="209">
        <f>D31*D28</f>
        <v>136971.20499999999</v>
      </c>
      <c r="E30" s="209"/>
      <c r="F30" s="209">
        <f>F31*F28</f>
        <v>10500</v>
      </c>
      <c r="G30" s="209"/>
      <c r="H30" s="209">
        <f>H31*H28</f>
        <v>10000</v>
      </c>
      <c r="I30" s="209"/>
      <c r="J30" s="209">
        <f>J31*J28</f>
        <v>4500</v>
      </c>
      <c r="K30" s="134"/>
      <c r="L30" s="136"/>
      <c r="M30" s="134"/>
      <c r="N30" s="136"/>
      <c r="O30" s="129"/>
      <c r="P30" s="129"/>
      <c r="Q30" s="130"/>
      <c r="R30" s="210">
        <f>SUM(D30:J30)</f>
        <v>161971.20499999999</v>
      </c>
      <c r="S30" s="131"/>
      <c r="T30" s="2"/>
    </row>
    <row r="31" spans="1:20" ht="15.75" x14ac:dyDescent="0.25">
      <c r="A31" s="115"/>
      <c r="B31" s="137" t="s">
        <v>108</v>
      </c>
      <c r="C31" s="138"/>
      <c r="D31" s="139">
        <v>0.78269259999999996</v>
      </c>
      <c r="E31" s="139"/>
      <c r="F31" s="139">
        <v>1</v>
      </c>
      <c r="G31" s="139"/>
      <c r="H31" s="139">
        <v>1</v>
      </c>
      <c r="I31" s="139"/>
      <c r="J31" s="139">
        <v>1</v>
      </c>
      <c r="K31" s="139"/>
      <c r="L31" s="139"/>
      <c r="M31" s="139"/>
      <c r="N31" s="139"/>
      <c r="O31" s="140"/>
      <c r="P31" s="140"/>
      <c r="Q31" s="141"/>
      <c r="R31" s="212"/>
      <c r="S31" s="142"/>
      <c r="T31" s="2"/>
    </row>
    <row r="32" spans="1:20" ht="15.75" x14ac:dyDescent="0.25">
      <c r="A32" s="115"/>
      <c r="B32" s="137" t="s">
        <v>109</v>
      </c>
      <c r="C32" s="138"/>
      <c r="D32" s="139">
        <v>0.83772610000000003</v>
      </c>
      <c r="E32" s="139"/>
      <c r="F32" s="139">
        <v>1</v>
      </c>
      <c r="G32" s="139"/>
      <c r="H32" s="139">
        <v>1</v>
      </c>
      <c r="I32" s="139"/>
      <c r="J32" s="139">
        <v>1</v>
      </c>
      <c r="K32" s="139"/>
      <c r="L32" s="139"/>
      <c r="M32" s="139"/>
      <c r="N32" s="139"/>
      <c r="O32" s="143"/>
      <c r="P32" s="144"/>
      <c r="Q32" s="141"/>
      <c r="R32" s="143"/>
      <c r="S32" s="142"/>
      <c r="T32" s="2"/>
    </row>
    <row r="33" spans="1:21" ht="15.75" x14ac:dyDescent="0.25">
      <c r="A33" s="115"/>
      <c r="B33" s="116" t="s">
        <v>8</v>
      </c>
      <c r="C33" s="116"/>
      <c r="D33" s="126" t="s">
        <v>216</v>
      </c>
      <c r="E33" s="126"/>
      <c r="F33" s="126" t="s">
        <v>217</v>
      </c>
      <c r="G33" s="126"/>
      <c r="H33" s="126" t="s">
        <v>218</v>
      </c>
      <c r="I33" s="126"/>
      <c r="J33" s="126" t="s">
        <v>166</v>
      </c>
      <c r="K33" s="126"/>
      <c r="L33" s="126"/>
      <c r="M33" s="126"/>
      <c r="N33" s="126"/>
      <c r="O33" s="145"/>
      <c r="P33" s="146"/>
      <c r="Q33" s="118"/>
      <c r="R33" s="118"/>
      <c r="S33" s="119"/>
      <c r="T33" s="2"/>
    </row>
    <row r="34" spans="1:21" ht="15.75" x14ac:dyDescent="0.25">
      <c r="A34" s="115"/>
      <c r="B34" s="116" t="s">
        <v>9</v>
      </c>
      <c r="C34" s="147"/>
      <c r="D34" s="146">
        <v>1.9108799999999999E-2</v>
      </c>
      <c r="E34" s="146"/>
      <c r="F34" s="146">
        <v>2.46088E-2</v>
      </c>
      <c r="G34" s="146"/>
      <c r="H34" s="146">
        <v>3.4608800000000002E-2</v>
      </c>
      <c r="I34" s="146"/>
      <c r="J34" s="146">
        <v>3.8108799999999998E-2</v>
      </c>
      <c r="K34" s="146"/>
      <c r="L34" s="146"/>
      <c r="M34" s="145"/>
      <c r="N34" s="146"/>
      <c r="O34" s="126"/>
      <c r="P34" s="126"/>
      <c r="Q34" s="118"/>
      <c r="R34" s="145">
        <f>SUMPRODUCT(D34:J34,D29:J29)/R29</f>
        <v>2.084683267259586E-2</v>
      </c>
      <c r="S34" s="119"/>
      <c r="T34" s="2"/>
    </row>
    <row r="35" spans="1:21" ht="15.75" x14ac:dyDescent="0.25">
      <c r="A35" s="115"/>
      <c r="B35" s="116" t="s">
        <v>10</v>
      </c>
      <c r="C35" s="147"/>
      <c r="D35" s="146">
        <v>1.9056300000000002E-2</v>
      </c>
      <c r="E35" s="146"/>
      <c r="F35" s="146">
        <v>2.45563E-2</v>
      </c>
      <c r="G35" s="146"/>
      <c r="H35" s="146">
        <v>3.4556299999999998E-2</v>
      </c>
      <c r="I35" s="146"/>
      <c r="J35" s="146">
        <v>3.8056300000000001E-2</v>
      </c>
      <c r="K35" s="146"/>
      <c r="L35" s="146"/>
      <c r="M35" s="145"/>
      <c r="N35" s="146"/>
      <c r="O35" s="126"/>
      <c r="P35" s="126"/>
      <c r="Q35" s="118"/>
      <c r="R35" s="118"/>
      <c r="S35" s="119"/>
      <c r="T35" s="2"/>
    </row>
    <row r="36" spans="1:21" ht="15.75" x14ac:dyDescent="0.25">
      <c r="A36" s="115"/>
      <c r="B36" s="116" t="s">
        <v>168</v>
      </c>
      <c r="C36" s="116"/>
      <c r="D36" s="147">
        <v>42377</v>
      </c>
      <c r="E36" s="147"/>
      <c r="F36" s="147">
        <v>42377</v>
      </c>
      <c r="G36" s="147"/>
      <c r="H36" s="147">
        <v>42377</v>
      </c>
      <c r="I36" s="147"/>
      <c r="J36" s="147">
        <v>42377</v>
      </c>
      <c r="K36" s="147"/>
      <c r="L36" s="147"/>
      <c r="M36" s="147"/>
      <c r="N36" s="147"/>
      <c r="O36" s="126"/>
      <c r="P36" s="126"/>
      <c r="Q36" s="118"/>
      <c r="R36" s="118"/>
      <c r="S36" s="119"/>
      <c r="T36" s="2"/>
    </row>
    <row r="37" spans="1:21" ht="15.75" x14ac:dyDescent="0.25">
      <c r="A37" s="115"/>
      <c r="B37" s="116" t="s">
        <v>11</v>
      </c>
      <c r="C37" s="116"/>
      <c r="D37" s="147" t="s">
        <v>102</v>
      </c>
      <c r="E37" s="147"/>
      <c r="F37" s="147" t="s">
        <v>102</v>
      </c>
      <c r="G37" s="126"/>
      <c r="H37" s="147" t="s">
        <v>102</v>
      </c>
      <c r="I37" s="126"/>
      <c r="J37" s="147" t="s">
        <v>102</v>
      </c>
      <c r="K37" s="126"/>
      <c r="L37" s="147"/>
      <c r="M37" s="126"/>
      <c r="N37" s="147"/>
      <c r="O37" s="126"/>
      <c r="P37" s="126"/>
      <c r="Q37" s="118"/>
      <c r="R37" s="118"/>
      <c r="S37" s="119"/>
      <c r="T37" s="2"/>
    </row>
    <row r="38" spans="1:21" ht="15.75" x14ac:dyDescent="0.25">
      <c r="A38" s="115"/>
      <c r="B38" s="116" t="s">
        <v>103</v>
      </c>
      <c r="C38" s="116"/>
      <c r="D38" s="126" t="s">
        <v>102</v>
      </c>
      <c r="E38" s="126"/>
      <c r="F38" s="126" t="s">
        <v>102</v>
      </c>
      <c r="G38" s="126"/>
      <c r="H38" s="126" t="s">
        <v>102</v>
      </c>
      <c r="I38" s="126"/>
      <c r="J38" s="126" t="s">
        <v>102</v>
      </c>
      <c r="K38" s="126"/>
      <c r="L38" s="126"/>
      <c r="M38" s="126"/>
      <c r="N38" s="126"/>
      <c r="O38" s="148"/>
      <c r="P38" s="148"/>
      <c r="Q38" s="148"/>
      <c r="R38" s="148"/>
      <c r="S38" s="119"/>
      <c r="T38" s="2"/>
    </row>
    <row r="39" spans="1:21" ht="15.75" x14ac:dyDescent="0.25">
      <c r="A39" s="115"/>
      <c r="B39" s="116"/>
      <c r="C39" s="116"/>
      <c r="D39" s="126"/>
      <c r="E39" s="126"/>
      <c r="F39" s="126"/>
      <c r="G39" s="126"/>
      <c r="H39" s="126"/>
      <c r="I39" s="126"/>
      <c r="J39" s="126"/>
      <c r="K39" s="126"/>
      <c r="L39" s="126"/>
      <c r="M39" s="126"/>
      <c r="N39" s="126"/>
      <c r="O39" s="116"/>
      <c r="P39" s="116"/>
      <c r="Q39" s="116"/>
      <c r="R39" s="145" t="s">
        <v>139</v>
      </c>
      <c r="S39" s="119"/>
      <c r="T39" s="2"/>
    </row>
    <row r="40" spans="1:21" ht="15.75" x14ac:dyDescent="0.25">
      <c r="A40" s="115"/>
      <c r="B40" s="116" t="s">
        <v>235</v>
      </c>
      <c r="C40" s="116"/>
      <c r="D40" s="126"/>
      <c r="E40" s="126"/>
      <c r="F40" s="126"/>
      <c r="G40" s="126"/>
      <c r="H40" s="126"/>
      <c r="I40" s="126"/>
      <c r="J40" s="126"/>
      <c r="K40" s="126"/>
      <c r="L40" s="126"/>
      <c r="M40" s="126"/>
      <c r="N40" s="126"/>
      <c r="O40" s="116"/>
      <c r="P40" s="116"/>
      <c r="Q40" s="116"/>
      <c r="R40" s="145">
        <f>SUM(F28:J28)/D28</f>
        <v>0.14285714285714285</v>
      </c>
      <c r="S40" s="119"/>
      <c r="T40" s="2"/>
    </row>
    <row r="41" spans="1:21" ht="15.75" x14ac:dyDescent="0.25">
      <c r="A41" s="115"/>
      <c r="B41" s="116" t="s">
        <v>236</v>
      </c>
      <c r="C41" s="116"/>
      <c r="D41" s="116"/>
      <c r="E41" s="116"/>
      <c r="F41" s="116"/>
      <c r="G41" s="116"/>
      <c r="H41" s="116"/>
      <c r="I41" s="116"/>
      <c r="J41" s="116"/>
      <c r="K41" s="116"/>
      <c r="L41" s="116"/>
      <c r="M41" s="116"/>
      <c r="N41" s="116"/>
      <c r="O41" s="116"/>
      <c r="P41" s="116"/>
      <c r="Q41" s="116"/>
      <c r="R41" s="145">
        <f>SUM(F30:J30)/D30</f>
        <v>0.1825201143554224</v>
      </c>
      <c r="S41" s="119"/>
      <c r="T41" s="2"/>
    </row>
    <row r="42" spans="1:21" ht="15.75" x14ac:dyDescent="0.25">
      <c r="A42" s="115"/>
      <c r="B42" s="116" t="s">
        <v>237</v>
      </c>
      <c r="C42" s="116"/>
      <c r="D42" s="116"/>
      <c r="E42" s="116"/>
      <c r="F42" s="116"/>
      <c r="G42" s="116"/>
      <c r="H42" s="116"/>
      <c r="I42" s="116"/>
      <c r="J42" s="116"/>
      <c r="K42" s="116"/>
      <c r="L42" s="116"/>
      <c r="M42" s="116"/>
      <c r="N42" s="116"/>
      <c r="O42" s="116"/>
      <c r="P42" s="126"/>
      <c r="Q42" s="126"/>
      <c r="R42" s="129" t="s">
        <v>161</v>
      </c>
      <c r="S42" s="119"/>
      <c r="T42" s="2"/>
    </row>
    <row r="43" spans="1:21" ht="15.75" x14ac:dyDescent="0.25">
      <c r="A43" s="115"/>
      <c r="B43" s="116"/>
      <c r="C43" s="116"/>
      <c r="D43" s="116"/>
      <c r="E43" s="116"/>
      <c r="F43" s="116"/>
      <c r="G43" s="116"/>
      <c r="H43" s="116"/>
      <c r="I43" s="116"/>
      <c r="J43" s="116"/>
      <c r="K43" s="116"/>
      <c r="L43" s="116"/>
      <c r="M43" s="116"/>
      <c r="N43" s="116"/>
      <c r="O43" s="116"/>
      <c r="P43" s="116"/>
      <c r="Q43" s="116"/>
      <c r="R43" s="149"/>
      <c r="S43" s="119"/>
      <c r="T43" s="2"/>
    </row>
    <row r="44" spans="1:21" ht="15.75" x14ac:dyDescent="0.25">
      <c r="A44" s="115"/>
      <c r="B44" s="116" t="s">
        <v>238</v>
      </c>
      <c r="C44" s="116"/>
      <c r="D44" s="116"/>
      <c r="E44" s="116"/>
      <c r="F44" s="116"/>
      <c r="G44" s="116"/>
      <c r="H44" s="116"/>
      <c r="I44" s="116"/>
      <c r="J44" s="116"/>
      <c r="K44" s="116"/>
      <c r="L44" s="116"/>
      <c r="M44" s="116"/>
      <c r="N44" s="116"/>
      <c r="O44" s="116"/>
      <c r="P44" s="116"/>
      <c r="Q44" s="116"/>
      <c r="R44" s="150" t="s">
        <v>95</v>
      </c>
      <c r="S44" s="119"/>
      <c r="T44" s="2"/>
    </row>
    <row r="45" spans="1:21" ht="15.75" x14ac:dyDescent="0.25">
      <c r="A45" s="115"/>
      <c r="B45" s="124" t="s">
        <v>140</v>
      </c>
      <c r="C45" s="124"/>
      <c r="D45" s="124"/>
      <c r="E45" s="124"/>
      <c r="F45" s="124"/>
      <c r="G45" s="124"/>
      <c r="H45" s="124"/>
      <c r="I45" s="124"/>
      <c r="J45" s="124"/>
      <c r="K45" s="124"/>
      <c r="L45" s="124"/>
      <c r="M45" s="124"/>
      <c r="N45" s="124"/>
      <c r="O45" s="124"/>
      <c r="P45" s="151"/>
      <c r="Q45" s="151"/>
      <c r="R45" s="152">
        <v>42012</v>
      </c>
      <c r="S45" s="119"/>
      <c r="T45" s="2"/>
    </row>
    <row r="46" spans="1:21" ht="15.75" x14ac:dyDescent="0.25">
      <c r="A46" s="115"/>
      <c r="B46" s="116" t="s">
        <v>104</v>
      </c>
      <c r="C46" s="116"/>
      <c r="D46" s="153"/>
      <c r="E46" s="153"/>
      <c r="F46" s="153"/>
      <c r="G46" s="153"/>
      <c r="H46" s="153"/>
      <c r="I46" s="153"/>
      <c r="J46" s="153"/>
      <c r="K46" s="153"/>
      <c r="L46" s="153"/>
      <c r="M46" s="153"/>
      <c r="N46" s="116">
        <f>+R46-P46+1</f>
        <v>92</v>
      </c>
      <c r="O46" s="116"/>
      <c r="P46" s="154">
        <v>41828</v>
      </c>
      <c r="Q46" s="155"/>
      <c r="R46" s="154">
        <v>41919</v>
      </c>
      <c r="S46" s="119"/>
      <c r="T46" s="2"/>
    </row>
    <row r="47" spans="1:21" ht="15.75" x14ac:dyDescent="0.25">
      <c r="A47" s="115"/>
      <c r="B47" s="116" t="s">
        <v>105</v>
      </c>
      <c r="C47" s="116"/>
      <c r="D47" s="116"/>
      <c r="E47" s="116"/>
      <c r="F47" s="116"/>
      <c r="G47" s="116"/>
      <c r="H47" s="116"/>
      <c r="I47" s="116"/>
      <c r="J47" s="116"/>
      <c r="K47" s="116"/>
      <c r="L47" s="116"/>
      <c r="M47" s="116"/>
      <c r="N47" s="116">
        <f>+R47-P47+1</f>
        <v>92</v>
      </c>
      <c r="O47" s="116"/>
      <c r="P47" s="154">
        <v>41920</v>
      </c>
      <c r="Q47" s="155"/>
      <c r="R47" s="154">
        <v>42011</v>
      </c>
      <c r="S47" s="119"/>
      <c r="T47" s="2"/>
    </row>
    <row r="48" spans="1:21" ht="15.75" x14ac:dyDescent="0.25">
      <c r="A48" s="115"/>
      <c r="B48" s="116" t="s">
        <v>239</v>
      </c>
      <c r="C48" s="116"/>
      <c r="D48" s="116"/>
      <c r="E48" s="116"/>
      <c r="F48" s="116"/>
      <c r="G48" s="116"/>
      <c r="H48" s="116"/>
      <c r="I48" s="116"/>
      <c r="J48" s="116"/>
      <c r="K48" s="116"/>
      <c r="L48" s="116"/>
      <c r="M48" s="116"/>
      <c r="N48" s="116"/>
      <c r="O48" s="116"/>
      <c r="P48" s="154"/>
      <c r="Q48" s="155"/>
      <c r="R48" s="154" t="s">
        <v>123</v>
      </c>
      <c r="S48" s="119"/>
      <c r="T48" s="2"/>
      <c r="U48" s="5"/>
    </row>
    <row r="49" spans="1:20" ht="15.75" x14ac:dyDescent="0.25">
      <c r="A49" s="115"/>
      <c r="B49" s="116" t="s">
        <v>12</v>
      </c>
      <c r="C49" s="116"/>
      <c r="D49" s="116"/>
      <c r="E49" s="116"/>
      <c r="F49" s="116"/>
      <c r="G49" s="116"/>
      <c r="H49" s="116"/>
      <c r="I49" s="116"/>
      <c r="J49" s="116"/>
      <c r="K49" s="116"/>
      <c r="L49" s="116"/>
      <c r="M49" s="116"/>
      <c r="N49" s="116"/>
      <c r="O49" s="116"/>
      <c r="P49" s="154"/>
      <c r="Q49" s="155"/>
      <c r="R49" s="154">
        <v>42006</v>
      </c>
      <c r="S49" s="119"/>
      <c r="T49" s="2"/>
    </row>
    <row r="50" spans="1:20" ht="15.75" x14ac:dyDescent="0.25">
      <c r="A50" s="12"/>
      <c r="B50" s="43"/>
      <c r="C50" s="43"/>
      <c r="D50" s="43"/>
      <c r="E50" s="43"/>
      <c r="F50" s="43"/>
      <c r="G50" s="43"/>
      <c r="H50" s="43"/>
      <c r="I50" s="43"/>
      <c r="J50" s="43"/>
      <c r="K50" s="43"/>
      <c r="L50" s="43"/>
      <c r="M50" s="43"/>
      <c r="N50" s="43"/>
      <c r="O50" s="43"/>
      <c r="P50" s="113"/>
      <c r="Q50" s="114"/>
      <c r="R50" s="113"/>
      <c r="S50" s="43"/>
      <c r="T50" s="2"/>
    </row>
    <row r="51" spans="1:20" ht="15.75" x14ac:dyDescent="0.25">
      <c r="A51" s="12"/>
      <c r="B51" s="14"/>
      <c r="C51" s="14"/>
      <c r="D51" s="14"/>
      <c r="E51" s="14"/>
      <c r="F51" s="14"/>
      <c r="G51" s="14"/>
      <c r="H51" s="14"/>
      <c r="I51" s="14"/>
      <c r="J51" s="14"/>
      <c r="K51" s="14"/>
      <c r="L51" s="14"/>
      <c r="M51" s="14"/>
      <c r="N51" s="14"/>
      <c r="O51" s="14"/>
      <c r="P51" s="26"/>
      <c r="Q51" s="27"/>
      <c r="R51" s="26"/>
      <c r="S51" s="14"/>
      <c r="T51" s="2"/>
    </row>
    <row r="52" spans="1:20" ht="19.5" thickBot="1" x14ac:dyDescent="0.35">
      <c r="A52" s="28"/>
      <c r="B52" s="100" t="s">
        <v>263</v>
      </c>
      <c r="C52" s="29"/>
      <c r="D52" s="29"/>
      <c r="E52" s="29"/>
      <c r="F52" s="29"/>
      <c r="G52" s="29"/>
      <c r="H52" s="29"/>
      <c r="I52" s="29"/>
      <c r="J52" s="29"/>
      <c r="K52" s="29"/>
      <c r="L52" s="29"/>
      <c r="M52" s="29"/>
      <c r="N52" s="29"/>
      <c r="O52" s="29"/>
      <c r="P52" s="29"/>
      <c r="Q52" s="29"/>
      <c r="R52" s="30"/>
      <c r="S52" s="31"/>
      <c r="T52" s="2"/>
    </row>
    <row r="53" spans="1:20" ht="15.75" x14ac:dyDescent="0.25">
      <c r="A53" s="55"/>
      <c r="B53" s="61" t="s">
        <v>13</v>
      </c>
      <c r="C53" s="56"/>
      <c r="D53" s="56"/>
      <c r="E53" s="56"/>
      <c r="F53" s="56"/>
      <c r="G53" s="56"/>
      <c r="H53" s="56"/>
      <c r="I53" s="56"/>
      <c r="J53" s="56"/>
      <c r="K53" s="56"/>
      <c r="L53" s="56"/>
      <c r="M53" s="56"/>
      <c r="N53" s="56"/>
      <c r="O53" s="56"/>
      <c r="P53" s="56"/>
      <c r="Q53" s="56"/>
      <c r="R53" s="62"/>
      <c r="S53" s="56"/>
      <c r="T53" s="2"/>
    </row>
    <row r="54" spans="1:20" ht="15.75" x14ac:dyDescent="0.25">
      <c r="A54" s="12"/>
      <c r="B54" s="20"/>
      <c r="C54" s="14"/>
      <c r="D54" s="14"/>
      <c r="E54" s="14"/>
      <c r="F54" s="14"/>
      <c r="G54" s="14"/>
      <c r="H54" s="14"/>
      <c r="I54" s="14"/>
      <c r="J54" s="14"/>
      <c r="K54" s="14"/>
      <c r="L54" s="14"/>
      <c r="M54" s="14"/>
      <c r="N54" s="14"/>
      <c r="O54" s="14"/>
      <c r="P54" s="14"/>
      <c r="Q54" s="14"/>
      <c r="R54" s="33"/>
      <c r="S54" s="14"/>
      <c r="T54" s="2"/>
    </row>
    <row r="55" spans="1:20" ht="47.25" x14ac:dyDescent="0.25">
      <c r="A55" s="12"/>
      <c r="B55" s="34" t="s">
        <v>14</v>
      </c>
      <c r="C55" s="35"/>
      <c r="D55" s="35"/>
      <c r="E55" s="35"/>
      <c r="F55" s="35" t="s">
        <v>80</v>
      </c>
      <c r="G55" s="35"/>
      <c r="H55" s="35" t="s">
        <v>82</v>
      </c>
      <c r="I55" s="35"/>
      <c r="J55" s="35" t="s">
        <v>180</v>
      </c>
      <c r="K55" s="35"/>
      <c r="L55" s="35" t="s">
        <v>181</v>
      </c>
      <c r="M55" s="35"/>
      <c r="N55" s="35" t="s">
        <v>85</v>
      </c>
      <c r="O55" s="35"/>
      <c r="P55" s="35" t="s">
        <v>90</v>
      </c>
      <c r="Q55" s="35"/>
      <c r="R55" s="36" t="s">
        <v>96</v>
      </c>
      <c r="S55" s="37"/>
      <c r="T55" s="2"/>
    </row>
    <row r="56" spans="1:20" ht="15.75" x14ac:dyDescent="0.25">
      <c r="A56" s="115"/>
      <c r="B56" s="116" t="s">
        <v>15</v>
      </c>
      <c r="C56" s="158"/>
      <c r="D56" s="158"/>
      <c r="E56" s="158"/>
      <c r="F56" s="158">
        <v>143234</v>
      </c>
      <c r="G56" s="158"/>
      <c r="H56" s="159">
        <v>171602</v>
      </c>
      <c r="I56" s="158"/>
      <c r="J56" s="159">
        <v>120</v>
      </c>
      <c r="K56" s="158"/>
      <c r="L56" s="158">
        <f>9286+346-120+2</f>
        <v>9514</v>
      </c>
      <c r="M56" s="158"/>
      <c r="N56" s="158">
        <v>3</v>
      </c>
      <c r="O56" s="158"/>
      <c r="P56" s="158">
        <v>0</v>
      </c>
      <c r="Q56" s="158"/>
      <c r="R56" s="159">
        <f>H56-J56-L56+N56-P56</f>
        <v>161971</v>
      </c>
      <c r="S56" s="119"/>
      <c r="T56" s="2"/>
    </row>
    <row r="57" spans="1:20" ht="15.75" x14ac:dyDescent="0.25">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75" x14ac:dyDescent="0.25">
      <c r="A58" s="115"/>
      <c r="B58" s="116"/>
      <c r="C58" s="158"/>
      <c r="D58" s="158"/>
      <c r="E58" s="158"/>
      <c r="F58" s="158"/>
      <c r="G58" s="158"/>
      <c r="H58" s="159"/>
      <c r="I58" s="158"/>
      <c r="J58" s="159"/>
      <c r="K58" s="158"/>
      <c r="L58" s="158"/>
      <c r="M58" s="158"/>
      <c r="N58" s="158"/>
      <c r="O58" s="158"/>
      <c r="P58" s="158"/>
      <c r="Q58" s="158"/>
      <c r="R58" s="159"/>
      <c r="S58" s="119"/>
      <c r="T58" s="2"/>
    </row>
    <row r="59" spans="1:20" ht="15.75" x14ac:dyDescent="0.25">
      <c r="A59" s="115"/>
      <c r="B59" s="116" t="s">
        <v>17</v>
      </c>
      <c r="C59" s="158"/>
      <c r="D59" s="158"/>
      <c r="E59" s="158"/>
      <c r="F59" s="158">
        <f>SUM(F56:F58)</f>
        <v>143234</v>
      </c>
      <c r="G59" s="158"/>
      <c r="H59" s="158">
        <f>H56+H57</f>
        <v>171602</v>
      </c>
      <c r="I59" s="158"/>
      <c r="J59" s="158">
        <f>J56+J57</f>
        <v>120</v>
      </c>
      <c r="K59" s="158"/>
      <c r="L59" s="158">
        <f>SUM(L56:L58)</f>
        <v>9514</v>
      </c>
      <c r="M59" s="158"/>
      <c r="N59" s="158">
        <f>SUM(N56:N58)</f>
        <v>3</v>
      </c>
      <c r="O59" s="158"/>
      <c r="P59" s="158">
        <f>SUM(P56:P58)</f>
        <v>0</v>
      </c>
      <c r="Q59" s="158"/>
      <c r="R59" s="158">
        <f>SUM(R56:R58)</f>
        <v>161971</v>
      </c>
      <c r="S59" s="119"/>
      <c r="T59" s="2"/>
    </row>
    <row r="60" spans="1:20" ht="15.75" x14ac:dyDescent="0.25">
      <c r="A60" s="12"/>
      <c r="B60" s="43"/>
      <c r="C60" s="156"/>
      <c r="D60" s="156"/>
      <c r="E60" s="156"/>
      <c r="F60" s="156"/>
      <c r="G60" s="156"/>
      <c r="H60" s="156"/>
      <c r="I60" s="156"/>
      <c r="J60" s="156"/>
      <c r="K60" s="156"/>
      <c r="L60" s="156"/>
      <c r="M60" s="156"/>
      <c r="N60" s="156"/>
      <c r="O60" s="156"/>
      <c r="P60" s="156"/>
      <c r="Q60" s="156"/>
      <c r="R60" s="157"/>
      <c r="S60" s="43"/>
      <c r="T60" s="2"/>
    </row>
    <row r="61" spans="1:20" ht="15.75" x14ac:dyDescent="0.25">
      <c r="A61" s="12"/>
      <c r="B61" s="16" t="s">
        <v>18</v>
      </c>
      <c r="C61" s="38"/>
      <c r="D61" s="38"/>
      <c r="E61" s="38"/>
      <c r="F61" s="38"/>
      <c r="G61" s="38"/>
      <c r="H61" s="38"/>
      <c r="I61" s="38"/>
      <c r="J61" s="38"/>
      <c r="K61" s="38"/>
      <c r="L61" s="38"/>
      <c r="M61" s="38"/>
      <c r="N61" s="38"/>
      <c r="O61" s="38"/>
      <c r="P61" s="38"/>
      <c r="Q61" s="38"/>
      <c r="R61" s="39"/>
      <c r="S61" s="14"/>
      <c r="T61" s="2"/>
    </row>
    <row r="62" spans="1:20" ht="15.75" x14ac:dyDescent="0.25">
      <c r="A62" s="12"/>
      <c r="B62" s="14"/>
      <c r="C62" s="38"/>
      <c r="D62" s="38"/>
      <c r="E62" s="38"/>
      <c r="F62" s="38"/>
      <c r="G62" s="38"/>
      <c r="H62" s="38"/>
      <c r="I62" s="38"/>
      <c r="J62" s="38"/>
      <c r="K62" s="38"/>
      <c r="L62" s="38"/>
      <c r="M62" s="38"/>
      <c r="N62" s="38"/>
      <c r="O62" s="38"/>
      <c r="P62" s="38"/>
      <c r="Q62" s="38"/>
      <c r="R62" s="39"/>
      <c r="S62" s="14"/>
      <c r="T62" s="2"/>
    </row>
    <row r="63" spans="1:20" ht="15.75" x14ac:dyDescent="0.25">
      <c r="A63" s="115"/>
      <c r="B63" s="116" t="s">
        <v>15</v>
      </c>
      <c r="C63" s="158"/>
      <c r="D63" s="158"/>
      <c r="E63" s="158"/>
      <c r="F63" s="158"/>
      <c r="G63" s="158"/>
      <c r="H63" s="158"/>
      <c r="I63" s="158"/>
      <c r="J63" s="158"/>
      <c r="K63" s="158"/>
      <c r="L63" s="158"/>
      <c r="M63" s="158"/>
      <c r="N63" s="158"/>
      <c r="O63" s="158"/>
      <c r="P63" s="158"/>
      <c r="Q63" s="158"/>
      <c r="R63" s="158"/>
      <c r="S63" s="119"/>
      <c r="T63" s="2"/>
    </row>
    <row r="64" spans="1:20" ht="15.75" x14ac:dyDescent="0.25">
      <c r="A64" s="115"/>
      <c r="B64" s="116" t="s">
        <v>16</v>
      </c>
      <c r="C64" s="158"/>
      <c r="D64" s="158"/>
      <c r="E64" s="158"/>
      <c r="F64" s="158"/>
      <c r="G64" s="158"/>
      <c r="H64" s="158"/>
      <c r="I64" s="158"/>
      <c r="J64" s="158"/>
      <c r="K64" s="158"/>
      <c r="L64" s="158"/>
      <c r="M64" s="158"/>
      <c r="N64" s="158"/>
      <c r="O64" s="158"/>
      <c r="P64" s="158"/>
      <c r="Q64" s="158"/>
      <c r="R64" s="158"/>
      <c r="S64" s="119"/>
      <c r="T64" s="2"/>
    </row>
    <row r="65" spans="1:20" ht="15.75" x14ac:dyDescent="0.25">
      <c r="A65" s="115"/>
      <c r="B65" s="116"/>
      <c r="C65" s="158"/>
      <c r="D65" s="158"/>
      <c r="E65" s="158"/>
      <c r="F65" s="158"/>
      <c r="G65" s="158"/>
      <c r="H65" s="158"/>
      <c r="I65" s="158"/>
      <c r="J65" s="158"/>
      <c r="K65" s="158"/>
      <c r="L65" s="158"/>
      <c r="M65" s="158"/>
      <c r="N65" s="158"/>
      <c r="O65" s="158"/>
      <c r="P65" s="158"/>
      <c r="Q65" s="158"/>
      <c r="R65" s="158"/>
      <c r="S65" s="119"/>
      <c r="T65" s="2"/>
    </row>
    <row r="66" spans="1:20" ht="15.75" x14ac:dyDescent="0.25">
      <c r="A66" s="115"/>
      <c r="B66" s="116" t="s">
        <v>17</v>
      </c>
      <c r="C66" s="158"/>
      <c r="D66" s="158"/>
      <c r="E66" s="158"/>
      <c r="F66" s="158"/>
      <c r="G66" s="158"/>
      <c r="H66" s="158"/>
      <c r="I66" s="158"/>
      <c r="J66" s="158"/>
      <c r="K66" s="158"/>
      <c r="L66" s="158"/>
      <c r="M66" s="158"/>
      <c r="N66" s="158"/>
      <c r="O66" s="158"/>
      <c r="P66" s="158"/>
      <c r="Q66" s="158"/>
      <c r="R66" s="158"/>
      <c r="S66" s="119"/>
      <c r="T66" s="2"/>
    </row>
    <row r="67" spans="1:20" ht="15.75" x14ac:dyDescent="0.25">
      <c r="A67" s="115"/>
      <c r="B67" s="116"/>
      <c r="C67" s="158"/>
      <c r="D67" s="158"/>
      <c r="E67" s="158"/>
      <c r="F67" s="158"/>
      <c r="G67" s="158"/>
      <c r="H67" s="158"/>
      <c r="I67" s="158"/>
      <c r="J67" s="158"/>
      <c r="K67" s="158"/>
      <c r="L67" s="158"/>
      <c r="M67" s="158"/>
      <c r="N67" s="158"/>
      <c r="O67" s="158"/>
      <c r="P67" s="158"/>
      <c r="Q67" s="158"/>
      <c r="R67" s="158"/>
      <c r="S67" s="119"/>
      <c r="T67" s="2"/>
    </row>
    <row r="68" spans="1:20" ht="15.75" x14ac:dyDescent="0.25">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75" x14ac:dyDescent="0.25">
      <c r="A69" s="115"/>
      <c r="B69" s="116" t="s">
        <v>101</v>
      </c>
      <c r="C69" s="158"/>
      <c r="D69" s="158"/>
      <c r="E69" s="158"/>
      <c r="F69" s="158">
        <v>56766</v>
      </c>
      <c r="G69" s="158"/>
      <c r="H69" s="158">
        <v>0</v>
      </c>
      <c r="I69" s="158"/>
      <c r="J69" s="158">
        <v>0</v>
      </c>
      <c r="K69" s="158"/>
      <c r="L69" s="158">
        <v>0</v>
      </c>
      <c r="M69" s="158"/>
      <c r="N69" s="158"/>
      <c r="O69" s="158"/>
      <c r="P69" s="158"/>
      <c r="Q69" s="158"/>
      <c r="R69" s="158">
        <v>0</v>
      </c>
      <c r="S69" s="119"/>
      <c r="T69" s="2"/>
    </row>
    <row r="70" spans="1:20" ht="15.75" x14ac:dyDescent="0.25">
      <c r="A70" s="115"/>
      <c r="B70" s="116" t="s">
        <v>246</v>
      </c>
      <c r="C70" s="158"/>
      <c r="D70" s="158"/>
      <c r="E70" s="158"/>
      <c r="F70" s="158">
        <v>0</v>
      </c>
      <c r="G70" s="158"/>
      <c r="H70" s="158">
        <v>0</v>
      </c>
      <c r="I70" s="158"/>
      <c r="J70" s="158">
        <v>0</v>
      </c>
      <c r="K70" s="158"/>
      <c r="L70" s="158"/>
      <c r="M70" s="158"/>
      <c r="N70" s="158"/>
      <c r="O70" s="158"/>
      <c r="P70" s="158"/>
      <c r="Q70" s="158"/>
      <c r="R70" s="158">
        <f>H70+J70</f>
        <v>0</v>
      </c>
      <c r="S70" s="119"/>
      <c r="T70" s="2"/>
    </row>
    <row r="71" spans="1:20" ht="15.75" x14ac:dyDescent="0.25">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75" x14ac:dyDescent="0.25">
      <c r="A72" s="115"/>
      <c r="B72" s="116" t="s">
        <v>21</v>
      </c>
      <c r="C72" s="158"/>
      <c r="D72" s="158"/>
      <c r="E72" s="158"/>
      <c r="F72" s="158">
        <f>SUM(F59:F71)</f>
        <v>200000</v>
      </c>
      <c r="G72" s="158"/>
      <c r="H72" s="158">
        <f>SUM(H59:H71)</f>
        <v>171602</v>
      </c>
      <c r="I72" s="158"/>
      <c r="J72" s="158"/>
      <c r="K72" s="158"/>
      <c r="L72" s="158"/>
      <c r="M72" s="158"/>
      <c r="N72" s="158"/>
      <c r="O72" s="158"/>
      <c r="P72" s="158"/>
      <c r="Q72" s="158"/>
      <c r="R72" s="158">
        <f>SUM(R59:R71)</f>
        <v>161971</v>
      </c>
      <c r="S72" s="119"/>
      <c r="T72" s="2"/>
    </row>
    <row r="73" spans="1:20" ht="15.75" x14ac:dyDescent="0.25">
      <c r="A73" s="12"/>
      <c r="B73" s="43"/>
      <c r="C73" s="156"/>
      <c r="D73" s="156"/>
      <c r="E73" s="156"/>
      <c r="F73" s="156"/>
      <c r="G73" s="156"/>
      <c r="H73" s="156"/>
      <c r="I73" s="156"/>
      <c r="J73" s="156"/>
      <c r="K73" s="156"/>
      <c r="L73" s="156"/>
      <c r="M73" s="156"/>
      <c r="N73" s="156"/>
      <c r="O73" s="156"/>
      <c r="P73" s="156"/>
      <c r="Q73" s="156"/>
      <c r="R73" s="157"/>
      <c r="S73" s="43"/>
      <c r="T73" s="2"/>
    </row>
    <row r="74" spans="1:20" ht="15.75" x14ac:dyDescent="0.25">
      <c r="A74" s="12"/>
      <c r="B74" s="14"/>
      <c r="C74" s="14"/>
      <c r="D74" s="14"/>
      <c r="E74" s="14"/>
      <c r="F74" s="14"/>
      <c r="G74" s="14"/>
      <c r="H74" s="14"/>
      <c r="I74" s="14"/>
      <c r="J74" s="14"/>
      <c r="K74" s="14"/>
      <c r="L74" s="14"/>
      <c r="M74" s="14"/>
      <c r="N74" s="14"/>
      <c r="O74" s="14"/>
      <c r="P74" s="14"/>
      <c r="Q74" s="14"/>
      <c r="R74" s="14"/>
      <c r="S74" s="14"/>
      <c r="T74" s="2"/>
    </row>
    <row r="75" spans="1:20" ht="15.75" x14ac:dyDescent="0.25">
      <c r="A75" s="55"/>
      <c r="B75" s="63" t="s">
        <v>22</v>
      </c>
      <c r="C75" s="63"/>
      <c r="D75" s="64"/>
      <c r="E75" s="64"/>
      <c r="F75" s="64"/>
      <c r="G75" s="64"/>
      <c r="H75" s="65" t="s">
        <v>81</v>
      </c>
      <c r="I75" s="64"/>
      <c r="J75" s="66">
        <f>+P197</f>
        <v>42004</v>
      </c>
      <c r="K75" s="64"/>
      <c r="L75" s="64"/>
      <c r="M75" s="64"/>
      <c r="N75" s="64"/>
      <c r="O75" s="64"/>
      <c r="P75" s="64" t="s">
        <v>91</v>
      </c>
      <c r="Q75" s="64"/>
      <c r="R75" s="64" t="s">
        <v>97</v>
      </c>
      <c r="S75" s="56"/>
      <c r="T75" s="2"/>
    </row>
    <row r="76" spans="1:20" ht="15.75" x14ac:dyDescent="0.25">
      <c r="A76" s="79"/>
      <c r="B76" s="81" t="s">
        <v>23</v>
      </c>
      <c r="C76" s="25"/>
      <c r="D76" s="25"/>
      <c r="E76" s="25"/>
      <c r="F76" s="25"/>
      <c r="G76" s="25"/>
      <c r="H76" s="25"/>
      <c r="I76" s="25"/>
      <c r="J76" s="25"/>
      <c r="K76" s="25"/>
      <c r="L76" s="25"/>
      <c r="M76" s="25"/>
      <c r="N76" s="25"/>
      <c r="O76" s="25"/>
      <c r="P76" s="80">
        <v>0</v>
      </c>
      <c r="Q76" s="81"/>
      <c r="R76" s="84">
        <v>0</v>
      </c>
      <c r="S76" s="25"/>
      <c r="T76" s="2"/>
    </row>
    <row r="77" spans="1:20" ht="15.75" x14ac:dyDescent="0.25">
      <c r="A77" s="125"/>
      <c r="B77" s="116" t="s">
        <v>190</v>
      </c>
      <c r="C77" s="138"/>
      <c r="D77" s="160"/>
      <c r="E77" s="160"/>
      <c r="F77" s="160"/>
      <c r="G77" s="161"/>
      <c r="H77" s="160"/>
      <c r="I77" s="138"/>
      <c r="J77" s="162"/>
      <c r="K77" s="138"/>
      <c r="L77" s="138"/>
      <c r="M77" s="138"/>
      <c r="N77" s="138"/>
      <c r="O77" s="138"/>
      <c r="P77" s="158">
        <f>+L69</f>
        <v>0</v>
      </c>
      <c r="Q77" s="116"/>
      <c r="R77" s="159"/>
      <c r="S77" s="142"/>
      <c r="T77" s="2"/>
    </row>
    <row r="78" spans="1:20" ht="15.75" x14ac:dyDescent="0.25">
      <c r="A78" s="125"/>
      <c r="B78" s="116" t="s">
        <v>24</v>
      </c>
      <c r="C78" s="138"/>
      <c r="D78" s="160"/>
      <c r="E78" s="160"/>
      <c r="F78" s="160"/>
      <c r="G78" s="161"/>
      <c r="H78" s="160"/>
      <c r="I78" s="138"/>
      <c r="J78" s="162"/>
      <c r="K78" s="138"/>
      <c r="L78" s="138"/>
      <c r="M78" s="138"/>
      <c r="N78" s="138"/>
      <c r="O78" s="138"/>
      <c r="P78" s="158">
        <f>9514+120</f>
        <v>9634</v>
      </c>
      <c r="Q78" s="116"/>
      <c r="R78" s="159"/>
      <c r="S78" s="142"/>
      <c r="T78" s="2"/>
    </row>
    <row r="79" spans="1:20" ht="15.75" x14ac:dyDescent="0.25">
      <c r="A79" s="125"/>
      <c r="B79" s="116" t="s">
        <v>144</v>
      </c>
      <c r="C79" s="138"/>
      <c r="D79" s="160"/>
      <c r="E79" s="160"/>
      <c r="F79" s="160"/>
      <c r="G79" s="161"/>
      <c r="H79" s="160"/>
      <c r="I79" s="138"/>
      <c r="J79" s="162"/>
      <c r="K79" s="138"/>
      <c r="L79" s="138"/>
      <c r="M79" s="138"/>
      <c r="N79" s="138"/>
      <c r="O79" s="138"/>
      <c r="P79" s="158"/>
      <c r="Q79" s="116"/>
      <c r="R79" s="159">
        <f>2416-346</f>
        <v>2070</v>
      </c>
      <c r="S79" s="142"/>
      <c r="T79" s="2"/>
    </row>
    <row r="80" spans="1:20" ht="15.75" x14ac:dyDescent="0.25">
      <c r="A80" s="125"/>
      <c r="B80" s="116" t="s">
        <v>142</v>
      </c>
      <c r="C80" s="138"/>
      <c r="D80" s="160"/>
      <c r="E80" s="160"/>
      <c r="F80" s="160"/>
      <c r="G80" s="161"/>
      <c r="H80" s="160"/>
      <c r="I80" s="138"/>
      <c r="J80" s="162"/>
      <c r="K80" s="138"/>
      <c r="L80" s="138"/>
      <c r="M80" s="138"/>
      <c r="N80" s="138"/>
      <c r="O80" s="138"/>
      <c r="P80" s="158"/>
      <c r="Q80" s="116"/>
      <c r="R80" s="159">
        <v>64</v>
      </c>
      <c r="S80" s="142"/>
      <c r="T80" s="2"/>
    </row>
    <row r="81" spans="1:20" ht="15.75" x14ac:dyDescent="0.25">
      <c r="A81" s="125"/>
      <c r="B81" s="116" t="s">
        <v>143</v>
      </c>
      <c r="C81" s="138"/>
      <c r="D81" s="160"/>
      <c r="E81" s="160"/>
      <c r="F81" s="160"/>
      <c r="G81" s="161"/>
      <c r="H81" s="160"/>
      <c r="I81" s="138"/>
      <c r="J81" s="162"/>
      <c r="K81" s="138"/>
      <c r="L81" s="138"/>
      <c r="M81" s="138"/>
      <c r="N81" s="138"/>
      <c r="O81" s="138"/>
      <c r="P81" s="158"/>
      <c r="Q81" s="116"/>
      <c r="R81" s="159">
        <v>8</v>
      </c>
      <c r="S81" s="142"/>
      <c r="T81" s="2"/>
    </row>
    <row r="82" spans="1:20" ht="15.75" x14ac:dyDescent="0.25">
      <c r="A82" s="125"/>
      <c r="B82" s="116" t="s">
        <v>154</v>
      </c>
      <c r="C82" s="138"/>
      <c r="D82" s="160"/>
      <c r="E82" s="160"/>
      <c r="F82" s="160"/>
      <c r="G82" s="161"/>
      <c r="H82" s="160"/>
      <c r="I82" s="138"/>
      <c r="J82" s="162"/>
      <c r="K82" s="138"/>
      <c r="L82" s="138"/>
      <c r="M82" s="138"/>
      <c r="N82" s="138"/>
      <c r="O82" s="138"/>
      <c r="P82" s="158"/>
      <c r="Q82" s="116"/>
      <c r="R82" s="159">
        <v>0</v>
      </c>
      <c r="S82" s="142"/>
      <c r="T82" s="2"/>
    </row>
    <row r="83" spans="1:20" ht="15.75" x14ac:dyDescent="0.25">
      <c r="A83" s="125"/>
      <c r="B83" s="116" t="s">
        <v>156</v>
      </c>
      <c r="C83" s="138"/>
      <c r="D83" s="160"/>
      <c r="E83" s="160"/>
      <c r="F83" s="160"/>
      <c r="G83" s="161"/>
      <c r="H83" s="160"/>
      <c r="I83" s="138"/>
      <c r="J83" s="162"/>
      <c r="K83" s="138"/>
      <c r="L83" s="138"/>
      <c r="M83" s="138"/>
      <c r="N83" s="138"/>
      <c r="O83" s="138"/>
      <c r="P83" s="158"/>
      <c r="Q83" s="116"/>
      <c r="R83" s="159">
        <v>0</v>
      </c>
      <c r="S83" s="142"/>
      <c r="T83" s="2"/>
    </row>
    <row r="84" spans="1:20" ht="15.75" x14ac:dyDescent="0.25">
      <c r="A84" s="125"/>
      <c r="B84" s="116" t="s">
        <v>182</v>
      </c>
      <c r="C84" s="138"/>
      <c r="D84" s="160"/>
      <c r="E84" s="160"/>
      <c r="F84" s="160"/>
      <c r="G84" s="161"/>
      <c r="H84" s="160"/>
      <c r="I84" s="138"/>
      <c r="J84" s="162"/>
      <c r="K84" s="138"/>
      <c r="L84" s="138"/>
      <c r="M84" s="138"/>
      <c r="N84" s="138"/>
      <c r="O84" s="138"/>
      <c r="P84" s="158"/>
      <c r="Q84" s="116"/>
      <c r="R84" s="159">
        <v>0</v>
      </c>
      <c r="S84" s="142"/>
      <c r="T84" s="2"/>
    </row>
    <row r="85" spans="1:20" ht="15.75" x14ac:dyDescent="0.25">
      <c r="A85" s="125"/>
      <c r="B85" s="116" t="s">
        <v>183</v>
      </c>
      <c r="C85" s="138"/>
      <c r="D85" s="160"/>
      <c r="E85" s="160"/>
      <c r="F85" s="160"/>
      <c r="G85" s="161"/>
      <c r="H85" s="160"/>
      <c r="I85" s="138"/>
      <c r="J85" s="162"/>
      <c r="K85" s="138"/>
      <c r="L85" s="138"/>
      <c r="M85" s="138"/>
      <c r="N85" s="138"/>
      <c r="O85" s="138"/>
      <c r="P85" s="158"/>
      <c r="Q85" s="116"/>
      <c r="R85" s="159">
        <v>0</v>
      </c>
      <c r="S85" s="142"/>
      <c r="T85" s="2"/>
    </row>
    <row r="86" spans="1:20" ht="15.75" x14ac:dyDescent="0.25">
      <c r="A86" s="125"/>
      <c r="B86" s="116" t="s">
        <v>184</v>
      </c>
      <c r="C86" s="138"/>
      <c r="D86" s="138"/>
      <c r="E86" s="138"/>
      <c r="F86" s="138"/>
      <c r="G86" s="138"/>
      <c r="H86" s="138"/>
      <c r="I86" s="138"/>
      <c r="J86" s="138"/>
      <c r="K86" s="138"/>
      <c r="L86" s="138"/>
      <c r="M86" s="138"/>
      <c r="N86" s="138"/>
      <c r="O86" s="138"/>
      <c r="P86" s="158"/>
      <c r="Q86" s="116"/>
      <c r="R86" s="159">
        <v>0</v>
      </c>
      <c r="S86" s="142"/>
      <c r="T86" s="2"/>
    </row>
    <row r="87" spans="1:20" ht="15.75" x14ac:dyDescent="0.25">
      <c r="A87" s="125"/>
      <c r="B87" s="116" t="s">
        <v>220</v>
      </c>
      <c r="C87" s="138"/>
      <c r="D87" s="138"/>
      <c r="E87" s="138"/>
      <c r="F87" s="138"/>
      <c r="G87" s="138"/>
      <c r="H87" s="138"/>
      <c r="I87" s="138"/>
      <c r="J87" s="138"/>
      <c r="K87" s="138"/>
      <c r="L87" s="138"/>
      <c r="M87" s="138"/>
      <c r="N87" s="138"/>
      <c r="O87" s="138"/>
      <c r="P87" s="158"/>
      <c r="Q87" s="116"/>
      <c r="R87" s="159">
        <v>0</v>
      </c>
      <c r="S87" s="142"/>
      <c r="T87" s="2"/>
    </row>
    <row r="88" spans="1:20" ht="15.75" x14ac:dyDescent="0.25">
      <c r="A88" s="125"/>
      <c r="B88" s="116" t="s">
        <v>25</v>
      </c>
      <c r="C88" s="138"/>
      <c r="D88" s="138"/>
      <c r="E88" s="138"/>
      <c r="F88" s="138"/>
      <c r="G88" s="138"/>
      <c r="H88" s="138"/>
      <c r="I88" s="138"/>
      <c r="J88" s="138"/>
      <c r="K88" s="138"/>
      <c r="L88" s="138"/>
      <c r="M88" s="138"/>
      <c r="N88" s="138"/>
      <c r="O88" s="138"/>
      <c r="P88" s="158">
        <f>SUM(P76:P87)</f>
        <v>9634</v>
      </c>
      <c r="Q88" s="116"/>
      <c r="R88" s="158">
        <f>SUM(R76:R87)</f>
        <v>2142</v>
      </c>
      <c r="S88" s="142"/>
      <c r="T88" s="2"/>
    </row>
    <row r="89" spans="1:20" ht="15.75" x14ac:dyDescent="0.25">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75" x14ac:dyDescent="0.25">
      <c r="A90" s="125"/>
      <c r="B90" s="116" t="s">
        <v>162</v>
      </c>
      <c r="C90" s="138"/>
      <c r="D90" s="138"/>
      <c r="E90" s="138"/>
      <c r="F90" s="138"/>
      <c r="G90" s="138"/>
      <c r="H90" s="138"/>
      <c r="I90" s="138"/>
      <c r="J90" s="138"/>
      <c r="K90" s="138"/>
      <c r="L90" s="138"/>
      <c r="M90" s="138"/>
      <c r="N90" s="138"/>
      <c r="O90" s="138"/>
      <c r="P90" s="158"/>
      <c r="Q90" s="116"/>
      <c r="R90" s="159">
        <v>0</v>
      </c>
      <c r="S90" s="142"/>
      <c r="T90" s="2"/>
    </row>
    <row r="91" spans="1:20" ht="15.75" x14ac:dyDescent="0.25">
      <c r="A91" s="125"/>
      <c r="B91" s="116" t="s">
        <v>27</v>
      </c>
      <c r="C91" s="138"/>
      <c r="D91" s="138"/>
      <c r="E91" s="138"/>
      <c r="F91" s="138"/>
      <c r="G91" s="138"/>
      <c r="H91" s="138"/>
      <c r="I91" s="138"/>
      <c r="J91" s="138"/>
      <c r="K91" s="138"/>
      <c r="L91" s="138"/>
      <c r="M91" s="138"/>
      <c r="N91" s="138"/>
      <c r="O91" s="138"/>
      <c r="P91" s="158">
        <f>P88+P89</f>
        <v>9634</v>
      </c>
      <c r="Q91" s="116"/>
      <c r="R91" s="158">
        <f>R88+R89+R90</f>
        <v>2142</v>
      </c>
      <c r="S91" s="142"/>
      <c r="T91" s="2"/>
    </row>
    <row r="92" spans="1:20" ht="15.75" x14ac:dyDescent="0.25">
      <c r="A92" s="115"/>
      <c r="B92" s="163" t="s">
        <v>28</v>
      </c>
      <c r="C92" s="138"/>
      <c r="D92" s="138"/>
      <c r="E92" s="138"/>
      <c r="F92" s="138"/>
      <c r="G92" s="138"/>
      <c r="H92" s="138"/>
      <c r="I92" s="138"/>
      <c r="J92" s="138"/>
      <c r="K92" s="138"/>
      <c r="L92" s="138"/>
      <c r="M92" s="138"/>
      <c r="N92" s="138"/>
      <c r="O92" s="138"/>
      <c r="P92" s="158"/>
      <c r="Q92" s="116"/>
      <c r="R92" s="159"/>
      <c r="S92" s="142"/>
      <c r="T92" s="2"/>
    </row>
    <row r="93" spans="1:20" ht="15.75" x14ac:dyDescent="0.25">
      <c r="A93" s="125">
        <v>1</v>
      </c>
      <c r="B93" s="116" t="s">
        <v>199</v>
      </c>
      <c r="C93" s="138"/>
      <c r="D93" s="138"/>
      <c r="E93" s="138"/>
      <c r="F93" s="138"/>
      <c r="G93" s="138"/>
      <c r="H93" s="138"/>
      <c r="I93" s="138"/>
      <c r="J93" s="138"/>
      <c r="K93" s="138"/>
      <c r="L93" s="138"/>
      <c r="M93" s="138"/>
      <c r="N93" s="138"/>
      <c r="O93" s="138"/>
      <c r="P93" s="158"/>
      <c r="Q93" s="116"/>
      <c r="R93" s="159">
        <v>0</v>
      </c>
      <c r="S93" s="142"/>
      <c r="T93" s="2"/>
    </row>
    <row r="94" spans="1:20" ht="15.75" x14ac:dyDescent="0.25">
      <c r="A94" s="125">
        <v>2</v>
      </c>
      <c r="B94" s="116" t="s">
        <v>191</v>
      </c>
      <c r="C94" s="116"/>
      <c r="D94" s="138"/>
      <c r="E94" s="138"/>
      <c r="F94" s="138"/>
      <c r="G94" s="138"/>
      <c r="H94" s="138"/>
      <c r="I94" s="138"/>
      <c r="J94" s="138"/>
      <c r="K94" s="138"/>
      <c r="L94" s="138"/>
      <c r="M94" s="138"/>
      <c r="N94" s="138"/>
      <c r="O94" s="138"/>
      <c r="P94" s="116"/>
      <c r="Q94" s="116"/>
      <c r="R94" s="159">
        <v>-9</v>
      </c>
      <c r="S94" s="142"/>
      <c r="T94" s="2"/>
    </row>
    <row r="95" spans="1:20" ht="15.75" x14ac:dyDescent="0.25">
      <c r="A95" s="125">
        <v>3</v>
      </c>
      <c r="B95" s="116" t="s">
        <v>240</v>
      </c>
      <c r="C95" s="116"/>
      <c r="D95" s="138"/>
      <c r="E95" s="138"/>
      <c r="F95" s="138"/>
      <c r="G95" s="138"/>
      <c r="H95" s="138"/>
      <c r="I95" s="138"/>
      <c r="J95" s="138"/>
      <c r="K95" s="138"/>
      <c r="L95" s="138"/>
      <c r="M95" s="138"/>
      <c r="N95" s="138"/>
      <c r="O95" s="138"/>
      <c r="P95" s="116"/>
      <c r="Q95" s="116"/>
      <c r="R95" s="159">
        <f>-65-4-3</f>
        <v>-72</v>
      </c>
      <c r="S95" s="142"/>
      <c r="T95" s="2"/>
    </row>
    <row r="96" spans="1:20" ht="15.75" x14ac:dyDescent="0.25">
      <c r="A96" s="125">
        <v>4</v>
      </c>
      <c r="B96" s="116" t="s">
        <v>100</v>
      </c>
      <c r="C96" s="116"/>
      <c r="D96" s="138"/>
      <c r="E96" s="138"/>
      <c r="F96" s="138"/>
      <c r="G96" s="138"/>
      <c r="H96" s="138"/>
      <c r="I96" s="138"/>
      <c r="J96" s="138"/>
      <c r="K96" s="138"/>
      <c r="L96" s="138"/>
      <c r="M96" s="138"/>
      <c r="N96" s="138"/>
      <c r="O96" s="138"/>
      <c r="P96" s="116"/>
      <c r="Q96" s="116"/>
      <c r="R96" s="159">
        <v>-8</v>
      </c>
      <c r="S96" s="142"/>
      <c r="T96" s="2"/>
    </row>
    <row r="97" spans="1:21" ht="15.75" x14ac:dyDescent="0.25">
      <c r="A97" s="125">
        <v>5</v>
      </c>
      <c r="B97" s="116" t="s">
        <v>170</v>
      </c>
      <c r="C97" s="116"/>
      <c r="D97" s="138"/>
      <c r="E97" s="138"/>
      <c r="F97" s="138"/>
      <c r="G97" s="138"/>
      <c r="H97" s="138"/>
      <c r="I97" s="138"/>
      <c r="J97" s="138"/>
      <c r="K97" s="138"/>
      <c r="L97" s="138"/>
      <c r="M97" s="138"/>
      <c r="N97" s="138"/>
      <c r="O97" s="138"/>
      <c r="P97" s="116"/>
      <c r="Q97" s="116"/>
      <c r="R97" s="159">
        <v>-706</v>
      </c>
      <c r="S97" s="142"/>
      <c r="T97" s="2"/>
      <c r="U97" s="4"/>
    </row>
    <row r="98" spans="1:21" ht="15.75" x14ac:dyDescent="0.25">
      <c r="A98" s="125">
        <v>6</v>
      </c>
      <c r="B98" s="116" t="s">
        <v>241</v>
      </c>
      <c r="C98" s="116"/>
      <c r="D98" s="138"/>
      <c r="E98" s="138"/>
      <c r="F98" s="138"/>
      <c r="G98" s="138"/>
      <c r="H98" s="138"/>
      <c r="I98" s="138"/>
      <c r="J98" s="138"/>
      <c r="K98" s="138"/>
      <c r="L98" s="138"/>
      <c r="M98" s="138"/>
      <c r="N98" s="138"/>
      <c r="O98" s="138"/>
      <c r="P98" s="116"/>
      <c r="Q98" s="116"/>
      <c r="R98" s="159">
        <v>-65</v>
      </c>
      <c r="S98" s="142"/>
      <c r="T98" s="2"/>
      <c r="U98" s="4"/>
    </row>
    <row r="99" spans="1:21" ht="15.75" x14ac:dyDescent="0.25">
      <c r="A99" s="125">
        <v>7</v>
      </c>
      <c r="B99" s="116" t="s">
        <v>242</v>
      </c>
      <c r="C99" s="116"/>
      <c r="D99" s="138"/>
      <c r="E99" s="138"/>
      <c r="F99" s="138"/>
      <c r="G99" s="138"/>
      <c r="H99" s="138"/>
      <c r="I99" s="138"/>
      <c r="J99" s="138"/>
      <c r="K99" s="138"/>
      <c r="L99" s="138"/>
      <c r="M99" s="138"/>
      <c r="N99" s="138"/>
      <c r="O99" s="138"/>
      <c r="P99" s="116"/>
      <c r="Q99" s="116"/>
      <c r="R99" s="159">
        <v>-87</v>
      </c>
      <c r="S99" s="142"/>
      <c r="T99" s="2"/>
      <c r="U99" s="4"/>
    </row>
    <row r="100" spans="1:21" ht="15.75" x14ac:dyDescent="0.25">
      <c r="A100" s="125">
        <v>8</v>
      </c>
      <c r="B100" s="116" t="s">
        <v>171</v>
      </c>
      <c r="C100" s="116"/>
      <c r="D100" s="138"/>
      <c r="E100" s="138"/>
      <c r="F100" s="138"/>
      <c r="G100" s="138"/>
      <c r="H100" s="138"/>
      <c r="I100" s="138"/>
      <c r="J100" s="138"/>
      <c r="K100" s="138"/>
      <c r="L100" s="138"/>
      <c r="M100" s="138"/>
      <c r="N100" s="138"/>
      <c r="O100" s="138"/>
      <c r="P100" s="116"/>
      <c r="Q100" s="116"/>
      <c r="R100" s="159">
        <v>0</v>
      </c>
      <c r="S100" s="142"/>
      <c r="T100" s="2"/>
      <c r="U100" s="4"/>
    </row>
    <row r="101" spans="1:21" ht="15.75" x14ac:dyDescent="0.25">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75" x14ac:dyDescent="0.25">
      <c r="A102" s="125">
        <v>10</v>
      </c>
      <c r="B102" s="116" t="s">
        <v>106</v>
      </c>
      <c r="C102" s="116"/>
      <c r="D102" s="138"/>
      <c r="E102" s="138"/>
      <c r="F102" s="138"/>
      <c r="G102" s="138"/>
      <c r="H102" s="138"/>
      <c r="I102" s="138"/>
      <c r="J102" s="138"/>
      <c r="K102" s="138"/>
      <c r="L102" s="138"/>
      <c r="M102" s="138"/>
      <c r="N102" s="138"/>
      <c r="O102" s="138"/>
      <c r="P102" s="116"/>
      <c r="Q102" s="116"/>
      <c r="R102" s="159">
        <v>0</v>
      </c>
      <c r="S102" s="142"/>
      <c r="T102" s="2"/>
    </row>
    <row r="103" spans="1:21" ht="15.75" x14ac:dyDescent="0.25">
      <c r="A103" s="125">
        <v>11</v>
      </c>
      <c r="B103" s="221" t="s">
        <v>251</v>
      </c>
      <c r="C103" s="116"/>
      <c r="D103" s="138"/>
      <c r="E103" s="138"/>
      <c r="F103" s="138"/>
      <c r="G103" s="138"/>
      <c r="H103" s="138"/>
      <c r="I103" s="138"/>
      <c r="J103" s="138"/>
      <c r="K103" s="138"/>
      <c r="L103" s="138"/>
      <c r="M103" s="138"/>
      <c r="N103" s="138"/>
      <c r="O103" s="138"/>
      <c r="P103" s="116"/>
      <c r="Q103" s="116"/>
      <c r="R103" s="159">
        <v>0</v>
      </c>
      <c r="S103" s="142"/>
      <c r="T103" s="2"/>
    </row>
    <row r="104" spans="1:21" ht="15.75" x14ac:dyDescent="0.25">
      <c r="A104" s="125">
        <v>12</v>
      </c>
      <c r="B104" s="116" t="s">
        <v>29</v>
      </c>
      <c r="C104" s="116"/>
      <c r="D104" s="138"/>
      <c r="E104" s="138"/>
      <c r="F104" s="138"/>
      <c r="G104" s="138"/>
      <c r="H104" s="138"/>
      <c r="I104" s="138"/>
      <c r="J104" s="138"/>
      <c r="K104" s="138"/>
      <c r="L104" s="138"/>
      <c r="M104" s="138"/>
      <c r="N104" s="138"/>
      <c r="O104" s="138"/>
      <c r="P104" s="116"/>
      <c r="Q104" s="116"/>
      <c r="R104" s="159">
        <v>-3</v>
      </c>
      <c r="S104" s="142"/>
      <c r="T104" s="2"/>
    </row>
    <row r="105" spans="1:21" ht="15.75" x14ac:dyDescent="0.25">
      <c r="A105" s="125">
        <v>13</v>
      </c>
      <c r="B105" s="116" t="s">
        <v>147</v>
      </c>
      <c r="C105" s="116"/>
      <c r="D105" s="138"/>
      <c r="E105" s="138"/>
      <c r="F105" s="138"/>
      <c r="G105" s="138"/>
      <c r="H105" s="138"/>
      <c r="I105" s="138"/>
      <c r="J105" s="138"/>
      <c r="K105" s="138"/>
      <c r="L105" s="138"/>
      <c r="M105" s="138"/>
      <c r="N105" s="138"/>
      <c r="O105" s="138"/>
      <c r="P105" s="116"/>
      <c r="Q105" s="116"/>
      <c r="R105" s="159">
        <v>0</v>
      </c>
      <c r="S105" s="142"/>
      <c r="T105" s="2"/>
    </row>
    <row r="106" spans="1:21" ht="15.75" x14ac:dyDescent="0.25">
      <c r="A106" s="125">
        <v>14</v>
      </c>
      <c r="B106" s="116" t="s">
        <v>243</v>
      </c>
      <c r="C106" s="116"/>
      <c r="D106" s="138"/>
      <c r="E106" s="138"/>
      <c r="F106" s="138"/>
      <c r="G106" s="138"/>
      <c r="H106" s="138"/>
      <c r="I106" s="138"/>
      <c r="J106" s="138"/>
      <c r="K106" s="138"/>
      <c r="L106" s="138"/>
      <c r="M106" s="138"/>
      <c r="N106" s="138"/>
      <c r="O106" s="138"/>
      <c r="P106" s="116"/>
      <c r="Q106" s="116"/>
      <c r="R106" s="159">
        <v>-43</v>
      </c>
      <c r="S106" s="142"/>
      <c r="T106" s="2"/>
    </row>
    <row r="107" spans="1:21" ht="15.75" x14ac:dyDescent="0.25">
      <c r="A107" s="125">
        <v>15</v>
      </c>
      <c r="B107" s="116" t="s">
        <v>172</v>
      </c>
      <c r="C107" s="116"/>
      <c r="D107" s="138"/>
      <c r="E107" s="138"/>
      <c r="F107" s="138"/>
      <c r="G107" s="138"/>
      <c r="H107" s="138"/>
      <c r="I107" s="138"/>
      <c r="J107" s="138"/>
      <c r="K107" s="138"/>
      <c r="L107" s="138"/>
      <c r="M107" s="138"/>
      <c r="N107" s="138"/>
      <c r="O107" s="138"/>
      <c r="P107" s="116"/>
      <c r="Q107" s="116"/>
      <c r="R107" s="159">
        <v>0</v>
      </c>
      <c r="S107" s="142"/>
      <c r="T107" s="2"/>
    </row>
    <row r="108" spans="1:21" ht="15.75" x14ac:dyDescent="0.25">
      <c r="A108" s="125">
        <v>16</v>
      </c>
      <c r="B108" s="116" t="s">
        <v>173</v>
      </c>
      <c r="C108" s="116"/>
      <c r="D108" s="138"/>
      <c r="E108" s="138"/>
      <c r="F108" s="138"/>
      <c r="G108" s="138"/>
      <c r="H108" s="138"/>
      <c r="I108" s="138"/>
      <c r="J108" s="138"/>
      <c r="K108" s="138"/>
      <c r="L108" s="138"/>
      <c r="M108" s="138"/>
      <c r="N108" s="138"/>
      <c r="O108" s="138"/>
      <c r="P108" s="116"/>
      <c r="Q108" s="116"/>
      <c r="R108" s="159">
        <v>-65</v>
      </c>
      <c r="S108" s="142"/>
      <c r="T108" s="2"/>
    </row>
    <row r="109" spans="1:21" ht="15.75" x14ac:dyDescent="0.25">
      <c r="A109" s="125">
        <v>17</v>
      </c>
      <c r="B109" s="116" t="s">
        <v>185</v>
      </c>
      <c r="C109" s="116"/>
      <c r="D109" s="138"/>
      <c r="E109" s="138"/>
      <c r="F109" s="138"/>
      <c r="G109" s="138"/>
      <c r="H109" s="138"/>
      <c r="I109" s="138"/>
      <c r="J109" s="138"/>
      <c r="K109" s="138"/>
      <c r="L109" s="138"/>
      <c r="M109" s="138"/>
      <c r="N109" s="138"/>
      <c r="O109" s="138"/>
      <c r="P109" s="116"/>
      <c r="Q109" s="116"/>
      <c r="R109" s="159">
        <f>-10-180</f>
        <v>-190</v>
      </c>
      <c r="S109" s="142"/>
      <c r="T109" s="2"/>
    </row>
    <row r="110" spans="1:21" ht="15.75" x14ac:dyDescent="0.25">
      <c r="A110" s="125">
        <v>18</v>
      </c>
      <c r="B110" s="116" t="s">
        <v>192</v>
      </c>
      <c r="C110" s="116"/>
      <c r="D110" s="138"/>
      <c r="E110" s="138"/>
      <c r="F110" s="138"/>
      <c r="G110" s="138"/>
      <c r="H110" s="138"/>
      <c r="I110" s="138"/>
      <c r="J110" s="138"/>
      <c r="K110" s="138"/>
      <c r="L110" s="138"/>
      <c r="M110" s="138"/>
      <c r="N110" s="138"/>
      <c r="O110" s="138"/>
      <c r="P110" s="116"/>
      <c r="Q110" s="116"/>
      <c r="R110" s="159">
        <f>-R91-SUM(R93:R109)</f>
        <v>-894</v>
      </c>
      <c r="S110" s="142"/>
      <c r="T110" s="2"/>
    </row>
    <row r="111" spans="1:21" ht="15.75" x14ac:dyDescent="0.25">
      <c r="A111" s="125">
        <v>19</v>
      </c>
      <c r="B111" s="116" t="s">
        <v>193</v>
      </c>
      <c r="C111" s="116"/>
      <c r="D111" s="138"/>
      <c r="E111" s="138"/>
      <c r="F111" s="138"/>
      <c r="G111" s="138"/>
      <c r="H111" s="138"/>
      <c r="I111" s="138"/>
      <c r="J111" s="138"/>
      <c r="K111" s="138"/>
      <c r="L111" s="138"/>
      <c r="M111" s="138"/>
      <c r="N111" s="138"/>
      <c r="O111" s="138"/>
      <c r="P111" s="158">
        <f>-R111</f>
        <v>0</v>
      </c>
      <c r="Q111" s="116"/>
      <c r="R111" s="159">
        <v>0</v>
      </c>
      <c r="S111" s="142"/>
      <c r="T111" s="2"/>
    </row>
    <row r="112" spans="1:21" ht="15.75" x14ac:dyDescent="0.25">
      <c r="A112" s="115"/>
      <c r="B112" s="163" t="s">
        <v>30</v>
      </c>
      <c r="C112" s="138"/>
      <c r="D112" s="138"/>
      <c r="E112" s="138"/>
      <c r="F112" s="138"/>
      <c r="G112" s="138"/>
      <c r="H112" s="138"/>
      <c r="I112" s="138"/>
      <c r="J112" s="138"/>
      <c r="K112" s="138"/>
      <c r="L112" s="138"/>
      <c r="M112" s="138"/>
      <c r="N112" s="138"/>
      <c r="O112" s="138"/>
      <c r="P112" s="116"/>
      <c r="Q112" s="116"/>
      <c r="R112" s="164"/>
      <c r="S112" s="142"/>
      <c r="T112" s="2"/>
    </row>
    <row r="113" spans="1:20" ht="15.75" x14ac:dyDescent="0.25">
      <c r="A113" s="115"/>
      <c r="B113" s="116" t="s">
        <v>174</v>
      </c>
      <c r="C113" s="138"/>
      <c r="D113" s="138"/>
      <c r="E113" s="138"/>
      <c r="F113" s="138"/>
      <c r="G113" s="138"/>
      <c r="H113" s="138"/>
      <c r="I113" s="138"/>
      <c r="J113" s="138"/>
      <c r="K113" s="138"/>
      <c r="L113" s="138"/>
      <c r="M113" s="138"/>
      <c r="N113" s="138"/>
      <c r="O113" s="138"/>
      <c r="P113" s="158">
        <f>-P179</f>
        <v>-3</v>
      </c>
      <c r="Q113" s="158"/>
      <c r="R113" s="159"/>
      <c r="S113" s="142"/>
      <c r="T113" s="2"/>
    </row>
    <row r="114" spans="1:20" ht="15.75" x14ac:dyDescent="0.25">
      <c r="A114" s="115"/>
      <c r="B114" s="116" t="s">
        <v>31</v>
      </c>
      <c r="C114" s="138"/>
      <c r="D114" s="138"/>
      <c r="E114" s="138"/>
      <c r="F114" s="138"/>
      <c r="G114" s="138"/>
      <c r="H114" s="138"/>
      <c r="I114" s="138"/>
      <c r="J114" s="138"/>
      <c r="K114" s="138"/>
      <c r="L114" s="138"/>
      <c r="M114" s="138"/>
      <c r="N114" s="138"/>
      <c r="O114" s="138"/>
      <c r="P114" s="158">
        <f>-O179</f>
        <v>0</v>
      </c>
      <c r="Q114" s="158"/>
      <c r="R114" s="159"/>
      <c r="S114" s="142"/>
      <c r="T114" s="2"/>
    </row>
    <row r="115" spans="1:20" ht="15.75" x14ac:dyDescent="0.25">
      <c r="A115" s="115"/>
      <c r="B115" s="116" t="s">
        <v>175</v>
      </c>
      <c r="C115" s="138"/>
      <c r="D115" s="138"/>
      <c r="E115" s="138"/>
      <c r="F115" s="138"/>
      <c r="G115" s="138"/>
      <c r="H115" s="138"/>
      <c r="I115" s="138"/>
      <c r="J115" s="138"/>
      <c r="K115" s="138"/>
      <c r="L115" s="138"/>
      <c r="M115" s="138"/>
      <c r="N115" s="138"/>
      <c r="O115" s="138"/>
      <c r="P115" s="158">
        <v>-9631</v>
      </c>
      <c r="Q115" s="158"/>
      <c r="R115" s="159"/>
      <c r="S115" s="142"/>
      <c r="T115" s="2"/>
    </row>
    <row r="116" spans="1:20" ht="15.75" x14ac:dyDescent="0.25">
      <c r="A116" s="115"/>
      <c r="B116" s="116" t="s">
        <v>221</v>
      </c>
      <c r="C116" s="138"/>
      <c r="D116" s="138"/>
      <c r="E116" s="138"/>
      <c r="F116" s="138"/>
      <c r="G116" s="138"/>
      <c r="H116" s="138"/>
      <c r="I116" s="138"/>
      <c r="J116" s="138"/>
      <c r="K116" s="138"/>
      <c r="L116" s="138"/>
      <c r="M116" s="138"/>
      <c r="N116" s="138"/>
      <c r="O116" s="138"/>
      <c r="P116" s="158">
        <v>0</v>
      </c>
      <c r="Q116" s="158"/>
      <c r="R116" s="159"/>
      <c r="S116" s="142"/>
      <c r="T116" s="2"/>
    </row>
    <row r="117" spans="1:20" ht="15.75" x14ac:dyDescent="0.25">
      <c r="A117" s="115"/>
      <c r="B117" s="116" t="s">
        <v>222</v>
      </c>
      <c r="C117" s="138"/>
      <c r="D117" s="138"/>
      <c r="E117" s="138"/>
      <c r="F117" s="138"/>
      <c r="G117" s="138"/>
      <c r="H117" s="138"/>
      <c r="I117" s="138"/>
      <c r="J117" s="138"/>
      <c r="K117" s="138"/>
      <c r="L117" s="138"/>
      <c r="M117" s="138"/>
      <c r="N117" s="138"/>
      <c r="O117" s="138"/>
      <c r="P117" s="158">
        <v>0</v>
      </c>
      <c r="Q117" s="158"/>
      <c r="R117" s="159"/>
      <c r="S117" s="142"/>
      <c r="T117" s="2"/>
    </row>
    <row r="118" spans="1:20" ht="15.75" x14ac:dyDescent="0.25">
      <c r="A118" s="115"/>
      <c r="B118" s="116" t="s">
        <v>223</v>
      </c>
      <c r="C118" s="138"/>
      <c r="D118" s="138"/>
      <c r="E118" s="138"/>
      <c r="F118" s="138"/>
      <c r="G118" s="138"/>
      <c r="H118" s="138"/>
      <c r="I118" s="138"/>
      <c r="J118" s="138"/>
      <c r="K118" s="138"/>
      <c r="L118" s="138"/>
      <c r="M118" s="138"/>
      <c r="N118" s="138"/>
      <c r="O118" s="138"/>
      <c r="P118" s="158">
        <v>0</v>
      </c>
      <c r="Q118" s="158"/>
      <c r="R118" s="159"/>
      <c r="S118" s="142"/>
      <c r="T118" s="2"/>
    </row>
    <row r="119" spans="1:20" ht="15.75" x14ac:dyDescent="0.25">
      <c r="A119" s="115"/>
      <c r="B119" s="116" t="s">
        <v>32</v>
      </c>
      <c r="C119" s="138"/>
      <c r="D119" s="138"/>
      <c r="E119" s="138"/>
      <c r="F119" s="138"/>
      <c r="G119" s="138"/>
      <c r="H119" s="138"/>
      <c r="I119" s="138"/>
      <c r="J119" s="138"/>
      <c r="K119" s="138"/>
      <c r="L119" s="138"/>
      <c r="M119" s="138"/>
      <c r="N119" s="138"/>
      <c r="O119" s="138"/>
      <c r="P119" s="158">
        <f>SUM(P113:P118)</f>
        <v>-9634</v>
      </c>
      <c r="Q119" s="158"/>
      <c r="R119" s="158">
        <f>SUM(R92:R118)</f>
        <v>-2142</v>
      </c>
      <c r="S119" s="142"/>
      <c r="T119" s="2"/>
    </row>
    <row r="120" spans="1:20" ht="15.75" x14ac:dyDescent="0.25">
      <c r="A120" s="115"/>
      <c r="B120" s="116" t="s">
        <v>33</v>
      </c>
      <c r="C120" s="138"/>
      <c r="D120" s="138"/>
      <c r="E120" s="138"/>
      <c r="F120" s="138"/>
      <c r="G120" s="138"/>
      <c r="H120" s="138"/>
      <c r="I120" s="138"/>
      <c r="J120" s="138"/>
      <c r="K120" s="138"/>
      <c r="L120" s="138"/>
      <c r="M120" s="138"/>
      <c r="N120" s="138"/>
      <c r="O120" s="138"/>
      <c r="P120" s="158">
        <f>P91+P119+P101+P111</f>
        <v>0</v>
      </c>
      <c r="Q120" s="158"/>
      <c r="R120" s="158">
        <f>R91+R119</f>
        <v>0</v>
      </c>
      <c r="S120" s="142"/>
      <c r="T120" s="2"/>
    </row>
    <row r="121" spans="1:20" ht="15.75" x14ac:dyDescent="0.25">
      <c r="A121" s="12"/>
      <c r="B121" s="43"/>
      <c r="C121" s="43"/>
      <c r="D121" s="43"/>
      <c r="E121" s="43"/>
      <c r="F121" s="43"/>
      <c r="G121" s="43"/>
      <c r="H121" s="43"/>
      <c r="I121" s="43"/>
      <c r="J121" s="43"/>
      <c r="K121" s="43"/>
      <c r="L121" s="43"/>
      <c r="M121" s="43"/>
      <c r="N121" s="43"/>
      <c r="O121" s="43"/>
      <c r="P121" s="156"/>
      <c r="Q121" s="156"/>
      <c r="R121" s="156"/>
      <c r="S121" s="43"/>
      <c r="T121" s="2"/>
    </row>
    <row r="122" spans="1:20" ht="15.75" x14ac:dyDescent="0.25">
      <c r="A122" s="12"/>
      <c r="B122" s="14"/>
      <c r="C122" s="14"/>
      <c r="D122" s="14"/>
      <c r="E122" s="14"/>
      <c r="F122" s="14"/>
      <c r="G122" s="14"/>
      <c r="H122" s="14"/>
      <c r="I122" s="14"/>
      <c r="J122" s="14"/>
      <c r="K122" s="14"/>
      <c r="L122" s="14"/>
      <c r="M122" s="14"/>
      <c r="N122" s="14"/>
      <c r="O122" s="14"/>
      <c r="P122" s="14"/>
      <c r="Q122" s="14"/>
      <c r="R122" s="33"/>
      <c r="S122" s="14"/>
      <c r="T122" s="2"/>
    </row>
    <row r="123" spans="1:20" ht="19.5" thickBot="1" x14ac:dyDescent="0.35">
      <c r="A123" s="28"/>
      <c r="B123" s="100" t="str">
        <f>B52</f>
        <v>PM17 INVESTOR REPORT QUARTER ENDING DECEMBER 2014</v>
      </c>
      <c r="C123" s="29"/>
      <c r="D123" s="29"/>
      <c r="E123" s="29"/>
      <c r="F123" s="29"/>
      <c r="G123" s="29"/>
      <c r="H123" s="29"/>
      <c r="I123" s="29"/>
      <c r="J123" s="29"/>
      <c r="K123" s="29"/>
      <c r="L123" s="29"/>
      <c r="M123" s="29"/>
      <c r="N123" s="29"/>
      <c r="O123" s="29"/>
      <c r="P123" s="29"/>
      <c r="Q123" s="29"/>
      <c r="R123" s="40"/>
      <c r="S123" s="31"/>
      <c r="T123" s="2"/>
    </row>
    <row r="124" spans="1:20" ht="15.75" x14ac:dyDescent="0.25">
      <c r="A124" s="67"/>
      <c r="B124" s="68" t="s">
        <v>34</v>
      </c>
      <c r="C124" s="69"/>
      <c r="D124" s="69"/>
      <c r="E124" s="69"/>
      <c r="F124" s="69"/>
      <c r="G124" s="69"/>
      <c r="H124" s="69"/>
      <c r="I124" s="69"/>
      <c r="J124" s="69"/>
      <c r="K124" s="69"/>
      <c r="L124" s="69"/>
      <c r="M124" s="69"/>
      <c r="N124" s="69"/>
      <c r="O124" s="69"/>
      <c r="P124" s="69"/>
      <c r="Q124" s="69"/>
      <c r="R124" s="70"/>
      <c r="S124" s="69"/>
      <c r="T124" s="2"/>
    </row>
    <row r="125" spans="1:20" ht="15.75" x14ac:dyDescent="0.25">
      <c r="A125" s="12"/>
      <c r="B125" s="22"/>
      <c r="C125" s="14"/>
      <c r="D125" s="14"/>
      <c r="E125" s="14"/>
      <c r="F125" s="14"/>
      <c r="G125" s="14"/>
      <c r="H125" s="14"/>
      <c r="I125" s="14"/>
      <c r="J125" s="14"/>
      <c r="K125" s="14"/>
      <c r="L125" s="14"/>
      <c r="M125" s="14"/>
      <c r="N125" s="14"/>
      <c r="O125" s="14"/>
      <c r="P125" s="14"/>
      <c r="Q125" s="14"/>
      <c r="R125" s="33"/>
      <c r="S125" s="14"/>
      <c r="T125" s="2"/>
    </row>
    <row r="126" spans="1:20" ht="15.75" x14ac:dyDescent="0.25">
      <c r="A126" s="12"/>
      <c r="B126" s="41" t="s">
        <v>35</v>
      </c>
      <c r="C126" s="14"/>
      <c r="D126" s="14"/>
      <c r="E126" s="14"/>
      <c r="F126" s="14"/>
      <c r="G126" s="14"/>
      <c r="H126" s="14"/>
      <c r="I126" s="14"/>
      <c r="J126" s="14"/>
      <c r="K126" s="14"/>
      <c r="L126" s="14"/>
      <c r="M126" s="14"/>
      <c r="N126" s="14"/>
      <c r="O126" s="14"/>
      <c r="P126" s="14"/>
      <c r="Q126" s="14"/>
      <c r="R126" s="33"/>
      <c r="S126" s="14"/>
      <c r="T126" s="2"/>
    </row>
    <row r="127" spans="1:20" ht="15.75" x14ac:dyDescent="0.25">
      <c r="A127" s="115"/>
      <c r="B127" s="116" t="s">
        <v>36</v>
      </c>
      <c r="C127" s="116"/>
      <c r="D127" s="116"/>
      <c r="E127" s="116"/>
      <c r="F127" s="116"/>
      <c r="G127" s="116"/>
      <c r="H127" s="116"/>
      <c r="I127" s="116"/>
      <c r="J127" s="116"/>
      <c r="K127" s="116"/>
      <c r="L127" s="116"/>
      <c r="M127" s="116"/>
      <c r="N127" s="116"/>
      <c r="O127" s="116"/>
      <c r="P127" s="116"/>
      <c r="Q127" s="116"/>
      <c r="R127" s="159">
        <f>+R28*0.03</f>
        <v>6000</v>
      </c>
      <c r="S127" s="119"/>
      <c r="T127" s="2"/>
    </row>
    <row r="128" spans="1:20" ht="15.75" x14ac:dyDescent="0.25">
      <c r="A128" s="115"/>
      <c r="B128" s="116" t="s">
        <v>37</v>
      </c>
      <c r="C128" s="116"/>
      <c r="D128" s="116"/>
      <c r="E128" s="116"/>
      <c r="F128" s="116"/>
      <c r="G128" s="116"/>
      <c r="H128" s="116"/>
      <c r="I128" s="116"/>
      <c r="J128" s="116"/>
      <c r="K128" s="116"/>
      <c r="L128" s="116"/>
      <c r="M128" s="116"/>
      <c r="N128" s="116"/>
      <c r="O128" s="116"/>
      <c r="P128" s="116"/>
      <c r="Q128" s="116"/>
      <c r="R128" s="159">
        <v>0</v>
      </c>
      <c r="S128" s="119"/>
      <c r="T128" s="2"/>
    </row>
    <row r="129" spans="1:21" ht="15.75" x14ac:dyDescent="0.25">
      <c r="A129" s="115"/>
      <c r="B129" s="116" t="s">
        <v>187</v>
      </c>
      <c r="C129" s="116"/>
      <c r="D129" s="116"/>
      <c r="E129" s="116"/>
      <c r="F129" s="116"/>
      <c r="G129" s="116"/>
      <c r="H129" s="116"/>
      <c r="I129" s="116"/>
      <c r="J129" s="116"/>
      <c r="K129" s="116"/>
      <c r="L129" s="116"/>
      <c r="M129" s="116"/>
      <c r="N129" s="116"/>
      <c r="O129" s="116"/>
      <c r="P129" s="116"/>
      <c r="Q129" s="116"/>
      <c r="R129" s="159">
        <f>R127-R130</f>
        <v>1275.8638500000006</v>
      </c>
      <c r="S129" s="119"/>
      <c r="T129" s="2"/>
    </row>
    <row r="130" spans="1:21" ht="15.75" x14ac:dyDescent="0.25">
      <c r="A130" s="115"/>
      <c r="B130" s="116" t="s">
        <v>244</v>
      </c>
      <c r="C130" s="116"/>
      <c r="D130" s="116"/>
      <c r="E130" s="116"/>
      <c r="F130" s="116"/>
      <c r="G130" s="116"/>
      <c r="H130" s="116"/>
      <c r="I130" s="116"/>
      <c r="J130" s="116"/>
      <c r="K130" s="116"/>
      <c r="L130" s="116"/>
      <c r="M130" s="116"/>
      <c r="N130" s="116"/>
      <c r="O130" s="116"/>
      <c r="P130" s="116"/>
      <c r="Q130" s="116"/>
      <c r="R130" s="159">
        <f>SUM(D30:H30)*0.03</f>
        <v>4724.1361499999994</v>
      </c>
      <c r="S130" s="119"/>
      <c r="T130" s="2"/>
    </row>
    <row r="131" spans="1:21" ht="15.75" x14ac:dyDescent="0.25">
      <c r="A131" s="115"/>
      <c r="B131" s="116" t="s">
        <v>113</v>
      </c>
      <c r="C131" s="116"/>
      <c r="D131" s="116"/>
      <c r="E131" s="116"/>
      <c r="F131" s="116"/>
      <c r="G131" s="116"/>
      <c r="H131" s="116"/>
      <c r="I131" s="116"/>
      <c r="J131" s="116"/>
      <c r="K131" s="116"/>
      <c r="L131" s="116"/>
      <c r="M131" s="116"/>
      <c r="N131" s="116"/>
      <c r="O131" s="116"/>
      <c r="P131" s="116"/>
      <c r="Q131" s="116"/>
      <c r="R131" s="159"/>
      <c r="S131" s="119"/>
      <c r="T131" s="2"/>
    </row>
    <row r="132" spans="1:21" ht="15.75" x14ac:dyDescent="0.25">
      <c r="A132" s="115"/>
      <c r="B132" s="116" t="s">
        <v>170</v>
      </c>
      <c r="C132" s="116"/>
      <c r="D132" s="116"/>
      <c r="E132" s="116"/>
      <c r="F132" s="116"/>
      <c r="G132" s="116"/>
      <c r="H132" s="116"/>
      <c r="I132" s="116"/>
      <c r="J132" s="116"/>
      <c r="K132" s="116"/>
      <c r="L132" s="116"/>
      <c r="M132" s="116"/>
      <c r="N132" s="116"/>
      <c r="O132" s="116"/>
      <c r="P132" s="116"/>
      <c r="Q132" s="116"/>
      <c r="R132" s="159">
        <v>0</v>
      </c>
      <c r="S132" s="119"/>
      <c r="T132" s="2"/>
    </row>
    <row r="133" spans="1:21" ht="15.75" x14ac:dyDescent="0.25">
      <c r="A133" s="115"/>
      <c r="B133" s="116" t="s">
        <v>241</v>
      </c>
      <c r="C133" s="116"/>
      <c r="D133" s="116"/>
      <c r="E133" s="116"/>
      <c r="F133" s="116"/>
      <c r="G133" s="116"/>
      <c r="H133" s="116"/>
      <c r="I133" s="116"/>
      <c r="J133" s="116"/>
      <c r="K133" s="116"/>
      <c r="L133" s="116"/>
      <c r="M133" s="116"/>
      <c r="N133" s="116"/>
      <c r="O133" s="116"/>
      <c r="P133" s="116"/>
      <c r="Q133" s="116"/>
      <c r="R133" s="159">
        <v>0</v>
      </c>
      <c r="S133" s="119"/>
      <c r="T133" s="2"/>
    </row>
    <row r="134" spans="1:21" ht="15.75" x14ac:dyDescent="0.25">
      <c r="A134" s="115"/>
      <c r="B134" s="116" t="s">
        <v>242</v>
      </c>
      <c r="C134" s="116"/>
      <c r="D134" s="116"/>
      <c r="E134" s="116"/>
      <c r="F134" s="116"/>
      <c r="G134" s="116"/>
      <c r="H134" s="116"/>
      <c r="I134" s="116"/>
      <c r="J134" s="116"/>
      <c r="K134" s="116"/>
      <c r="L134" s="116"/>
      <c r="M134" s="116"/>
      <c r="N134" s="116"/>
      <c r="O134" s="116"/>
      <c r="P134" s="116"/>
      <c r="Q134" s="116"/>
      <c r="R134" s="159">
        <v>0</v>
      </c>
      <c r="S134" s="119"/>
      <c r="T134" s="2"/>
    </row>
    <row r="135" spans="1:21" ht="15.75" x14ac:dyDescent="0.25">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75" x14ac:dyDescent="0.25">
      <c r="A136" s="115"/>
      <c r="B136" s="116" t="s">
        <v>107</v>
      </c>
      <c r="C136" s="116"/>
      <c r="D136" s="116"/>
      <c r="E136" s="116"/>
      <c r="F136" s="116"/>
      <c r="G136" s="116"/>
      <c r="H136" s="116"/>
      <c r="I136" s="116"/>
      <c r="J136" s="116"/>
      <c r="K136" s="116"/>
      <c r="L136" s="116"/>
      <c r="M136" s="116"/>
      <c r="N136" s="116"/>
      <c r="O136" s="116"/>
      <c r="P136" s="116"/>
      <c r="Q136" s="116"/>
      <c r="R136" s="159">
        <v>0</v>
      </c>
      <c r="S136" s="119"/>
      <c r="T136" s="2"/>
    </row>
    <row r="137" spans="1:21" ht="15.75" x14ac:dyDescent="0.25">
      <c r="A137" s="115"/>
      <c r="B137" s="116" t="s">
        <v>245</v>
      </c>
      <c r="C137" s="116"/>
      <c r="D137" s="116"/>
      <c r="E137" s="116"/>
      <c r="F137" s="116"/>
      <c r="G137" s="116"/>
      <c r="H137" s="116"/>
      <c r="I137" s="116"/>
      <c r="J137" s="116"/>
      <c r="K137" s="116"/>
      <c r="L137" s="116"/>
      <c r="M137" s="116"/>
      <c r="N137" s="116"/>
      <c r="O137" s="116"/>
      <c r="P137" s="116"/>
      <c r="Q137" s="116"/>
      <c r="R137" s="159">
        <v>0</v>
      </c>
      <c r="S137" s="119"/>
      <c r="T137" s="2"/>
      <c r="U137" s="4"/>
    </row>
    <row r="138" spans="1:21" ht="15.75" x14ac:dyDescent="0.25">
      <c r="A138" s="115"/>
      <c r="B138" s="116" t="s">
        <v>39</v>
      </c>
      <c r="C138" s="116"/>
      <c r="D138" s="116"/>
      <c r="E138" s="116"/>
      <c r="F138" s="116"/>
      <c r="G138" s="116"/>
      <c r="H138" s="116"/>
      <c r="I138" s="116"/>
      <c r="J138" s="116"/>
      <c r="K138" s="116"/>
      <c r="L138" s="116"/>
      <c r="M138" s="116"/>
      <c r="N138" s="116"/>
      <c r="O138" s="116"/>
      <c r="P138" s="116"/>
      <c r="Q138" s="116"/>
      <c r="R138" s="159">
        <f>SUM(R128:R137)</f>
        <v>6000</v>
      </c>
      <c r="S138" s="119"/>
      <c r="T138" s="2"/>
    </row>
    <row r="139" spans="1:21" ht="15.75" x14ac:dyDescent="0.25">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75" x14ac:dyDescent="0.25">
      <c r="A140" s="115"/>
      <c r="B140" s="163" t="s">
        <v>224</v>
      </c>
      <c r="C140" s="138"/>
      <c r="D140" s="138"/>
      <c r="E140" s="138"/>
      <c r="F140" s="138"/>
      <c r="G140" s="138"/>
      <c r="H140" s="138"/>
      <c r="I140" s="138"/>
      <c r="J140" s="138"/>
      <c r="K140" s="138"/>
      <c r="L140" s="138"/>
      <c r="M140" s="138"/>
      <c r="N140" s="138"/>
      <c r="O140" s="138"/>
      <c r="P140" s="138"/>
      <c r="Q140" s="138"/>
      <c r="R140" s="166"/>
      <c r="S140" s="142"/>
      <c r="T140" s="2"/>
    </row>
    <row r="141" spans="1:21" ht="15.75" x14ac:dyDescent="0.25">
      <c r="A141" s="115"/>
      <c r="B141" s="116" t="s">
        <v>124</v>
      </c>
      <c r="C141" s="116"/>
      <c r="D141" s="116"/>
      <c r="E141" s="116"/>
      <c r="F141" s="116"/>
      <c r="G141" s="116"/>
      <c r="H141" s="116"/>
      <c r="I141" s="116"/>
      <c r="J141" s="116"/>
      <c r="K141" s="116"/>
      <c r="L141" s="116"/>
      <c r="M141" s="116"/>
      <c r="N141" s="116"/>
      <c r="O141" s="116"/>
      <c r="P141" s="116"/>
      <c r="Q141" s="116"/>
      <c r="R141" s="159">
        <v>0</v>
      </c>
      <c r="S141" s="119"/>
      <c r="T141" s="2"/>
    </row>
    <row r="142" spans="1:21" ht="15.75" x14ac:dyDescent="0.25">
      <c r="A142" s="115"/>
      <c r="B142" s="116" t="s">
        <v>136</v>
      </c>
      <c r="C142" s="116"/>
      <c r="D142" s="116"/>
      <c r="E142" s="116"/>
      <c r="F142" s="116"/>
      <c r="G142" s="116"/>
      <c r="H142" s="116"/>
      <c r="I142" s="116"/>
      <c r="J142" s="116"/>
      <c r="K142" s="116"/>
      <c r="L142" s="116"/>
      <c r="M142" s="116"/>
      <c r="N142" s="116"/>
      <c r="O142" s="116"/>
      <c r="P142" s="116"/>
      <c r="Q142" s="116"/>
      <c r="R142" s="159">
        <v>0</v>
      </c>
      <c r="S142" s="119"/>
      <c r="T142" s="2"/>
    </row>
    <row r="143" spans="1:21" ht="15.75" x14ac:dyDescent="0.25">
      <c r="A143" s="115"/>
      <c r="B143" s="116" t="s">
        <v>148</v>
      </c>
      <c r="C143" s="116"/>
      <c r="D143" s="116"/>
      <c r="E143" s="116"/>
      <c r="F143" s="116"/>
      <c r="G143" s="116"/>
      <c r="H143" s="116"/>
      <c r="I143" s="116"/>
      <c r="J143" s="116"/>
      <c r="K143" s="116"/>
      <c r="L143" s="116"/>
      <c r="M143" s="116"/>
      <c r="N143" s="116"/>
      <c r="O143" s="116"/>
      <c r="P143" s="116"/>
      <c r="Q143" s="116"/>
      <c r="R143" s="159">
        <v>0</v>
      </c>
      <c r="S143" s="119"/>
      <c r="T143" s="2"/>
    </row>
    <row r="144" spans="1:21" ht="15.75" x14ac:dyDescent="0.25">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75" x14ac:dyDescent="0.25">
      <c r="A145" s="12"/>
      <c r="B145" s="43"/>
      <c r="C145" s="43"/>
      <c r="D145" s="43"/>
      <c r="E145" s="43"/>
      <c r="F145" s="43"/>
      <c r="G145" s="43"/>
      <c r="H145" s="43"/>
      <c r="I145" s="43"/>
      <c r="J145" s="43"/>
      <c r="K145" s="43"/>
      <c r="L145" s="43"/>
      <c r="M145" s="43"/>
      <c r="N145" s="43"/>
      <c r="O145" s="43"/>
      <c r="P145" s="43"/>
      <c r="Q145" s="43"/>
      <c r="R145" s="165"/>
      <c r="S145" s="43"/>
      <c r="T145" s="2"/>
    </row>
    <row r="146" spans="1:252" ht="15.75" x14ac:dyDescent="0.25">
      <c r="A146" s="12"/>
      <c r="B146" s="41" t="s">
        <v>194</v>
      </c>
      <c r="C146" s="14"/>
      <c r="D146" s="14"/>
      <c r="E146" s="14"/>
      <c r="F146" s="14"/>
      <c r="G146" s="14"/>
      <c r="H146" s="14"/>
      <c r="I146" s="14"/>
      <c r="J146" s="14"/>
      <c r="K146" s="14"/>
      <c r="L146" s="14"/>
      <c r="M146" s="14"/>
      <c r="N146" s="14"/>
      <c r="O146" s="14"/>
      <c r="P146" s="14"/>
      <c r="Q146" s="14"/>
      <c r="R146" s="33"/>
      <c r="S146" s="14"/>
      <c r="T146" s="2"/>
    </row>
    <row r="147" spans="1:252" ht="15.75" x14ac:dyDescent="0.25">
      <c r="A147" s="115"/>
      <c r="B147" s="116" t="s">
        <v>186</v>
      </c>
      <c r="C147" s="116"/>
      <c r="D147" s="116"/>
      <c r="E147" s="116"/>
      <c r="F147" s="116"/>
      <c r="G147" s="116"/>
      <c r="H147" s="116"/>
      <c r="I147" s="116"/>
      <c r="J147" s="116"/>
      <c r="K147" s="116"/>
      <c r="L147" s="116"/>
      <c r="M147" s="116"/>
      <c r="N147" s="116"/>
      <c r="O147" s="116"/>
      <c r="P147" s="116"/>
      <c r="Q147" s="116"/>
      <c r="R147" s="159">
        <v>0</v>
      </c>
      <c r="S147" s="142"/>
      <c r="T147" s="2"/>
    </row>
    <row r="148" spans="1:252" ht="15.75" x14ac:dyDescent="0.25">
      <c r="A148" s="115"/>
      <c r="B148" s="116" t="s">
        <v>248</v>
      </c>
      <c r="C148" s="118"/>
      <c r="D148" s="118"/>
      <c r="E148" s="118"/>
      <c r="F148" s="118"/>
      <c r="G148" s="118"/>
      <c r="H148" s="118"/>
      <c r="I148" s="118"/>
      <c r="J148" s="118"/>
      <c r="K148" s="118"/>
      <c r="L148" s="118"/>
      <c r="M148" s="118"/>
      <c r="N148" s="118"/>
      <c r="O148" s="118"/>
      <c r="P148" s="118"/>
      <c r="Q148" s="118"/>
      <c r="R148" s="159">
        <f>J69</f>
        <v>0</v>
      </c>
      <c r="S148" s="142"/>
      <c r="T148" s="2"/>
    </row>
    <row r="149" spans="1:252" ht="15.75" x14ac:dyDescent="0.25">
      <c r="A149" s="115"/>
      <c r="B149" s="116" t="s">
        <v>252</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75" x14ac:dyDescent="0.25">
      <c r="A150" s="12"/>
      <c r="B150" s="43"/>
      <c r="C150" s="43"/>
      <c r="D150" s="43"/>
      <c r="E150" s="43"/>
      <c r="F150" s="43"/>
      <c r="G150" s="43"/>
      <c r="H150" s="43"/>
      <c r="I150" s="43"/>
      <c r="J150" s="43"/>
      <c r="K150" s="43"/>
      <c r="L150" s="43"/>
      <c r="M150" s="43"/>
      <c r="N150" s="43"/>
      <c r="O150" s="43"/>
      <c r="P150" s="43"/>
      <c r="Q150" s="43"/>
      <c r="R150" s="165"/>
      <c r="S150" s="43"/>
      <c r="T150" s="2"/>
    </row>
    <row r="151" spans="1:252" ht="15.75" x14ac:dyDescent="0.25">
      <c r="A151" s="12"/>
      <c r="B151" s="41" t="s">
        <v>40</v>
      </c>
      <c r="C151" s="14"/>
      <c r="D151" s="14"/>
      <c r="E151" s="14"/>
      <c r="F151" s="14"/>
      <c r="G151" s="14"/>
      <c r="H151" s="14"/>
      <c r="I151" s="14"/>
      <c r="J151" s="14"/>
      <c r="K151" s="14"/>
      <c r="L151" s="14"/>
      <c r="M151" s="14"/>
      <c r="N151" s="14"/>
      <c r="O151" s="14"/>
      <c r="P151" s="14"/>
      <c r="Q151" s="14"/>
      <c r="R151" s="42"/>
      <c r="S151" s="14"/>
      <c r="T151" s="2"/>
    </row>
    <row r="152" spans="1:252" ht="15.75" x14ac:dyDescent="0.25">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75" x14ac:dyDescent="0.25">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75" x14ac:dyDescent="0.25">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75" x14ac:dyDescent="0.25">
      <c r="A155" s="115"/>
      <c r="B155" s="116" t="s">
        <v>198</v>
      </c>
      <c r="C155" s="116"/>
      <c r="D155" s="116"/>
      <c r="E155" s="116"/>
      <c r="F155" s="116"/>
      <c r="G155" s="116"/>
      <c r="H155" s="116"/>
      <c r="I155" s="116"/>
      <c r="J155" s="116"/>
      <c r="K155" s="116"/>
      <c r="L155" s="116"/>
      <c r="M155" s="116"/>
      <c r="N155" s="116"/>
      <c r="O155" s="116"/>
      <c r="P155" s="116"/>
      <c r="Q155" s="116"/>
      <c r="R155" s="159">
        <f>R101</f>
        <v>0</v>
      </c>
      <c r="S155" s="119"/>
      <c r="T155" s="2"/>
    </row>
    <row r="156" spans="1:252" ht="15.75" x14ac:dyDescent="0.25">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75" x14ac:dyDescent="0.25">
      <c r="A157" s="115"/>
      <c r="B157" s="116" t="s">
        <v>162</v>
      </c>
      <c r="C157" s="116"/>
      <c r="D157" s="116"/>
      <c r="E157" s="116"/>
      <c r="F157" s="116"/>
      <c r="G157" s="116"/>
      <c r="H157" s="116"/>
      <c r="I157" s="116"/>
      <c r="J157" s="116"/>
      <c r="K157" s="116"/>
      <c r="L157" s="116"/>
      <c r="M157" s="116"/>
      <c r="N157" s="116"/>
      <c r="O157" s="116"/>
      <c r="P157" s="116"/>
      <c r="Q157" s="116"/>
      <c r="R157" s="159">
        <f>-R90</f>
        <v>0</v>
      </c>
      <c r="S157" s="119"/>
      <c r="T157" s="2"/>
    </row>
    <row r="158" spans="1:252" ht="16.5" thickBot="1" x14ac:dyDescent="0.3">
      <c r="A158" s="12"/>
      <c r="B158" s="43"/>
      <c r="C158" s="43"/>
      <c r="D158" s="43"/>
      <c r="E158" s="43"/>
      <c r="F158" s="43"/>
      <c r="G158" s="43"/>
      <c r="H158" s="43"/>
      <c r="I158" s="43"/>
      <c r="J158" s="43"/>
      <c r="K158" s="43"/>
      <c r="L158" s="43"/>
      <c r="M158" s="43"/>
      <c r="N158" s="43"/>
      <c r="O158" s="43"/>
      <c r="P158" s="43"/>
      <c r="Q158" s="43"/>
      <c r="R158" s="165"/>
      <c r="S158" s="43"/>
      <c r="T158" s="2"/>
    </row>
    <row r="159" spans="1:252" ht="15.75" x14ac:dyDescent="0.25">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75" x14ac:dyDescent="0.25">
      <c r="A160" s="12"/>
      <c r="B160" s="41" t="s">
        <v>151</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75" x14ac:dyDescent="0.25">
      <c r="A161" s="115"/>
      <c r="B161" s="116" t="s">
        <v>152</v>
      </c>
      <c r="C161" s="116"/>
      <c r="D161" s="116"/>
      <c r="E161" s="116"/>
      <c r="F161" s="116"/>
      <c r="G161" s="116"/>
      <c r="H161" s="116"/>
      <c r="I161" s="116"/>
      <c r="J161" s="116"/>
      <c r="K161" s="116"/>
      <c r="L161" s="116"/>
      <c r="M161" s="116"/>
      <c r="N161" s="116"/>
      <c r="O161" s="116"/>
      <c r="P161" s="116"/>
      <c r="Q161" s="116"/>
      <c r="R161" s="159">
        <f>+'June 14'!R164</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75" x14ac:dyDescent="0.25">
      <c r="A162" s="115"/>
      <c r="B162" s="116" t="s">
        <v>155</v>
      </c>
      <c r="C162" s="116"/>
      <c r="D162" s="116"/>
      <c r="E162" s="116"/>
      <c r="F162" s="116"/>
      <c r="G162" s="116"/>
      <c r="H162" s="116"/>
      <c r="I162" s="116"/>
      <c r="J162" s="116"/>
      <c r="K162" s="116"/>
      <c r="L162" s="116"/>
      <c r="M162" s="116"/>
      <c r="N162" s="116"/>
      <c r="O162" s="116"/>
      <c r="P162" s="116"/>
      <c r="Q162" s="116"/>
      <c r="R162" s="159">
        <f>+R83</f>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75" x14ac:dyDescent="0.25">
      <c r="A163" s="115"/>
      <c r="B163" s="116" t="s">
        <v>249</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75" x14ac:dyDescent="0.25">
      <c r="A164" s="115"/>
      <c r="B164" s="116" t="s">
        <v>153</v>
      </c>
      <c r="C164" s="116"/>
      <c r="D164" s="116"/>
      <c r="E164" s="116"/>
      <c r="F164" s="116"/>
      <c r="G164" s="116"/>
      <c r="H164" s="116"/>
      <c r="I164" s="116"/>
      <c r="J164" s="116"/>
      <c r="K164" s="116"/>
      <c r="L164" s="116"/>
      <c r="M164" s="116"/>
      <c r="N164" s="116"/>
      <c r="O164" s="116"/>
      <c r="P164" s="116"/>
      <c r="Q164" s="116"/>
      <c r="R164" s="159">
        <f>+R161-R162+R163</f>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5" thickBot="1" x14ac:dyDescent="0.3">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75" x14ac:dyDescent="0.25">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75" x14ac:dyDescent="0.25">
      <c r="A167" s="12"/>
      <c r="B167" s="41" t="s">
        <v>45</v>
      </c>
      <c r="C167" s="14"/>
      <c r="D167" s="14"/>
      <c r="E167" s="14"/>
      <c r="F167" s="14"/>
      <c r="G167" s="14"/>
      <c r="H167" s="14"/>
      <c r="I167" s="14"/>
      <c r="J167" s="14"/>
      <c r="K167" s="14"/>
      <c r="L167" s="14"/>
      <c r="M167" s="14"/>
      <c r="N167" s="14"/>
      <c r="O167" s="14"/>
      <c r="P167" s="14"/>
      <c r="Q167" s="14"/>
      <c r="R167" s="33"/>
      <c r="S167" s="14"/>
      <c r="T167" s="2"/>
    </row>
    <row r="168" spans="1:252" ht="15.75" x14ac:dyDescent="0.25">
      <c r="A168" s="12"/>
      <c r="B168" s="22"/>
      <c r="C168" s="14"/>
      <c r="D168" s="14"/>
      <c r="E168" s="14"/>
      <c r="F168" s="14"/>
      <c r="G168" s="14"/>
      <c r="H168" s="14"/>
      <c r="I168" s="14"/>
      <c r="J168" s="14"/>
      <c r="K168" s="14"/>
      <c r="L168" s="14"/>
      <c r="M168" s="14"/>
      <c r="N168" s="14"/>
      <c r="O168" s="14"/>
      <c r="P168" s="14"/>
      <c r="Q168" s="14"/>
      <c r="R168" s="33"/>
      <c r="S168" s="14"/>
      <c r="T168" s="2"/>
    </row>
    <row r="169" spans="1:252" ht="15.75" x14ac:dyDescent="0.25">
      <c r="A169" s="115"/>
      <c r="B169" s="116" t="s">
        <v>195</v>
      </c>
      <c r="C169" s="116"/>
      <c r="D169" s="116"/>
      <c r="E169" s="116"/>
      <c r="F169" s="116"/>
      <c r="G169" s="116"/>
      <c r="H169" s="116"/>
      <c r="I169" s="116"/>
      <c r="J169" s="116"/>
      <c r="K169" s="116"/>
      <c r="L169" s="116"/>
      <c r="M169" s="116"/>
      <c r="N169" s="116"/>
      <c r="O169" s="116"/>
      <c r="P169" s="116"/>
      <c r="Q169" s="116"/>
      <c r="R169" s="159">
        <f>+R59</f>
        <v>161971</v>
      </c>
      <c r="S169" s="119"/>
      <c r="T169" s="2"/>
    </row>
    <row r="170" spans="1:252" ht="15.75" x14ac:dyDescent="0.25">
      <c r="A170" s="115"/>
      <c r="B170" s="116" t="s">
        <v>196</v>
      </c>
      <c r="C170" s="116"/>
      <c r="D170" s="116"/>
      <c r="E170" s="116"/>
      <c r="F170" s="116"/>
      <c r="G170" s="116"/>
      <c r="H170" s="116"/>
      <c r="I170" s="116"/>
      <c r="J170" s="116"/>
      <c r="K170" s="116"/>
      <c r="L170" s="116"/>
      <c r="M170" s="116"/>
      <c r="N170" s="116"/>
      <c r="O170" s="116"/>
      <c r="P170" s="116"/>
      <c r="Q170" s="116"/>
      <c r="R170" s="159">
        <f>+R69</f>
        <v>0</v>
      </c>
      <c r="S170" s="119"/>
      <c r="T170" s="2"/>
    </row>
    <row r="171" spans="1:252" ht="15.75" x14ac:dyDescent="0.25">
      <c r="A171" s="115"/>
      <c r="B171" s="218" t="s">
        <v>247</v>
      </c>
      <c r="C171" s="116"/>
      <c r="D171" s="116"/>
      <c r="E171" s="116"/>
      <c r="F171" s="116"/>
      <c r="G171" s="116"/>
      <c r="H171" s="116"/>
      <c r="I171" s="116"/>
      <c r="J171" s="116"/>
      <c r="K171" s="116"/>
      <c r="L171" s="116"/>
      <c r="M171" s="116"/>
      <c r="N171" s="116"/>
      <c r="O171" s="116"/>
      <c r="P171" s="116"/>
      <c r="Q171" s="116"/>
      <c r="R171" s="159">
        <f>+R70</f>
        <v>0</v>
      </c>
      <c r="S171" s="119"/>
      <c r="T171" s="2"/>
    </row>
    <row r="172" spans="1:252" ht="15.75" x14ac:dyDescent="0.25">
      <c r="A172" s="115"/>
      <c r="B172" s="116" t="s">
        <v>132</v>
      </c>
      <c r="C172" s="116"/>
      <c r="D172" s="116"/>
      <c r="E172" s="116"/>
      <c r="F172" s="116"/>
      <c r="G172" s="116"/>
      <c r="H172" s="116"/>
      <c r="I172" s="116"/>
      <c r="J172" s="116"/>
      <c r="K172" s="116"/>
      <c r="L172" s="116"/>
      <c r="M172" s="116"/>
      <c r="N172" s="116"/>
      <c r="O172" s="116"/>
      <c r="P172" s="116"/>
      <c r="Q172" s="116"/>
      <c r="R172" s="159">
        <f>+R169+R170+R171</f>
        <v>161971</v>
      </c>
      <c r="S172" s="119"/>
      <c r="T172" s="2"/>
    </row>
    <row r="173" spans="1:252" ht="15.75" x14ac:dyDescent="0.25">
      <c r="A173" s="115"/>
      <c r="B173" s="116" t="s">
        <v>46</v>
      </c>
      <c r="C173" s="116"/>
      <c r="D173" s="116"/>
      <c r="E173" s="116"/>
      <c r="F173" s="116"/>
      <c r="G173" s="116"/>
      <c r="H173" s="116"/>
      <c r="I173" s="116"/>
      <c r="J173" s="116"/>
      <c r="K173" s="116"/>
      <c r="L173" s="116"/>
      <c r="M173" s="116"/>
      <c r="N173" s="116"/>
      <c r="O173" s="116"/>
      <c r="P173" s="116"/>
      <c r="Q173" s="116"/>
      <c r="R173" s="159">
        <f>R72</f>
        <v>161971</v>
      </c>
      <c r="S173" s="119"/>
      <c r="T173" s="2"/>
    </row>
    <row r="174" spans="1:252" ht="16.5" thickBot="1" x14ac:dyDescent="0.3">
      <c r="A174" s="12"/>
      <c r="B174" s="43"/>
      <c r="C174" s="43"/>
      <c r="D174" s="43"/>
      <c r="E174" s="43"/>
      <c r="F174" s="43"/>
      <c r="G174" s="43"/>
      <c r="H174" s="43"/>
      <c r="I174" s="43"/>
      <c r="J174" s="43"/>
      <c r="K174" s="43"/>
      <c r="L174" s="43"/>
      <c r="M174" s="43"/>
      <c r="N174" s="43"/>
      <c r="O174" s="43"/>
      <c r="P174" s="43"/>
      <c r="Q174" s="43"/>
      <c r="R174" s="165"/>
      <c r="S174" s="43"/>
      <c r="T174" s="2"/>
    </row>
    <row r="175" spans="1:252" ht="15.75" x14ac:dyDescent="0.25">
      <c r="A175" s="10"/>
      <c r="B175" s="11"/>
      <c r="C175" s="11"/>
      <c r="D175" s="11"/>
      <c r="E175" s="11"/>
      <c r="F175" s="11"/>
      <c r="G175" s="11"/>
      <c r="H175" s="11"/>
      <c r="I175" s="11"/>
      <c r="J175" s="11"/>
      <c r="K175" s="11"/>
      <c r="L175" s="11"/>
      <c r="M175" s="11"/>
      <c r="N175" s="11"/>
      <c r="O175" s="11"/>
      <c r="P175" s="11"/>
      <c r="Q175" s="11"/>
      <c r="R175" s="32"/>
      <c r="S175" s="11"/>
      <c r="T175" s="2"/>
    </row>
    <row r="176" spans="1:252" ht="15.75" x14ac:dyDescent="0.25">
      <c r="A176" s="12"/>
      <c r="B176" s="41" t="s">
        <v>47</v>
      </c>
      <c r="C176" s="37"/>
      <c r="D176" s="45"/>
      <c r="E176" s="45"/>
      <c r="F176" s="45"/>
      <c r="G176" s="45"/>
      <c r="H176" s="45"/>
      <c r="I176" s="45"/>
      <c r="J176" s="45"/>
      <c r="K176" s="45"/>
      <c r="L176" s="45"/>
      <c r="M176" s="45"/>
      <c r="N176" s="45"/>
      <c r="O176" s="45" t="s">
        <v>86</v>
      </c>
      <c r="P176" s="45" t="s">
        <v>189</v>
      </c>
      <c r="Q176" s="16"/>
      <c r="R176" s="46" t="s">
        <v>98</v>
      </c>
      <c r="S176" s="47"/>
      <c r="T176" s="2"/>
    </row>
    <row r="177" spans="1:20" ht="15.75" x14ac:dyDescent="0.25">
      <c r="A177" s="115"/>
      <c r="B177" s="116" t="s">
        <v>48</v>
      </c>
      <c r="C177" s="116"/>
      <c r="D177" s="116"/>
      <c r="E177" s="116"/>
      <c r="F177" s="116"/>
      <c r="G177" s="116"/>
      <c r="H177" s="116"/>
      <c r="I177" s="116"/>
      <c r="J177" s="116"/>
      <c r="K177" s="116"/>
      <c r="L177" s="116"/>
      <c r="M177" s="116"/>
      <c r="N177" s="116"/>
      <c r="O177" s="159">
        <f>+R28*0.08</f>
        <v>16000</v>
      </c>
      <c r="P177" s="148"/>
      <c r="Q177" s="116"/>
      <c r="R177" s="159"/>
      <c r="S177" s="119"/>
      <c r="T177" s="2"/>
    </row>
    <row r="178" spans="1:20" ht="15.75" x14ac:dyDescent="0.25">
      <c r="A178" s="115"/>
      <c r="B178" s="116" t="s">
        <v>49</v>
      </c>
      <c r="C178" s="116"/>
      <c r="D178" s="116"/>
      <c r="E178" s="116"/>
      <c r="F178" s="116"/>
      <c r="G178" s="116"/>
      <c r="H178" s="116"/>
      <c r="I178" s="116"/>
      <c r="J178" s="116"/>
      <c r="K178" s="116"/>
      <c r="L178" s="116"/>
      <c r="M178" s="116"/>
      <c r="N178" s="116"/>
      <c r="O178" s="159">
        <f>+'Sept 14'!O180</f>
        <v>1237</v>
      </c>
      <c r="P178" s="159">
        <f>+'Sept 14'!P180</f>
        <v>405</v>
      </c>
      <c r="Q178" s="116"/>
      <c r="R178" s="159">
        <f>O178+P178</f>
        <v>1642</v>
      </c>
      <c r="S178" s="119"/>
      <c r="T178" s="2"/>
    </row>
    <row r="179" spans="1:20" ht="15.75" x14ac:dyDescent="0.25">
      <c r="A179" s="115"/>
      <c r="B179" s="116" t="s">
        <v>50</v>
      </c>
      <c r="C179" s="116"/>
      <c r="D179" s="116"/>
      <c r="E179" s="116"/>
      <c r="F179" s="116"/>
      <c r="G179" s="116"/>
      <c r="H179" s="116"/>
      <c r="I179" s="116"/>
      <c r="J179" s="116"/>
      <c r="K179" s="116"/>
      <c r="L179" s="116"/>
      <c r="M179" s="116"/>
      <c r="N179" s="116"/>
      <c r="O179" s="158">
        <v>0</v>
      </c>
      <c r="P179" s="158">
        <v>3</v>
      </c>
      <c r="Q179" s="116"/>
      <c r="R179" s="159">
        <f>O179+P179</f>
        <v>3</v>
      </c>
      <c r="S179" s="119"/>
      <c r="T179" s="2"/>
    </row>
    <row r="180" spans="1:20" ht="15.75" x14ac:dyDescent="0.25">
      <c r="A180" s="115"/>
      <c r="B180" s="116" t="s">
        <v>51</v>
      </c>
      <c r="C180" s="116"/>
      <c r="D180" s="116"/>
      <c r="E180" s="116"/>
      <c r="F180" s="116"/>
      <c r="G180" s="116"/>
      <c r="H180" s="116"/>
      <c r="I180" s="116"/>
      <c r="J180" s="116"/>
      <c r="K180" s="116"/>
      <c r="L180" s="116"/>
      <c r="M180" s="116"/>
      <c r="N180" s="116"/>
      <c r="O180" s="159">
        <f>O178+O179</f>
        <v>1237</v>
      </c>
      <c r="P180" s="159">
        <f>P179+P178</f>
        <v>408</v>
      </c>
      <c r="Q180" s="116"/>
      <c r="R180" s="159">
        <f>O180+P180</f>
        <v>1645</v>
      </c>
      <c r="S180" s="119"/>
      <c r="T180" s="2"/>
    </row>
    <row r="181" spans="1:20" ht="15.75" x14ac:dyDescent="0.25">
      <c r="A181" s="115"/>
      <c r="B181" s="116" t="s">
        <v>52</v>
      </c>
      <c r="C181" s="116"/>
      <c r="D181" s="116"/>
      <c r="E181" s="116"/>
      <c r="F181" s="116"/>
      <c r="G181" s="116"/>
      <c r="H181" s="116"/>
      <c r="I181" s="116"/>
      <c r="J181" s="116"/>
      <c r="K181" s="116"/>
      <c r="L181" s="116"/>
      <c r="M181" s="116"/>
      <c r="N181" s="116"/>
      <c r="O181" s="159">
        <f>O177-O180-P180</f>
        <v>14355</v>
      </c>
      <c r="P181" s="148"/>
      <c r="Q181" s="116"/>
      <c r="R181" s="159"/>
      <c r="S181" s="119"/>
      <c r="T181" s="2"/>
    </row>
    <row r="182" spans="1:20" ht="16.5" thickBot="1" x14ac:dyDescent="0.3">
      <c r="A182" s="12"/>
      <c r="B182" s="43"/>
      <c r="C182" s="43"/>
      <c r="D182" s="43"/>
      <c r="E182" s="43"/>
      <c r="F182" s="43"/>
      <c r="G182" s="43"/>
      <c r="H182" s="43"/>
      <c r="I182" s="43"/>
      <c r="J182" s="43"/>
      <c r="K182" s="43"/>
      <c r="L182" s="43"/>
      <c r="M182" s="43"/>
      <c r="N182" s="43"/>
      <c r="O182" s="43"/>
      <c r="P182" s="43"/>
      <c r="Q182" s="43"/>
      <c r="R182" s="165"/>
      <c r="S182" s="43"/>
      <c r="T182" s="2"/>
    </row>
    <row r="183" spans="1:20" ht="15.75" x14ac:dyDescent="0.25">
      <c r="A183" s="10"/>
      <c r="B183" s="11"/>
      <c r="C183" s="11"/>
      <c r="D183" s="11"/>
      <c r="E183" s="11"/>
      <c r="F183" s="11"/>
      <c r="G183" s="11"/>
      <c r="H183" s="11"/>
      <c r="I183" s="11"/>
      <c r="J183" s="11"/>
      <c r="K183" s="11"/>
      <c r="L183" s="11"/>
      <c r="M183" s="11"/>
      <c r="N183" s="11"/>
      <c r="O183" s="11"/>
      <c r="P183" s="11"/>
      <c r="Q183" s="11"/>
      <c r="R183" s="32"/>
      <c r="S183" s="11"/>
      <c r="T183" s="2"/>
    </row>
    <row r="184" spans="1:20" ht="15.75" x14ac:dyDescent="0.25">
      <c r="A184" s="12"/>
      <c r="B184" s="41" t="s">
        <v>53</v>
      </c>
      <c r="C184" s="14"/>
      <c r="D184" s="14"/>
      <c r="E184" s="14"/>
      <c r="F184" s="14"/>
      <c r="G184" s="14"/>
      <c r="H184" s="14"/>
      <c r="I184" s="14"/>
      <c r="J184" s="14"/>
      <c r="K184" s="14"/>
      <c r="L184" s="14"/>
      <c r="M184" s="14"/>
      <c r="N184" s="14"/>
      <c r="O184" s="14"/>
      <c r="P184" s="14"/>
      <c r="Q184" s="14"/>
      <c r="R184" s="48"/>
      <c r="S184" s="14"/>
      <c r="T184" s="2"/>
    </row>
    <row r="185" spans="1:20" ht="15.75" x14ac:dyDescent="0.25">
      <c r="A185" s="115"/>
      <c r="B185" s="116" t="s">
        <v>54</v>
      </c>
      <c r="C185" s="116"/>
      <c r="D185" s="116"/>
      <c r="E185" s="116"/>
      <c r="F185" s="116"/>
      <c r="G185" s="116"/>
      <c r="H185" s="116"/>
      <c r="I185" s="116"/>
      <c r="J185" s="116"/>
      <c r="K185" s="116"/>
      <c r="L185" s="116"/>
      <c r="M185" s="116"/>
      <c r="N185" s="116"/>
      <c r="O185" s="116"/>
      <c r="P185" s="116"/>
      <c r="Q185" s="116"/>
      <c r="R185" s="164">
        <f>(R91+R93+R94+R95+R96)/-(R97)</f>
        <v>2.9079320113314449</v>
      </c>
      <c r="S185" s="119" t="s">
        <v>99</v>
      </c>
      <c r="T185" s="2"/>
    </row>
    <row r="186" spans="1:20" ht="15.75" x14ac:dyDescent="0.25">
      <c r="A186" s="115"/>
      <c r="B186" s="116" t="s">
        <v>55</v>
      </c>
      <c r="C186" s="116"/>
      <c r="D186" s="116"/>
      <c r="E186" s="116"/>
      <c r="F186" s="116"/>
      <c r="G186" s="116"/>
      <c r="H186" s="116"/>
      <c r="I186" s="116"/>
      <c r="J186" s="116"/>
      <c r="K186" s="116"/>
      <c r="L186" s="116"/>
      <c r="M186" s="116"/>
      <c r="N186" s="116"/>
      <c r="O186" s="116"/>
      <c r="P186" s="116"/>
      <c r="Q186" s="116"/>
      <c r="R186" s="168">
        <v>2.85</v>
      </c>
      <c r="S186" s="119" t="s">
        <v>99</v>
      </c>
      <c r="T186" s="2"/>
    </row>
    <row r="187" spans="1:20" ht="15.75" x14ac:dyDescent="0.25">
      <c r="A187" s="115"/>
      <c r="B187" s="116" t="s">
        <v>225</v>
      </c>
      <c r="C187" s="116"/>
      <c r="D187" s="116"/>
      <c r="E187" s="116"/>
      <c r="F187" s="116"/>
      <c r="G187" s="116"/>
      <c r="H187" s="116"/>
      <c r="I187" s="116"/>
      <c r="J187" s="116"/>
      <c r="K187" s="116"/>
      <c r="L187" s="116"/>
      <c r="M187" s="116"/>
      <c r="N187" s="116"/>
      <c r="O187" s="116"/>
      <c r="P187" s="116"/>
      <c r="Q187" s="116"/>
      <c r="R187" s="164">
        <f>(R91+R93+R94+R95+R96+R97)/-(R98)</f>
        <v>20.723076923076924</v>
      </c>
      <c r="S187" s="119" t="s">
        <v>99</v>
      </c>
      <c r="T187" s="2"/>
    </row>
    <row r="188" spans="1:20" ht="15.75" x14ac:dyDescent="0.25">
      <c r="A188" s="115"/>
      <c r="B188" s="116" t="s">
        <v>226</v>
      </c>
      <c r="C188" s="116"/>
      <c r="D188" s="116"/>
      <c r="E188" s="116"/>
      <c r="F188" s="116"/>
      <c r="G188" s="116"/>
      <c r="H188" s="116"/>
      <c r="I188" s="116"/>
      <c r="J188" s="116"/>
      <c r="K188" s="116"/>
      <c r="L188" s="116"/>
      <c r="M188" s="116"/>
      <c r="N188" s="116"/>
      <c r="O188" s="116"/>
      <c r="P188" s="116"/>
      <c r="Q188" s="116"/>
      <c r="R188" s="168">
        <v>22.77</v>
      </c>
      <c r="S188" s="119" t="s">
        <v>99</v>
      </c>
      <c r="T188" s="2"/>
    </row>
    <row r="189" spans="1:20" ht="15.75" x14ac:dyDescent="0.25">
      <c r="A189" s="115"/>
      <c r="B189" s="116" t="s">
        <v>227</v>
      </c>
      <c r="C189" s="116"/>
      <c r="D189" s="116"/>
      <c r="E189" s="116"/>
      <c r="F189" s="116"/>
      <c r="G189" s="116"/>
      <c r="H189" s="116"/>
      <c r="I189" s="116"/>
      <c r="J189" s="116"/>
      <c r="K189" s="116"/>
      <c r="L189" s="116"/>
      <c r="M189" s="116"/>
      <c r="N189" s="116"/>
      <c r="O189" s="116"/>
      <c r="P189" s="116"/>
      <c r="Q189" s="116"/>
      <c r="R189" s="164">
        <f>(R91+R93+R94+R95+R96+R97+R98)/-(R99)</f>
        <v>14.735632183908047</v>
      </c>
      <c r="S189" s="119" t="s">
        <v>99</v>
      </c>
      <c r="T189" s="2"/>
    </row>
    <row r="190" spans="1:20" ht="15.75" x14ac:dyDescent="0.25">
      <c r="A190" s="115"/>
      <c r="B190" s="116" t="s">
        <v>228</v>
      </c>
      <c r="C190" s="116"/>
      <c r="D190" s="116"/>
      <c r="E190" s="116"/>
      <c r="F190" s="116"/>
      <c r="G190" s="116"/>
      <c r="H190" s="116"/>
      <c r="I190" s="116"/>
      <c r="J190" s="116"/>
      <c r="K190" s="116"/>
      <c r="L190" s="116"/>
      <c r="M190" s="116"/>
      <c r="N190" s="116"/>
      <c r="O190" s="116"/>
      <c r="P190" s="116"/>
      <c r="Q190" s="116"/>
      <c r="R190" s="168">
        <v>16.22</v>
      </c>
      <c r="S190" s="119" t="s">
        <v>99</v>
      </c>
      <c r="T190" s="2"/>
    </row>
    <row r="191" spans="1:20" ht="15.75" x14ac:dyDescent="0.25">
      <c r="A191" s="115"/>
      <c r="B191" s="116" t="s">
        <v>229</v>
      </c>
      <c r="C191" s="116"/>
      <c r="D191" s="116"/>
      <c r="E191" s="116"/>
      <c r="F191" s="116"/>
      <c r="G191" s="116"/>
      <c r="H191" s="116"/>
      <c r="I191" s="116"/>
      <c r="J191" s="116"/>
      <c r="K191" s="116"/>
      <c r="L191" s="116"/>
      <c r="M191" s="116"/>
      <c r="N191" s="116"/>
      <c r="O191" s="116"/>
      <c r="P191" s="116"/>
      <c r="Q191" s="116"/>
      <c r="R191" s="164">
        <f>(R91+R93+R94+R95+R96+R97+R98+R99+R100+R101+R102+R103+R104+R105)/-(R106)</f>
        <v>27.720930232558139</v>
      </c>
      <c r="S191" s="119" t="s">
        <v>99</v>
      </c>
      <c r="T191" s="2"/>
    </row>
    <row r="192" spans="1:20" ht="15.75" x14ac:dyDescent="0.25">
      <c r="A192" s="115"/>
      <c r="B192" s="116" t="s">
        <v>230</v>
      </c>
      <c r="C192" s="116"/>
      <c r="D192" s="116"/>
      <c r="E192" s="116"/>
      <c r="F192" s="116"/>
      <c r="G192" s="116"/>
      <c r="H192" s="116"/>
      <c r="I192" s="116"/>
      <c r="J192" s="116"/>
      <c r="K192" s="116"/>
      <c r="L192" s="116"/>
      <c r="M192" s="116"/>
      <c r="N192" s="116"/>
      <c r="O192" s="116"/>
      <c r="P192" s="116"/>
      <c r="Q192" s="116"/>
      <c r="R192" s="168">
        <v>30.54</v>
      </c>
      <c r="S192" s="119" t="s">
        <v>99</v>
      </c>
      <c r="T192" s="2"/>
    </row>
    <row r="193" spans="1:20" ht="15.75" x14ac:dyDescent="0.25">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75" x14ac:dyDescent="0.25">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75" x14ac:dyDescent="0.25">
      <c r="A195" s="12"/>
      <c r="B195" s="86"/>
      <c r="C195" s="86"/>
      <c r="D195" s="86"/>
      <c r="E195" s="86"/>
      <c r="F195" s="86"/>
      <c r="G195" s="86"/>
      <c r="H195" s="86"/>
      <c r="I195" s="86"/>
      <c r="J195" s="86"/>
      <c r="K195" s="86"/>
      <c r="L195" s="86"/>
      <c r="M195" s="86"/>
      <c r="N195" s="86"/>
      <c r="O195" s="86"/>
      <c r="P195" s="86"/>
      <c r="Q195" s="86"/>
      <c r="R195" s="86"/>
      <c r="S195" s="86"/>
      <c r="T195" s="2"/>
    </row>
    <row r="196" spans="1:20" ht="19.5" thickBot="1" x14ac:dyDescent="0.35">
      <c r="A196" s="28"/>
      <c r="B196" s="100" t="str">
        <f>B123</f>
        <v>PM17 INVESTOR REPORT QUARTER ENDING DECEMBER 2014</v>
      </c>
      <c r="C196" s="101"/>
      <c r="D196" s="101"/>
      <c r="E196" s="101"/>
      <c r="F196" s="101"/>
      <c r="G196" s="101"/>
      <c r="H196" s="101"/>
      <c r="I196" s="101"/>
      <c r="J196" s="101"/>
      <c r="K196" s="101"/>
      <c r="L196" s="101"/>
      <c r="M196" s="101"/>
      <c r="N196" s="101"/>
      <c r="O196" s="101"/>
      <c r="P196" s="101"/>
      <c r="Q196" s="101"/>
      <c r="R196" s="101"/>
      <c r="S196" s="102"/>
      <c r="T196" s="2"/>
    </row>
    <row r="197" spans="1:20" ht="15.75" x14ac:dyDescent="0.25">
      <c r="A197" s="67"/>
      <c r="B197" s="68" t="s">
        <v>56</v>
      </c>
      <c r="C197" s="71"/>
      <c r="D197" s="72"/>
      <c r="E197" s="72"/>
      <c r="F197" s="72"/>
      <c r="G197" s="72"/>
      <c r="H197" s="72"/>
      <c r="I197" s="72"/>
      <c r="J197" s="72"/>
      <c r="K197" s="72"/>
      <c r="L197" s="72"/>
      <c r="M197" s="72"/>
      <c r="N197" s="72"/>
      <c r="O197" s="72"/>
      <c r="P197" s="72">
        <v>42004</v>
      </c>
      <c r="Q197" s="69"/>
      <c r="R197" s="69"/>
      <c r="S197" s="69"/>
      <c r="T197" s="2"/>
    </row>
    <row r="198" spans="1:20" ht="15.75" x14ac:dyDescent="0.25">
      <c r="A198" s="49"/>
      <c r="B198" s="50"/>
      <c r="C198" s="51"/>
      <c r="D198" s="52"/>
      <c r="E198" s="52"/>
      <c r="F198" s="52"/>
      <c r="G198" s="52"/>
      <c r="H198" s="52"/>
      <c r="I198" s="52"/>
      <c r="J198" s="52"/>
      <c r="K198" s="52"/>
      <c r="L198" s="52"/>
      <c r="M198" s="52"/>
      <c r="N198" s="52"/>
      <c r="O198" s="52"/>
      <c r="P198" s="52"/>
      <c r="Q198" s="14"/>
      <c r="R198" s="14"/>
      <c r="S198" s="14"/>
      <c r="T198" s="2"/>
    </row>
    <row r="199" spans="1:20" ht="15.75" x14ac:dyDescent="0.25">
      <c r="A199" s="171"/>
      <c r="B199" s="116" t="s">
        <v>57</v>
      </c>
      <c r="C199" s="172"/>
      <c r="D199" s="151"/>
      <c r="E199" s="151"/>
      <c r="F199" s="151"/>
      <c r="G199" s="151"/>
      <c r="H199" s="151"/>
      <c r="I199" s="151"/>
      <c r="J199" s="151"/>
      <c r="K199" s="151"/>
      <c r="L199" s="151"/>
      <c r="M199" s="151"/>
      <c r="N199" s="151"/>
      <c r="O199" s="151"/>
      <c r="P199" s="145">
        <v>4.623E-2</v>
      </c>
      <c r="Q199" s="116"/>
      <c r="R199" s="116"/>
      <c r="S199" s="119"/>
      <c r="T199" s="2"/>
    </row>
    <row r="200" spans="1:20" ht="15.75" x14ac:dyDescent="0.25">
      <c r="A200" s="171"/>
      <c r="B200" s="116" t="s">
        <v>176</v>
      </c>
      <c r="C200" s="172"/>
      <c r="D200" s="151"/>
      <c r="E200" s="151"/>
      <c r="F200" s="151"/>
      <c r="G200" s="151"/>
      <c r="H200" s="151"/>
      <c r="I200" s="151"/>
      <c r="J200" s="151"/>
      <c r="K200" s="151"/>
      <c r="L200" s="151"/>
      <c r="M200" s="151"/>
      <c r="N200" s="151"/>
      <c r="O200" s="151"/>
      <c r="P200" s="145">
        <f>+R34</f>
        <v>2.084683267259586E-2</v>
      </c>
      <c r="Q200" s="116"/>
      <c r="R200" s="116"/>
      <c r="S200" s="119"/>
      <c r="T200" s="2"/>
    </row>
    <row r="201" spans="1:20" ht="15.75" x14ac:dyDescent="0.25">
      <c r="A201" s="171"/>
      <c r="B201" s="116" t="s">
        <v>58</v>
      </c>
      <c r="C201" s="172"/>
      <c r="D201" s="151"/>
      <c r="E201" s="151"/>
      <c r="F201" s="151"/>
      <c r="G201" s="151"/>
      <c r="H201" s="151"/>
      <c r="I201" s="151"/>
      <c r="J201" s="151"/>
      <c r="K201" s="151"/>
      <c r="L201" s="151"/>
      <c r="M201" s="151"/>
      <c r="N201" s="151"/>
      <c r="O201" s="151"/>
      <c r="P201" s="219">
        <f>P199-P200</f>
        <v>2.538316732740414E-2</v>
      </c>
      <c r="Q201" s="116"/>
      <c r="R201" s="116"/>
      <c r="S201" s="119"/>
      <c r="T201" s="2"/>
    </row>
    <row r="202" spans="1:20" ht="15.75" x14ac:dyDescent="0.25">
      <c r="A202" s="171"/>
      <c r="B202" s="116" t="s">
        <v>179</v>
      </c>
      <c r="C202" s="172"/>
      <c r="D202" s="151"/>
      <c r="E202" s="151"/>
      <c r="F202" s="151"/>
      <c r="G202" s="151"/>
      <c r="H202" s="151"/>
      <c r="I202" s="151"/>
      <c r="J202" s="151"/>
      <c r="K202" s="151"/>
      <c r="L202" s="151"/>
      <c r="M202" s="151"/>
      <c r="N202" s="151"/>
      <c r="O202" s="151"/>
      <c r="P202" s="219">
        <v>4.5608799999999998E-2</v>
      </c>
      <c r="Q202" s="116"/>
      <c r="R202" s="116"/>
      <c r="S202" s="119"/>
      <c r="T202" s="2"/>
    </row>
    <row r="203" spans="1:20" ht="15.75" x14ac:dyDescent="0.25">
      <c r="A203" s="171"/>
      <c r="B203" s="116" t="s">
        <v>59</v>
      </c>
      <c r="C203" s="172"/>
      <c r="D203" s="151"/>
      <c r="E203" s="151"/>
      <c r="F203" s="151"/>
      <c r="G203" s="151"/>
      <c r="H203" s="151"/>
      <c r="I203" s="151"/>
      <c r="J203" s="151"/>
      <c r="K203" s="151"/>
      <c r="L203" s="151"/>
      <c r="M203" s="151"/>
      <c r="N203" s="151"/>
      <c r="O203" s="151"/>
      <c r="P203" s="216">
        <v>5.067E-2</v>
      </c>
      <c r="Q203" s="116"/>
      <c r="R203" s="116"/>
      <c r="S203" s="119"/>
      <c r="T203" s="2"/>
    </row>
    <row r="204" spans="1:20" ht="15.75" x14ac:dyDescent="0.25">
      <c r="A204" s="171"/>
      <c r="B204" s="116" t="s">
        <v>177</v>
      </c>
      <c r="C204" s="172"/>
      <c r="D204" s="151"/>
      <c r="E204" s="151"/>
      <c r="F204" s="151"/>
      <c r="G204" s="151"/>
      <c r="H204" s="151"/>
      <c r="I204" s="151"/>
      <c r="J204" s="151"/>
      <c r="K204" s="151"/>
      <c r="L204" s="151"/>
      <c r="M204" s="151"/>
      <c r="N204" s="151"/>
      <c r="O204" s="151"/>
      <c r="P204" s="145">
        <f>R34</f>
        <v>2.084683267259586E-2</v>
      </c>
      <c r="Q204" s="116"/>
      <c r="R204" s="116"/>
      <c r="S204" s="119"/>
      <c r="T204" s="2"/>
    </row>
    <row r="205" spans="1:20" ht="15.75" x14ac:dyDescent="0.25">
      <c r="A205" s="171"/>
      <c r="B205" s="116" t="s">
        <v>60</v>
      </c>
      <c r="C205" s="172"/>
      <c r="D205" s="151"/>
      <c r="E205" s="151"/>
      <c r="F205" s="151"/>
      <c r="G205" s="151"/>
      <c r="H205" s="151"/>
      <c r="I205" s="151"/>
      <c r="J205" s="151"/>
      <c r="K205" s="151"/>
      <c r="L205" s="151"/>
      <c r="M205" s="151"/>
      <c r="N205" s="151"/>
      <c r="O205" s="151"/>
      <c r="P205" s="145">
        <f>P203-P204</f>
        <v>2.982316732740414E-2</v>
      </c>
      <c r="Q205" s="116"/>
      <c r="R205" s="116"/>
      <c r="S205" s="119"/>
      <c r="T205" s="2"/>
    </row>
    <row r="206" spans="1:20" ht="15.75" x14ac:dyDescent="0.25">
      <c r="A206" s="171"/>
      <c r="B206" s="116" t="s">
        <v>149</v>
      </c>
      <c r="C206" s="172"/>
      <c r="D206" s="151"/>
      <c r="E206" s="151"/>
      <c r="F206" s="151"/>
      <c r="G206" s="151"/>
      <c r="H206" s="151"/>
      <c r="I206" s="151"/>
      <c r="J206" s="151"/>
      <c r="K206" s="151"/>
      <c r="L206" s="151"/>
      <c r="M206" s="151"/>
      <c r="N206" s="151"/>
      <c r="O206" s="151"/>
      <c r="P206" s="145">
        <f>(+R91+R93)/H72</f>
        <v>1.2482372000326336E-2</v>
      </c>
      <c r="Q206" s="116"/>
      <c r="R206" s="116"/>
      <c r="S206" s="119"/>
      <c r="T206" s="2"/>
    </row>
    <row r="207" spans="1:20" ht="15.75" x14ac:dyDescent="0.25">
      <c r="A207" s="171"/>
      <c r="B207" s="116" t="s">
        <v>141</v>
      </c>
      <c r="C207" s="172"/>
      <c r="D207" s="151"/>
      <c r="E207" s="151"/>
      <c r="F207" s="151"/>
      <c r="G207" s="151"/>
      <c r="H207" s="151"/>
      <c r="I207" s="151"/>
      <c r="J207" s="151"/>
      <c r="K207" s="151"/>
      <c r="L207" s="151"/>
      <c r="M207" s="151"/>
      <c r="N207" s="151"/>
      <c r="O207" s="151"/>
      <c r="P207" s="173">
        <v>51227</v>
      </c>
      <c r="Q207" s="116"/>
      <c r="R207" s="116"/>
      <c r="S207" s="119"/>
      <c r="T207" s="2"/>
    </row>
    <row r="208" spans="1:20" ht="15.75" x14ac:dyDescent="0.25">
      <c r="A208" s="171"/>
      <c r="B208" s="116" t="s">
        <v>231</v>
      </c>
      <c r="C208" s="172"/>
      <c r="D208" s="151"/>
      <c r="E208" s="151"/>
      <c r="F208" s="151"/>
      <c r="G208" s="151"/>
      <c r="H208" s="151"/>
      <c r="I208" s="151"/>
      <c r="J208" s="151"/>
      <c r="K208" s="151"/>
      <c r="L208" s="151"/>
      <c r="M208" s="151"/>
      <c r="N208" s="151"/>
      <c r="O208" s="151"/>
      <c r="P208" s="173">
        <v>51227</v>
      </c>
      <c r="Q208" s="116"/>
      <c r="R208" s="116"/>
      <c r="S208" s="119"/>
      <c r="T208" s="2"/>
    </row>
    <row r="209" spans="1:20" ht="15.75" x14ac:dyDescent="0.25">
      <c r="A209" s="171"/>
      <c r="B209" s="116" t="s">
        <v>232</v>
      </c>
      <c r="C209" s="172"/>
      <c r="D209" s="151"/>
      <c r="E209" s="151"/>
      <c r="F209" s="151"/>
      <c r="G209" s="151"/>
      <c r="H209" s="151"/>
      <c r="I209" s="151"/>
      <c r="J209" s="151"/>
      <c r="K209" s="151"/>
      <c r="L209" s="151"/>
      <c r="M209" s="151"/>
      <c r="N209" s="151"/>
      <c r="O209" s="151"/>
      <c r="P209" s="173">
        <v>51227</v>
      </c>
      <c r="Q209" s="116"/>
      <c r="R209" s="116"/>
      <c r="S209" s="119"/>
      <c r="T209" s="2"/>
    </row>
    <row r="210" spans="1:20" ht="15.75" x14ac:dyDescent="0.25">
      <c r="A210" s="171"/>
      <c r="B210" s="116" t="s">
        <v>233</v>
      </c>
      <c r="C210" s="172"/>
      <c r="D210" s="151"/>
      <c r="E210" s="151"/>
      <c r="F210" s="151"/>
      <c r="G210" s="151"/>
      <c r="H210" s="151"/>
      <c r="I210" s="151"/>
      <c r="J210" s="151"/>
      <c r="K210" s="151"/>
      <c r="L210" s="151"/>
      <c r="M210" s="151"/>
      <c r="N210" s="151"/>
      <c r="O210" s="151"/>
      <c r="P210" s="173">
        <v>51227</v>
      </c>
      <c r="Q210" s="116"/>
      <c r="R210" s="116"/>
      <c r="S210" s="119"/>
      <c r="T210" s="2"/>
    </row>
    <row r="211" spans="1:20" ht="15.75" x14ac:dyDescent="0.25">
      <c r="A211" s="171"/>
      <c r="B211" s="116" t="s">
        <v>61</v>
      </c>
      <c r="C211" s="172"/>
      <c r="D211" s="151"/>
      <c r="E211" s="151"/>
      <c r="F211" s="151"/>
      <c r="G211" s="151"/>
      <c r="H211" s="151"/>
      <c r="I211" s="151"/>
      <c r="J211" s="151"/>
      <c r="K211" s="151"/>
      <c r="L211" s="151"/>
      <c r="M211" s="151"/>
      <c r="N211" s="151"/>
      <c r="O211" s="151"/>
      <c r="P211" s="149">
        <v>19.04</v>
      </c>
      <c r="Q211" s="116" t="s">
        <v>94</v>
      </c>
      <c r="R211" s="116"/>
      <c r="S211" s="119"/>
      <c r="T211" s="2"/>
    </row>
    <row r="212" spans="1:20" ht="15.75" x14ac:dyDescent="0.25">
      <c r="A212" s="171"/>
      <c r="B212" s="116" t="s">
        <v>62</v>
      </c>
      <c r="C212" s="172"/>
      <c r="D212" s="151"/>
      <c r="E212" s="151"/>
      <c r="F212" s="151"/>
      <c r="G212" s="151"/>
      <c r="H212" s="151"/>
      <c r="I212" s="151"/>
      <c r="J212" s="151"/>
      <c r="K212" s="151"/>
      <c r="L212" s="151"/>
      <c r="M212" s="151"/>
      <c r="N212" s="151"/>
      <c r="O212" s="151"/>
      <c r="P212" s="217">
        <v>17.260000000000002</v>
      </c>
      <c r="Q212" s="116" t="s">
        <v>94</v>
      </c>
      <c r="R212" s="116"/>
      <c r="S212" s="119"/>
      <c r="T212" s="2"/>
    </row>
    <row r="213" spans="1:20" ht="15.75" x14ac:dyDescent="0.25">
      <c r="A213" s="171"/>
      <c r="B213" s="116" t="s">
        <v>63</v>
      </c>
      <c r="C213" s="172"/>
      <c r="D213" s="151"/>
      <c r="E213" s="151"/>
      <c r="F213" s="151"/>
      <c r="G213" s="151"/>
      <c r="H213" s="151"/>
      <c r="I213" s="151"/>
      <c r="J213" s="151"/>
      <c r="K213" s="151"/>
      <c r="L213" s="151"/>
      <c r="M213" s="151"/>
      <c r="N213" s="151"/>
      <c r="O213" s="151"/>
      <c r="P213" s="145">
        <f>(+J56+L56)/H56</f>
        <v>5.6141536811925269E-2</v>
      </c>
      <c r="Q213" s="116"/>
      <c r="R213" s="116"/>
      <c r="S213" s="119"/>
      <c r="T213" s="2"/>
    </row>
    <row r="214" spans="1:20" ht="15.75" x14ac:dyDescent="0.25">
      <c r="A214" s="171"/>
      <c r="B214" s="116" t="s">
        <v>64</v>
      </c>
      <c r="C214" s="172"/>
      <c r="D214" s="151"/>
      <c r="E214" s="151"/>
      <c r="F214" s="151"/>
      <c r="G214" s="151"/>
      <c r="H214" s="151"/>
      <c r="I214" s="151"/>
      <c r="J214" s="151"/>
      <c r="K214" s="151"/>
      <c r="L214" s="151"/>
      <c r="M214" s="151"/>
      <c r="N214" s="151"/>
      <c r="O214" s="151"/>
      <c r="P214" s="219">
        <v>9.4500000000000001E-2</v>
      </c>
      <c r="Q214" s="116"/>
      <c r="R214" s="116"/>
      <c r="S214" s="119"/>
      <c r="T214" s="2"/>
    </row>
    <row r="215" spans="1:20" ht="15.75" x14ac:dyDescent="0.25">
      <c r="A215" s="49"/>
      <c r="B215" s="169"/>
      <c r="C215" s="169"/>
      <c r="D215" s="43"/>
      <c r="E215" s="43"/>
      <c r="F215" s="43"/>
      <c r="G215" s="43"/>
      <c r="H215" s="43"/>
      <c r="I215" s="43"/>
      <c r="J215" s="43"/>
      <c r="K215" s="43"/>
      <c r="L215" s="43"/>
      <c r="M215" s="43"/>
      <c r="N215" s="43"/>
      <c r="O215" s="43"/>
      <c r="P215" s="165"/>
      <c r="Q215" s="43"/>
      <c r="R215" s="170"/>
      <c r="S215" s="43"/>
      <c r="T215" s="2"/>
    </row>
    <row r="216" spans="1:20" ht="15.75" x14ac:dyDescent="0.25">
      <c r="A216" s="73"/>
      <c r="B216" s="63" t="s">
        <v>65</v>
      </c>
      <c r="C216" s="64"/>
      <c r="D216" s="64"/>
      <c r="E216" s="64"/>
      <c r="F216" s="64"/>
      <c r="G216" s="64"/>
      <c r="H216" s="64"/>
      <c r="I216" s="64"/>
      <c r="J216" s="64"/>
      <c r="K216" s="64"/>
      <c r="L216" s="64"/>
      <c r="M216" s="64"/>
      <c r="N216" s="64"/>
      <c r="O216" s="64" t="s">
        <v>87</v>
      </c>
      <c r="P216" s="74" t="s">
        <v>92</v>
      </c>
      <c r="Q216" s="56"/>
      <c r="R216" s="56"/>
      <c r="S216" s="56"/>
      <c r="T216" s="2"/>
    </row>
    <row r="217" spans="1:20" ht="15.75" x14ac:dyDescent="0.25">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75" x14ac:dyDescent="0.25">
      <c r="A218" s="178"/>
      <c r="B218" s="116" t="s">
        <v>118</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75" x14ac:dyDescent="0.25">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75" x14ac:dyDescent="0.25">
      <c r="A220" s="178"/>
      <c r="B220" s="137" t="s">
        <v>68</v>
      </c>
      <c r="C220" s="183"/>
      <c r="D220" s="138"/>
      <c r="E220" s="138"/>
      <c r="F220" s="138"/>
      <c r="G220" s="138"/>
      <c r="H220" s="138"/>
      <c r="I220" s="138"/>
      <c r="J220" s="138"/>
      <c r="K220" s="138"/>
      <c r="L220" s="138"/>
      <c r="M220" s="138"/>
      <c r="N220" s="138"/>
      <c r="O220" s="116"/>
      <c r="P220" s="180">
        <v>0</v>
      </c>
      <c r="Q220" s="138"/>
      <c r="R220" s="184"/>
      <c r="S220" s="182"/>
      <c r="T220" s="2"/>
    </row>
    <row r="221" spans="1:20" ht="15.75" x14ac:dyDescent="0.25">
      <c r="A221" s="178"/>
      <c r="B221" s="137" t="s">
        <v>150</v>
      </c>
      <c r="C221" s="183"/>
      <c r="D221" s="138"/>
      <c r="E221" s="138"/>
      <c r="F221" s="138"/>
      <c r="G221" s="138"/>
      <c r="H221" s="138"/>
      <c r="I221" s="138"/>
      <c r="J221" s="138"/>
      <c r="K221" s="138"/>
      <c r="L221" s="138"/>
      <c r="M221" s="138"/>
      <c r="N221" s="138"/>
      <c r="O221" s="116"/>
      <c r="P221" s="180">
        <f>-J69</f>
        <v>0</v>
      </c>
      <c r="Q221" s="138"/>
      <c r="R221" s="184"/>
      <c r="S221" s="182"/>
      <c r="T221" s="2"/>
    </row>
    <row r="222" spans="1:20" ht="15.75" x14ac:dyDescent="0.25">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75" x14ac:dyDescent="0.25">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75" x14ac:dyDescent="0.25">
      <c r="A224" s="178"/>
      <c r="B224" s="116" t="s">
        <v>71</v>
      </c>
      <c r="C224" s="183"/>
      <c r="D224" s="138"/>
      <c r="E224" s="138"/>
      <c r="F224" s="138"/>
      <c r="G224" s="138"/>
      <c r="H224" s="138"/>
      <c r="I224" s="138"/>
      <c r="J224" s="138"/>
      <c r="K224" s="138"/>
      <c r="L224" s="138"/>
      <c r="M224" s="138"/>
      <c r="N224" s="138"/>
      <c r="O224" s="126"/>
      <c r="P224" s="180">
        <f>'Sept 14'!P224+P223</f>
        <v>0</v>
      </c>
      <c r="Q224" s="138"/>
      <c r="R224" s="184"/>
      <c r="S224" s="187"/>
      <c r="T224" s="2"/>
    </row>
    <row r="225" spans="1:20" ht="15.75" x14ac:dyDescent="0.25">
      <c r="A225" s="185"/>
      <c r="B225" s="137" t="s">
        <v>163</v>
      </c>
      <c r="C225" s="186"/>
      <c r="D225" s="138"/>
      <c r="E225" s="138"/>
      <c r="F225" s="138"/>
      <c r="G225" s="138"/>
      <c r="H225" s="138"/>
      <c r="I225" s="138"/>
      <c r="J225" s="138"/>
      <c r="K225" s="138"/>
      <c r="L225" s="138"/>
      <c r="M225" s="138"/>
      <c r="N225" s="138"/>
      <c r="O225" s="126"/>
      <c r="P225" s="180"/>
      <c r="Q225" s="138"/>
      <c r="R225" s="184"/>
      <c r="S225" s="187"/>
      <c r="T225" s="2"/>
    </row>
    <row r="226" spans="1:20" ht="15.75" x14ac:dyDescent="0.25">
      <c r="A226" s="185"/>
      <c r="B226" s="116" t="s">
        <v>178</v>
      </c>
      <c r="C226" s="186"/>
      <c r="D226" s="138"/>
      <c r="E226" s="138"/>
      <c r="F226" s="138"/>
      <c r="G226" s="138"/>
      <c r="H226" s="138"/>
      <c r="I226" s="138"/>
      <c r="J226" s="138"/>
      <c r="K226" s="138"/>
      <c r="L226" s="138"/>
      <c r="M226" s="138"/>
      <c r="N226" s="138"/>
      <c r="O226" s="126">
        <v>0</v>
      </c>
      <c r="P226" s="180">
        <v>0</v>
      </c>
      <c r="Q226" s="138"/>
      <c r="R226" s="184"/>
      <c r="S226" s="187"/>
      <c r="T226" s="2"/>
    </row>
    <row r="227" spans="1:20" ht="15.75" x14ac:dyDescent="0.25">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75" x14ac:dyDescent="0.25">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75" x14ac:dyDescent="0.25">
      <c r="A229" s="178"/>
      <c r="B229" s="137" t="s">
        <v>145</v>
      </c>
      <c r="C229" s="188"/>
      <c r="D229" s="138"/>
      <c r="E229" s="138"/>
      <c r="F229" s="138"/>
      <c r="G229" s="138"/>
      <c r="H229" s="138"/>
      <c r="I229" s="138"/>
      <c r="J229" s="138"/>
      <c r="K229" s="138"/>
      <c r="L229" s="138"/>
      <c r="M229" s="138"/>
      <c r="N229" s="138"/>
      <c r="O229" s="116"/>
      <c r="P229" s="190"/>
      <c r="Q229" s="138"/>
      <c r="R229" s="184"/>
      <c r="S229" s="187"/>
      <c r="T229" s="2"/>
    </row>
    <row r="230" spans="1:20" ht="15.75" x14ac:dyDescent="0.25">
      <c r="A230" s="178"/>
      <c r="B230" s="116" t="s">
        <v>178</v>
      </c>
      <c r="C230" s="188"/>
      <c r="D230" s="138"/>
      <c r="E230" s="138"/>
      <c r="F230" s="138"/>
      <c r="G230" s="138"/>
      <c r="H230" s="138"/>
      <c r="I230" s="138"/>
      <c r="J230" s="138"/>
      <c r="K230" s="138"/>
      <c r="L230" s="138"/>
      <c r="M230" s="138"/>
      <c r="N230" s="138"/>
      <c r="O230" s="126">
        <v>0</v>
      </c>
      <c r="P230" s="180">
        <v>0</v>
      </c>
      <c r="Q230" s="138"/>
      <c r="R230" s="184"/>
      <c r="S230" s="187"/>
      <c r="T230" s="2"/>
    </row>
    <row r="231" spans="1:20" ht="15.75" x14ac:dyDescent="0.25">
      <c r="A231" s="178"/>
      <c r="B231" s="116" t="s">
        <v>146</v>
      </c>
      <c r="C231" s="188"/>
      <c r="D231" s="138"/>
      <c r="E231" s="138"/>
      <c r="F231" s="138"/>
      <c r="G231" s="138"/>
      <c r="H231" s="138"/>
      <c r="I231" s="138"/>
      <c r="J231" s="138"/>
      <c r="K231" s="138"/>
      <c r="L231" s="138"/>
      <c r="M231" s="138"/>
      <c r="N231" s="138"/>
      <c r="O231" s="116"/>
      <c r="P231" s="189">
        <v>0</v>
      </c>
      <c r="Q231" s="138"/>
      <c r="R231" s="184"/>
      <c r="S231" s="187"/>
      <c r="T231" s="2"/>
    </row>
    <row r="232" spans="1:20" ht="15.75" x14ac:dyDescent="0.25">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75" x14ac:dyDescent="0.25">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8.75" x14ac:dyDescent="0.3">
      <c r="A234" s="178"/>
      <c r="B234" s="192" t="s">
        <v>135</v>
      </c>
      <c r="C234" s="188"/>
      <c r="D234" s="138"/>
      <c r="E234" s="138"/>
      <c r="F234" s="138"/>
      <c r="G234" s="138"/>
      <c r="H234" s="138"/>
      <c r="I234" s="138"/>
      <c r="J234" s="138"/>
      <c r="K234" s="138"/>
      <c r="L234" s="193"/>
      <c r="M234" s="138"/>
      <c r="N234" s="193" t="s">
        <v>134</v>
      </c>
      <c r="O234" s="193"/>
      <c r="P234" s="191"/>
      <c r="Q234" s="138"/>
      <c r="R234" s="184"/>
      <c r="S234" s="187"/>
      <c r="T234" s="2"/>
    </row>
    <row r="235" spans="1:20" ht="18.75"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75" x14ac:dyDescent="0.25">
      <c r="A236" s="55"/>
      <c r="B236" s="63" t="s">
        <v>165</v>
      </c>
      <c r="C236" s="64"/>
      <c r="D236" s="64"/>
      <c r="E236" s="64"/>
      <c r="F236" s="64"/>
      <c r="G236" s="64"/>
      <c r="H236" s="64"/>
      <c r="I236" s="64"/>
      <c r="J236" s="64"/>
      <c r="K236" s="64"/>
      <c r="L236" s="64"/>
      <c r="M236" s="64"/>
      <c r="N236" s="74" t="s">
        <v>87</v>
      </c>
      <c r="O236" s="64" t="s">
        <v>88</v>
      </c>
      <c r="P236" s="74" t="s">
        <v>93</v>
      </c>
      <c r="Q236" s="64" t="s">
        <v>88</v>
      </c>
      <c r="R236" s="56"/>
      <c r="S236" s="63"/>
      <c r="T236" s="2"/>
    </row>
    <row r="237" spans="1:20" ht="15.75" x14ac:dyDescent="0.25">
      <c r="A237" s="24"/>
      <c r="B237" s="80" t="s">
        <v>74</v>
      </c>
      <c r="C237" s="95"/>
      <c r="D237" s="95"/>
      <c r="E237" s="95"/>
      <c r="F237" s="95"/>
      <c r="G237" s="95"/>
      <c r="H237" s="95"/>
      <c r="I237" s="95"/>
      <c r="J237" s="95"/>
      <c r="K237" s="95"/>
      <c r="L237" s="95"/>
      <c r="M237" s="95"/>
      <c r="N237" s="80">
        <f t="shared" ref="N237:N244" si="0">+N249+N261+N273</f>
        <v>1027</v>
      </c>
      <c r="O237" s="83">
        <f t="shared" ref="O237:O244" si="1">N237/$N$246</f>
        <v>1</v>
      </c>
      <c r="P237" s="84">
        <f t="shared" ref="P237:P244" si="2">+P249+P261+P273</f>
        <v>161971</v>
      </c>
      <c r="Q237" s="83">
        <f t="shared" ref="Q237:Q244" si="3">P237/$P$246</f>
        <v>1</v>
      </c>
      <c r="R237" s="96"/>
      <c r="S237" s="97"/>
      <c r="T237" s="2"/>
    </row>
    <row r="238" spans="1:20" ht="15.75" x14ac:dyDescent="0.25">
      <c r="A238" s="115"/>
      <c r="B238" s="158" t="s">
        <v>75</v>
      </c>
      <c r="C238" s="197"/>
      <c r="D238" s="197"/>
      <c r="E238" s="197"/>
      <c r="F238" s="197"/>
      <c r="G238" s="197"/>
      <c r="H238" s="197"/>
      <c r="I238" s="197"/>
      <c r="J238" s="197"/>
      <c r="K238" s="197"/>
      <c r="L238" s="197"/>
      <c r="M238" s="197"/>
      <c r="N238" s="158">
        <f t="shared" si="0"/>
        <v>0</v>
      </c>
      <c r="O238" s="198">
        <f t="shared" si="1"/>
        <v>0</v>
      </c>
      <c r="P238" s="159">
        <f t="shared" si="2"/>
        <v>0</v>
      </c>
      <c r="Q238" s="198">
        <f t="shared" si="3"/>
        <v>0</v>
      </c>
      <c r="R238" s="181"/>
      <c r="S238" s="199"/>
      <c r="T238" s="2"/>
    </row>
    <row r="239" spans="1:20" ht="15.75" x14ac:dyDescent="0.25">
      <c r="A239" s="115"/>
      <c r="B239" s="158" t="s">
        <v>76</v>
      </c>
      <c r="C239" s="197"/>
      <c r="D239" s="197"/>
      <c r="E239" s="197"/>
      <c r="F239" s="197"/>
      <c r="G239" s="197"/>
      <c r="H239" s="197"/>
      <c r="I239" s="197"/>
      <c r="J239" s="197"/>
      <c r="K239" s="197"/>
      <c r="L239" s="197"/>
      <c r="M239" s="197"/>
      <c r="N239" s="158">
        <f t="shared" si="0"/>
        <v>0</v>
      </c>
      <c r="O239" s="198">
        <f t="shared" si="1"/>
        <v>0</v>
      </c>
      <c r="P239" s="159">
        <f t="shared" si="2"/>
        <v>0</v>
      </c>
      <c r="Q239" s="198">
        <f t="shared" si="3"/>
        <v>0</v>
      </c>
      <c r="R239" s="181"/>
      <c r="S239" s="199"/>
      <c r="T239" s="2"/>
    </row>
    <row r="240" spans="1:20" ht="15.75" x14ac:dyDescent="0.25">
      <c r="A240" s="115"/>
      <c r="B240" s="158" t="s">
        <v>125</v>
      </c>
      <c r="C240" s="197"/>
      <c r="D240" s="197"/>
      <c r="E240" s="197"/>
      <c r="F240" s="197"/>
      <c r="G240" s="197"/>
      <c r="H240" s="197"/>
      <c r="I240" s="197"/>
      <c r="J240" s="197"/>
      <c r="K240" s="197"/>
      <c r="L240" s="197"/>
      <c r="M240" s="197"/>
      <c r="N240" s="158">
        <f t="shared" si="0"/>
        <v>0</v>
      </c>
      <c r="O240" s="198">
        <f t="shared" si="1"/>
        <v>0</v>
      </c>
      <c r="P240" s="159">
        <f t="shared" si="2"/>
        <v>0</v>
      </c>
      <c r="Q240" s="198">
        <f t="shared" si="3"/>
        <v>0</v>
      </c>
      <c r="R240" s="181"/>
      <c r="S240" s="199"/>
      <c r="T240" s="2"/>
    </row>
    <row r="241" spans="1:21" ht="15.75" x14ac:dyDescent="0.25">
      <c r="A241" s="115"/>
      <c r="B241" s="158" t="s">
        <v>126</v>
      </c>
      <c r="C241" s="197"/>
      <c r="D241" s="197"/>
      <c r="E241" s="197"/>
      <c r="F241" s="197"/>
      <c r="G241" s="197"/>
      <c r="H241" s="197"/>
      <c r="I241" s="197"/>
      <c r="J241" s="197"/>
      <c r="K241" s="197"/>
      <c r="L241" s="197"/>
      <c r="M241" s="197"/>
      <c r="N241" s="158">
        <f t="shared" si="0"/>
        <v>0</v>
      </c>
      <c r="O241" s="198">
        <f t="shared" si="1"/>
        <v>0</v>
      </c>
      <c r="P241" s="159">
        <f t="shared" si="2"/>
        <v>0</v>
      </c>
      <c r="Q241" s="198">
        <f t="shared" si="3"/>
        <v>0</v>
      </c>
      <c r="R241" s="181"/>
      <c r="S241" s="199"/>
      <c r="T241" s="2"/>
    </row>
    <row r="242" spans="1:21" ht="15.75" x14ac:dyDescent="0.25">
      <c r="A242" s="115"/>
      <c r="B242" s="158" t="s">
        <v>127</v>
      </c>
      <c r="C242" s="197"/>
      <c r="D242" s="197"/>
      <c r="E242" s="197"/>
      <c r="F242" s="197"/>
      <c r="G242" s="197"/>
      <c r="H242" s="197"/>
      <c r="I242" s="197"/>
      <c r="J242" s="197"/>
      <c r="K242" s="197"/>
      <c r="L242" s="197"/>
      <c r="M242" s="197"/>
      <c r="N242" s="158">
        <f t="shared" si="0"/>
        <v>0</v>
      </c>
      <c r="O242" s="198">
        <f t="shared" si="1"/>
        <v>0</v>
      </c>
      <c r="P242" s="159">
        <f t="shared" si="2"/>
        <v>0</v>
      </c>
      <c r="Q242" s="198">
        <f t="shared" si="3"/>
        <v>0</v>
      </c>
      <c r="R242" s="181"/>
      <c r="S242" s="199"/>
      <c r="T242" s="2"/>
    </row>
    <row r="243" spans="1:21" ht="15.75" x14ac:dyDescent="0.25">
      <c r="A243" s="115"/>
      <c r="B243" s="158" t="s">
        <v>128</v>
      </c>
      <c r="C243" s="197"/>
      <c r="D243" s="197"/>
      <c r="E243" s="197"/>
      <c r="F243" s="197"/>
      <c r="G243" s="197"/>
      <c r="H243" s="197"/>
      <c r="I243" s="197"/>
      <c r="J243" s="197"/>
      <c r="K243" s="197"/>
      <c r="L243" s="197"/>
      <c r="M243" s="197"/>
      <c r="N243" s="158">
        <f t="shared" si="0"/>
        <v>0</v>
      </c>
      <c r="O243" s="198">
        <f t="shared" si="1"/>
        <v>0</v>
      </c>
      <c r="P243" s="159">
        <f t="shared" si="2"/>
        <v>0</v>
      </c>
      <c r="Q243" s="198">
        <f t="shared" si="3"/>
        <v>0</v>
      </c>
      <c r="R243" s="181"/>
      <c r="S243" s="199"/>
      <c r="T243" s="2"/>
    </row>
    <row r="244" spans="1:21" ht="15.75" x14ac:dyDescent="0.25">
      <c r="A244" s="115"/>
      <c r="B244" s="158" t="s">
        <v>129</v>
      </c>
      <c r="C244" s="197"/>
      <c r="D244" s="197"/>
      <c r="E244" s="197"/>
      <c r="F244" s="197"/>
      <c r="G244" s="197"/>
      <c r="H244" s="197"/>
      <c r="I244" s="197"/>
      <c r="J244" s="197"/>
      <c r="K244" s="197"/>
      <c r="L244" s="197"/>
      <c r="M244" s="197"/>
      <c r="N244" s="204">
        <f t="shared" si="0"/>
        <v>0</v>
      </c>
      <c r="O244" s="198">
        <f t="shared" si="1"/>
        <v>0</v>
      </c>
      <c r="P244" s="201">
        <f t="shared" si="2"/>
        <v>0</v>
      </c>
      <c r="Q244" s="198">
        <f t="shared" si="3"/>
        <v>0</v>
      </c>
      <c r="R244" s="181"/>
      <c r="S244" s="199"/>
      <c r="T244" s="2"/>
    </row>
    <row r="245" spans="1:21" ht="15.75" x14ac:dyDescent="0.25">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75" x14ac:dyDescent="0.25">
      <c r="A246" s="115"/>
      <c r="B246" s="116" t="s">
        <v>98</v>
      </c>
      <c r="C246" s="116"/>
      <c r="D246" s="200"/>
      <c r="E246" s="200"/>
      <c r="F246" s="200"/>
      <c r="G246" s="200"/>
      <c r="H246" s="200"/>
      <c r="I246" s="200"/>
      <c r="J246" s="200"/>
      <c r="K246" s="200"/>
      <c r="L246" s="200"/>
      <c r="M246" s="200"/>
      <c r="N246" s="158">
        <f>SUM(N237:N245)</f>
        <v>1027</v>
      </c>
      <c r="O246" s="198">
        <f>SUM(O237:O245)</f>
        <v>1</v>
      </c>
      <c r="P246" s="159">
        <f>SUM(P237:P245)</f>
        <v>161971</v>
      </c>
      <c r="Q246" s="198">
        <f>SUM(Q237:Q245)</f>
        <v>1</v>
      </c>
      <c r="R246" s="116"/>
      <c r="S246" s="119"/>
      <c r="T246" s="2"/>
    </row>
    <row r="247" spans="1:21" ht="15.75" x14ac:dyDescent="0.25">
      <c r="A247" s="12"/>
      <c r="B247" s="169"/>
      <c r="C247" s="175"/>
      <c r="D247" s="43"/>
      <c r="E247" s="43"/>
      <c r="F247" s="43"/>
      <c r="G247" s="43"/>
      <c r="H247" s="43"/>
      <c r="I247" s="43"/>
      <c r="J247" s="43"/>
      <c r="K247" s="43"/>
      <c r="L247" s="43"/>
      <c r="M247" s="43"/>
      <c r="N247" s="43"/>
      <c r="O247" s="43"/>
      <c r="P247" s="176"/>
      <c r="Q247" s="43"/>
      <c r="R247" s="43"/>
      <c r="S247" s="43"/>
      <c r="T247" s="2"/>
    </row>
    <row r="248" spans="1:21" ht="15.75" x14ac:dyDescent="0.25">
      <c r="A248" s="55"/>
      <c r="B248" s="63" t="s">
        <v>130</v>
      </c>
      <c r="C248" s="64"/>
      <c r="D248" s="64"/>
      <c r="E248" s="64"/>
      <c r="F248" s="64"/>
      <c r="G248" s="64"/>
      <c r="H248" s="64"/>
      <c r="I248" s="64"/>
      <c r="J248" s="64"/>
      <c r="K248" s="64"/>
      <c r="L248" s="64"/>
      <c r="M248" s="64"/>
      <c r="N248" s="74" t="s">
        <v>87</v>
      </c>
      <c r="O248" s="64" t="s">
        <v>88</v>
      </c>
      <c r="P248" s="74" t="s">
        <v>93</v>
      </c>
      <c r="Q248" s="64" t="s">
        <v>88</v>
      </c>
      <c r="R248" s="56"/>
      <c r="S248" s="63"/>
      <c r="T248" s="2"/>
    </row>
    <row r="249" spans="1:21" ht="15.75" x14ac:dyDescent="0.25">
      <c r="A249" s="24"/>
      <c r="B249" s="80" t="s">
        <v>74</v>
      </c>
      <c r="C249" s="95"/>
      <c r="D249" s="95"/>
      <c r="E249" s="95"/>
      <c r="F249" s="95"/>
      <c r="G249" s="95"/>
      <c r="H249" s="95"/>
      <c r="I249" s="95"/>
      <c r="J249" s="95"/>
      <c r="K249" s="95"/>
      <c r="L249" s="95"/>
      <c r="M249" s="95"/>
      <c r="N249" s="80">
        <v>1027</v>
      </c>
      <c r="O249" s="83">
        <f>N249/$N$258</f>
        <v>1</v>
      </c>
      <c r="P249" s="84">
        <v>161971</v>
      </c>
      <c r="Q249" s="83">
        <f t="shared" ref="Q249:Q256" si="4">P249/$P$258</f>
        <v>1</v>
      </c>
      <c r="R249" s="96"/>
      <c r="S249" s="97"/>
      <c r="T249" s="2"/>
    </row>
    <row r="250" spans="1:21" ht="15.75" x14ac:dyDescent="0.25">
      <c r="A250" s="115"/>
      <c r="B250" s="158" t="s">
        <v>75</v>
      </c>
      <c r="C250" s="197"/>
      <c r="D250" s="197"/>
      <c r="E250" s="197"/>
      <c r="F250" s="197"/>
      <c r="G250" s="197"/>
      <c r="H250" s="197"/>
      <c r="I250" s="197"/>
      <c r="J250" s="197"/>
      <c r="K250" s="197"/>
      <c r="L250" s="197"/>
      <c r="M250" s="197"/>
      <c r="N250" s="158">
        <v>0</v>
      </c>
      <c r="O250" s="198">
        <f t="shared" ref="O250:O256" si="5">N250/$N$258</f>
        <v>0</v>
      </c>
      <c r="P250" s="159">
        <v>0</v>
      </c>
      <c r="Q250" s="198">
        <f t="shared" si="4"/>
        <v>0</v>
      </c>
      <c r="R250" s="181"/>
      <c r="S250" s="199"/>
      <c r="T250" s="2"/>
      <c r="U250" s="4"/>
    </row>
    <row r="251" spans="1:21" ht="15.75" x14ac:dyDescent="0.25">
      <c r="A251" s="115"/>
      <c r="B251" s="158" t="s">
        <v>76</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row>
    <row r="252" spans="1:21" ht="15.75" x14ac:dyDescent="0.25">
      <c r="A252" s="115"/>
      <c r="B252" s="158" t="s">
        <v>125</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c r="U252" s="4"/>
    </row>
    <row r="253" spans="1:21" ht="15.75" x14ac:dyDescent="0.25">
      <c r="A253" s="115"/>
      <c r="B253" s="158" t="s">
        <v>126</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row>
    <row r="254" spans="1:21" ht="15.75" x14ac:dyDescent="0.25">
      <c r="A254" s="115"/>
      <c r="B254" s="158" t="s">
        <v>127</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c r="U254" s="4"/>
    </row>
    <row r="255" spans="1:21" ht="15.75" x14ac:dyDescent="0.25">
      <c r="A255" s="115"/>
      <c r="B255" s="158" t="s">
        <v>128</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row>
    <row r="256" spans="1:21" ht="15.75" x14ac:dyDescent="0.25">
      <c r="A256" s="115"/>
      <c r="B256" s="158" t="s">
        <v>129</v>
      </c>
      <c r="C256" s="197"/>
      <c r="D256" s="197"/>
      <c r="E256" s="197"/>
      <c r="F256" s="197"/>
      <c r="G256" s="197"/>
      <c r="H256" s="197"/>
      <c r="I256" s="197"/>
      <c r="J256" s="197"/>
      <c r="K256" s="197"/>
      <c r="L256" s="197"/>
      <c r="M256" s="197"/>
      <c r="N256" s="158">
        <v>0</v>
      </c>
      <c r="O256" s="198">
        <f t="shared" si="5"/>
        <v>0</v>
      </c>
      <c r="P256" s="159">
        <v>0</v>
      </c>
      <c r="Q256" s="198">
        <f t="shared" si="4"/>
        <v>0</v>
      </c>
      <c r="R256" s="181"/>
      <c r="S256" s="199"/>
      <c r="T256" s="2"/>
      <c r="U256" s="4"/>
    </row>
    <row r="257" spans="1:20" ht="15.75" x14ac:dyDescent="0.25">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75" x14ac:dyDescent="0.25">
      <c r="A258" s="115"/>
      <c r="B258" s="116" t="s">
        <v>98</v>
      </c>
      <c r="C258" s="116"/>
      <c r="D258" s="200"/>
      <c r="E258" s="200"/>
      <c r="F258" s="200"/>
      <c r="G258" s="200"/>
      <c r="H258" s="200"/>
      <c r="I258" s="200"/>
      <c r="J258" s="200"/>
      <c r="K258" s="200"/>
      <c r="L258" s="200"/>
      <c r="M258" s="200"/>
      <c r="N258" s="158">
        <f>SUM(N249:N257)</f>
        <v>1027</v>
      </c>
      <c r="O258" s="198">
        <f>SUM(O249:O257)</f>
        <v>1</v>
      </c>
      <c r="P258" s="159">
        <f>SUM(P249:P257)</f>
        <v>161971</v>
      </c>
      <c r="Q258" s="198">
        <f>SUM(Q249:Q257)</f>
        <v>1</v>
      </c>
      <c r="R258" s="116"/>
      <c r="S258" s="119"/>
      <c r="T258" s="2"/>
    </row>
    <row r="259" spans="1:20" ht="15.75" x14ac:dyDescent="0.25">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75" x14ac:dyDescent="0.25">
      <c r="A260" s="75"/>
      <c r="B260" s="63" t="s">
        <v>157</v>
      </c>
      <c r="C260" s="64"/>
      <c r="D260" s="64"/>
      <c r="E260" s="64"/>
      <c r="F260" s="64"/>
      <c r="G260" s="64"/>
      <c r="H260" s="64"/>
      <c r="I260" s="64"/>
      <c r="J260" s="64"/>
      <c r="K260" s="64"/>
      <c r="L260" s="64"/>
      <c r="M260" s="64"/>
      <c r="N260" s="74" t="s">
        <v>87</v>
      </c>
      <c r="O260" s="64" t="s">
        <v>88</v>
      </c>
      <c r="P260" s="74" t="s">
        <v>93</v>
      </c>
      <c r="Q260" s="64" t="s">
        <v>88</v>
      </c>
      <c r="R260" s="76"/>
      <c r="S260" s="77"/>
      <c r="T260" s="2"/>
    </row>
    <row r="261" spans="1:20" ht="15.75" x14ac:dyDescent="0.25">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75" x14ac:dyDescent="0.25">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75" x14ac:dyDescent="0.25">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75" x14ac:dyDescent="0.25">
      <c r="A264" s="115"/>
      <c r="B264" s="158" t="s">
        <v>125</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75" x14ac:dyDescent="0.25">
      <c r="A265" s="115"/>
      <c r="B265" s="158" t="s">
        <v>126</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75" x14ac:dyDescent="0.25">
      <c r="A266" s="115"/>
      <c r="B266" s="158" t="s">
        <v>127</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75" x14ac:dyDescent="0.25">
      <c r="A267" s="115"/>
      <c r="B267" s="158" t="s">
        <v>128</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75" x14ac:dyDescent="0.25">
      <c r="A268" s="115"/>
      <c r="B268" s="158" t="s">
        <v>129</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75" x14ac:dyDescent="0.25">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75" x14ac:dyDescent="0.25">
      <c r="A270" s="115"/>
      <c r="B270" s="116" t="s">
        <v>98</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75" x14ac:dyDescent="0.25">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75" x14ac:dyDescent="0.25">
      <c r="A272" s="75"/>
      <c r="B272" s="63" t="s">
        <v>131</v>
      </c>
      <c r="C272" s="76"/>
      <c r="D272" s="78"/>
      <c r="E272" s="78"/>
      <c r="F272" s="78"/>
      <c r="G272" s="78"/>
      <c r="H272" s="78"/>
      <c r="I272" s="78"/>
      <c r="J272" s="78"/>
      <c r="K272" s="78"/>
      <c r="L272" s="78"/>
      <c r="M272" s="78"/>
      <c r="N272" s="74" t="s">
        <v>87</v>
      </c>
      <c r="O272" s="64" t="s">
        <v>88</v>
      </c>
      <c r="P272" s="74" t="s">
        <v>93</v>
      </c>
      <c r="Q272" s="64" t="s">
        <v>88</v>
      </c>
      <c r="R272" s="76"/>
      <c r="S272" s="77"/>
      <c r="T272" s="2"/>
    </row>
    <row r="273" spans="1:20" ht="15.75" x14ac:dyDescent="0.25">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75" x14ac:dyDescent="0.25">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75" x14ac:dyDescent="0.25">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75" x14ac:dyDescent="0.25">
      <c r="A276" s="125"/>
      <c r="B276" s="158" t="s">
        <v>125</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75" x14ac:dyDescent="0.25">
      <c r="A277" s="125"/>
      <c r="B277" s="158" t="s">
        <v>126</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75" x14ac:dyDescent="0.25">
      <c r="A278" s="125"/>
      <c r="B278" s="158" t="s">
        <v>127</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75" x14ac:dyDescent="0.25">
      <c r="A279" s="125"/>
      <c r="B279" s="158" t="s">
        <v>128</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75" x14ac:dyDescent="0.25">
      <c r="A280" s="125"/>
      <c r="B280" s="158" t="s">
        <v>129</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75" x14ac:dyDescent="0.25">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75" x14ac:dyDescent="0.25">
      <c r="A282" s="125"/>
      <c r="B282" s="116" t="s">
        <v>98</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75" x14ac:dyDescent="0.25">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75" x14ac:dyDescent="0.25">
      <c r="A284" s="125"/>
      <c r="B284" s="127" t="s">
        <v>201</v>
      </c>
      <c r="C284" s="116"/>
      <c r="D284" s="200"/>
      <c r="E284" s="200"/>
      <c r="F284" s="200"/>
      <c r="G284" s="200"/>
      <c r="H284" s="200"/>
      <c r="I284" s="200"/>
      <c r="J284" s="200"/>
      <c r="K284" s="200"/>
      <c r="L284" s="200"/>
      <c r="M284" s="200"/>
      <c r="N284" s="202">
        <f>N282+N270+N258</f>
        <v>1027</v>
      </c>
      <c r="O284" s="198"/>
      <c r="P284" s="203">
        <f>+P282+P270+P258</f>
        <v>161971</v>
      </c>
      <c r="Q284" s="198"/>
      <c r="R284" s="116"/>
      <c r="S284" s="119"/>
      <c r="T284" s="2"/>
    </row>
    <row r="285" spans="1:20" ht="15.75" x14ac:dyDescent="0.25">
      <c r="A285" s="125"/>
      <c r="B285" s="220" t="s">
        <v>247</v>
      </c>
      <c r="C285" s="127"/>
      <c r="D285" s="213"/>
      <c r="E285" s="213"/>
      <c r="F285" s="213"/>
      <c r="G285" s="213"/>
      <c r="H285" s="213"/>
      <c r="I285" s="213"/>
      <c r="J285" s="213"/>
      <c r="K285" s="213"/>
      <c r="L285" s="213"/>
      <c r="M285" s="213"/>
      <c r="N285" s="202"/>
      <c r="O285" s="214"/>
      <c r="P285" s="215">
        <f>+R70</f>
        <v>0</v>
      </c>
      <c r="Q285" s="198"/>
      <c r="R285" s="116"/>
      <c r="S285" s="119"/>
      <c r="T285" s="2"/>
    </row>
    <row r="286" spans="1:20" ht="15.75" x14ac:dyDescent="0.25">
      <c r="A286" s="125"/>
      <c r="B286" s="127" t="s">
        <v>132</v>
      </c>
      <c r="C286" s="127"/>
      <c r="D286" s="213"/>
      <c r="E286" s="213"/>
      <c r="F286" s="213"/>
      <c r="G286" s="213"/>
      <c r="H286" s="213"/>
      <c r="I286" s="213"/>
      <c r="J286" s="213"/>
      <c r="K286" s="213"/>
      <c r="L286" s="213"/>
      <c r="M286" s="213"/>
      <c r="N286" s="202"/>
      <c r="O286" s="214"/>
      <c r="P286" s="215">
        <f>+P284+P285</f>
        <v>161971</v>
      </c>
      <c r="Q286" s="198"/>
      <c r="R286" s="116"/>
      <c r="S286" s="119"/>
      <c r="T286" s="2"/>
    </row>
    <row r="287" spans="1:20" ht="15.75" x14ac:dyDescent="0.25">
      <c r="A287" s="125"/>
      <c r="B287" s="127" t="s">
        <v>200</v>
      </c>
      <c r="C287" s="116"/>
      <c r="D287" s="200"/>
      <c r="E287" s="200"/>
      <c r="F287" s="200"/>
      <c r="G287" s="200"/>
      <c r="H287" s="200"/>
      <c r="I287" s="200"/>
      <c r="J287" s="200"/>
      <c r="K287" s="200"/>
      <c r="L287" s="200"/>
      <c r="M287" s="200"/>
      <c r="N287" s="202"/>
      <c r="O287" s="198"/>
      <c r="P287" s="203">
        <f>+R72</f>
        <v>161971</v>
      </c>
      <c r="Q287" s="198"/>
      <c r="R287" s="116"/>
      <c r="S287" s="119"/>
      <c r="T287" s="2"/>
    </row>
    <row r="288" spans="1:20" ht="15.75" x14ac:dyDescent="0.25">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75" x14ac:dyDescent="0.25">
      <c r="A289" s="125"/>
      <c r="B289" s="127" t="s">
        <v>260</v>
      </c>
      <c r="C289" s="116"/>
      <c r="D289" s="200"/>
      <c r="E289" s="200"/>
      <c r="F289" s="200"/>
      <c r="G289" s="200"/>
      <c r="H289" s="200"/>
      <c r="I289" s="200"/>
      <c r="J289" s="200"/>
      <c r="K289" s="200"/>
      <c r="L289" s="200"/>
      <c r="M289" s="200"/>
      <c r="N289" s="202"/>
      <c r="O289" s="198"/>
      <c r="P289" s="211">
        <f>(J30+R138)/R30</f>
        <v>6.4826337496223491E-2</v>
      </c>
      <c r="Q289" s="198"/>
      <c r="R289" s="116"/>
      <c r="S289" s="119"/>
      <c r="T289" s="2"/>
    </row>
    <row r="290" spans="1:20" ht="15.75" x14ac:dyDescent="0.25">
      <c r="A290" s="85"/>
      <c r="B290" s="86"/>
      <c r="C290" s="86"/>
      <c r="D290" s="87"/>
      <c r="E290" s="87"/>
      <c r="F290" s="87"/>
      <c r="G290" s="87"/>
      <c r="H290" s="87"/>
      <c r="I290" s="87"/>
      <c r="J290" s="87"/>
      <c r="K290" s="87"/>
      <c r="L290" s="87"/>
      <c r="M290" s="87"/>
      <c r="N290" s="87"/>
      <c r="O290" s="87"/>
      <c r="P290" s="88"/>
      <c r="Q290" s="87"/>
      <c r="R290" s="86"/>
      <c r="S290" s="86"/>
      <c r="T290" s="2"/>
    </row>
    <row r="291" spans="1:20" ht="15.75" x14ac:dyDescent="0.25">
      <c r="A291" s="89"/>
      <c r="B291" s="90" t="s">
        <v>77</v>
      </c>
      <c r="C291" s="86"/>
      <c r="D291" s="91" t="s">
        <v>83</v>
      </c>
      <c r="E291" s="90"/>
      <c r="F291" s="90" t="s">
        <v>84</v>
      </c>
      <c r="G291" s="86"/>
      <c r="H291" s="90"/>
      <c r="I291" s="92"/>
      <c r="J291" s="92"/>
      <c r="K291" s="92"/>
      <c r="L291" s="92"/>
      <c r="M291" s="92"/>
      <c r="N291" s="92"/>
      <c r="O291" s="92"/>
      <c r="P291" s="92"/>
      <c r="Q291" s="92"/>
      <c r="R291" s="92"/>
      <c r="S291" s="92"/>
      <c r="T291" s="2"/>
    </row>
    <row r="292" spans="1:20" ht="15.75" x14ac:dyDescent="0.25">
      <c r="A292" s="89"/>
      <c r="B292" s="92"/>
      <c r="C292" s="86"/>
      <c r="D292" s="86"/>
      <c r="E292" s="86"/>
      <c r="F292" s="86"/>
      <c r="G292" s="86"/>
      <c r="H292" s="86"/>
      <c r="I292" s="92"/>
      <c r="J292" s="92"/>
      <c r="K292" s="92"/>
      <c r="L292" s="92"/>
      <c r="M292" s="92"/>
      <c r="N292" s="92"/>
      <c r="O292" s="92"/>
      <c r="P292" s="92"/>
      <c r="Q292" s="92"/>
      <c r="R292" s="92"/>
      <c r="S292" s="92"/>
      <c r="T292" s="2"/>
    </row>
    <row r="293" spans="1:20" ht="15.75" x14ac:dyDescent="0.25">
      <c r="A293" s="89"/>
      <c r="B293" s="222" t="s">
        <v>254</v>
      </c>
      <c r="C293" s="90"/>
      <c r="D293" s="93" t="s">
        <v>120</v>
      </c>
      <c r="E293" s="90"/>
      <c r="F293" s="90" t="s">
        <v>121</v>
      </c>
      <c r="G293" s="90"/>
      <c r="H293" s="90"/>
      <c r="I293" s="92"/>
      <c r="J293" s="92"/>
      <c r="K293" s="92"/>
      <c r="L293" s="92"/>
      <c r="M293" s="92"/>
      <c r="N293" s="92"/>
      <c r="O293" s="92"/>
      <c r="P293" s="92"/>
      <c r="Q293" s="92"/>
      <c r="R293" s="92"/>
      <c r="S293" s="92"/>
      <c r="T293" s="2"/>
    </row>
    <row r="294" spans="1:20" ht="15.75" x14ac:dyDescent="0.25">
      <c r="A294" s="89"/>
      <c r="B294" s="222" t="s">
        <v>255</v>
      </c>
      <c r="C294" s="90"/>
      <c r="D294" s="93" t="s">
        <v>159</v>
      </c>
      <c r="E294" s="90"/>
      <c r="F294" s="90" t="s">
        <v>160</v>
      </c>
      <c r="G294" s="90"/>
      <c r="H294" s="90"/>
      <c r="I294" s="92"/>
      <c r="J294" s="92"/>
      <c r="K294" s="92"/>
      <c r="L294" s="92"/>
      <c r="M294" s="92"/>
      <c r="N294" s="92"/>
      <c r="O294" s="92"/>
      <c r="P294" s="92"/>
      <c r="Q294" s="92"/>
      <c r="R294" s="92"/>
      <c r="S294" s="92"/>
      <c r="T294" s="2"/>
    </row>
    <row r="295" spans="1:20" ht="15.75" x14ac:dyDescent="0.25">
      <c r="A295" s="89"/>
      <c r="B295" s="222" t="s">
        <v>256</v>
      </c>
      <c r="C295" s="90"/>
      <c r="D295" s="93" t="s">
        <v>119</v>
      </c>
      <c r="E295" s="90"/>
      <c r="F295" s="90" t="s">
        <v>122</v>
      </c>
      <c r="G295" s="90"/>
      <c r="H295" s="90"/>
      <c r="I295" s="92"/>
      <c r="J295" s="92"/>
      <c r="K295" s="92"/>
      <c r="L295" s="92"/>
      <c r="M295" s="92"/>
      <c r="N295" s="92"/>
      <c r="O295" s="92"/>
      <c r="P295" s="92"/>
      <c r="Q295" s="92"/>
      <c r="R295" s="92"/>
      <c r="S295" s="92"/>
      <c r="T295" s="2"/>
    </row>
    <row r="296" spans="1:20" ht="15.75" x14ac:dyDescent="0.25">
      <c r="A296" s="89"/>
      <c r="B296" s="90"/>
      <c r="C296" s="90"/>
      <c r="D296" s="92"/>
      <c r="E296" s="92"/>
      <c r="F296" s="92"/>
      <c r="G296" s="92"/>
      <c r="H296" s="92"/>
      <c r="I296" s="92"/>
      <c r="J296" s="92"/>
      <c r="K296" s="92"/>
      <c r="L296" s="92"/>
      <c r="M296" s="92"/>
      <c r="N296" s="92"/>
      <c r="O296" s="92"/>
      <c r="P296" s="92"/>
      <c r="Q296" s="92"/>
      <c r="R296" s="92"/>
      <c r="S296" s="92"/>
      <c r="T296" s="2"/>
    </row>
    <row r="297" spans="1:20" ht="15.75" x14ac:dyDescent="0.25">
      <c r="A297" s="89"/>
      <c r="B297" s="90"/>
      <c r="C297" s="90"/>
      <c r="D297" s="92"/>
      <c r="E297" s="92"/>
      <c r="F297" s="92"/>
      <c r="G297" s="92"/>
      <c r="H297" s="92"/>
      <c r="I297" s="92"/>
      <c r="J297" s="92"/>
      <c r="K297" s="92"/>
      <c r="L297" s="92"/>
      <c r="M297" s="92"/>
      <c r="N297" s="92"/>
      <c r="O297" s="92"/>
      <c r="P297" s="92"/>
      <c r="Q297" s="92"/>
      <c r="R297" s="92"/>
      <c r="S297" s="92"/>
      <c r="T297" s="2"/>
    </row>
    <row r="298" spans="1:20" ht="19.5" thickBot="1" x14ac:dyDescent="0.35">
      <c r="A298" s="89"/>
      <c r="B298" s="94" t="str">
        <f>B196</f>
        <v>PM17 INVESTOR REPORT QUARTER ENDING DECEMBER 2014</v>
      </c>
      <c r="C298" s="90"/>
      <c r="D298" s="92"/>
      <c r="E298" s="92"/>
      <c r="F298" s="92"/>
      <c r="G298" s="92"/>
      <c r="H298" s="92"/>
      <c r="I298" s="92"/>
      <c r="J298" s="92"/>
      <c r="K298" s="92"/>
      <c r="L298" s="92"/>
      <c r="M298" s="92"/>
      <c r="N298" s="92"/>
      <c r="O298" s="92"/>
      <c r="P298" s="92"/>
      <c r="Q298" s="92"/>
      <c r="R298" s="92"/>
      <c r="S298" s="92"/>
      <c r="T298" s="2"/>
    </row>
    <row r="299" spans="1:20" x14ac:dyDescent="0.2">
      <c r="A299" s="3"/>
      <c r="B299" s="3"/>
      <c r="C299" s="3"/>
      <c r="D299" s="3"/>
      <c r="E299" s="3"/>
      <c r="F299" s="3"/>
      <c r="G299" s="3"/>
      <c r="H299" s="3"/>
      <c r="I299" s="3"/>
      <c r="J299" s="3"/>
      <c r="K299" s="3"/>
      <c r="L299" s="3"/>
      <c r="M299" s="3"/>
      <c r="N299" s="3"/>
      <c r="O299" s="3"/>
      <c r="P299" s="3"/>
      <c r="Q299" s="3"/>
      <c r="R299" s="3"/>
      <c r="S299" s="3"/>
    </row>
  </sheetData>
  <hyperlinks>
    <hyperlink ref="N234"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18" man="1"/>
    <brk id="123" max="18" man="1"/>
    <brk id="196"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65</vt:i4>
      </vt:variant>
    </vt:vector>
  </HeadingPairs>
  <TitlesOfParts>
    <vt:vector size="78" baseType="lpstr">
      <vt:lpstr>Dec 12</vt:lpstr>
      <vt:lpstr>March 13</vt:lpstr>
      <vt:lpstr>June 13</vt:lpstr>
      <vt:lpstr>September 13</vt:lpstr>
      <vt:lpstr>Dec 13</vt:lpstr>
      <vt:lpstr>March 14</vt:lpstr>
      <vt:lpstr>June 14</vt:lpstr>
      <vt:lpstr>Sept 14</vt:lpstr>
      <vt:lpstr>Dec 14</vt:lpstr>
      <vt:lpstr>March 15</vt:lpstr>
      <vt:lpstr>June 15</vt:lpstr>
      <vt:lpstr>Sept 15</vt:lpstr>
      <vt:lpstr>Dec 15</vt:lpstr>
      <vt:lpstr>'March 13'!_10PAGE_2</vt:lpstr>
      <vt:lpstr>'September 13'!_11PAGE_2</vt:lpstr>
      <vt:lpstr>'Dec 12'!_13PAGE_3</vt:lpstr>
      <vt:lpstr>'Dec 13'!_14PAGE_3</vt:lpstr>
      <vt:lpstr>'Dec 14'!_14PAGE_3</vt:lpstr>
      <vt:lpstr>'Dec 15'!_14PAGE_3</vt:lpstr>
      <vt:lpstr>'June 14'!_14PAGE_3</vt:lpstr>
      <vt:lpstr>'June 15'!_14PAGE_3</vt:lpstr>
      <vt:lpstr>'March 14'!_14PAGE_3</vt:lpstr>
      <vt:lpstr>'March 15'!_14PAGE_3</vt:lpstr>
      <vt:lpstr>'Sept 14'!_14PAGE_3</vt:lpstr>
      <vt:lpstr>'Sept 15'!_14PAGE_3</vt:lpstr>
      <vt:lpstr>'June 13'!_15PAGE_3</vt:lpstr>
      <vt:lpstr>'March 13'!_16PAGE_3</vt:lpstr>
      <vt:lpstr>'September 13'!_17PAGE_3</vt:lpstr>
      <vt:lpstr>'Dec 12'!_19PAGE_4</vt:lpstr>
      <vt:lpstr>'Dec 12'!_1PAGE_1</vt:lpstr>
      <vt:lpstr>'Dec 13'!_20PAGE_4</vt:lpstr>
      <vt:lpstr>'Dec 14'!_20PAGE_4</vt:lpstr>
      <vt:lpstr>'Dec 15'!_20PAGE_4</vt:lpstr>
      <vt:lpstr>'June 14'!_20PAGE_4</vt:lpstr>
      <vt:lpstr>'June 15'!_20PAGE_4</vt:lpstr>
      <vt:lpstr>'March 14'!_20PAGE_4</vt:lpstr>
      <vt:lpstr>'March 15'!_20PAGE_4</vt:lpstr>
      <vt:lpstr>'Sept 14'!_20PAGE_4</vt:lpstr>
      <vt:lpstr>'Sept 15'!_20PAGE_4</vt:lpstr>
      <vt:lpstr>'June 13'!_21PAGE_4</vt:lpstr>
      <vt:lpstr>'March 13'!_22PAGE_4</vt:lpstr>
      <vt:lpstr>'September 13'!_23PAGE_4</vt:lpstr>
      <vt:lpstr>'Dec 13'!_2PAGE_1</vt:lpstr>
      <vt:lpstr>'Dec 14'!_2PAGE_1</vt:lpstr>
      <vt:lpstr>'Dec 15'!_2PAGE_1</vt:lpstr>
      <vt:lpstr>'June 14'!_2PAGE_1</vt:lpstr>
      <vt:lpstr>'June 15'!_2PAGE_1</vt:lpstr>
      <vt:lpstr>'March 14'!_2PAGE_1</vt:lpstr>
      <vt:lpstr>'March 15'!_2PAGE_1</vt:lpstr>
      <vt:lpstr>'Sept 14'!_2PAGE_1</vt:lpstr>
      <vt:lpstr>'Sept 15'!_2PAGE_1</vt:lpstr>
      <vt:lpstr>'June 13'!_3PAGE_1</vt:lpstr>
      <vt:lpstr>'March 13'!_4PAGE_1</vt:lpstr>
      <vt:lpstr>'September 13'!_5PAGE_1</vt:lpstr>
      <vt:lpstr>'Dec 12'!_7PAGE_2</vt:lpstr>
      <vt:lpstr>'Dec 13'!_8PAGE_2</vt:lpstr>
      <vt:lpstr>'Dec 14'!_8PAGE_2</vt:lpstr>
      <vt:lpstr>'Dec 15'!_8PAGE_2</vt:lpstr>
      <vt:lpstr>'June 14'!_8PAGE_2</vt:lpstr>
      <vt:lpstr>'June 15'!_8PAGE_2</vt:lpstr>
      <vt:lpstr>'March 14'!_8PAGE_2</vt:lpstr>
      <vt:lpstr>'March 15'!_8PAGE_2</vt:lpstr>
      <vt:lpstr>'Sept 14'!_8PAGE_2</vt:lpstr>
      <vt:lpstr>'Sept 15'!_8PAGE_2</vt:lpstr>
      <vt:lpstr>'June 13'!_9PAGE_2</vt:lpstr>
      <vt:lpstr>'Dec 12'!Print_Area</vt:lpstr>
      <vt:lpstr>'Dec 13'!Print_Area</vt:lpstr>
      <vt:lpstr>'Dec 14'!Print_Area</vt:lpstr>
      <vt:lpstr>'Dec 15'!Print_Area</vt:lpstr>
      <vt:lpstr>'June 13'!Print_Area</vt:lpstr>
      <vt:lpstr>'June 14'!Print_Area</vt:lpstr>
      <vt:lpstr>'June 15'!Print_Area</vt:lpstr>
      <vt:lpstr>'March 13'!Print_Area</vt:lpstr>
      <vt:lpstr>'March 14'!Print_Area</vt:lpstr>
      <vt:lpstr>'March 15'!Print_Area</vt:lpstr>
      <vt:lpstr>'Sept 14'!Print_Area</vt:lpstr>
      <vt:lpstr>'Sept 15'!Print_Area</vt:lpstr>
      <vt:lpstr>'September 13'!Print_Area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2015-04-20T09:07:03Z</cp:lastPrinted>
  <dcterms:created xsi:type="dcterms:W3CDTF">2003-11-18T07:58:35Z</dcterms:created>
  <dcterms:modified xsi:type="dcterms:W3CDTF">2016-01-20T10:41:43Z</dcterms:modified>
</cp:coreProperties>
</file>