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90" yWindow="-105" windowWidth="18525" windowHeight="12090" activeTab="11"/>
  </bookViews>
  <sheets>
    <sheet name="Dec 11" sheetId="11" r:id="rId1"/>
    <sheet name="March 12" sheetId="12" r:id="rId2"/>
    <sheet name="June 12" sheetId="13" r:id="rId3"/>
    <sheet name="Sept 12" sheetId="14" r:id="rId4"/>
    <sheet name="Dec 12" sheetId="15" r:id="rId5"/>
    <sheet name="March 13" sheetId="16" r:id="rId6"/>
    <sheet name="June 13" sheetId="17" r:id="rId7"/>
    <sheet name="Sept 13" sheetId="18" r:id="rId8"/>
    <sheet name="Dec 13" sheetId="19" r:id="rId9"/>
    <sheet name="March 14" sheetId="20" r:id="rId10"/>
    <sheet name="June 14" sheetId="23" r:id="rId11"/>
    <sheet name="Sept 14 " sheetId="24" r:id="rId12"/>
  </sheets>
  <definedNames>
    <definedName name="_10PAGE_1" localSheetId="10">#REF!</definedName>
    <definedName name="_10PAGE_1" localSheetId="9">#REF!</definedName>
    <definedName name="_10PAGE_1" localSheetId="11">#REF!</definedName>
    <definedName name="_10PAGE_1">#REF!</definedName>
    <definedName name="_11PAGE_2" localSheetId="0">'Dec 11'!$A$53:$S$118</definedName>
    <definedName name="_12PAGE_2" localSheetId="4">'Dec 12'!$A$53:$S$118</definedName>
    <definedName name="_13PAGE_2" localSheetId="8">'Dec 13'!$A$53:$S$118</definedName>
    <definedName name="_13PAGE_2" localSheetId="10">'June 14'!$A$53:$S$118</definedName>
    <definedName name="_13PAGE_2" localSheetId="9">'March 14'!$A$53:$S$118</definedName>
    <definedName name="_13PAGE_2" localSheetId="11">'Sept 14 '!$A$53:$S$118</definedName>
    <definedName name="_14PAGE_2" localSheetId="2">'June 12'!$A$53:$S$118</definedName>
    <definedName name="_15PAGE_2" localSheetId="6">'June 13'!$A$53:$S$118</definedName>
    <definedName name="_16PAGE_2" localSheetId="1">'March 12'!$A$53:$S$118</definedName>
    <definedName name="_17PAGE_2" localSheetId="5">'March 13'!$A$53:$S$118</definedName>
    <definedName name="_18PAGE_2" localSheetId="3">'Sept 12'!$A$53:$S$118</definedName>
    <definedName name="_19PAGE_2" localSheetId="7">'Sept 13'!$A$53:$S$118</definedName>
    <definedName name="_1PAGE_1" localSheetId="0">'Dec 11'!$A$1:$S$52</definedName>
    <definedName name="_20PAGE_2" localSheetId="10">#REF!</definedName>
    <definedName name="_20PAGE_2" localSheetId="9">#REF!</definedName>
    <definedName name="_20PAGE_2" localSheetId="11">#REF!</definedName>
    <definedName name="_20PAGE_2">#REF!</definedName>
    <definedName name="_21PAGE_3" localSheetId="0">'Dec 11'!$A$119:$S$183</definedName>
    <definedName name="_22PAGE_3" localSheetId="4">'Dec 12'!$A$119:$S$184</definedName>
    <definedName name="_23PAGE_3" localSheetId="8">'Dec 13'!$A$119:$S$184</definedName>
    <definedName name="_23PAGE_3" localSheetId="10">'June 14'!$A$119:$S$184</definedName>
    <definedName name="_23PAGE_3" localSheetId="9">'March 14'!$A$119:$S$184</definedName>
    <definedName name="_23PAGE_3" localSheetId="11">'Sept 14 '!$A$119:$S$185</definedName>
    <definedName name="_24PAGE_3" localSheetId="2">'June 12'!$A$119:$S$184</definedName>
    <definedName name="_25PAGE_3" localSheetId="6">'June 13'!$A$119:$S$184</definedName>
    <definedName name="_26PAGE_3" localSheetId="1">'March 12'!$A$119:$S$184</definedName>
    <definedName name="_27PAGE_3" localSheetId="5">'March 13'!$A$119:$S$184</definedName>
    <definedName name="_28PAGE_3" localSheetId="3">'Sept 12'!$A$119:$S$184</definedName>
    <definedName name="_29PAGE_3" localSheetId="7">'Sept 13'!$A$119:$S$184</definedName>
    <definedName name="_2PAGE_1" localSheetId="4">'Dec 12'!$A$1:$S$52</definedName>
    <definedName name="_30PAGE_3" localSheetId="10">#REF!</definedName>
    <definedName name="_30PAGE_3" localSheetId="9">#REF!</definedName>
    <definedName name="_30PAGE_3" localSheetId="11">#REF!</definedName>
    <definedName name="_30PAGE_3">#REF!</definedName>
    <definedName name="_31PAGE_4" localSheetId="0">'Dec 11'!$A$184:$S$283</definedName>
    <definedName name="_32PAGE_4" localSheetId="4">'Dec 12'!$A$185:$S$284</definedName>
    <definedName name="_33PAGE_4" localSheetId="8">'Dec 13'!$A$185:$S$284</definedName>
    <definedName name="_33PAGE_4" localSheetId="10">'June 14'!$A$185:$S$284</definedName>
    <definedName name="_33PAGE_4" localSheetId="9">'March 14'!$A$185:$S$284</definedName>
    <definedName name="_33PAGE_4" localSheetId="11">'Sept 14 '!$A$186:$S$285</definedName>
    <definedName name="_34PAGE_4" localSheetId="2">'June 12'!$A$185:$S$284</definedName>
    <definedName name="_35PAGE_4" localSheetId="6">'June 13'!$A$185:$S$284</definedName>
    <definedName name="_36PAGE_4" localSheetId="1">'March 12'!$A$185:$S$285</definedName>
    <definedName name="_37PAGE_4" localSheetId="5">'March 13'!$A$185:$S$284</definedName>
    <definedName name="_38PAGE_4" localSheetId="3">'Sept 12'!$A$185:$S$284</definedName>
    <definedName name="_39PAGE_4" localSheetId="7">'Sept 13'!$A$185:$S$284</definedName>
    <definedName name="_3PAGE_1" localSheetId="8">'Dec 13'!$A$1:$S$52</definedName>
    <definedName name="_3PAGE_1" localSheetId="10">'June 14'!$A$1:$S$52</definedName>
    <definedName name="_3PAGE_1" localSheetId="9">'March 14'!$A$1:$S$52</definedName>
    <definedName name="_3PAGE_1" localSheetId="11">'Sept 14 '!$A$1:$S$52</definedName>
    <definedName name="_40PAGE_4" localSheetId="10">#REF!</definedName>
    <definedName name="_40PAGE_4" localSheetId="9">#REF!</definedName>
    <definedName name="_40PAGE_4" localSheetId="11">#REF!</definedName>
    <definedName name="_40PAGE_4">#REF!</definedName>
    <definedName name="_4PAGE_1" localSheetId="2">'June 12'!$A$1:$S$52</definedName>
    <definedName name="_5PAGE_1" localSheetId="6">'June 13'!$A$1:$S$52</definedName>
    <definedName name="_6PAGE_1" localSheetId="1">'March 12'!$A$1:$S$52</definedName>
    <definedName name="_7PAGE_1" localSheetId="5">'March 13'!$A$1:$S$52</definedName>
    <definedName name="_8PAGE_1" localSheetId="3">'Sept 12'!$A$1:$S$52</definedName>
    <definedName name="_9PAGE_1" localSheetId="7">'Sept 13'!$A$1:$S$52</definedName>
    <definedName name="gg">#REF!</definedName>
    <definedName name="_xlnm.Print_Area" localSheetId="0">'Dec 11'!$A$1:$T$284</definedName>
    <definedName name="_xlnm.Print_Area" localSheetId="4">'Dec 12'!$A$1:$S$285</definedName>
    <definedName name="_xlnm.Print_Area" localSheetId="8">'Dec 13'!$A$1:$S$285</definedName>
    <definedName name="_xlnm.Print_Area" localSheetId="2">'June 12'!$A$1:$S$285</definedName>
    <definedName name="_xlnm.Print_Area" localSheetId="6">'June 13'!$A$1:$S$285</definedName>
    <definedName name="_xlnm.Print_Area" localSheetId="10">'June 14'!$A$1:$S$285</definedName>
    <definedName name="_xlnm.Print_Area" localSheetId="1">'March 12'!$A$1:$T$286</definedName>
    <definedName name="_xlnm.Print_Area" localSheetId="5">'March 13'!$A$1:$S$285</definedName>
    <definedName name="_xlnm.Print_Area" localSheetId="9">'March 14'!$A$1:$S$285</definedName>
    <definedName name="_xlnm.Print_Area" localSheetId="3">'Sept 12'!$A$1:$S$285</definedName>
    <definedName name="_xlnm.Print_Area" localSheetId="7">'Sept 13'!$A$1:$S$285</definedName>
    <definedName name="_xlnm.Print_Area" localSheetId="11">'Sept 14 '!$A$1:$S$286</definedName>
    <definedName name="_xlnm.Print_Area">#REF!</definedName>
  </definedNames>
  <calcPr calcId="145621"/>
</workbook>
</file>

<file path=xl/calcChain.xml><?xml version="1.0" encoding="utf-8"?>
<calcChain xmlns="http://schemas.openxmlformats.org/spreadsheetml/2006/main">
  <c r="R132" i="24" l="1"/>
  <c r="P194" i="23"/>
  <c r="P193" i="23"/>
  <c r="R41" i="23" l="1"/>
  <c r="R34" i="23"/>
  <c r="R106" i="24" l="1"/>
  <c r="R95" i="24"/>
  <c r="R79" i="24"/>
  <c r="P171" i="24" l="1"/>
  <c r="O171" i="24"/>
  <c r="R40" i="24" l="1"/>
  <c r="Q269" i="24"/>
  <c r="P269" i="24"/>
  <c r="P206" i="24" s="1"/>
  <c r="O269" i="24"/>
  <c r="N269" i="24"/>
  <c r="Q257" i="24"/>
  <c r="P257" i="24"/>
  <c r="P205" i="24" s="1"/>
  <c r="O257" i="24"/>
  <c r="N257" i="24"/>
  <c r="P245" i="24"/>
  <c r="N245" i="24"/>
  <c r="P231" i="24"/>
  <c r="N231" i="24"/>
  <c r="P230" i="24"/>
  <c r="N230" i="24"/>
  <c r="P229" i="24"/>
  <c r="N229" i="24"/>
  <c r="P228" i="24"/>
  <c r="N228" i="24"/>
  <c r="P227" i="24"/>
  <c r="N227" i="24"/>
  <c r="P226" i="24"/>
  <c r="N226" i="24"/>
  <c r="P225" i="24"/>
  <c r="N225" i="24"/>
  <c r="P224" i="24"/>
  <c r="P233" i="24" s="1"/>
  <c r="N224" i="24"/>
  <c r="N233" i="24" s="1"/>
  <c r="P210" i="24"/>
  <c r="P211" i="24" s="1"/>
  <c r="P208" i="24"/>
  <c r="O206" i="24"/>
  <c r="O205" i="24"/>
  <c r="R172" i="24"/>
  <c r="P173" i="24"/>
  <c r="O173" i="24"/>
  <c r="R156" i="24"/>
  <c r="R157" i="24" s="1"/>
  <c r="R151" i="24"/>
  <c r="R149" i="24"/>
  <c r="R148" i="24"/>
  <c r="R143" i="24"/>
  <c r="R142" i="24"/>
  <c r="B118" i="24"/>
  <c r="B185" i="24" s="1"/>
  <c r="B285" i="24" s="1"/>
  <c r="P111" i="24"/>
  <c r="P110" i="24"/>
  <c r="P114" i="24" s="1"/>
  <c r="P108" i="24"/>
  <c r="P99" i="24"/>
  <c r="R94" i="24"/>
  <c r="P89" i="24"/>
  <c r="R88" i="24"/>
  <c r="R91" i="24" s="1"/>
  <c r="P88" i="24"/>
  <c r="P91" i="24" s="1"/>
  <c r="P115" i="24" s="1"/>
  <c r="J75" i="24"/>
  <c r="R70" i="24"/>
  <c r="P272" i="24" s="1"/>
  <c r="R69" i="24"/>
  <c r="R163" i="24" s="1"/>
  <c r="P59" i="24"/>
  <c r="J59" i="24"/>
  <c r="H59" i="24"/>
  <c r="H72" i="24" s="1"/>
  <c r="F59" i="24"/>
  <c r="F72" i="24" s="1"/>
  <c r="R57" i="24"/>
  <c r="N59" i="24"/>
  <c r="P200" i="24"/>
  <c r="N47" i="24"/>
  <c r="N46" i="24"/>
  <c r="H30" i="24"/>
  <c r="F30" i="24"/>
  <c r="R125" i="24" s="1"/>
  <c r="H29" i="24"/>
  <c r="F29" i="24"/>
  <c r="R29" i="24" s="1"/>
  <c r="R34" i="24" s="1"/>
  <c r="R28" i="24"/>
  <c r="R122" i="24" s="1"/>
  <c r="R150" i="24" l="1"/>
  <c r="R124" i="24"/>
  <c r="P271" i="24"/>
  <c r="N271" i="24"/>
  <c r="O245" i="24"/>
  <c r="P273" i="24"/>
  <c r="P189" i="24"/>
  <c r="P190" i="24" s="1"/>
  <c r="R107" i="24"/>
  <c r="R114" i="24" s="1"/>
  <c r="R115" i="24" s="1"/>
  <c r="R173" i="24"/>
  <c r="R30" i="24"/>
  <c r="R56" i="24"/>
  <c r="R59" i="24" s="1"/>
  <c r="O170" i="24"/>
  <c r="O174" i="24" s="1"/>
  <c r="O233" i="24"/>
  <c r="Q233" i="24"/>
  <c r="L59" i="24"/>
  <c r="R164" i="24"/>
  <c r="R171" i="24"/>
  <c r="R106" i="12"/>
  <c r="R106" i="13"/>
  <c r="R106" i="14"/>
  <c r="R106" i="15"/>
  <c r="R114" i="16"/>
  <c r="R106" i="16"/>
  <c r="R106" i="17"/>
  <c r="R106" i="18"/>
  <c r="R106" i="19"/>
  <c r="R106" i="20"/>
  <c r="Q245" i="24" l="1"/>
  <c r="R162" i="24"/>
  <c r="R165" i="24" s="1"/>
  <c r="R72" i="24"/>
  <c r="R106" i="23"/>
  <c r="P274" i="24" l="1"/>
  <c r="R166" i="24"/>
  <c r="P210" i="23"/>
  <c r="P273" i="23" l="1"/>
  <c r="R95" i="23"/>
  <c r="R79" i="23"/>
  <c r="P78" i="23"/>
  <c r="L56" i="23"/>
  <c r="N56" i="23"/>
  <c r="P170" i="23" l="1"/>
  <c r="O170" i="23"/>
  <c r="O172" i="23" s="1"/>
  <c r="Q268" i="23"/>
  <c r="P268" i="23"/>
  <c r="O268" i="23"/>
  <c r="N268" i="23"/>
  <c r="Q256" i="23"/>
  <c r="P256" i="23"/>
  <c r="O256" i="23"/>
  <c r="N256" i="23"/>
  <c r="P244" i="23"/>
  <c r="P270" i="23" s="1"/>
  <c r="P272" i="23" s="1"/>
  <c r="N244" i="23"/>
  <c r="O242" i="23" s="1"/>
  <c r="Q242" i="23"/>
  <c r="P230" i="23"/>
  <c r="N230" i="23"/>
  <c r="P229" i="23"/>
  <c r="N229" i="23"/>
  <c r="P228" i="23"/>
  <c r="N228" i="23"/>
  <c r="P227" i="23"/>
  <c r="N227" i="23"/>
  <c r="P226" i="23"/>
  <c r="N226" i="23"/>
  <c r="P225" i="23"/>
  <c r="N225" i="23"/>
  <c r="P224" i="23"/>
  <c r="N224" i="23"/>
  <c r="P223" i="23"/>
  <c r="N223" i="23"/>
  <c r="P209" i="23"/>
  <c r="P207" i="23"/>
  <c r="P205" i="23"/>
  <c r="O205" i="23"/>
  <c r="P204" i="23"/>
  <c r="O204" i="23"/>
  <c r="R171" i="23"/>
  <c r="P172" i="23"/>
  <c r="R155" i="23"/>
  <c r="R156" i="23" s="1"/>
  <c r="R150" i="23"/>
  <c r="R148" i="23"/>
  <c r="R147" i="23"/>
  <c r="R149" i="23" s="1"/>
  <c r="R142" i="23"/>
  <c r="R141" i="23"/>
  <c r="B118" i="23"/>
  <c r="B184" i="23" s="1"/>
  <c r="B284" i="23" s="1"/>
  <c r="P111" i="23"/>
  <c r="P110" i="23"/>
  <c r="P108" i="23"/>
  <c r="P99" i="23"/>
  <c r="R94" i="23"/>
  <c r="P89" i="23"/>
  <c r="R88" i="23"/>
  <c r="R91" i="23" s="1"/>
  <c r="P88" i="23"/>
  <c r="P91" i="23" s="1"/>
  <c r="J75" i="23"/>
  <c r="F72" i="23"/>
  <c r="R70" i="23"/>
  <c r="P271" i="23" s="1"/>
  <c r="R69" i="23"/>
  <c r="R162" i="23" s="1"/>
  <c r="P59" i="23"/>
  <c r="N59" i="23"/>
  <c r="J59" i="23"/>
  <c r="H59" i="23"/>
  <c r="H72" i="23" s="1"/>
  <c r="F59" i="23"/>
  <c r="R57" i="23"/>
  <c r="P199" i="23"/>
  <c r="N47" i="23"/>
  <c r="N46" i="23"/>
  <c r="R40" i="23"/>
  <c r="H30" i="23"/>
  <c r="F30" i="23"/>
  <c r="R125" i="23" s="1"/>
  <c r="H29" i="23"/>
  <c r="F29" i="23"/>
  <c r="R29" i="23" s="1"/>
  <c r="R28" i="23"/>
  <c r="R122" i="23" s="1"/>
  <c r="Q238" i="23" l="1"/>
  <c r="P232" i="23"/>
  <c r="Q224" i="23" s="1"/>
  <c r="Q236" i="23"/>
  <c r="Q240" i="23"/>
  <c r="Q235" i="23"/>
  <c r="Q237" i="23"/>
  <c r="Q239" i="23"/>
  <c r="Q241" i="23"/>
  <c r="N232" i="23"/>
  <c r="O235" i="23"/>
  <c r="O236" i="23"/>
  <c r="O237" i="23"/>
  <c r="O238" i="23"/>
  <c r="O239" i="23"/>
  <c r="O240" i="23"/>
  <c r="O241" i="23"/>
  <c r="N270" i="23"/>
  <c r="P114" i="23"/>
  <c r="P115" i="23" s="1"/>
  <c r="R124" i="23"/>
  <c r="R131" i="23" s="1"/>
  <c r="R177" i="23"/>
  <c r="R179" i="23"/>
  <c r="R107" i="23"/>
  <c r="R114" i="23" s="1"/>
  <c r="R115" i="23" s="1"/>
  <c r="O224" i="23"/>
  <c r="O225" i="23"/>
  <c r="O226" i="23"/>
  <c r="O227" i="23"/>
  <c r="O228" i="23"/>
  <c r="O229" i="23"/>
  <c r="O230" i="23"/>
  <c r="P192" i="23"/>
  <c r="P188" i="23"/>
  <c r="P189" i="23" s="1"/>
  <c r="R172" i="23"/>
  <c r="Q225" i="23"/>
  <c r="Q227" i="23"/>
  <c r="Q229" i="23"/>
  <c r="R30" i="23"/>
  <c r="L59" i="23"/>
  <c r="O169" i="23"/>
  <c r="O173" i="23" s="1"/>
  <c r="O223" i="23"/>
  <c r="Q223" i="23"/>
  <c r="P275" i="23"/>
  <c r="R56" i="23"/>
  <c r="R59" i="23" s="1"/>
  <c r="R163" i="23"/>
  <c r="R170" i="23"/>
  <c r="P275" i="20"/>
  <c r="R41" i="20"/>
  <c r="R34" i="20"/>
  <c r="Q230" i="23" l="1"/>
  <c r="Q228" i="23"/>
  <c r="Q226" i="23"/>
  <c r="Q232" i="23" s="1"/>
  <c r="Q244" i="23"/>
  <c r="O232" i="23"/>
  <c r="O244" i="23"/>
  <c r="R161" i="23"/>
  <c r="R164" i="23" s="1"/>
  <c r="R72" i="23"/>
  <c r="R95" i="20"/>
  <c r="R79" i="20"/>
  <c r="P78" i="20"/>
  <c r="L56" i="20"/>
  <c r="R165" i="23" l="1"/>
  <c r="P210" i="20"/>
  <c r="P170" i="20"/>
  <c r="O170" i="20"/>
  <c r="Q268" i="20"/>
  <c r="P268" i="20"/>
  <c r="O268" i="20"/>
  <c r="N268" i="20"/>
  <c r="Q256" i="20"/>
  <c r="P256" i="20"/>
  <c r="O256" i="20"/>
  <c r="N256" i="20"/>
  <c r="P244" i="20"/>
  <c r="Q241" i="20" s="1"/>
  <c r="N244" i="20"/>
  <c r="O242" i="20" s="1"/>
  <c r="Q242" i="20"/>
  <c r="Q238" i="20"/>
  <c r="O238" i="20"/>
  <c r="Q237" i="20"/>
  <c r="O237" i="20"/>
  <c r="Q236" i="20"/>
  <c r="O236" i="20"/>
  <c r="Q235" i="20"/>
  <c r="O235" i="20"/>
  <c r="P230" i="20"/>
  <c r="N230" i="20"/>
  <c r="P229" i="20"/>
  <c r="N229" i="20"/>
  <c r="P228" i="20"/>
  <c r="N228" i="20"/>
  <c r="P227" i="20"/>
  <c r="N227" i="20"/>
  <c r="P226" i="20"/>
  <c r="N226" i="20"/>
  <c r="P225" i="20"/>
  <c r="N225" i="20"/>
  <c r="P224" i="20"/>
  <c r="N224" i="20"/>
  <c r="P223" i="20"/>
  <c r="N223" i="20"/>
  <c r="N232" i="20" s="1"/>
  <c r="P209" i="20"/>
  <c r="P207" i="20"/>
  <c r="P205" i="20"/>
  <c r="O205" i="20"/>
  <c r="P204" i="20"/>
  <c r="O204" i="20"/>
  <c r="R171" i="20"/>
  <c r="P172" i="20"/>
  <c r="O172" i="20"/>
  <c r="R155" i="20"/>
  <c r="R156" i="20" s="1"/>
  <c r="R150" i="20"/>
  <c r="R148" i="20"/>
  <c r="R147" i="20"/>
  <c r="R149" i="20" s="1"/>
  <c r="R142" i="20"/>
  <c r="R141" i="20"/>
  <c r="B118" i="20"/>
  <c r="B184" i="20" s="1"/>
  <c r="B284" i="20" s="1"/>
  <c r="P111" i="20"/>
  <c r="P110" i="20"/>
  <c r="P114" i="20" s="1"/>
  <c r="P108" i="20"/>
  <c r="P99" i="20"/>
  <c r="R94" i="20"/>
  <c r="P89" i="20"/>
  <c r="R88" i="20"/>
  <c r="R91" i="20" s="1"/>
  <c r="P88" i="20"/>
  <c r="P91" i="20" s="1"/>
  <c r="J75" i="20"/>
  <c r="F72" i="20"/>
  <c r="R70" i="20"/>
  <c r="P271" i="20" s="1"/>
  <c r="R69" i="20"/>
  <c r="R162" i="20" s="1"/>
  <c r="P59" i="20"/>
  <c r="N59" i="20"/>
  <c r="J59" i="20"/>
  <c r="H59" i="20"/>
  <c r="H72" i="20" s="1"/>
  <c r="F59" i="20"/>
  <c r="R57" i="20"/>
  <c r="P199" i="20"/>
  <c r="N47" i="20"/>
  <c r="N46" i="20"/>
  <c r="R40" i="20"/>
  <c r="H30" i="20"/>
  <c r="F30" i="20"/>
  <c r="R125" i="20" s="1"/>
  <c r="H29" i="20"/>
  <c r="F29" i="20"/>
  <c r="R29" i="20" s="1"/>
  <c r="R28" i="20"/>
  <c r="R122" i="20" s="1"/>
  <c r="R124" i="20" l="1"/>
  <c r="R131" i="20" s="1"/>
  <c r="P232" i="20"/>
  <c r="Q240" i="20"/>
  <c r="Q239" i="20"/>
  <c r="Q244" i="20" s="1"/>
  <c r="P270" i="20"/>
  <c r="P272" i="20" s="1"/>
  <c r="O239" i="20"/>
  <c r="O240" i="20"/>
  <c r="O241" i="20"/>
  <c r="O244" i="20"/>
  <c r="N270" i="20"/>
  <c r="R177" i="20"/>
  <c r="P194" i="20"/>
  <c r="R179" i="20"/>
  <c r="R107" i="20"/>
  <c r="R114" i="20" s="1"/>
  <c r="R115" i="20" s="1"/>
  <c r="O224" i="20"/>
  <c r="O225" i="20"/>
  <c r="O226" i="20"/>
  <c r="O227" i="20"/>
  <c r="O228" i="20"/>
  <c r="O229" i="20"/>
  <c r="O230" i="20"/>
  <c r="P192" i="20"/>
  <c r="P193" i="20" s="1"/>
  <c r="P188" i="20"/>
  <c r="P189" i="20" s="1"/>
  <c r="P115" i="20"/>
  <c r="R172" i="20"/>
  <c r="Q224" i="20"/>
  <c r="Q225" i="20"/>
  <c r="Q226" i="20"/>
  <c r="Q227" i="20"/>
  <c r="Q228" i="20"/>
  <c r="Q229" i="20"/>
  <c r="Q230" i="20"/>
  <c r="R30" i="20"/>
  <c r="L59" i="20"/>
  <c r="O169" i="20"/>
  <c r="O173" i="20" s="1"/>
  <c r="O223" i="20"/>
  <c r="O232" i="20" s="1"/>
  <c r="Q223" i="20"/>
  <c r="Q232" i="20" s="1"/>
  <c r="R56" i="20"/>
  <c r="R59" i="20" s="1"/>
  <c r="R163" i="20"/>
  <c r="R170" i="20"/>
  <c r="R95" i="19"/>
  <c r="R79" i="19"/>
  <c r="P78" i="19"/>
  <c r="L56" i="19"/>
  <c r="P210" i="19"/>
  <c r="P170" i="19"/>
  <c r="O170" i="19"/>
  <c r="Q268" i="19"/>
  <c r="P268" i="19"/>
  <c r="O268" i="19"/>
  <c r="N268" i="19"/>
  <c r="Q256" i="19"/>
  <c r="P256" i="19"/>
  <c r="O256" i="19"/>
  <c r="N256" i="19"/>
  <c r="P244" i="19"/>
  <c r="P270" i="19"/>
  <c r="N244" i="19"/>
  <c r="N270" i="19"/>
  <c r="Q242" i="19"/>
  <c r="O242" i="19"/>
  <c r="Q241" i="19"/>
  <c r="O241" i="19"/>
  <c r="Q240" i="19"/>
  <c r="O240" i="19"/>
  <c r="Q239" i="19"/>
  <c r="O239" i="19"/>
  <c r="Q238" i="19"/>
  <c r="O238" i="19"/>
  <c r="Q237" i="19"/>
  <c r="O237" i="19"/>
  <c r="Q236" i="19"/>
  <c r="O236" i="19"/>
  <c r="Q235" i="19"/>
  <c r="Q244" i="19"/>
  <c r="P230" i="19"/>
  <c r="N230" i="19"/>
  <c r="P229" i="19"/>
  <c r="N229" i="19"/>
  <c r="P228" i="19"/>
  <c r="N228" i="19"/>
  <c r="P227" i="19"/>
  <c r="N227" i="19"/>
  <c r="P226" i="19"/>
  <c r="N226" i="19"/>
  <c r="P225" i="19"/>
  <c r="N225" i="19"/>
  <c r="P224" i="19"/>
  <c r="N224" i="19"/>
  <c r="P223" i="19"/>
  <c r="P232" i="19"/>
  <c r="N223" i="19"/>
  <c r="N232" i="19"/>
  <c r="P209" i="19"/>
  <c r="P207" i="19"/>
  <c r="P205" i="19"/>
  <c r="O205" i="19"/>
  <c r="P204" i="19"/>
  <c r="O204" i="19"/>
  <c r="R171" i="19"/>
  <c r="P172" i="19"/>
  <c r="O173" i="19"/>
  <c r="O172" i="19"/>
  <c r="R155" i="19"/>
  <c r="R156" i="19"/>
  <c r="R150" i="19"/>
  <c r="R148" i="19"/>
  <c r="R147" i="19"/>
  <c r="R149" i="19"/>
  <c r="R142" i="19"/>
  <c r="R141" i="19"/>
  <c r="B118" i="19"/>
  <c r="B184" i="19"/>
  <c r="B284" i="19"/>
  <c r="P111" i="19"/>
  <c r="P110" i="19"/>
  <c r="P114" i="19"/>
  <c r="P108" i="19"/>
  <c r="P99" i="19"/>
  <c r="R94" i="19"/>
  <c r="P89" i="19"/>
  <c r="R88" i="19"/>
  <c r="R91" i="19"/>
  <c r="R179" i="19"/>
  <c r="P88" i="19"/>
  <c r="P91" i="19"/>
  <c r="P115" i="19"/>
  <c r="J75" i="19"/>
  <c r="R70" i="19"/>
  <c r="R163" i="19"/>
  <c r="R69" i="19"/>
  <c r="R162" i="19"/>
  <c r="P59" i="19"/>
  <c r="L59" i="19"/>
  <c r="J59" i="19"/>
  <c r="H59" i="19"/>
  <c r="H72" i="19"/>
  <c r="F59" i="19"/>
  <c r="F72" i="19"/>
  <c r="R57" i="19"/>
  <c r="N59" i="19"/>
  <c r="P199" i="19"/>
  <c r="N47" i="19"/>
  <c r="N46" i="19"/>
  <c r="R40" i="19"/>
  <c r="H30" i="19"/>
  <c r="F30" i="19"/>
  <c r="R125" i="19"/>
  <c r="R124" i="19"/>
  <c r="R131" i="19"/>
  <c r="H29" i="19"/>
  <c r="F29" i="19"/>
  <c r="R29" i="19"/>
  <c r="R34" i="19"/>
  <c r="R28" i="19"/>
  <c r="R122" i="19"/>
  <c r="P210" i="18"/>
  <c r="P114" i="18"/>
  <c r="R70" i="18"/>
  <c r="P271" i="18"/>
  <c r="P272" i="18"/>
  <c r="R95" i="18"/>
  <c r="R79" i="18"/>
  <c r="P78" i="18"/>
  <c r="P88" i="18"/>
  <c r="P91" i="18"/>
  <c r="N56" i="18"/>
  <c r="L56" i="18"/>
  <c r="L59" i="18"/>
  <c r="P170" i="18"/>
  <c r="O170" i="18"/>
  <c r="Q268" i="18"/>
  <c r="P268" i="18"/>
  <c r="O268" i="18"/>
  <c r="N268" i="18"/>
  <c r="Q256" i="18"/>
  <c r="P256" i="18"/>
  <c r="O256" i="18"/>
  <c r="N256" i="18"/>
  <c r="P244" i="18"/>
  <c r="P270" i="18"/>
  <c r="N244" i="18"/>
  <c r="O235" i="18"/>
  <c r="O244" i="18"/>
  <c r="Q242" i="18"/>
  <c r="O242" i="18"/>
  <c r="Q241" i="18"/>
  <c r="O241" i="18"/>
  <c r="Q240" i="18"/>
  <c r="O240" i="18"/>
  <c r="Q239" i="18"/>
  <c r="O239" i="18"/>
  <c r="Q238" i="18"/>
  <c r="O238" i="18"/>
  <c r="Q237" i="18"/>
  <c r="O237" i="18"/>
  <c r="Q236" i="18"/>
  <c r="O236" i="18"/>
  <c r="Q235" i="18"/>
  <c r="Q244" i="18"/>
  <c r="P230" i="18"/>
  <c r="N230" i="18"/>
  <c r="P229" i="18"/>
  <c r="N229" i="18"/>
  <c r="P228" i="18"/>
  <c r="N228" i="18"/>
  <c r="P227" i="18"/>
  <c r="N227" i="18"/>
  <c r="P226" i="18"/>
  <c r="N226" i="18"/>
  <c r="P225" i="18"/>
  <c r="N225" i="18"/>
  <c r="P224" i="18"/>
  <c r="N224" i="18"/>
  <c r="P223" i="18"/>
  <c r="P232" i="18"/>
  <c r="N223" i="18"/>
  <c r="N232" i="18"/>
  <c r="P209" i="18"/>
  <c r="P207" i="18"/>
  <c r="P205" i="18"/>
  <c r="O205" i="18"/>
  <c r="P204" i="18"/>
  <c r="O204" i="18"/>
  <c r="R171" i="18"/>
  <c r="P172" i="18"/>
  <c r="O172" i="18"/>
  <c r="R163" i="18"/>
  <c r="R155" i="18"/>
  <c r="R156" i="18"/>
  <c r="R150" i="18"/>
  <c r="R148" i="18"/>
  <c r="R147" i="18"/>
  <c r="R149" i="18"/>
  <c r="R141" i="18"/>
  <c r="R142" i="18"/>
  <c r="B118" i="18"/>
  <c r="B184" i="18"/>
  <c r="B284" i="18"/>
  <c r="P111" i="18"/>
  <c r="P110" i="18"/>
  <c r="P108" i="18"/>
  <c r="P99" i="18"/>
  <c r="R94" i="18"/>
  <c r="P89" i="18"/>
  <c r="R88" i="18"/>
  <c r="R91" i="18"/>
  <c r="R177" i="18"/>
  <c r="J75" i="18"/>
  <c r="R69" i="18"/>
  <c r="R162" i="18"/>
  <c r="P59" i="18"/>
  <c r="N59" i="18"/>
  <c r="J59" i="18"/>
  <c r="H59" i="18"/>
  <c r="H72" i="18"/>
  <c r="P194" i="18"/>
  <c r="F59" i="18"/>
  <c r="F72" i="18"/>
  <c r="R57" i="18"/>
  <c r="P199" i="18"/>
  <c r="N47" i="18"/>
  <c r="N46" i="18"/>
  <c r="R40" i="18"/>
  <c r="H30" i="18"/>
  <c r="F30" i="18"/>
  <c r="R125" i="18"/>
  <c r="H29" i="18"/>
  <c r="F29" i="18"/>
  <c r="R29" i="18"/>
  <c r="R34" i="18"/>
  <c r="R28" i="18"/>
  <c r="R122" i="18"/>
  <c r="R124" i="18"/>
  <c r="R131" i="18"/>
  <c r="R95" i="17"/>
  <c r="R79" i="17"/>
  <c r="P78" i="17"/>
  <c r="L56" i="17"/>
  <c r="P199" i="17"/>
  <c r="P210" i="17"/>
  <c r="P170" i="17"/>
  <c r="O170" i="17"/>
  <c r="P271" i="17"/>
  <c r="Q268" i="17"/>
  <c r="P268" i="17"/>
  <c r="O268" i="17"/>
  <c r="N268" i="17"/>
  <c r="Q256" i="17"/>
  <c r="P256" i="17"/>
  <c r="O256" i="17"/>
  <c r="N256" i="17"/>
  <c r="P244" i="17"/>
  <c r="P270" i="17"/>
  <c r="P272" i="17"/>
  <c r="N244" i="17"/>
  <c r="O235" i="17"/>
  <c r="O244" i="17"/>
  <c r="Q242" i="17"/>
  <c r="O242" i="17"/>
  <c r="Q241" i="17"/>
  <c r="O241" i="17"/>
  <c r="Q240" i="17"/>
  <c r="O240" i="17"/>
  <c r="Q239" i="17"/>
  <c r="O239" i="17"/>
  <c r="Q238" i="17"/>
  <c r="O238" i="17"/>
  <c r="Q237" i="17"/>
  <c r="O237" i="17"/>
  <c r="Q236" i="17"/>
  <c r="O236" i="17"/>
  <c r="Q235" i="17"/>
  <c r="Q244" i="17"/>
  <c r="P230" i="17"/>
  <c r="N230" i="17"/>
  <c r="P229" i="17"/>
  <c r="N229" i="17"/>
  <c r="P228" i="17"/>
  <c r="N228" i="17"/>
  <c r="P227" i="17"/>
  <c r="N227" i="17"/>
  <c r="P226" i="17"/>
  <c r="N226" i="17"/>
  <c r="P225" i="17"/>
  <c r="N225" i="17"/>
  <c r="P224" i="17"/>
  <c r="N224" i="17"/>
  <c r="P223" i="17"/>
  <c r="P232" i="17"/>
  <c r="N223" i="17"/>
  <c r="N232" i="17"/>
  <c r="P209" i="17"/>
  <c r="P207" i="17"/>
  <c r="P205" i="17"/>
  <c r="O205" i="17"/>
  <c r="P204" i="17"/>
  <c r="O204" i="17"/>
  <c r="R171" i="17"/>
  <c r="P172" i="17"/>
  <c r="O172" i="17"/>
  <c r="O173" i="17"/>
  <c r="R163" i="17"/>
  <c r="R155" i="17"/>
  <c r="R156" i="17"/>
  <c r="R150" i="17"/>
  <c r="R148" i="17"/>
  <c r="R147" i="17"/>
  <c r="R149" i="17"/>
  <c r="R141" i="17"/>
  <c r="R142" i="17"/>
  <c r="B118" i="17"/>
  <c r="B184" i="17"/>
  <c r="B284" i="17"/>
  <c r="P111" i="17"/>
  <c r="P110" i="17"/>
  <c r="P114" i="17"/>
  <c r="P108" i="17"/>
  <c r="P99" i="17"/>
  <c r="R94" i="17"/>
  <c r="P89" i="17"/>
  <c r="R88" i="17"/>
  <c r="R91" i="17"/>
  <c r="R177" i="17"/>
  <c r="P88" i="17"/>
  <c r="P91" i="17"/>
  <c r="P115" i="17"/>
  <c r="J75" i="17"/>
  <c r="R69" i="17"/>
  <c r="R162" i="17"/>
  <c r="P59" i="17"/>
  <c r="J59" i="17"/>
  <c r="H59" i="17"/>
  <c r="H72" i="17"/>
  <c r="P194" i="17"/>
  <c r="F59" i="17"/>
  <c r="F72" i="17"/>
  <c r="R57" i="17"/>
  <c r="N59" i="17"/>
  <c r="N47" i="17"/>
  <c r="N46" i="17"/>
  <c r="R40" i="17"/>
  <c r="H30" i="17"/>
  <c r="F30" i="17"/>
  <c r="R125" i="17"/>
  <c r="R124" i="17"/>
  <c r="R131" i="17"/>
  <c r="H29" i="17"/>
  <c r="F29" i="17"/>
  <c r="R29" i="17"/>
  <c r="R34" i="17"/>
  <c r="R28" i="17"/>
  <c r="R122" i="17"/>
  <c r="P114" i="16"/>
  <c r="R34" i="16"/>
  <c r="R41" i="16"/>
  <c r="R40" i="16"/>
  <c r="R95" i="16"/>
  <c r="R79" i="16"/>
  <c r="P78" i="16"/>
  <c r="P88" i="16"/>
  <c r="P91" i="16"/>
  <c r="N56" i="16"/>
  <c r="L56" i="16"/>
  <c r="P210" i="16"/>
  <c r="P170" i="16"/>
  <c r="O170" i="16"/>
  <c r="P271" i="16"/>
  <c r="Q268" i="16"/>
  <c r="P268" i="16"/>
  <c r="O268" i="16"/>
  <c r="N268" i="16"/>
  <c r="Q256" i="16"/>
  <c r="P256" i="16"/>
  <c r="O256" i="16"/>
  <c r="N256" i="16"/>
  <c r="P244" i="16"/>
  <c r="P270" i="16"/>
  <c r="P272" i="16"/>
  <c r="N244" i="16"/>
  <c r="N270" i="16"/>
  <c r="Q242" i="16"/>
  <c r="O242" i="16"/>
  <c r="Q241" i="16"/>
  <c r="O241" i="16"/>
  <c r="Q240" i="16"/>
  <c r="O240" i="16"/>
  <c r="Q239" i="16"/>
  <c r="O239" i="16"/>
  <c r="Q238" i="16"/>
  <c r="O238" i="16"/>
  <c r="Q237" i="16"/>
  <c r="O237" i="16"/>
  <c r="Q236" i="16"/>
  <c r="O236" i="16"/>
  <c r="Q235" i="16"/>
  <c r="Q244" i="16"/>
  <c r="P230" i="16"/>
  <c r="N230" i="16"/>
  <c r="P229" i="16"/>
  <c r="N229" i="16"/>
  <c r="P228" i="16"/>
  <c r="N228" i="16"/>
  <c r="P227" i="16"/>
  <c r="N227" i="16"/>
  <c r="P226" i="16"/>
  <c r="N226" i="16"/>
  <c r="P225" i="16"/>
  <c r="N225" i="16"/>
  <c r="P224" i="16"/>
  <c r="N224" i="16"/>
  <c r="P223" i="16"/>
  <c r="P232" i="16"/>
  <c r="N223" i="16"/>
  <c r="N232" i="16"/>
  <c r="P209" i="16"/>
  <c r="P207" i="16"/>
  <c r="P205" i="16"/>
  <c r="O205" i="16"/>
  <c r="P204" i="16"/>
  <c r="O204" i="16"/>
  <c r="R171" i="16"/>
  <c r="P172" i="16"/>
  <c r="O172" i="16"/>
  <c r="R163" i="16"/>
  <c r="R156" i="16"/>
  <c r="R155" i="16"/>
  <c r="R150" i="16"/>
  <c r="R148" i="16"/>
  <c r="R147" i="16"/>
  <c r="R149" i="16"/>
  <c r="R142" i="16"/>
  <c r="R141" i="16"/>
  <c r="B118" i="16"/>
  <c r="B184" i="16"/>
  <c r="B284" i="16"/>
  <c r="P111" i="16"/>
  <c r="P110" i="16"/>
  <c r="P108" i="16"/>
  <c r="P99" i="16"/>
  <c r="R94" i="16"/>
  <c r="P89" i="16"/>
  <c r="R88" i="16"/>
  <c r="R91" i="16"/>
  <c r="J75" i="16"/>
  <c r="R69" i="16"/>
  <c r="R162" i="16"/>
  <c r="P59" i="16"/>
  <c r="N59" i="16"/>
  <c r="J59" i="16"/>
  <c r="H59" i="16"/>
  <c r="H72" i="16"/>
  <c r="F59" i="16"/>
  <c r="F72" i="16"/>
  <c r="R57" i="16"/>
  <c r="P199" i="16"/>
  <c r="N47" i="16"/>
  <c r="N46" i="16"/>
  <c r="H30" i="16"/>
  <c r="F30" i="16"/>
  <c r="R125" i="16"/>
  <c r="R124" i="16"/>
  <c r="R131" i="16"/>
  <c r="H29" i="16"/>
  <c r="F29" i="16"/>
  <c r="R29" i="16"/>
  <c r="R28" i="16"/>
  <c r="R122" i="16"/>
  <c r="P194" i="15"/>
  <c r="P194" i="14"/>
  <c r="P194" i="13"/>
  <c r="P194" i="12"/>
  <c r="P193" i="11"/>
  <c r="R163" i="15"/>
  <c r="R95" i="15"/>
  <c r="R79" i="15"/>
  <c r="P78" i="15"/>
  <c r="P88" i="15"/>
  <c r="P91" i="15"/>
  <c r="L56" i="15"/>
  <c r="N223" i="15"/>
  <c r="P210" i="15"/>
  <c r="P170" i="15"/>
  <c r="O170" i="15"/>
  <c r="Q268" i="15"/>
  <c r="P268" i="15"/>
  <c r="O268" i="15"/>
  <c r="N268" i="15"/>
  <c r="Q256" i="15"/>
  <c r="P256" i="15"/>
  <c r="O256" i="15"/>
  <c r="N256" i="15"/>
  <c r="P244" i="15"/>
  <c r="P270" i="15"/>
  <c r="N244" i="15"/>
  <c r="O235" i="15"/>
  <c r="O244" i="15"/>
  <c r="Q242" i="15"/>
  <c r="O242" i="15"/>
  <c r="Q241" i="15"/>
  <c r="O241" i="15"/>
  <c r="Q240" i="15"/>
  <c r="O240" i="15"/>
  <c r="Q239" i="15"/>
  <c r="O239" i="15"/>
  <c r="Q238" i="15"/>
  <c r="O238" i="15"/>
  <c r="Q237" i="15"/>
  <c r="O237" i="15"/>
  <c r="Q236" i="15"/>
  <c r="O236" i="15"/>
  <c r="Q235" i="15"/>
  <c r="Q244" i="15"/>
  <c r="P230" i="15"/>
  <c r="N230" i="15"/>
  <c r="P229" i="15"/>
  <c r="N229" i="15"/>
  <c r="P228" i="15"/>
  <c r="N228" i="15"/>
  <c r="P227" i="15"/>
  <c r="N227" i="15"/>
  <c r="P226" i="15"/>
  <c r="N226" i="15"/>
  <c r="P225" i="15"/>
  <c r="N225" i="15"/>
  <c r="P224" i="15"/>
  <c r="N224" i="15"/>
  <c r="P223" i="15"/>
  <c r="P232" i="15"/>
  <c r="N232" i="15"/>
  <c r="P209" i="15"/>
  <c r="P207" i="15"/>
  <c r="P205" i="15"/>
  <c r="O205" i="15"/>
  <c r="P204" i="15"/>
  <c r="O204" i="15"/>
  <c r="R171" i="15"/>
  <c r="P172" i="15"/>
  <c r="O173" i="15"/>
  <c r="O172" i="15"/>
  <c r="R155" i="15"/>
  <c r="R156" i="15"/>
  <c r="R150" i="15"/>
  <c r="R148" i="15"/>
  <c r="R147" i="15"/>
  <c r="R149" i="15"/>
  <c r="R141" i="15"/>
  <c r="R142" i="15"/>
  <c r="B118" i="15"/>
  <c r="B184" i="15"/>
  <c r="B284" i="15"/>
  <c r="P111" i="15"/>
  <c r="P110" i="15"/>
  <c r="P114" i="15"/>
  <c r="P108" i="15"/>
  <c r="P99" i="15"/>
  <c r="R94" i="15"/>
  <c r="P89" i="15"/>
  <c r="R88" i="15"/>
  <c r="R91" i="15"/>
  <c r="J75" i="15"/>
  <c r="P271" i="15"/>
  <c r="P272" i="15"/>
  <c r="R69" i="15"/>
  <c r="R162" i="15"/>
  <c r="P59" i="15"/>
  <c r="N59" i="15"/>
  <c r="J59" i="15"/>
  <c r="H59" i="15"/>
  <c r="H72" i="15"/>
  <c r="F59" i="15"/>
  <c r="F72" i="15"/>
  <c r="R57" i="15"/>
  <c r="P199" i="15"/>
  <c r="N47" i="15"/>
  <c r="N46" i="15"/>
  <c r="R40" i="15"/>
  <c r="H30" i="15"/>
  <c r="R41" i="15"/>
  <c r="F30" i="15"/>
  <c r="R125" i="15"/>
  <c r="H29" i="15"/>
  <c r="F29" i="15"/>
  <c r="R29" i="15"/>
  <c r="R34" i="15"/>
  <c r="R28" i="15"/>
  <c r="R122" i="15"/>
  <c r="R95" i="14"/>
  <c r="R79" i="14"/>
  <c r="P78" i="14"/>
  <c r="P88" i="14"/>
  <c r="P91" i="14"/>
  <c r="L56" i="14"/>
  <c r="P210" i="14"/>
  <c r="P170" i="14"/>
  <c r="P172" i="14"/>
  <c r="R172" i="14"/>
  <c r="O170" i="14"/>
  <c r="O172" i="14"/>
  <c r="Q268" i="14"/>
  <c r="P268" i="14"/>
  <c r="O268" i="14"/>
  <c r="N268" i="14"/>
  <c r="Q256" i="14"/>
  <c r="P256" i="14"/>
  <c r="O256" i="14"/>
  <c r="N256" i="14"/>
  <c r="P244" i="14"/>
  <c r="P270" i="14"/>
  <c r="P272" i="14"/>
  <c r="N244" i="14"/>
  <c r="O235" i="14"/>
  <c r="O244" i="14"/>
  <c r="Q242" i="14"/>
  <c r="O242" i="14"/>
  <c r="Q241" i="14"/>
  <c r="O241" i="14"/>
  <c r="Q240" i="14"/>
  <c r="O240" i="14"/>
  <c r="Q239" i="14"/>
  <c r="O239" i="14"/>
  <c r="Q238" i="14"/>
  <c r="O238" i="14"/>
  <c r="Q237" i="14"/>
  <c r="O237" i="14"/>
  <c r="Q236" i="14"/>
  <c r="O236" i="14"/>
  <c r="Q235" i="14"/>
  <c r="Q244" i="14"/>
  <c r="P230" i="14"/>
  <c r="N230" i="14"/>
  <c r="P229" i="14"/>
  <c r="N229" i="14"/>
  <c r="P228" i="14"/>
  <c r="N228" i="14"/>
  <c r="P227" i="14"/>
  <c r="N227" i="14"/>
  <c r="P226" i="14"/>
  <c r="N226" i="14"/>
  <c r="P225" i="14"/>
  <c r="N225" i="14"/>
  <c r="P224" i="14"/>
  <c r="N224" i="14"/>
  <c r="P223" i="14"/>
  <c r="P232" i="14"/>
  <c r="N223" i="14"/>
  <c r="N232" i="14"/>
  <c r="P209" i="14"/>
  <c r="P207" i="14"/>
  <c r="P205" i="14"/>
  <c r="O205" i="14"/>
  <c r="P204" i="14"/>
  <c r="O204" i="14"/>
  <c r="R171" i="14"/>
  <c r="R156" i="14"/>
  <c r="R155" i="14"/>
  <c r="R150" i="14"/>
  <c r="R148" i="14"/>
  <c r="R147" i="14"/>
  <c r="R149" i="14"/>
  <c r="R142" i="14"/>
  <c r="R141" i="14"/>
  <c r="B118" i="14"/>
  <c r="B184" i="14"/>
  <c r="B284" i="14"/>
  <c r="P111" i="14"/>
  <c r="P110" i="14"/>
  <c r="P114" i="14"/>
  <c r="P108" i="14"/>
  <c r="P99" i="14"/>
  <c r="R94" i="14"/>
  <c r="P89" i="14"/>
  <c r="R88" i="14"/>
  <c r="R91" i="14"/>
  <c r="R177" i="14"/>
  <c r="J75" i="14"/>
  <c r="R70" i="14"/>
  <c r="P271" i="14"/>
  <c r="R69" i="14"/>
  <c r="R162" i="14"/>
  <c r="P59" i="14"/>
  <c r="N59" i="14"/>
  <c r="J59" i="14"/>
  <c r="H59" i="14"/>
  <c r="H72" i="14"/>
  <c r="F59" i="14"/>
  <c r="F72" i="14"/>
  <c r="R57" i="14"/>
  <c r="R56" i="14"/>
  <c r="R59" i="14"/>
  <c r="P199" i="14"/>
  <c r="N47" i="14"/>
  <c r="N46" i="14"/>
  <c r="R40" i="14"/>
  <c r="H30" i="14"/>
  <c r="F30" i="14"/>
  <c r="R41" i="14"/>
  <c r="H29" i="14"/>
  <c r="F29" i="14"/>
  <c r="R29" i="14"/>
  <c r="R34" i="14"/>
  <c r="P188" i="14"/>
  <c r="P189" i="14"/>
  <c r="R28" i="14"/>
  <c r="R122" i="14"/>
  <c r="P272" i="13"/>
  <c r="R95" i="13"/>
  <c r="R79" i="13"/>
  <c r="R88" i="13"/>
  <c r="R91" i="13"/>
  <c r="L56" i="13"/>
  <c r="R70" i="13"/>
  <c r="L59" i="13"/>
  <c r="P170" i="13"/>
  <c r="O170" i="13"/>
  <c r="O172" i="13"/>
  <c r="R172" i="13"/>
  <c r="P271" i="13"/>
  <c r="Q268" i="13"/>
  <c r="P268" i="13"/>
  <c r="O268" i="13"/>
  <c r="N268" i="13"/>
  <c r="Q256" i="13"/>
  <c r="P256" i="13"/>
  <c r="O256" i="13"/>
  <c r="N256" i="13"/>
  <c r="P244" i="13"/>
  <c r="P270" i="13"/>
  <c r="N244" i="13"/>
  <c r="N270" i="13"/>
  <c r="Q242" i="13"/>
  <c r="O242" i="13"/>
  <c r="Q241" i="13"/>
  <c r="O241" i="13"/>
  <c r="Q240" i="13"/>
  <c r="O240" i="13"/>
  <c r="Q239" i="13"/>
  <c r="O239" i="13"/>
  <c r="Q238" i="13"/>
  <c r="O238" i="13"/>
  <c r="Q237" i="13"/>
  <c r="O237" i="13"/>
  <c r="Q236" i="13"/>
  <c r="O236" i="13"/>
  <c r="Q235" i="13"/>
  <c r="Q244" i="13"/>
  <c r="P230" i="13"/>
  <c r="N230" i="13"/>
  <c r="P229" i="13"/>
  <c r="N229" i="13"/>
  <c r="P228" i="13"/>
  <c r="N228" i="13"/>
  <c r="P227" i="13"/>
  <c r="N227" i="13"/>
  <c r="P226" i="13"/>
  <c r="N226" i="13"/>
  <c r="P225" i="13"/>
  <c r="N225" i="13"/>
  <c r="P224" i="13"/>
  <c r="N224" i="13"/>
  <c r="P223" i="13"/>
  <c r="N223" i="13"/>
  <c r="P209" i="13"/>
  <c r="P210" i="13"/>
  <c r="P207" i="13"/>
  <c r="P205" i="13"/>
  <c r="O205" i="13"/>
  <c r="P204" i="13"/>
  <c r="O204" i="13"/>
  <c r="R171" i="13"/>
  <c r="P172" i="13"/>
  <c r="R163" i="13"/>
  <c r="R155" i="13"/>
  <c r="R156" i="13"/>
  <c r="R150" i="13"/>
  <c r="R148" i="13"/>
  <c r="R147" i="13"/>
  <c r="R149" i="13"/>
  <c r="R141" i="13"/>
  <c r="R142" i="13"/>
  <c r="B118" i="13"/>
  <c r="B184" i="13"/>
  <c r="B284" i="13"/>
  <c r="P111" i="13"/>
  <c r="P110" i="13"/>
  <c r="P114" i="13"/>
  <c r="P108" i="13"/>
  <c r="P99" i="13"/>
  <c r="R94" i="13"/>
  <c r="P89" i="13"/>
  <c r="P88" i="13"/>
  <c r="P91" i="13"/>
  <c r="J75" i="13"/>
  <c r="R69" i="13"/>
  <c r="R162" i="13"/>
  <c r="P59" i="13"/>
  <c r="J59" i="13"/>
  <c r="H59" i="13"/>
  <c r="H72" i="13"/>
  <c r="F59" i="13"/>
  <c r="F72" i="13"/>
  <c r="R57" i="13"/>
  <c r="N59" i="13"/>
  <c r="P199" i="13"/>
  <c r="N47" i="13"/>
  <c r="N46" i="13"/>
  <c r="R40" i="13"/>
  <c r="H30" i="13"/>
  <c r="F30" i="13"/>
  <c r="R125" i="13"/>
  <c r="H29" i="13"/>
  <c r="F29" i="13"/>
  <c r="R29" i="13"/>
  <c r="R34" i="13"/>
  <c r="P192" i="13"/>
  <c r="P193" i="13"/>
  <c r="R28" i="13"/>
  <c r="O169" i="13"/>
  <c r="O173" i="13"/>
  <c r="R34" i="12"/>
  <c r="P188" i="12"/>
  <c r="P189" i="12"/>
  <c r="P207" i="12"/>
  <c r="R164" i="12"/>
  <c r="R163" i="12"/>
  <c r="P273" i="12"/>
  <c r="P272" i="12"/>
  <c r="N56" i="12"/>
  <c r="R154" i="12"/>
  <c r="R142" i="12"/>
  <c r="R125" i="12"/>
  <c r="R95" i="12"/>
  <c r="R79" i="12"/>
  <c r="R56" i="12"/>
  <c r="L56" i="12"/>
  <c r="N46" i="12"/>
  <c r="R29" i="12"/>
  <c r="H29" i="12"/>
  <c r="F29" i="12"/>
  <c r="F30" i="12"/>
  <c r="R30" i="12"/>
  <c r="P276" i="12"/>
  <c r="P210" i="12"/>
  <c r="P170" i="12"/>
  <c r="O170" i="12"/>
  <c r="O172" i="12"/>
  <c r="Q268" i="12"/>
  <c r="P268" i="12"/>
  <c r="O268" i="12"/>
  <c r="N268" i="12"/>
  <c r="Q256" i="12"/>
  <c r="P256" i="12"/>
  <c r="O256" i="12"/>
  <c r="N256" i="12"/>
  <c r="P244" i="12"/>
  <c r="P270" i="12"/>
  <c r="N244" i="12"/>
  <c r="N270" i="12"/>
  <c r="Q242" i="12"/>
  <c r="O242" i="12"/>
  <c r="Q241" i="12"/>
  <c r="O241" i="12"/>
  <c r="Q240" i="12"/>
  <c r="O240" i="12"/>
  <c r="Q239" i="12"/>
  <c r="O239" i="12"/>
  <c r="Q238" i="12"/>
  <c r="O238" i="12"/>
  <c r="Q237" i="12"/>
  <c r="O237" i="12"/>
  <c r="Q236" i="12"/>
  <c r="O236" i="12"/>
  <c r="Q235" i="12"/>
  <c r="Q244" i="12"/>
  <c r="O235" i="12"/>
  <c r="O244" i="12"/>
  <c r="P230" i="12"/>
  <c r="N230" i="12"/>
  <c r="P229" i="12"/>
  <c r="N229" i="12"/>
  <c r="P228" i="12"/>
  <c r="N228" i="12"/>
  <c r="P227" i="12"/>
  <c r="N227" i="12"/>
  <c r="P226" i="12"/>
  <c r="N226" i="12"/>
  <c r="P225" i="12"/>
  <c r="N225" i="12"/>
  <c r="P224" i="12"/>
  <c r="N224" i="12"/>
  <c r="P223" i="12"/>
  <c r="P232" i="12"/>
  <c r="N223" i="12"/>
  <c r="N232" i="12"/>
  <c r="P209" i="12"/>
  <c r="P205" i="12"/>
  <c r="O205" i="12"/>
  <c r="P204" i="12"/>
  <c r="O204" i="12"/>
  <c r="P172" i="12"/>
  <c r="R171" i="12"/>
  <c r="R170" i="12"/>
  <c r="R155" i="12"/>
  <c r="R150" i="12"/>
  <c r="R148" i="12"/>
  <c r="R147" i="12"/>
  <c r="R149" i="12"/>
  <c r="R141" i="12"/>
  <c r="R140" i="12"/>
  <c r="B118" i="12"/>
  <c r="B184" i="12"/>
  <c r="B285" i="12"/>
  <c r="P111" i="12"/>
  <c r="P110" i="12"/>
  <c r="P114" i="12"/>
  <c r="P108" i="12"/>
  <c r="P99" i="12"/>
  <c r="R94" i="12"/>
  <c r="P89" i="12"/>
  <c r="P88" i="12"/>
  <c r="P91" i="12"/>
  <c r="P115" i="12"/>
  <c r="R88" i="12"/>
  <c r="R91" i="12"/>
  <c r="J75" i="12"/>
  <c r="H72" i="12"/>
  <c r="R69" i="12"/>
  <c r="R162" i="12"/>
  <c r="P271" i="12"/>
  <c r="P59" i="12"/>
  <c r="N59" i="12"/>
  <c r="J59" i="12"/>
  <c r="H59" i="12"/>
  <c r="F59" i="12"/>
  <c r="F72" i="12"/>
  <c r="R57" i="12"/>
  <c r="P199" i="12"/>
  <c r="N47" i="12"/>
  <c r="R40" i="12"/>
  <c r="H30" i="12"/>
  <c r="R124" i="12"/>
  <c r="R131" i="12"/>
  <c r="R28" i="12"/>
  <c r="R122" i="12"/>
  <c r="P272" i="11"/>
  <c r="P271" i="11"/>
  <c r="R163" i="11"/>
  <c r="P206" i="11"/>
  <c r="R125" i="11"/>
  <c r="R40" i="11"/>
  <c r="R41" i="11"/>
  <c r="L56" i="11"/>
  <c r="P198" i="11"/>
  <c r="R178" i="11"/>
  <c r="R176" i="11"/>
  <c r="P270" i="11"/>
  <c r="R95" i="11"/>
  <c r="R94" i="11"/>
  <c r="R79" i="11"/>
  <c r="R56" i="11"/>
  <c r="R59" i="11"/>
  <c r="N47" i="11"/>
  <c r="R162" i="11"/>
  <c r="R141" i="11"/>
  <c r="R140" i="11"/>
  <c r="R142" i="11"/>
  <c r="R124" i="11"/>
  <c r="R131" i="11"/>
  <c r="P108" i="11"/>
  <c r="F59" i="11"/>
  <c r="F72" i="11"/>
  <c r="R70" i="11"/>
  <c r="R69" i="11"/>
  <c r="R57" i="11"/>
  <c r="H59" i="11"/>
  <c r="H30" i="11"/>
  <c r="N222" i="11"/>
  <c r="N223" i="11"/>
  <c r="R28" i="11"/>
  <c r="O168" i="11"/>
  <c r="R88" i="11"/>
  <c r="R91" i="11"/>
  <c r="P88" i="11"/>
  <c r="P89" i="11"/>
  <c r="F30" i="11"/>
  <c r="R34" i="11"/>
  <c r="P187" i="11"/>
  <c r="P188" i="11"/>
  <c r="R29" i="11"/>
  <c r="P222" i="11"/>
  <c r="P223" i="11"/>
  <c r="P224" i="11"/>
  <c r="P225" i="11"/>
  <c r="P226" i="11"/>
  <c r="P227" i="11"/>
  <c r="P228" i="11"/>
  <c r="P229" i="11"/>
  <c r="P231" i="11"/>
  <c r="Q229" i="11"/>
  <c r="N243" i="11"/>
  <c r="O234" i="11"/>
  <c r="N224" i="11"/>
  <c r="N225" i="11"/>
  <c r="N226" i="11"/>
  <c r="N227" i="11"/>
  <c r="N228" i="11"/>
  <c r="N229" i="11"/>
  <c r="P243" i="11"/>
  <c r="Q241" i="11"/>
  <c r="N59" i="11"/>
  <c r="P208" i="11"/>
  <c r="P209" i="11"/>
  <c r="H72" i="11"/>
  <c r="J59" i="11"/>
  <c r="P59" i="11"/>
  <c r="J75" i="11"/>
  <c r="P99" i="11"/>
  <c r="P110" i="11"/>
  <c r="B118" i="11"/>
  <c r="B183" i="11"/>
  <c r="B283" i="11"/>
  <c r="R147" i="11"/>
  <c r="R148" i="11"/>
  <c r="R149" i="11"/>
  <c r="R150" i="11"/>
  <c r="R155" i="11"/>
  <c r="R156" i="11"/>
  <c r="N255" i="11"/>
  <c r="O203" i="11"/>
  <c r="P255" i="11"/>
  <c r="O238" i="11"/>
  <c r="Q234" i="11"/>
  <c r="N267" i="11"/>
  <c r="P267" i="11"/>
  <c r="Q238" i="11"/>
  <c r="L59" i="11"/>
  <c r="P171" i="11"/>
  <c r="P111" i="11"/>
  <c r="R170" i="11"/>
  <c r="O240" i="11"/>
  <c r="O171" i="11"/>
  <c r="R169" i="11"/>
  <c r="R122" i="11"/>
  <c r="P269" i="11"/>
  <c r="Q235" i="11"/>
  <c r="Q243" i="11"/>
  <c r="Q239" i="11"/>
  <c r="Q227" i="11"/>
  <c r="Q223" i="11"/>
  <c r="Q228" i="11"/>
  <c r="Q224" i="11"/>
  <c r="P191" i="11"/>
  <c r="P192" i="11"/>
  <c r="O239" i="11"/>
  <c r="O236" i="11"/>
  <c r="O237" i="11"/>
  <c r="O204" i="11"/>
  <c r="O267" i="11"/>
  <c r="Q267" i="11"/>
  <c r="P204" i="11"/>
  <c r="P203" i="11"/>
  <c r="N231" i="11"/>
  <c r="O228" i="11"/>
  <c r="Q226" i="11"/>
  <c r="Q222" i="11"/>
  <c r="Q231" i="11"/>
  <c r="R30" i="11"/>
  <c r="P274" i="11"/>
  <c r="P91" i="11"/>
  <c r="O229" i="11"/>
  <c r="O223" i="11"/>
  <c r="N269" i="11"/>
  <c r="O224" i="11"/>
  <c r="Q225" i="11"/>
  <c r="Q237" i="11"/>
  <c r="O255" i="11"/>
  <c r="Q255" i="11"/>
  <c r="Q236" i="11"/>
  <c r="Q240" i="11"/>
  <c r="O226" i="11"/>
  <c r="O227" i="11"/>
  <c r="O225" i="11"/>
  <c r="O222" i="11"/>
  <c r="O231" i="11"/>
  <c r="O235" i="11"/>
  <c r="O243" i="11"/>
  <c r="O241" i="11"/>
  <c r="R107" i="11"/>
  <c r="R114" i="11"/>
  <c r="R115" i="11"/>
  <c r="R171" i="11"/>
  <c r="P114" i="11"/>
  <c r="P115" i="11"/>
  <c r="O172" i="11"/>
  <c r="R161" i="11"/>
  <c r="R72" i="11"/>
  <c r="R164" i="11"/>
  <c r="Q230" i="12"/>
  <c r="Q229" i="12"/>
  <c r="Q228" i="12"/>
  <c r="Q227" i="12"/>
  <c r="Q226" i="12"/>
  <c r="Q225" i="12"/>
  <c r="Q224" i="12"/>
  <c r="Q223" i="12"/>
  <c r="O169" i="12"/>
  <c r="L59" i="12"/>
  <c r="Q232" i="12"/>
  <c r="O230" i="12"/>
  <c r="O228" i="12"/>
  <c r="O226" i="12"/>
  <c r="O224" i="12"/>
  <c r="O229" i="12"/>
  <c r="O227" i="12"/>
  <c r="O225" i="12"/>
  <c r="O223" i="12"/>
  <c r="O232" i="12"/>
  <c r="R156" i="12"/>
  <c r="R179" i="12"/>
  <c r="R107" i="12"/>
  <c r="R114" i="12" s="1"/>
  <c r="R115" i="12" s="1"/>
  <c r="R177" i="12"/>
  <c r="R59" i="12"/>
  <c r="R161" i="12"/>
  <c r="R41" i="12"/>
  <c r="O173" i="12"/>
  <c r="R172" i="12"/>
  <c r="R72" i="12"/>
  <c r="R165" i="12"/>
  <c r="P274" i="12"/>
  <c r="P192" i="12"/>
  <c r="P193" i="12"/>
  <c r="R30" i="13"/>
  <c r="P275" i="13"/>
  <c r="R56" i="13"/>
  <c r="R59" i="13"/>
  <c r="R72" i="13"/>
  <c r="R122" i="13"/>
  <c r="R124" i="13"/>
  <c r="R131" i="13"/>
  <c r="R170" i="13"/>
  <c r="N232" i="13"/>
  <c r="O224" i="13"/>
  <c r="P232" i="13"/>
  <c r="Q223" i="13"/>
  <c r="O227" i="13"/>
  <c r="O223" i="13"/>
  <c r="Q230" i="13"/>
  <c r="Q226" i="13"/>
  <c r="O228" i="13"/>
  <c r="Q229" i="13"/>
  <c r="Q227" i="13"/>
  <c r="Q225" i="13"/>
  <c r="Q224" i="13"/>
  <c r="Q232" i="13"/>
  <c r="Q228" i="13"/>
  <c r="O235" i="13"/>
  <c r="O244" i="13"/>
  <c r="R161" i="13"/>
  <c r="R164" i="13"/>
  <c r="R41" i="13"/>
  <c r="R165" i="13"/>
  <c r="P273" i="13"/>
  <c r="P115" i="13"/>
  <c r="R179" i="13"/>
  <c r="R177" i="13"/>
  <c r="R107" i="13"/>
  <c r="R114" i="13" s="1"/>
  <c r="R115" i="13" s="1"/>
  <c r="P188" i="13"/>
  <c r="P189" i="13"/>
  <c r="O226" i="13"/>
  <c r="O230" i="13"/>
  <c r="O225" i="13"/>
  <c r="O232" i="13"/>
  <c r="O229" i="13"/>
  <c r="O224" i="14"/>
  <c r="O225" i="14"/>
  <c r="O226" i="14"/>
  <c r="O227" i="14"/>
  <c r="O228" i="14"/>
  <c r="O229" i="14"/>
  <c r="O230" i="14"/>
  <c r="O169" i="14"/>
  <c r="O223" i="14"/>
  <c r="O232" i="14"/>
  <c r="L59" i="14"/>
  <c r="R163" i="14"/>
  <c r="R170" i="14"/>
  <c r="R179" i="14"/>
  <c r="R107" i="14"/>
  <c r="R114" i="14" s="1"/>
  <c r="R115" i="14" s="1"/>
  <c r="O173" i="14"/>
  <c r="P115" i="14"/>
  <c r="R161" i="14"/>
  <c r="R164" i="14"/>
  <c r="R72" i="14"/>
  <c r="P192" i="14"/>
  <c r="P193" i="14"/>
  <c r="R30" i="14"/>
  <c r="P275" i="14"/>
  <c r="R125" i="14"/>
  <c r="R124" i="14"/>
  <c r="R131" i="14"/>
  <c r="P273" i="14"/>
  <c r="R165" i="14"/>
  <c r="Q224" i="14"/>
  <c r="Q226" i="14"/>
  <c r="Q228" i="14"/>
  <c r="Q230" i="14"/>
  <c r="Q223" i="14"/>
  <c r="Q225" i="14"/>
  <c r="Q227" i="14"/>
  <c r="Q229" i="14"/>
  <c r="N270" i="14"/>
  <c r="Q232" i="14"/>
  <c r="R124" i="15"/>
  <c r="R131" i="15"/>
  <c r="O224" i="15"/>
  <c r="O225" i="15"/>
  <c r="O226" i="15"/>
  <c r="O227" i="15"/>
  <c r="O228" i="15"/>
  <c r="O229" i="15"/>
  <c r="O230" i="15"/>
  <c r="R107" i="15"/>
  <c r="R114" i="15" s="1"/>
  <c r="R115" i="15" s="1"/>
  <c r="R30" i="15"/>
  <c r="P275" i="15"/>
  <c r="L59" i="15"/>
  <c r="O169" i="15"/>
  <c r="O223" i="15"/>
  <c r="O232" i="15"/>
  <c r="R56" i="15"/>
  <c r="R59" i="15"/>
  <c r="R161" i="15"/>
  <c r="R170" i="15"/>
  <c r="Q225" i="15"/>
  <c r="Q227" i="15"/>
  <c r="Q229" i="15"/>
  <c r="Q223" i="15"/>
  <c r="Q224" i="15"/>
  <c r="Q226" i="15"/>
  <c r="Q228" i="15"/>
  <c r="Q230" i="15"/>
  <c r="N270" i="15"/>
  <c r="Q232" i="15"/>
  <c r="R177" i="15"/>
  <c r="R179" i="15"/>
  <c r="R172" i="15"/>
  <c r="P115" i="15"/>
  <c r="R164" i="15"/>
  <c r="R72" i="15"/>
  <c r="P273" i="15"/>
  <c r="P192" i="15"/>
  <c r="P193" i="15"/>
  <c r="P188" i="15"/>
  <c r="P189" i="15"/>
  <c r="R165" i="15"/>
  <c r="R172" i="16"/>
  <c r="O224" i="16"/>
  <c r="O225" i="16"/>
  <c r="O226" i="16"/>
  <c r="O227" i="16"/>
  <c r="O228" i="16"/>
  <c r="O229" i="16"/>
  <c r="O230" i="16"/>
  <c r="O169" i="16"/>
  <c r="O223" i="16"/>
  <c r="O232" i="16"/>
  <c r="R30" i="16"/>
  <c r="P275" i="16"/>
  <c r="L59" i="16"/>
  <c r="R170" i="16"/>
  <c r="O235" i="16"/>
  <c r="O244" i="16"/>
  <c r="R107" i="16"/>
  <c r="R115" i="16" s="1"/>
  <c r="R177" i="16"/>
  <c r="R179" i="16"/>
  <c r="P194" i="16"/>
  <c r="O173" i="16"/>
  <c r="P115" i="16"/>
  <c r="R56" i="16"/>
  <c r="R59" i="16"/>
  <c r="R72" i="16"/>
  <c r="R165" i="16"/>
  <c r="P192" i="16"/>
  <c r="P193" i="16"/>
  <c r="P188" i="16"/>
  <c r="P189" i="16"/>
  <c r="R161" i="16"/>
  <c r="R164" i="16"/>
  <c r="P273" i="16"/>
  <c r="Q224" i="16"/>
  <c r="Q228" i="16"/>
  <c r="Q225" i="16"/>
  <c r="Q229" i="16"/>
  <c r="Q226" i="16"/>
  <c r="Q230" i="16"/>
  <c r="Q227" i="16"/>
  <c r="Q223" i="16"/>
  <c r="Q232" i="16"/>
  <c r="O224" i="17"/>
  <c r="O225" i="17"/>
  <c r="O226" i="17"/>
  <c r="O227" i="17"/>
  <c r="O228" i="17"/>
  <c r="O229" i="17"/>
  <c r="O230" i="17"/>
  <c r="R30" i="17"/>
  <c r="P275" i="17"/>
  <c r="R56" i="17"/>
  <c r="R59" i="17"/>
  <c r="R72" i="17"/>
  <c r="O169" i="17"/>
  <c r="O223" i="17"/>
  <c r="O232" i="17"/>
  <c r="L59" i="17"/>
  <c r="R170" i="17"/>
  <c r="R107" i="17"/>
  <c r="R114" i="17" s="1"/>
  <c r="R115" i="17" s="1"/>
  <c r="R179" i="17"/>
  <c r="R172" i="17"/>
  <c r="R161" i="17"/>
  <c r="R164" i="17"/>
  <c r="P273" i="17"/>
  <c r="R165" i="17"/>
  <c r="R41" i="17"/>
  <c r="P188" i="17"/>
  <c r="P189" i="17"/>
  <c r="P192" i="17"/>
  <c r="P193" i="17"/>
  <c r="N270" i="17"/>
  <c r="Q226" i="17"/>
  <c r="Q230" i="17"/>
  <c r="Q229" i="17"/>
  <c r="Q224" i="17"/>
  <c r="Q228" i="17"/>
  <c r="Q223" i="17"/>
  <c r="Q232" i="17"/>
  <c r="Q227" i="17"/>
  <c r="Q225" i="17"/>
  <c r="R172" i="18"/>
  <c r="O224" i="18"/>
  <c r="O225" i="18"/>
  <c r="O226" i="18"/>
  <c r="O227" i="18"/>
  <c r="O228" i="18"/>
  <c r="O229" i="18"/>
  <c r="O230" i="18"/>
  <c r="R41" i="18"/>
  <c r="R56" i="18"/>
  <c r="R59" i="18"/>
  <c r="R161" i="18"/>
  <c r="R164" i="18"/>
  <c r="O169" i="18"/>
  <c r="O173" i="18"/>
  <c r="O223" i="18"/>
  <c r="O232" i="18"/>
  <c r="R30" i="18"/>
  <c r="P275" i="18"/>
  <c r="R170" i="18"/>
  <c r="R107" i="18"/>
  <c r="R114" i="18" s="1"/>
  <c r="R115" i="18" s="1"/>
  <c r="R179" i="18"/>
  <c r="P115" i="18"/>
  <c r="R72" i="18"/>
  <c r="R165" i="18"/>
  <c r="P192" i="18"/>
  <c r="P193" i="18"/>
  <c r="P188" i="18"/>
  <c r="P189" i="18"/>
  <c r="Q225" i="18"/>
  <c r="Q227" i="18"/>
  <c r="Q229" i="18"/>
  <c r="Q223" i="18"/>
  <c r="Q224" i="18"/>
  <c r="Q226" i="18"/>
  <c r="Q228" i="18"/>
  <c r="Q230" i="18"/>
  <c r="N270" i="18"/>
  <c r="Q232" i="18"/>
  <c r="P273" i="18"/>
  <c r="R177" i="19"/>
  <c r="O224" i="19"/>
  <c r="O225" i="19"/>
  <c r="O226" i="19"/>
  <c r="O227" i="19"/>
  <c r="O228" i="19"/>
  <c r="O229" i="19"/>
  <c r="O230" i="19"/>
  <c r="R172" i="19"/>
  <c r="R41" i="19"/>
  <c r="O169" i="19"/>
  <c r="O223" i="19"/>
  <c r="O232" i="19"/>
  <c r="R30" i="19"/>
  <c r="P275" i="19"/>
  <c r="R56" i="19"/>
  <c r="R59" i="19"/>
  <c r="R170" i="19"/>
  <c r="Q225" i="19"/>
  <c r="Q227" i="19"/>
  <c r="Q229" i="19"/>
  <c r="Q224" i="19"/>
  <c r="Q226" i="19"/>
  <c r="Q228" i="19"/>
  <c r="Q230" i="19"/>
  <c r="Q223" i="19"/>
  <c r="Q232" i="19"/>
  <c r="O235" i="19"/>
  <c r="O244" i="19"/>
  <c r="P271" i="19"/>
  <c r="P272" i="19"/>
  <c r="R107" i="19"/>
  <c r="R114" i="19" s="1"/>
  <c r="R115" i="19" s="1"/>
  <c r="P194" i="19"/>
  <c r="R161" i="19"/>
  <c r="R164" i="19"/>
  <c r="R72" i="19"/>
  <c r="P192" i="19"/>
  <c r="P193" i="19"/>
  <c r="P188" i="19"/>
  <c r="P189" i="19"/>
  <c r="R165" i="19"/>
  <c r="P273" i="19"/>
  <c r="R161" i="20" l="1"/>
  <c r="R164" i="20" s="1"/>
  <c r="R72" i="20"/>
  <c r="P273" i="20" l="1"/>
  <c r="R165" i="20"/>
</calcChain>
</file>

<file path=xl/sharedStrings.xml><?xml version="1.0" encoding="utf-8"?>
<sst xmlns="http://schemas.openxmlformats.org/spreadsheetml/2006/main" count="3553" uniqueCount="250">
  <si>
    <t>Summary Transaction  Features</t>
  </si>
  <si>
    <t>Name of Issuer</t>
  </si>
  <si>
    <t>Originator % at Closing</t>
  </si>
  <si>
    <t xml:space="preserve">Originator % at the Quarter End </t>
  </si>
  <si>
    <t>Date of Issue</t>
  </si>
  <si>
    <t>Date of Production</t>
  </si>
  <si>
    <t>Security Level Data</t>
  </si>
  <si>
    <t>Moody's Rating at Closing</t>
  </si>
  <si>
    <t>Current Moody's Rating</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</si>
  <si>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</si>
  <si>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</si>
  <si>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</si>
  <si>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</si>
  <si>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</si>
  <si>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</si>
  <si>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</si>
  <si>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</si>
  <si>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</si>
  <si>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</si>
  <si>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</si>
  <si>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</si>
  <si>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</si>
  <si>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</si>
  <si>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</si>
  <si>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</si>
  <si>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</si>
  <si>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</si>
  <si>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</si>
  <si>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</si>
  <si>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</si>
  <si>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</si>
  <si>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</si>
  <si>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</si>
  <si>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Discretionary Further Advances</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</si>
  <si>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</si>
  <si>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</si>
  <si>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</si>
  <si>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</si>
  <si>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</si>
  <si>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</si>
  <si>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</si>
  <si>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</si>
  <si>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</si>
  <si>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</si>
  <si>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</si>
  <si>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</si>
  <si>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</si>
  <si>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</si>
  <si>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</si>
  <si>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</si>
  <si>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</si>
  <si>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</si>
  <si>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</si>
  <si>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</si>
  <si>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</si>
  <si>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</si>
  <si>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</si>
  <si>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</si>
  <si>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</si>
  <si>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</si>
  <si>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</si>
  <si>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</si>
  <si>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</si>
  <si>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</si>
  <si>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</si>
  <si>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</si>
  <si>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</si>
  <si>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</si>
  <si>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</si>
  <si>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</si>
  <si>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</si>
  <si>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</si>
  <si>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</si>
  <si>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</si>
  <si>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</si>
  <si>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</si>
  <si>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</si>
  <si>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</si>
  <si>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</si>
  <si>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</si>
  <si>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John Harvey, St. Catherines Court, Herbert Road, Solihull, West Midlands, B91 3QE</t>
  </si>
  <si>
    <t>Jimmy Giles, St. Catherines Court, Herbert Road, Solihull, West Midlands, B91 3QE</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</si>
  <si>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</si>
  <si>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</si>
  <si>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</si>
  <si>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</si>
  <si>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</si>
  <si>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</si>
  <si>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</si>
  <si>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</si>
  <si>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</si>
  <si>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</si>
  <si>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</si>
  <si>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</si>
  <si>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</si>
  <si>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</si>
  <si>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</si>
  <si>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</si>
  <si>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</si>
  <si>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</si>
  <si>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</si>
  <si>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</si>
  <si>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</si>
  <si>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Pre Funding Reserve</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</si>
  <si>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</si>
  <si>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</si>
  <si>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</si>
  <si>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</si>
  <si>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</si>
  <si>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</si>
  <si>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</si>
  <si>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</si>
  <si>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</si>
  <si>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</si>
  <si>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</si>
  <si>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</si>
  <si>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</si>
  <si>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</si>
  <si>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</si>
  <si>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</si>
  <si>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AAA</t>
  </si>
  <si>
    <t>Appointment of a Receiver of Rent</t>
  </si>
  <si>
    <t>Available Redemption Funds</t>
  </si>
  <si>
    <t>+44 (0) 121 712 2315</t>
  </si>
  <si>
    <t>+44 (0) 121 712 3894</t>
  </si>
  <si>
    <t>john.harvey@paragon-group.co.uk</t>
  </si>
  <si>
    <t>jimmy.giles@paragon-group.co.uk</t>
  </si>
  <si>
    <t>ACTUAL/365</t>
  </si>
  <si>
    <t>Facility at Closing</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</si>
  <si>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</si>
  <si>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</si>
  <si>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</si>
  <si>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</si>
  <si>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</si>
  <si>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</si>
  <si>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</si>
  <si>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</si>
  <si>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</si>
  <si>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</si>
  <si>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</si>
  <si>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Drawings used to fund Mandatory Further Advances during the period</t>
  </si>
  <si>
    <t>Fitch Rating at Closing</t>
  </si>
  <si>
    <t>Current Fitch Rating</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</si>
  <si>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</si>
  <si>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</si>
  <si>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</si>
  <si>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</si>
  <si>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</si>
  <si>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</si>
  <si>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</si>
  <si>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</si>
  <si>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</si>
  <si>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Closing Flexible Drawing Facility balance</t>
  </si>
  <si>
    <t>Total Income as a % of the Total Assets</t>
  </si>
  <si>
    <t>Aggregate Balance of Substituted Loans (Pre Funding Reserve)</t>
  </si>
  <si>
    <t>Margin Reserve Fund</t>
  </si>
  <si>
    <t>Opening Balance</t>
  </si>
  <si>
    <t>Closing Balance</t>
  </si>
  <si>
    <t>Swap Receipts</t>
  </si>
  <si>
    <t>Scheduled Release to the Revenue Ledger</t>
  </si>
  <si>
    <t xml:space="preserve">Scheduled Releases from the Margin Reserve Fund </t>
  </si>
  <si>
    <t>Delinquency Summary (For Receiver of Rent Cases)</t>
  </si>
  <si>
    <t>Andrew Kitching, St. Catherines Court, Herbert Road, Solihull, West Midlands, B91 3QE</t>
  </si>
  <si>
    <t>+44 (0) 121 712 3896</t>
  </si>
  <si>
    <t>andrew.kitching@paragon-group.co.uk</t>
  </si>
  <si>
    <t>N/A: Sequential Paydown</t>
  </si>
  <si>
    <t>Accrual from Revenue for potential Losses</t>
  </si>
  <si>
    <t>Possession Properties Sold</t>
  </si>
  <si>
    <t>Paragon Mortgages (No.16) PLC</t>
  </si>
  <si>
    <t>PM16 PLC</t>
  </si>
  <si>
    <t>Class A Notes</t>
  </si>
  <si>
    <t>Class Z Notes</t>
  </si>
  <si>
    <t>PM16 INVESTOR REPORT QUARTER ENDING DECEMBER 2011</t>
  </si>
  <si>
    <t>Stated Maturity - Class Z Notes</t>
  </si>
  <si>
    <t>Delinquency Summary</t>
  </si>
  <si>
    <t>325bp</t>
  </si>
  <si>
    <t>275bp</t>
  </si>
  <si>
    <t>XS0693779802</t>
  </si>
  <si>
    <t>XS0693780487</t>
  </si>
  <si>
    <t>Class Z as a percentage Class A Notes at issue</t>
  </si>
  <si>
    <t>Class A and Z Interest Payment Cycle</t>
  </si>
  <si>
    <t>Class A and Z Interest Calculated on</t>
  </si>
  <si>
    <t>Unrated</t>
  </si>
  <si>
    <t>Optional Redemption (Call) / Turbo Dates</t>
  </si>
  <si>
    <t>Determination Event for Paying Class Z Notes</t>
  </si>
  <si>
    <t>PM (2010) Ltd</t>
  </si>
  <si>
    <t>Drawing on the PFPLC/PM16 Subordinated Loan for Interest Shortfalls</t>
  </si>
  <si>
    <t>Class A Note Interest</t>
  </si>
  <si>
    <t>Issuer Profit Amount</t>
  </si>
  <si>
    <t>Swap Retention fund</t>
  </si>
  <si>
    <t>Junior Administration Fee to MAAL</t>
  </si>
  <si>
    <t>PM (2010) Mandatory Further Advances</t>
  </si>
  <si>
    <t>Class A Note repayment</t>
  </si>
  <si>
    <t>Class Z Note repayment</t>
  </si>
  <si>
    <t>Cover Ratio for Class Z Notes (at last Interest Payment Date)</t>
  </si>
  <si>
    <t xml:space="preserve">Cover Ratio for Class Z Notes (cumulative) </t>
  </si>
  <si>
    <t>Original Weighted Average Note Coupon</t>
  </si>
  <si>
    <t>Current Weighted Average Note Coupon</t>
  </si>
  <si>
    <t>Flexile Drawing Facility (not applicable to PM16)</t>
  </si>
  <si>
    <t>Properties Sold by Mortgagee - Outstanding Principal Balance</t>
  </si>
  <si>
    <t>Minimum Mortgage Rate</t>
  </si>
  <si>
    <t>This Quarter's Scheduled Repayments</t>
  </si>
  <si>
    <t>This Quarter's Unscheduled / Redemptions</t>
  </si>
  <si>
    <t>Replenishments from drawings on the PM16/PFPLC Subordinated Loan</t>
  </si>
  <si>
    <t>Senior Administration Fee to MAAL/ Out of pocket expenses/ Substitute Administrator Commitment Fee/ Substitute Administrator Facilitator Fee/ Surveillance Fees to Rating Agencies</t>
  </si>
  <si>
    <t>This performance report is issued by Moorgate Asset Administration Limited for and on behalf of Paragon Mortgages (No.16) PLC</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</si>
  <si>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</si>
  <si>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</si>
  <si>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</si>
  <si>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</si>
  <si>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</si>
  <si>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Amount (3% of the Class A Notes outstanding)</t>
  </si>
  <si>
    <t>Liquidity Excess Amount (First Loss Fund - Liquidity Amount)</t>
  </si>
  <si>
    <t>Pre Funding Release this quarter</t>
  </si>
  <si>
    <t>Pre Funding Reserve Remaining</t>
  </si>
  <si>
    <t>MFA's</t>
  </si>
  <si>
    <t>Unutilised Pre Funding Reserve diverted to Principal</t>
  </si>
  <si>
    <t>Trustee Fee/Costs and Expenses claimed by the Substitute Administrator</t>
  </si>
  <si>
    <t>Surplus income to the Issuer (prior to Call Option Date)</t>
  </si>
  <si>
    <t>Surplus income diverted to Principal (on or after Call Option Date)</t>
  </si>
  <si>
    <t>Pre Funding Reserve Ledger</t>
  </si>
  <si>
    <t>Current Principal Balance Outstanding (£'000)</t>
  </si>
  <si>
    <t>Pre Funding Reserve Outstanding (£'000)</t>
  </si>
  <si>
    <t>Retention Requirement under Article 122a of Directive 2066/48/EC</t>
  </si>
  <si>
    <t>PDL replenishment (+) from Revenue income / Liquidity Excess Amount / Recovery (+) to Revenue income</t>
  </si>
  <si>
    <t>Accrued Arrears and Interest not Sold to Issuer</t>
  </si>
  <si>
    <t>Total Note Principal</t>
  </si>
  <si>
    <t>Current Outstanding Class Z as a percentage of Current Outstanding Class A Notes</t>
  </si>
  <si>
    <t>Class Z Note Interest and Deferred Interest</t>
  </si>
  <si>
    <t>Total Mortgage Assets</t>
  </si>
  <si>
    <t xml:space="preserve">Outstanding Pre Funding Reserve </t>
  </si>
  <si>
    <t>PM16 INVESTOR REPORT QUARTER ENDING MARCH 2012</t>
  </si>
  <si>
    <t xml:space="preserve">Retained Available Redemption Funds for the funding of Discretionary Further Advances </t>
  </si>
  <si>
    <t>Retained Available Redemption Funds for the funding of future Discretionary Further Advances</t>
  </si>
  <si>
    <t>PM16 INVESTOR REPORT QUARTER ENDING JUNE 2012</t>
  </si>
  <si>
    <t>PM16 INVESTOR REPORT QUARTER ENDING SEPTEMBER 2012</t>
  </si>
  <si>
    <t>PM16 INVESTOR REPORT QUARTER ENDING DECEMBER 2012</t>
  </si>
  <si>
    <t>PM16 INVESTOR REPORT QUARTER ENDING MARCH 2013</t>
  </si>
  <si>
    <t>PM16 INVESTOR REPORT QUARTER ENDING JUNE 2013</t>
  </si>
  <si>
    <t>John Harvey, 51 Homer Road, Solihull, West Midlands, B91 3QJ</t>
  </si>
  <si>
    <t>Andrew Kitching, 51 Homer Road, Solihull, West Midlands, B91 3QJ</t>
  </si>
  <si>
    <t>Jimmy Giles, 51 Homer Road, Solihull, West Midlands, B91 3QJ</t>
  </si>
  <si>
    <t>PM16 INVESTOR REPORT QUARTER ENDING SEPTEMBER 2013</t>
  </si>
  <si>
    <t>PM16 INVESTOR REPORT QUARTER ENDING DECEMBER 2013</t>
  </si>
  <si>
    <t>PM16 INVESTOR REPORT QUARTER ENDING MARCH 2014</t>
  </si>
  <si>
    <t>Retention Requirement under Article 405 of Regulation (EU) No.575/2013 (as amended) (the "Capital Requirements Regulation")</t>
  </si>
  <si>
    <t>PM16 INVESTOR REPORT QUARTER ENDING JUNE 2014</t>
  </si>
  <si>
    <t>PM16 INVESTOR REPORT QUARTER ENDING SEPTEMBER 2014</t>
  </si>
  <si>
    <t>Release of the First Loss Fund following repayment of the Notes</t>
  </si>
  <si>
    <t>Release of the First Loss Fund to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</si>
</sst>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s>
  <fonts count="37"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b/>
      <sz val="12"/>
      <color rgb="FF000080"/>
      <name val="Times New Roman"/>
      <family val="1"/>
    </font>
    <font>
      <sz val="12"/>
      <color rgb="FF000080"/>
      <name val="Times New Roman"/>
      <family val="1"/>
    </font>
    <font>
      <sz val="12"/>
      <color rgb="FF000099"/>
      <name val="Times New Roman"/>
      <family val="1"/>
    </font>
  </fonts>
  <fills count="4">
    <fill>
      <patternFill patternType="none"/>
    </fill>
    <fill>
      <patternFill patternType="gray125"/>
    </fill>
    <fill>
      <patternFill patternType="solid">
        <fgColor indexed="38"/>
        <bgColor indexed="64"/>
      </patternFill>
    </fill>
    <fill>
      <patternFill patternType="solid">
        <fgColor indexed="18"/>
        <bgColor indexed="64"/>
      </patternFill>
    </fill>
  </fills>
  <borders count="17">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s>
  <cellStyleXfs count="2">
    <xf numFmtId="0" fontId="0" fillId="0" borderId="0"/>
    <xf numFmtId="0" fontId="15" fillId="0" borderId="0" applyNumberFormat="0" applyFill="0" applyBorder="0" applyAlignment="0" applyProtection="0">
      <alignment vertical="top"/>
      <protection locked="0"/>
    </xf>
  </cellStyleXfs>
  <cellXfs count="223">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5" fillId="2" borderId="0" xfId="0" applyNumberFormat="1" applyFont="1" applyFill="1" applyAlignment="1"/>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3" fontId="10" fillId="2" borderId="7" xfId="0" applyNumberFormat="1" applyFont="1" applyFill="1" applyBorder="1" applyAlignment="1"/>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6" fillId="2" borderId="7" xfId="0" applyNumberFormat="1" applyFont="1" applyFill="1" applyBorder="1" applyAlignment="1"/>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3" fontId="9" fillId="2" borderId="15" xfId="0" applyNumberFormat="1" applyFont="1" applyFill="1" applyBorder="1" applyAlignment="1" applyProtection="1">
      <alignment horizontal="right"/>
      <protection locked="0"/>
    </xf>
    <xf numFmtId="0" fontId="24" fillId="2" borderId="0" xfId="0" applyNumberFormat="1" applyFont="1" applyFill="1" applyBorder="1" applyAlignment="1"/>
    <xf numFmtId="2" fontId="24" fillId="2" borderId="15" xfId="0" applyNumberFormat="1" applyFont="1" applyFill="1" applyBorder="1" applyAlignment="1" applyProtection="1">
      <alignment horizontal="right"/>
      <protection locked="0"/>
    </xf>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10" fillId="2" borderId="0" xfId="0" applyNumberFormat="1" applyFont="1" applyFill="1" applyBorder="1" applyAlignment="1"/>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0" fontId="26" fillId="2" borderId="15" xfId="0" applyNumberFormat="1" applyFont="1" applyFill="1" applyBorder="1" applyAlignment="1" applyProtection="1">
      <alignment horizontal="right"/>
      <protection locked="0"/>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0" fontId="34" fillId="2" borderId="15" xfId="0" applyNumberFormat="1" applyFont="1" applyFill="1" applyBorder="1" applyAlignment="1"/>
    <xf numFmtId="0" fontId="35" fillId="2" borderId="15" xfId="0" applyNumberFormat="1" applyFont="1" applyFill="1" applyBorder="1" applyAlignment="1"/>
    <xf numFmtId="15" fontId="19" fillId="3" borderId="2" xfId="0" applyNumberFormat="1" applyFont="1" applyFill="1" applyBorder="1" applyAlignment="1">
      <alignment horizontal="center"/>
    </xf>
    <xf numFmtId="0" fontId="25" fillId="2" borderId="0" xfId="0" applyNumberFormat="1" applyFont="1" applyFill="1" applyAlignment="1"/>
    <xf numFmtId="15" fontId="25" fillId="2" borderId="0" xfId="0" applyNumberFormat="1" applyFont="1" applyFill="1" applyAlignment="1">
      <alignment horizontal="center"/>
    </xf>
    <xf numFmtId="4" fontId="36" fillId="2" borderId="15" xfId="0" applyNumberFormat="1" applyFont="1" applyFill="1" applyBorder="1" applyAlignment="1" applyProtection="1">
      <alignment horizontal="right"/>
      <protection locked="0"/>
    </xf>
    <xf numFmtId="2" fontId="36" fillId="2" borderId="15" xfId="0" applyNumberFormat="1" applyFont="1" applyFill="1" applyBorder="1" applyAlignment="1" applyProtection="1">
      <alignment horizontal="right"/>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5175"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5176"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181</xdr:row>
      <xdr:rowOff>171450</xdr:rowOff>
    </xdr:from>
    <xdr:to>
      <xdr:col>1</xdr:col>
      <xdr:colOff>47625</xdr:colOff>
      <xdr:row>182</xdr:row>
      <xdr:rowOff>209550</xdr:rowOff>
    </xdr:to>
    <xdr:pic>
      <xdr:nvPicPr>
        <xdr:cNvPr id="25177"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0141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281</xdr:row>
      <xdr:rowOff>161925</xdr:rowOff>
    </xdr:from>
    <xdr:to>
      <xdr:col>1</xdr:col>
      <xdr:colOff>19050</xdr:colOff>
      <xdr:row>282</xdr:row>
      <xdr:rowOff>200025</xdr:rowOff>
    </xdr:to>
    <xdr:pic>
      <xdr:nvPicPr>
        <xdr:cNvPr id="25178"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1309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281</xdr:row>
      <xdr:rowOff>123825</xdr:rowOff>
    </xdr:from>
    <xdr:to>
      <xdr:col>18</xdr:col>
      <xdr:colOff>1895475</xdr:colOff>
      <xdr:row>282</xdr:row>
      <xdr:rowOff>152400</xdr:rowOff>
    </xdr:to>
    <xdr:pic>
      <xdr:nvPicPr>
        <xdr:cNvPr id="25179"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0928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181</xdr:row>
      <xdr:rowOff>152400</xdr:rowOff>
    </xdr:from>
    <xdr:to>
      <xdr:col>18</xdr:col>
      <xdr:colOff>1924050</xdr:colOff>
      <xdr:row>182</xdr:row>
      <xdr:rowOff>180975</xdr:rowOff>
    </xdr:to>
    <xdr:pic>
      <xdr:nvPicPr>
        <xdr:cNvPr id="25180"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69951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5181"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5182"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5183"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5184"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181</xdr:row>
      <xdr:rowOff>104775</xdr:rowOff>
    </xdr:from>
    <xdr:to>
      <xdr:col>18</xdr:col>
      <xdr:colOff>809625</xdr:colOff>
      <xdr:row>182</xdr:row>
      <xdr:rowOff>133350</xdr:rowOff>
    </xdr:to>
    <xdr:pic>
      <xdr:nvPicPr>
        <xdr:cNvPr id="25185"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69474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281</xdr:row>
      <xdr:rowOff>104775</xdr:rowOff>
    </xdr:from>
    <xdr:to>
      <xdr:col>18</xdr:col>
      <xdr:colOff>895350</xdr:colOff>
      <xdr:row>282</xdr:row>
      <xdr:rowOff>133350</xdr:rowOff>
    </xdr:to>
    <xdr:pic>
      <xdr:nvPicPr>
        <xdr:cNvPr id="25186"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073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5187"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5188"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181</xdr:row>
      <xdr:rowOff>38100</xdr:rowOff>
    </xdr:from>
    <xdr:to>
      <xdr:col>17</xdr:col>
      <xdr:colOff>1152525</xdr:colOff>
      <xdr:row>182</xdr:row>
      <xdr:rowOff>171450</xdr:rowOff>
    </xdr:to>
    <xdr:pic>
      <xdr:nvPicPr>
        <xdr:cNvPr id="25189"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68808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281</xdr:row>
      <xdr:rowOff>57150</xdr:rowOff>
    </xdr:from>
    <xdr:to>
      <xdr:col>17</xdr:col>
      <xdr:colOff>1219200</xdr:colOff>
      <xdr:row>282</xdr:row>
      <xdr:rowOff>190500</xdr:rowOff>
    </xdr:to>
    <xdr:pic>
      <xdr:nvPicPr>
        <xdr:cNvPr id="25190"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02617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183</xdr:row>
      <xdr:rowOff>171450</xdr:rowOff>
    </xdr:from>
    <xdr:to>
      <xdr:col>1</xdr:col>
      <xdr:colOff>47625</xdr:colOff>
      <xdr:row>184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283</xdr:row>
      <xdr:rowOff>161925</xdr:rowOff>
    </xdr:from>
    <xdr:to>
      <xdr:col>1</xdr:col>
      <xdr:colOff>19050</xdr:colOff>
      <xdr:row>284</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283</xdr:row>
      <xdr:rowOff>123825</xdr:rowOff>
    </xdr:from>
    <xdr:to>
      <xdr:col>18</xdr:col>
      <xdr:colOff>1895475</xdr:colOff>
      <xdr:row>284</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183</xdr:row>
      <xdr:rowOff>152400</xdr:rowOff>
    </xdr:from>
    <xdr:to>
      <xdr:col>18</xdr:col>
      <xdr:colOff>1924050</xdr:colOff>
      <xdr:row>184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183</xdr:row>
      <xdr:rowOff>104775</xdr:rowOff>
    </xdr:from>
    <xdr:to>
      <xdr:col>18</xdr:col>
      <xdr:colOff>809625</xdr:colOff>
      <xdr:row>184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283</xdr:row>
      <xdr:rowOff>104775</xdr:rowOff>
    </xdr:from>
    <xdr:to>
      <xdr:col>18</xdr:col>
      <xdr:colOff>895350</xdr:colOff>
      <xdr:row>284</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183</xdr:row>
      <xdr:rowOff>38100</xdr:rowOff>
    </xdr:from>
    <xdr:to>
      <xdr:col>17</xdr:col>
      <xdr:colOff>1152525</xdr:colOff>
      <xdr:row>184</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283</xdr:row>
      <xdr:rowOff>57150</xdr:rowOff>
    </xdr:from>
    <xdr:to>
      <xdr:col>17</xdr:col>
      <xdr:colOff>1219200</xdr:colOff>
      <xdr:row>284</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7137"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7138"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7139"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283</xdr:row>
      <xdr:rowOff>161925</xdr:rowOff>
    </xdr:from>
    <xdr:to>
      <xdr:col>1</xdr:col>
      <xdr:colOff>19050</xdr:colOff>
      <xdr:row>284</xdr:row>
      <xdr:rowOff>200025</xdr:rowOff>
    </xdr:to>
    <xdr:pic>
      <xdr:nvPicPr>
        <xdr:cNvPr id="27140"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53100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283</xdr:row>
      <xdr:rowOff>123825</xdr:rowOff>
    </xdr:from>
    <xdr:to>
      <xdr:col>18</xdr:col>
      <xdr:colOff>1895475</xdr:colOff>
      <xdr:row>284</xdr:row>
      <xdr:rowOff>152400</xdr:rowOff>
    </xdr:to>
    <xdr:pic>
      <xdr:nvPicPr>
        <xdr:cNvPr id="27141"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4929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7142"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7143"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7144"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7145"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7146"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7147"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283</xdr:row>
      <xdr:rowOff>104775</xdr:rowOff>
    </xdr:from>
    <xdr:to>
      <xdr:col>18</xdr:col>
      <xdr:colOff>895350</xdr:colOff>
      <xdr:row>284</xdr:row>
      <xdr:rowOff>133350</xdr:rowOff>
    </xdr:to>
    <xdr:pic>
      <xdr:nvPicPr>
        <xdr:cNvPr id="27148"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473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7149"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7150"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7151"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283</xdr:row>
      <xdr:rowOff>57150</xdr:rowOff>
    </xdr:from>
    <xdr:to>
      <xdr:col>17</xdr:col>
      <xdr:colOff>1219200</xdr:colOff>
      <xdr:row>284</xdr:row>
      <xdr:rowOff>190500</xdr:rowOff>
    </xdr:to>
    <xdr:pic>
      <xdr:nvPicPr>
        <xdr:cNvPr id="27152"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4262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8913"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8914"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8915"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28916"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28917"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8918"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8919"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8920"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8921"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8922"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8923"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28924"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8925"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8926"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8927"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28928"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30801"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30802"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30803"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30804"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30805"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30806"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30807"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30808"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30809"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30810"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30811"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30812"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30813"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30814"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30815"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30816"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3425"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3426"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3427"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23428"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23429"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3430"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3431"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3432"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3433"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3434"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3435"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23436"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3437"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3438"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3439"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23440"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4289"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4290"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4291"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24292"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24293"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4294"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4295"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4296"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4297"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4298"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4299"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24300"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4301"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4302"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4303"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24304"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6145"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6146"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6147"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26148"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26149"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6150"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6151"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6152"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6153"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6154"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6155"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26156"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6157"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6158"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6159"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26160"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8017"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8018"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8019"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28020"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28021"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8022"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8023"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8024"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8025"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8026"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8027"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28028"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8029"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8030"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8031"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28032"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9825"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116</xdr:row>
      <xdr:rowOff>161925</xdr:rowOff>
    </xdr:from>
    <xdr:to>
      <xdr:col>1</xdr:col>
      <xdr:colOff>28575</xdr:colOff>
      <xdr:row>117</xdr:row>
      <xdr:rowOff>200025</xdr:rowOff>
    </xdr:to>
    <xdr:pic>
      <xdr:nvPicPr>
        <xdr:cNvPr id="29826"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39172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182</xdr:row>
      <xdr:rowOff>171450</xdr:rowOff>
    </xdr:from>
    <xdr:to>
      <xdr:col>1</xdr:col>
      <xdr:colOff>47625</xdr:colOff>
      <xdr:row>183</xdr:row>
      <xdr:rowOff>209550</xdr:rowOff>
    </xdr:to>
    <xdr:pic>
      <xdr:nvPicPr>
        <xdr:cNvPr id="29827"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72141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282</xdr:row>
      <xdr:rowOff>161925</xdr:rowOff>
    </xdr:from>
    <xdr:to>
      <xdr:col>1</xdr:col>
      <xdr:colOff>19050</xdr:colOff>
      <xdr:row>283</xdr:row>
      <xdr:rowOff>200025</xdr:rowOff>
    </xdr:to>
    <xdr:pic>
      <xdr:nvPicPr>
        <xdr:cNvPr id="29828"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733097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282</xdr:row>
      <xdr:rowOff>123825</xdr:rowOff>
    </xdr:from>
    <xdr:to>
      <xdr:col>18</xdr:col>
      <xdr:colOff>1895475</xdr:colOff>
      <xdr:row>283</xdr:row>
      <xdr:rowOff>152400</xdr:rowOff>
    </xdr:to>
    <xdr:pic>
      <xdr:nvPicPr>
        <xdr:cNvPr id="29829"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572928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182</xdr:row>
      <xdr:rowOff>152400</xdr:rowOff>
    </xdr:from>
    <xdr:to>
      <xdr:col>18</xdr:col>
      <xdr:colOff>1924050</xdr:colOff>
      <xdr:row>183</xdr:row>
      <xdr:rowOff>180975</xdr:rowOff>
    </xdr:to>
    <xdr:pic>
      <xdr:nvPicPr>
        <xdr:cNvPr id="29830"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71951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116</xdr:row>
      <xdr:rowOff>161925</xdr:rowOff>
    </xdr:from>
    <xdr:to>
      <xdr:col>18</xdr:col>
      <xdr:colOff>1952625</xdr:colOff>
      <xdr:row>117</xdr:row>
      <xdr:rowOff>190500</xdr:rowOff>
    </xdr:to>
    <xdr:pic>
      <xdr:nvPicPr>
        <xdr:cNvPr id="29831"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39172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9832"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9833"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116</xdr:row>
      <xdr:rowOff>123825</xdr:rowOff>
    </xdr:from>
    <xdr:to>
      <xdr:col>18</xdr:col>
      <xdr:colOff>895350</xdr:colOff>
      <xdr:row>117</xdr:row>
      <xdr:rowOff>152400</xdr:rowOff>
    </xdr:to>
    <xdr:pic>
      <xdr:nvPicPr>
        <xdr:cNvPr id="29834"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3879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182</xdr:row>
      <xdr:rowOff>104775</xdr:rowOff>
    </xdr:from>
    <xdr:to>
      <xdr:col>18</xdr:col>
      <xdr:colOff>809625</xdr:colOff>
      <xdr:row>183</xdr:row>
      <xdr:rowOff>133350</xdr:rowOff>
    </xdr:to>
    <xdr:pic>
      <xdr:nvPicPr>
        <xdr:cNvPr id="29835"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71475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282</xdr:row>
      <xdr:rowOff>104775</xdr:rowOff>
    </xdr:from>
    <xdr:to>
      <xdr:col>18</xdr:col>
      <xdr:colOff>895350</xdr:colOff>
      <xdr:row>283</xdr:row>
      <xdr:rowOff>133350</xdr:rowOff>
    </xdr:to>
    <xdr:pic>
      <xdr:nvPicPr>
        <xdr:cNvPr id="29836"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572738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9837"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116</xdr:row>
      <xdr:rowOff>28575</xdr:rowOff>
    </xdr:from>
    <xdr:to>
      <xdr:col>17</xdr:col>
      <xdr:colOff>1152525</xdr:colOff>
      <xdr:row>117</xdr:row>
      <xdr:rowOff>161925</xdr:rowOff>
    </xdr:to>
    <xdr:pic>
      <xdr:nvPicPr>
        <xdr:cNvPr id="29838"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37839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182</xdr:row>
      <xdr:rowOff>38100</xdr:rowOff>
    </xdr:from>
    <xdr:to>
      <xdr:col>17</xdr:col>
      <xdr:colOff>1152525</xdr:colOff>
      <xdr:row>183</xdr:row>
      <xdr:rowOff>171450</xdr:rowOff>
    </xdr:to>
    <xdr:pic>
      <xdr:nvPicPr>
        <xdr:cNvPr id="29839"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70808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282</xdr:row>
      <xdr:rowOff>57150</xdr:rowOff>
    </xdr:from>
    <xdr:to>
      <xdr:col>17</xdr:col>
      <xdr:colOff>1219200</xdr:colOff>
      <xdr:row>283</xdr:row>
      <xdr:rowOff>190500</xdr:rowOff>
    </xdr:to>
    <xdr:pic>
      <xdr:nvPicPr>
        <xdr:cNvPr id="29840"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5722620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3"/>
  </sheetPr>
  <dimension ref="A1:IR284"/>
  <sheetViews>
    <sheetView showGridLines="0" showOutlineSymbols="0" topLeftCell="A52" zoomScale="70" zoomScaleNormal="70" workbookViewId="0">
      <selection activeCell="R83" sqref="R83"/>
    </sheetView>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40928</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v>0</v>
      </c>
      <c r="G29" s="208"/>
      <c r="H29" s="208">
        <v>0</v>
      </c>
      <c r="I29" s="129"/>
      <c r="J29" s="133"/>
      <c r="K29" s="129"/>
      <c r="L29" s="133"/>
      <c r="M29" s="129"/>
      <c r="N29" s="133"/>
      <c r="O29" s="129"/>
      <c r="P29" s="129"/>
      <c r="Q29" s="130"/>
      <c r="R29" s="129">
        <f>SUM(F29:H29)</f>
        <v>0</v>
      </c>
      <c r="S29" s="131"/>
      <c r="T29" s="2"/>
    </row>
    <row r="30" spans="1:20" ht="15.75" x14ac:dyDescent="0.25">
      <c r="A30" s="125"/>
      <c r="B30" s="124" t="s">
        <v>114</v>
      </c>
      <c r="C30" s="128"/>
      <c r="D30" s="136"/>
      <c r="E30" s="136"/>
      <c r="F30" s="209">
        <f>F31*F28</f>
        <v>131612.37999000002</v>
      </c>
      <c r="G30" s="209"/>
      <c r="H30" s="209">
        <f>H31*H28</f>
        <v>32100</v>
      </c>
      <c r="I30" s="134"/>
      <c r="J30" s="136"/>
      <c r="K30" s="134"/>
      <c r="L30" s="136"/>
      <c r="M30" s="134"/>
      <c r="N30" s="136"/>
      <c r="O30" s="129"/>
      <c r="P30" s="129"/>
      <c r="Q30" s="130"/>
      <c r="R30" s="210">
        <f>SUM(F30:H30)</f>
        <v>163712.37999000002</v>
      </c>
      <c r="S30" s="131"/>
      <c r="T30" s="2"/>
    </row>
    <row r="31" spans="1:20" ht="15.75" x14ac:dyDescent="0.25">
      <c r="A31" s="115"/>
      <c r="B31" s="137" t="s">
        <v>110</v>
      </c>
      <c r="C31" s="138"/>
      <c r="D31" s="139"/>
      <c r="E31" s="139"/>
      <c r="F31" s="139">
        <v>0.99933470000000002</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1</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3.6141100000000002E-2</v>
      </c>
      <c r="G34" s="146"/>
      <c r="H34" s="146">
        <v>4.11411E-2</v>
      </c>
      <c r="I34" s="146"/>
      <c r="J34" s="146"/>
      <c r="K34" s="146"/>
      <c r="L34" s="146"/>
      <c r="M34" s="145"/>
      <c r="N34" s="146"/>
      <c r="O34" s="126"/>
      <c r="P34" s="126"/>
      <c r="Q34" s="118"/>
      <c r="R34" s="145">
        <f>SUMPRODUCT(F34:H34,F28:H28)/R28</f>
        <v>3.7120953479853482E-2</v>
      </c>
      <c r="S34" s="119"/>
      <c r="T34" s="2"/>
    </row>
    <row r="35" spans="1:21" ht="15.75" x14ac:dyDescent="0.25">
      <c r="A35" s="115"/>
      <c r="B35" s="116" t="s">
        <v>12</v>
      </c>
      <c r="C35" s="147"/>
      <c r="D35" s="146"/>
      <c r="E35" s="146"/>
      <c r="F35" s="146">
        <v>0</v>
      </c>
      <c r="G35" s="146"/>
      <c r="H35" s="146">
        <v>0</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0.24389802845628183</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40924</v>
      </c>
      <c r="S45" s="119"/>
      <c r="T45" s="2"/>
    </row>
    <row r="46" spans="1:21" ht="15.75" x14ac:dyDescent="0.25">
      <c r="A46" s="115"/>
      <c r="B46" s="116" t="s">
        <v>106</v>
      </c>
      <c r="C46" s="116"/>
      <c r="D46" s="153"/>
      <c r="E46" s="153"/>
      <c r="F46" s="153"/>
      <c r="G46" s="153"/>
      <c r="H46" s="153"/>
      <c r="I46" s="153"/>
      <c r="J46" s="153"/>
      <c r="K46" s="153"/>
      <c r="L46" s="153"/>
      <c r="M46" s="153"/>
      <c r="N46" s="116"/>
      <c r="O46" s="153"/>
      <c r="P46" s="154"/>
      <c r="Q46" s="155"/>
      <c r="R46" s="154"/>
      <c r="S46" s="119"/>
      <c r="T46" s="2"/>
    </row>
    <row r="47" spans="1:21" ht="15.75" x14ac:dyDescent="0.25">
      <c r="A47" s="115"/>
      <c r="B47" s="116" t="s">
        <v>107</v>
      </c>
      <c r="C47" s="116"/>
      <c r="D47" s="116"/>
      <c r="E47" s="116"/>
      <c r="F47" s="116"/>
      <c r="G47" s="116"/>
      <c r="H47" s="116"/>
      <c r="I47" s="116"/>
      <c r="J47" s="116"/>
      <c r="K47" s="116"/>
      <c r="L47" s="116"/>
      <c r="M47" s="116"/>
      <c r="N47" s="116">
        <f>+R47-P47+1</f>
        <v>67</v>
      </c>
      <c r="O47" s="116"/>
      <c r="P47" s="154">
        <v>40857</v>
      </c>
      <c r="Q47" s="155"/>
      <c r="R47" s="154">
        <v>40923</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40911</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172</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128530</v>
      </c>
      <c r="I56" s="158"/>
      <c r="J56" s="159">
        <v>70</v>
      </c>
      <c r="K56" s="158"/>
      <c r="L56" s="158">
        <f>77+1</f>
        <v>78</v>
      </c>
      <c r="M56" s="158"/>
      <c r="N56" s="158">
        <v>60</v>
      </c>
      <c r="O56" s="158"/>
      <c r="P56" s="158">
        <v>0</v>
      </c>
      <c r="Q56" s="158"/>
      <c r="R56" s="159">
        <f>F56-J56-L56+N56-P56</f>
        <v>128442</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128530</v>
      </c>
      <c r="I59" s="158"/>
      <c r="J59" s="158">
        <f>J56+J57</f>
        <v>70</v>
      </c>
      <c r="K59" s="158"/>
      <c r="L59" s="158">
        <f>SUM(L56:L58)</f>
        <v>78</v>
      </c>
      <c r="M59" s="158"/>
      <c r="N59" s="158">
        <f>SUM(N56:N58)</f>
        <v>60</v>
      </c>
      <c r="O59" s="158"/>
      <c r="P59" s="158">
        <f>SUM(P56:P58)</f>
        <v>0</v>
      </c>
      <c r="Q59" s="158"/>
      <c r="R59" s="158">
        <f>SUM(R56:R58)</f>
        <v>128442</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103</v>
      </c>
      <c r="C69" s="158"/>
      <c r="D69" s="158"/>
      <c r="E69" s="158"/>
      <c r="F69" s="158">
        <v>35270</v>
      </c>
      <c r="G69" s="158"/>
      <c r="H69" s="158">
        <v>35270</v>
      </c>
      <c r="I69" s="158"/>
      <c r="J69" s="158">
        <v>0</v>
      </c>
      <c r="K69" s="158"/>
      <c r="L69" s="158"/>
      <c r="M69" s="158"/>
      <c r="N69" s="158"/>
      <c r="O69" s="158"/>
      <c r="P69" s="158"/>
      <c r="Q69" s="158"/>
      <c r="R69" s="158">
        <f>SUM(H69:N69)</f>
        <v>35270</v>
      </c>
      <c r="S69" s="119"/>
      <c r="T69" s="2"/>
    </row>
    <row r="70" spans="1:20" ht="15.75" x14ac:dyDescent="0.25">
      <c r="A70" s="115"/>
      <c r="B70" s="116" t="s">
        <v>122</v>
      </c>
      <c r="C70" s="158"/>
      <c r="D70" s="158"/>
      <c r="E70" s="158"/>
      <c r="F70" s="158">
        <v>0</v>
      </c>
      <c r="G70" s="158"/>
      <c r="H70" s="158">
        <v>0</v>
      </c>
      <c r="I70" s="158"/>
      <c r="J70" s="158">
        <v>0</v>
      </c>
      <c r="K70" s="158"/>
      <c r="L70" s="158"/>
      <c r="M70" s="158"/>
      <c r="N70" s="158"/>
      <c r="O70" s="158"/>
      <c r="P70" s="158"/>
      <c r="Q70" s="158"/>
      <c r="R70" s="158">
        <f>+H70+J70+L70</f>
        <v>0</v>
      </c>
      <c r="S70" s="119"/>
      <c r="T70" s="2"/>
    </row>
    <row r="71" spans="1:20"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23</v>
      </c>
      <c r="C72" s="158"/>
      <c r="D72" s="158"/>
      <c r="E72" s="158"/>
      <c r="F72" s="158">
        <f>SUM(F59:F71)</f>
        <v>163800</v>
      </c>
      <c r="G72" s="158"/>
      <c r="H72" s="158">
        <f>SUM(H59:H71)</f>
        <v>163800</v>
      </c>
      <c r="I72" s="158"/>
      <c r="J72" s="158"/>
      <c r="K72" s="158"/>
      <c r="L72" s="158"/>
      <c r="M72" s="158"/>
      <c r="N72" s="158"/>
      <c r="O72" s="158"/>
      <c r="P72" s="158"/>
      <c r="Q72" s="158"/>
      <c r="R72" s="158">
        <f>SUM(R59:R71)</f>
        <v>163712</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24</v>
      </c>
      <c r="C75" s="63"/>
      <c r="D75" s="64"/>
      <c r="E75" s="64"/>
      <c r="F75" s="64"/>
      <c r="G75" s="64"/>
      <c r="H75" s="65" t="s">
        <v>83</v>
      </c>
      <c r="I75" s="64"/>
      <c r="J75" s="66">
        <f>+P184</f>
        <v>40907</v>
      </c>
      <c r="K75" s="64"/>
      <c r="L75" s="64"/>
      <c r="M75" s="64"/>
      <c r="N75" s="64"/>
      <c r="O75" s="64"/>
      <c r="P75" s="64" t="s">
        <v>93</v>
      </c>
      <c r="Q75" s="64"/>
      <c r="R75" s="64" t="s">
        <v>99</v>
      </c>
      <c r="S75" s="56"/>
      <c r="T75" s="2"/>
    </row>
    <row r="76" spans="1:20" ht="15.75" x14ac:dyDescent="0.25">
      <c r="A76" s="79"/>
      <c r="B76" s="81" t="s">
        <v>25</v>
      </c>
      <c r="C76" s="25"/>
      <c r="D76" s="25"/>
      <c r="E76" s="25"/>
      <c r="F76" s="25"/>
      <c r="G76" s="25"/>
      <c r="H76" s="25"/>
      <c r="I76" s="25"/>
      <c r="J76" s="25"/>
      <c r="K76" s="25"/>
      <c r="L76" s="25"/>
      <c r="M76" s="25"/>
      <c r="N76" s="25"/>
      <c r="O76" s="25"/>
      <c r="P76" s="80">
        <v>0</v>
      </c>
      <c r="Q76" s="81"/>
      <c r="R76" s="84">
        <v>12</v>
      </c>
      <c r="S76" s="25"/>
      <c r="T76" s="2"/>
    </row>
    <row r="77" spans="1:20"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0" ht="15.75" x14ac:dyDescent="0.25">
      <c r="A78" s="125"/>
      <c r="B78" s="116" t="s">
        <v>26</v>
      </c>
      <c r="C78" s="138"/>
      <c r="D78" s="160"/>
      <c r="E78" s="160"/>
      <c r="F78" s="160"/>
      <c r="G78" s="161"/>
      <c r="H78" s="160"/>
      <c r="I78" s="138"/>
      <c r="J78" s="162"/>
      <c r="K78" s="138"/>
      <c r="L78" s="138"/>
      <c r="M78" s="138"/>
      <c r="N78" s="138"/>
      <c r="O78" s="138"/>
      <c r="P78" s="158">
        <v>148</v>
      </c>
      <c r="Q78" s="116"/>
      <c r="R78" s="159"/>
      <c r="S78" s="142"/>
      <c r="T78" s="2"/>
    </row>
    <row r="79" spans="1:20" ht="15.75" x14ac:dyDescent="0.25">
      <c r="A79" s="125"/>
      <c r="B79" s="116" t="s">
        <v>148</v>
      </c>
      <c r="C79" s="138"/>
      <c r="D79" s="160"/>
      <c r="E79" s="160"/>
      <c r="F79" s="160"/>
      <c r="G79" s="161"/>
      <c r="H79" s="160"/>
      <c r="I79" s="138"/>
      <c r="J79" s="162"/>
      <c r="K79" s="138"/>
      <c r="L79" s="138"/>
      <c r="M79" s="138"/>
      <c r="N79" s="138"/>
      <c r="O79" s="138"/>
      <c r="P79" s="158"/>
      <c r="Q79" s="116"/>
      <c r="R79" s="159">
        <f>1095-70</f>
        <v>1025</v>
      </c>
      <c r="S79" s="142"/>
      <c r="T79" s="2"/>
    </row>
    <row r="80" spans="1:20" ht="15.75" x14ac:dyDescent="0.25">
      <c r="A80" s="125"/>
      <c r="B80" s="116" t="s">
        <v>146</v>
      </c>
      <c r="C80" s="138"/>
      <c r="D80" s="160"/>
      <c r="E80" s="160"/>
      <c r="F80" s="160"/>
      <c r="G80" s="161"/>
      <c r="H80" s="160"/>
      <c r="I80" s="138"/>
      <c r="J80" s="162"/>
      <c r="K80" s="138"/>
      <c r="L80" s="138"/>
      <c r="M80" s="138"/>
      <c r="N80" s="138"/>
      <c r="O80" s="138"/>
      <c r="P80" s="158"/>
      <c r="Q80" s="116"/>
      <c r="R80" s="159">
        <v>2</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14</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197</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148</v>
      </c>
      <c r="Q88" s="116"/>
      <c r="R88" s="158">
        <f>SUM(R76:R87)</f>
        <v>1250</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148</v>
      </c>
      <c r="Q91" s="116"/>
      <c r="R91" s="158">
        <f>R88+R89+R90</f>
        <v>1250</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-152</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-27-3</f>
        <v>-30</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-68</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-874</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-3</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-114</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v>0</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0</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-P170</f>
        <v>-23</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-O170</f>
        <v>-37</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-88</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-148</v>
      </c>
      <c r="Q114" s="158"/>
      <c r="R114" s="158">
        <f>SUM(R92:R113)</f>
        <v>-1250</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DECEMBER 2011</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965.62860029999956</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3948.3713997000004</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f>+F69</f>
        <v>35270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35270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492</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197</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295</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128442</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35270</v>
      </c>
      <c r="S162" s="119"/>
      <c r="T162" s="2"/>
    </row>
    <row r="163" spans="1:20" ht="15.75" x14ac:dyDescent="0.25">
      <c r="A163" s="115"/>
      <c r="B163" s="116" t="s">
        <v>136</v>
      </c>
      <c r="C163" s="116"/>
      <c r="D163" s="116"/>
      <c r="E163" s="116"/>
      <c r="F163" s="116"/>
      <c r="G163" s="116"/>
      <c r="H163" s="116"/>
      <c r="I163" s="116"/>
      <c r="J163" s="116"/>
      <c r="K163" s="116"/>
      <c r="L163" s="116"/>
      <c r="M163" s="116"/>
      <c r="N163" s="116"/>
      <c r="O163" s="116"/>
      <c r="P163" s="116"/>
      <c r="Q163" s="116"/>
      <c r="R163" s="159">
        <f>+R161+R162</f>
        <v>163712</v>
      </c>
      <c r="S163" s="119"/>
      <c r="T163" s="2"/>
    </row>
    <row r="164" spans="1:20" ht="15.75" x14ac:dyDescent="0.25">
      <c r="A164" s="115"/>
      <c r="B164" s="116" t="s">
        <v>48</v>
      </c>
      <c r="C164" s="116"/>
      <c r="D164" s="116"/>
      <c r="E164" s="116"/>
      <c r="F164" s="116"/>
      <c r="G164" s="116"/>
      <c r="H164" s="116"/>
      <c r="I164" s="116"/>
      <c r="J164" s="116"/>
      <c r="K164" s="116"/>
      <c r="L164" s="116"/>
      <c r="M164" s="116"/>
      <c r="N164" s="116"/>
      <c r="O164" s="116"/>
      <c r="P164" s="116"/>
      <c r="Q164" s="116"/>
      <c r="R164" s="159">
        <f>R72</f>
        <v>163712</v>
      </c>
      <c r="S164" s="119"/>
      <c r="T164" s="2"/>
    </row>
    <row r="165" spans="1:20" ht="16.5" thickBot="1" x14ac:dyDescent="0.3">
      <c r="A165" s="12"/>
      <c r="B165" s="43"/>
      <c r="C165" s="43"/>
      <c r="D165" s="43"/>
      <c r="E165" s="43"/>
      <c r="F165" s="43"/>
      <c r="G165" s="43"/>
      <c r="H165" s="43"/>
      <c r="I165" s="43"/>
      <c r="J165" s="43"/>
      <c r="K165" s="43"/>
      <c r="L165" s="43"/>
      <c r="M165" s="43"/>
      <c r="N165" s="43"/>
      <c r="O165" s="43"/>
      <c r="P165" s="43"/>
      <c r="Q165" s="43"/>
      <c r="R165" s="165"/>
      <c r="S165" s="43"/>
      <c r="T165" s="2"/>
    </row>
    <row r="166" spans="1:20" ht="15.75" x14ac:dyDescent="0.25">
      <c r="A166" s="10"/>
      <c r="B166" s="11"/>
      <c r="C166" s="11"/>
      <c r="D166" s="11"/>
      <c r="E166" s="11"/>
      <c r="F166" s="11"/>
      <c r="G166" s="11"/>
      <c r="H166" s="11"/>
      <c r="I166" s="11"/>
      <c r="J166" s="11"/>
      <c r="K166" s="11"/>
      <c r="L166" s="11"/>
      <c r="M166" s="11"/>
      <c r="N166" s="11"/>
      <c r="O166" s="11"/>
      <c r="P166" s="11"/>
      <c r="Q166" s="11"/>
      <c r="R166" s="32"/>
      <c r="S166" s="11"/>
      <c r="T166" s="2"/>
    </row>
    <row r="167" spans="1:20" ht="15.75" x14ac:dyDescent="0.25">
      <c r="A167" s="12"/>
      <c r="B167" s="41" t="s">
        <v>49</v>
      </c>
      <c r="C167" s="37"/>
      <c r="D167" s="45"/>
      <c r="E167" s="45"/>
      <c r="F167" s="45"/>
      <c r="G167" s="45"/>
      <c r="H167" s="45"/>
      <c r="I167" s="45"/>
      <c r="J167" s="45"/>
      <c r="K167" s="45"/>
      <c r="L167" s="45"/>
      <c r="M167" s="45"/>
      <c r="N167" s="45"/>
      <c r="O167" s="45" t="s">
        <v>88</v>
      </c>
      <c r="P167" s="45" t="s">
        <v>215</v>
      </c>
      <c r="Q167" s="16"/>
      <c r="R167" s="46" t="s">
        <v>100</v>
      </c>
      <c r="S167" s="47"/>
      <c r="T167" s="2"/>
    </row>
    <row r="168" spans="1:20" ht="15.75" x14ac:dyDescent="0.25">
      <c r="A168" s="115"/>
      <c r="B168" s="116" t="s">
        <v>50</v>
      </c>
      <c r="C168" s="116"/>
      <c r="D168" s="116"/>
      <c r="E168" s="116"/>
      <c r="F168" s="116"/>
      <c r="G168" s="116"/>
      <c r="H168" s="116"/>
      <c r="I168" s="116"/>
      <c r="J168" s="116"/>
      <c r="K168" s="116"/>
      <c r="L168" s="116"/>
      <c r="M168" s="116"/>
      <c r="N168" s="116"/>
      <c r="O168" s="159">
        <f>+R28*0.16</f>
        <v>26208</v>
      </c>
      <c r="P168" s="148"/>
      <c r="Q168" s="116"/>
      <c r="R168" s="159"/>
      <c r="S168" s="119"/>
      <c r="T168" s="2"/>
    </row>
    <row r="169" spans="1:20" ht="15.75" x14ac:dyDescent="0.25">
      <c r="A169" s="115"/>
      <c r="B169" s="116" t="s">
        <v>51</v>
      </c>
      <c r="C169" s="116"/>
      <c r="D169" s="116"/>
      <c r="E169" s="116"/>
      <c r="F169" s="116"/>
      <c r="G169" s="116"/>
      <c r="H169" s="116"/>
      <c r="I169" s="116"/>
      <c r="J169" s="116"/>
      <c r="K169" s="116"/>
      <c r="L169" s="116"/>
      <c r="M169" s="116"/>
      <c r="N169" s="116"/>
      <c r="O169" s="159">
        <v>0</v>
      </c>
      <c r="P169" s="159">
        <v>0</v>
      </c>
      <c r="Q169" s="116"/>
      <c r="R169" s="159">
        <f>O169+P169</f>
        <v>0</v>
      </c>
      <c r="S169" s="119"/>
      <c r="T169" s="2"/>
    </row>
    <row r="170" spans="1:20" ht="15.75" x14ac:dyDescent="0.25">
      <c r="A170" s="115"/>
      <c r="B170" s="116" t="s">
        <v>52</v>
      </c>
      <c r="C170" s="116"/>
      <c r="D170" s="116"/>
      <c r="E170" s="116"/>
      <c r="F170" s="116"/>
      <c r="G170" s="116"/>
      <c r="H170" s="116"/>
      <c r="I170" s="116"/>
      <c r="J170" s="116"/>
      <c r="K170" s="116"/>
      <c r="L170" s="116"/>
      <c r="M170" s="116"/>
      <c r="N170" s="116"/>
      <c r="O170" s="158">
        <v>37</v>
      </c>
      <c r="P170" s="158">
        <v>23</v>
      </c>
      <c r="Q170" s="116"/>
      <c r="R170" s="159">
        <f>O170+P170</f>
        <v>60</v>
      </c>
      <c r="S170" s="119"/>
      <c r="T170" s="2"/>
    </row>
    <row r="171" spans="1:20" ht="15.75" x14ac:dyDescent="0.25">
      <c r="A171" s="115"/>
      <c r="B171" s="116" t="s">
        <v>53</v>
      </c>
      <c r="C171" s="116"/>
      <c r="D171" s="116"/>
      <c r="E171" s="116"/>
      <c r="F171" s="116"/>
      <c r="G171" s="116"/>
      <c r="H171" s="116"/>
      <c r="I171" s="116"/>
      <c r="J171" s="116"/>
      <c r="K171" s="116"/>
      <c r="L171" s="116"/>
      <c r="M171" s="116"/>
      <c r="N171" s="116"/>
      <c r="O171" s="159">
        <f>O169+O170</f>
        <v>37</v>
      </c>
      <c r="P171" s="159">
        <f>P170+P169</f>
        <v>23</v>
      </c>
      <c r="Q171" s="116"/>
      <c r="R171" s="159">
        <f>O171+P171</f>
        <v>60</v>
      </c>
      <c r="S171" s="119"/>
      <c r="T171" s="2"/>
    </row>
    <row r="172" spans="1:20" ht="15.75" x14ac:dyDescent="0.25">
      <c r="A172" s="115"/>
      <c r="B172" s="116" t="s">
        <v>54</v>
      </c>
      <c r="C172" s="116"/>
      <c r="D172" s="116"/>
      <c r="E172" s="116"/>
      <c r="F172" s="116"/>
      <c r="G172" s="116"/>
      <c r="H172" s="116"/>
      <c r="I172" s="116"/>
      <c r="J172" s="116"/>
      <c r="K172" s="116"/>
      <c r="L172" s="116"/>
      <c r="M172" s="116"/>
      <c r="N172" s="116"/>
      <c r="O172" s="159">
        <f>O168-O171-P171</f>
        <v>26148</v>
      </c>
      <c r="P172" s="148"/>
      <c r="Q172" s="116"/>
      <c r="R172" s="159"/>
      <c r="S172" s="119"/>
      <c r="T172" s="2"/>
    </row>
    <row r="173" spans="1:20" ht="16.5" thickBot="1" x14ac:dyDescent="0.3">
      <c r="A173" s="12"/>
      <c r="B173" s="43"/>
      <c r="C173" s="43"/>
      <c r="D173" s="43"/>
      <c r="E173" s="43"/>
      <c r="F173" s="43"/>
      <c r="G173" s="43"/>
      <c r="H173" s="43"/>
      <c r="I173" s="43"/>
      <c r="J173" s="43"/>
      <c r="K173" s="43"/>
      <c r="L173" s="43"/>
      <c r="M173" s="43"/>
      <c r="N173" s="43"/>
      <c r="O173" s="43"/>
      <c r="P173" s="43"/>
      <c r="Q173" s="43"/>
      <c r="R173" s="165"/>
      <c r="S173" s="43"/>
      <c r="T173" s="2"/>
    </row>
    <row r="174" spans="1:20" ht="15.75" x14ac:dyDescent="0.25">
      <c r="A174" s="10"/>
      <c r="B174" s="11"/>
      <c r="C174" s="11"/>
      <c r="D174" s="11"/>
      <c r="E174" s="11"/>
      <c r="F174" s="11"/>
      <c r="G174" s="11"/>
      <c r="H174" s="11"/>
      <c r="I174" s="11"/>
      <c r="J174" s="11"/>
      <c r="K174" s="11"/>
      <c r="L174" s="11"/>
      <c r="M174" s="11"/>
      <c r="N174" s="11"/>
      <c r="O174" s="11"/>
      <c r="P174" s="11"/>
      <c r="Q174" s="11"/>
      <c r="R174" s="32"/>
      <c r="S174" s="11"/>
      <c r="T174" s="2"/>
    </row>
    <row r="175" spans="1:20" ht="15.75" x14ac:dyDescent="0.25">
      <c r="A175" s="12"/>
      <c r="B175" s="41" t="s">
        <v>55</v>
      </c>
      <c r="C175" s="14"/>
      <c r="D175" s="14"/>
      <c r="E175" s="14"/>
      <c r="F175" s="14"/>
      <c r="G175" s="14"/>
      <c r="H175" s="14"/>
      <c r="I175" s="14"/>
      <c r="J175" s="14"/>
      <c r="K175" s="14"/>
      <c r="L175" s="14"/>
      <c r="M175" s="14"/>
      <c r="N175" s="14"/>
      <c r="O175" s="14"/>
      <c r="P175" s="14"/>
      <c r="Q175" s="14"/>
      <c r="R175" s="48"/>
      <c r="S175" s="14"/>
      <c r="T175" s="2"/>
    </row>
    <row r="176" spans="1:20" ht="15.75" x14ac:dyDescent="0.25">
      <c r="A176" s="115"/>
      <c r="B176" s="116" t="s">
        <v>56</v>
      </c>
      <c r="C176" s="116"/>
      <c r="D176" s="116"/>
      <c r="E176" s="116"/>
      <c r="F176" s="116"/>
      <c r="G176" s="116"/>
      <c r="H176" s="116"/>
      <c r="I176" s="116"/>
      <c r="J176" s="116"/>
      <c r="K176" s="116"/>
      <c r="L176" s="116"/>
      <c r="M176" s="116"/>
      <c r="N176" s="116"/>
      <c r="O176" s="116"/>
      <c r="P176" s="116"/>
      <c r="Q176" s="116"/>
      <c r="R176" s="164">
        <f>(R91+R93+R94+R95+R96)/-(R97)</f>
        <v>1.1338672768878719</v>
      </c>
      <c r="S176" s="119" t="s">
        <v>101</v>
      </c>
      <c r="T176" s="2"/>
    </row>
    <row r="177" spans="1:20" ht="15.75" x14ac:dyDescent="0.25">
      <c r="A177" s="115"/>
      <c r="B177" s="116" t="s">
        <v>57</v>
      </c>
      <c r="C177" s="116"/>
      <c r="D177" s="116"/>
      <c r="E177" s="116"/>
      <c r="F177" s="116"/>
      <c r="G177" s="116"/>
      <c r="H177" s="116"/>
      <c r="I177" s="116"/>
      <c r="J177" s="116"/>
      <c r="K177" s="116"/>
      <c r="L177" s="116"/>
      <c r="M177" s="116"/>
      <c r="N177" s="116"/>
      <c r="O177" s="116"/>
      <c r="P177" s="116"/>
      <c r="Q177" s="116"/>
      <c r="R177" s="168">
        <v>1.1299999999999999</v>
      </c>
      <c r="S177" s="119" t="s">
        <v>101</v>
      </c>
      <c r="T177" s="2"/>
    </row>
    <row r="178" spans="1:20" ht="15.75" x14ac:dyDescent="0.25">
      <c r="A178" s="115"/>
      <c r="B178" s="116" t="s">
        <v>194</v>
      </c>
      <c r="C178" s="116"/>
      <c r="D178" s="116"/>
      <c r="E178" s="116"/>
      <c r="F178" s="116"/>
      <c r="G178" s="116"/>
      <c r="H178" s="116"/>
      <c r="I178" s="116"/>
      <c r="J178" s="116"/>
      <c r="K178" s="116"/>
      <c r="L178" s="116"/>
      <c r="M178" s="116"/>
      <c r="N178" s="116"/>
      <c r="O178" s="116"/>
      <c r="P178" s="116"/>
      <c r="Q178" s="116"/>
      <c r="R178" s="164">
        <f>(R91+R93+R94+R95+R96+R97+R98+R99+R100+R101+R102)/-(R103)</f>
        <v>1</v>
      </c>
      <c r="S178" s="119" t="s">
        <v>101</v>
      </c>
      <c r="T178" s="2"/>
    </row>
    <row r="179" spans="1:20" ht="15.75" x14ac:dyDescent="0.25">
      <c r="A179" s="115"/>
      <c r="B179" s="116" t="s">
        <v>195</v>
      </c>
      <c r="C179" s="116"/>
      <c r="D179" s="116"/>
      <c r="E179" s="116"/>
      <c r="F179" s="116"/>
      <c r="G179" s="116"/>
      <c r="H179" s="116"/>
      <c r="I179" s="116"/>
      <c r="J179" s="116"/>
      <c r="K179" s="116"/>
      <c r="L179" s="116"/>
      <c r="M179" s="116"/>
      <c r="N179" s="116"/>
      <c r="O179" s="116"/>
      <c r="P179" s="116"/>
      <c r="Q179" s="116"/>
      <c r="R179" s="168">
        <v>1</v>
      </c>
      <c r="S179" s="119" t="s">
        <v>101</v>
      </c>
      <c r="T179" s="2"/>
    </row>
    <row r="180" spans="1:20" ht="15.75" x14ac:dyDescent="0.25">
      <c r="A180" s="115"/>
      <c r="B180" s="116"/>
      <c r="C180" s="116"/>
      <c r="D180" s="116"/>
      <c r="E180" s="116"/>
      <c r="F180" s="116"/>
      <c r="G180" s="116"/>
      <c r="H180" s="116"/>
      <c r="I180" s="116"/>
      <c r="J180" s="116"/>
      <c r="K180" s="116"/>
      <c r="L180" s="116"/>
      <c r="M180" s="116"/>
      <c r="N180" s="116"/>
      <c r="O180" s="116"/>
      <c r="P180" s="116"/>
      <c r="Q180" s="116"/>
      <c r="R180" s="116"/>
      <c r="S180" s="119"/>
      <c r="T180" s="2"/>
    </row>
    <row r="181" spans="1:20" ht="15.75" x14ac:dyDescent="0.25">
      <c r="A181" s="12"/>
      <c r="B181" s="167"/>
      <c r="C181" s="167"/>
      <c r="D181" s="167"/>
      <c r="E181" s="167"/>
      <c r="F181" s="167"/>
      <c r="G181" s="167"/>
      <c r="H181" s="167"/>
      <c r="I181" s="167"/>
      <c r="J181" s="167"/>
      <c r="K181" s="167"/>
      <c r="L181" s="167"/>
      <c r="M181" s="167"/>
      <c r="N181" s="167"/>
      <c r="O181" s="167"/>
      <c r="P181" s="167"/>
      <c r="Q181" s="167"/>
      <c r="R181" s="167"/>
      <c r="S181" s="167"/>
      <c r="T181" s="2"/>
    </row>
    <row r="182" spans="1:20" ht="15.75" x14ac:dyDescent="0.25">
      <c r="A182" s="12"/>
      <c r="B182" s="86"/>
      <c r="C182" s="86"/>
      <c r="D182" s="86"/>
      <c r="E182" s="86"/>
      <c r="F182" s="86"/>
      <c r="G182" s="86"/>
      <c r="H182" s="86"/>
      <c r="I182" s="86"/>
      <c r="J182" s="86"/>
      <c r="K182" s="86"/>
      <c r="L182" s="86"/>
      <c r="M182" s="86"/>
      <c r="N182" s="86"/>
      <c r="O182" s="86"/>
      <c r="P182" s="86"/>
      <c r="Q182" s="86"/>
      <c r="R182" s="86"/>
      <c r="S182" s="86"/>
      <c r="T182" s="2"/>
    </row>
    <row r="183" spans="1:20" ht="19.5" thickBot="1" x14ac:dyDescent="0.35">
      <c r="A183" s="28"/>
      <c r="B183" s="100" t="str">
        <f>B118</f>
        <v>PM16 INVESTOR REPORT QUARTER ENDING DECEMBER 2011</v>
      </c>
      <c r="C183" s="101"/>
      <c r="D183" s="101"/>
      <c r="E183" s="101"/>
      <c r="F183" s="101"/>
      <c r="G183" s="101"/>
      <c r="H183" s="101"/>
      <c r="I183" s="101"/>
      <c r="J183" s="101"/>
      <c r="K183" s="101"/>
      <c r="L183" s="101"/>
      <c r="M183" s="101"/>
      <c r="N183" s="101"/>
      <c r="O183" s="101"/>
      <c r="P183" s="101"/>
      <c r="Q183" s="101"/>
      <c r="R183" s="101"/>
      <c r="S183" s="102"/>
      <c r="T183" s="2"/>
    </row>
    <row r="184" spans="1:20" ht="15.75" x14ac:dyDescent="0.25">
      <c r="A184" s="67"/>
      <c r="B184" s="68" t="s">
        <v>58</v>
      </c>
      <c r="C184" s="71"/>
      <c r="D184" s="72"/>
      <c r="E184" s="72"/>
      <c r="F184" s="72"/>
      <c r="G184" s="72"/>
      <c r="H184" s="72"/>
      <c r="I184" s="72"/>
      <c r="J184" s="72"/>
      <c r="K184" s="72"/>
      <c r="L184" s="72"/>
      <c r="M184" s="72"/>
      <c r="N184" s="72"/>
      <c r="O184" s="72"/>
      <c r="P184" s="72">
        <v>40907</v>
      </c>
      <c r="Q184" s="69"/>
      <c r="R184" s="69"/>
      <c r="S184" s="69"/>
      <c r="T184" s="2"/>
    </row>
    <row r="185" spans="1:20" ht="15.75" x14ac:dyDescent="0.25">
      <c r="A185" s="49"/>
      <c r="B185" s="50"/>
      <c r="C185" s="51"/>
      <c r="D185" s="52"/>
      <c r="E185" s="52"/>
      <c r="F185" s="52"/>
      <c r="G185" s="52"/>
      <c r="H185" s="52"/>
      <c r="I185" s="52"/>
      <c r="J185" s="52"/>
      <c r="K185" s="52"/>
      <c r="L185" s="52"/>
      <c r="M185" s="52"/>
      <c r="N185" s="52"/>
      <c r="O185" s="52"/>
      <c r="P185" s="52"/>
      <c r="Q185" s="14"/>
      <c r="R185" s="14"/>
      <c r="S185" s="14"/>
      <c r="T185" s="2"/>
    </row>
    <row r="186" spans="1:20" ht="15.75" x14ac:dyDescent="0.25">
      <c r="A186" s="171"/>
      <c r="B186" s="116" t="s">
        <v>59</v>
      </c>
      <c r="C186" s="172"/>
      <c r="D186" s="151"/>
      <c r="E186" s="151"/>
      <c r="F186" s="151"/>
      <c r="G186" s="151"/>
      <c r="H186" s="151"/>
      <c r="I186" s="151"/>
      <c r="J186" s="151"/>
      <c r="K186" s="151"/>
      <c r="L186" s="151"/>
      <c r="M186" s="151"/>
      <c r="N186" s="151"/>
      <c r="O186" s="151"/>
      <c r="P186" s="145">
        <v>4.777E-2</v>
      </c>
      <c r="Q186" s="116"/>
      <c r="R186" s="116"/>
      <c r="S186" s="119"/>
      <c r="T186" s="2"/>
    </row>
    <row r="187" spans="1:20" ht="15.75" x14ac:dyDescent="0.25">
      <c r="A187" s="171"/>
      <c r="B187" s="116" t="s">
        <v>196</v>
      </c>
      <c r="C187" s="172"/>
      <c r="D187" s="151"/>
      <c r="E187" s="151"/>
      <c r="F187" s="151"/>
      <c r="G187" s="151"/>
      <c r="H187" s="151"/>
      <c r="I187" s="151"/>
      <c r="J187" s="151"/>
      <c r="K187" s="151"/>
      <c r="L187" s="151"/>
      <c r="M187" s="151"/>
      <c r="N187" s="151"/>
      <c r="O187" s="151"/>
      <c r="P187" s="145">
        <f>+R34</f>
        <v>3.7120953479853482E-2</v>
      </c>
      <c r="Q187" s="116"/>
      <c r="R187" s="116"/>
      <c r="S187" s="119"/>
      <c r="T187" s="2"/>
    </row>
    <row r="188" spans="1:20" ht="15.75" x14ac:dyDescent="0.25">
      <c r="A188" s="171"/>
      <c r="B188" s="116" t="s">
        <v>60</v>
      </c>
      <c r="C188" s="172"/>
      <c r="D188" s="151"/>
      <c r="E188" s="151"/>
      <c r="F188" s="151"/>
      <c r="G188" s="151"/>
      <c r="H188" s="151"/>
      <c r="I188" s="151"/>
      <c r="J188" s="151"/>
      <c r="K188" s="151"/>
      <c r="L188" s="151"/>
      <c r="M188" s="151"/>
      <c r="N188" s="151"/>
      <c r="O188" s="151"/>
      <c r="P188" s="145">
        <f>P186-P187</f>
        <v>1.0649046520146518E-2</v>
      </c>
      <c r="Q188" s="116"/>
      <c r="R188" s="116"/>
      <c r="S188" s="119"/>
      <c r="T188" s="2"/>
    </row>
    <row r="189" spans="1:20" ht="15.75" x14ac:dyDescent="0.25">
      <c r="A189" s="171"/>
      <c r="B189" s="116" t="s">
        <v>200</v>
      </c>
      <c r="C189" s="172"/>
      <c r="D189" s="151"/>
      <c r="E189" s="151"/>
      <c r="F189" s="151"/>
      <c r="G189" s="151"/>
      <c r="H189" s="151"/>
      <c r="I189" s="151"/>
      <c r="J189" s="151"/>
      <c r="K189" s="151"/>
      <c r="L189" s="151"/>
      <c r="M189" s="151"/>
      <c r="N189" s="151"/>
      <c r="O189" s="151"/>
      <c r="P189" s="145">
        <v>4.86411E-2</v>
      </c>
      <c r="Q189" s="116"/>
      <c r="R189" s="116"/>
      <c r="S189" s="119"/>
      <c r="T189" s="2"/>
    </row>
    <row r="190" spans="1:20" ht="15.75" x14ac:dyDescent="0.25">
      <c r="A190" s="171"/>
      <c r="B190" s="116" t="s">
        <v>61</v>
      </c>
      <c r="C190" s="172"/>
      <c r="D190" s="151"/>
      <c r="E190" s="151"/>
      <c r="F190" s="151"/>
      <c r="G190" s="151"/>
      <c r="H190" s="151"/>
      <c r="I190" s="151"/>
      <c r="J190" s="151"/>
      <c r="K190" s="151"/>
      <c r="L190" s="151"/>
      <c r="M190" s="151"/>
      <c r="N190" s="151"/>
      <c r="O190" s="151"/>
      <c r="P190" s="145">
        <v>4.7759999999999997E-2</v>
      </c>
      <c r="Q190" s="116"/>
      <c r="R190" s="116"/>
      <c r="S190" s="119"/>
      <c r="T190" s="2"/>
    </row>
    <row r="191" spans="1:20" ht="15.75" x14ac:dyDescent="0.25">
      <c r="A191" s="171"/>
      <c r="B191" s="116" t="s">
        <v>197</v>
      </c>
      <c r="C191" s="172"/>
      <c r="D191" s="151"/>
      <c r="E191" s="151"/>
      <c r="F191" s="151"/>
      <c r="G191" s="151"/>
      <c r="H191" s="151"/>
      <c r="I191" s="151"/>
      <c r="J191" s="151"/>
      <c r="K191" s="151"/>
      <c r="L191" s="151"/>
      <c r="M191" s="151"/>
      <c r="N191" s="151"/>
      <c r="O191" s="151"/>
      <c r="P191" s="145">
        <f>R34</f>
        <v>3.7120953479853482E-2</v>
      </c>
      <c r="Q191" s="116"/>
      <c r="R191" s="116"/>
      <c r="S191" s="119"/>
      <c r="T191" s="2"/>
    </row>
    <row r="192" spans="1:20" ht="15.75" x14ac:dyDescent="0.25">
      <c r="A192" s="171"/>
      <c r="B192" s="116" t="s">
        <v>62</v>
      </c>
      <c r="C192" s="172"/>
      <c r="D192" s="151"/>
      <c r="E192" s="151"/>
      <c r="F192" s="151"/>
      <c r="G192" s="151"/>
      <c r="H192" s="151"/>
      <c r="I192" s="151"/>
      <c r="J192" s="151"/>
      <c r="K192" s="151"/>
      <c r="L192" s="151"/>
      <c r="M192" s="151"/>
      <c r="N192" s="151"/>
      <c r="O192" s="151"/>
      <c r="P192" s="145">
        <f>P190-P191</f>
        <v>1.0639046520146515E-2</v>
      </c>
      <c r="Q192" s="116"/>
      <c r="R192" s="116"/>
      <c r="S192" s="119"/>
      <c r="T192" s="2"/>
    </row>
    <row r="193" spans="1:20" ht="15.75" x14ac:dyDescent="0.25">
      <c r="A193" s="171"/>
      <c r="B193" s="116" t="s">
        <v>153</v>
      </c>
      <c r="C193" s="172"/>
      <c r="D193" s="151"/>
      <c r="E193" s="151"/>
      <c r="F193" s="151"/>
      <c r="G193" s="151"/>
      <c r="H193" s="151"/>
      <c r="I193" s="151"/>
      <c r="J193" s="151"/>
      <c r="K193" s="151"/>
      <c r="L193" s="151"/>
      <c r="M193" s="151"/>
      <c r="N193" s="151"/>
      <c r="O193" s="151"/>
      <c r="P193" s="145">
        <f>(+R91+R93)/H72</f>
        <v>6.7032967032967031E-3</v>
      </c>
      <c r="Q193" s="116"/>
      <c r="R193" s="116"/>
      <c r="S193" s="119"/>
      <c r="T193" s="2"/>
    </row>
    <row r="194" spans="1:20" ht="15.75" x14ac:dyDescent="0.25">
      <c r="A194" s="171"/>
      <c r="B194" s="116" t="s">
        <v>145</v>
      </c>
      <c r="C194" s="172"/>
      <c r="D194" s="151"/>
      <c r="E194" s="151"/>
      <c r="F194" s="151"/>
      <c r="G194" s="151"/>
      <c r="H194" s="151"/>
      <c r="I194" s="151"/>
      <c r="J194" s="151"/>
      <c r="K194" s="151"/>
      <c r="L194" s="151"/>
      <c r="M194" s="151"/>
      <c r="N194" s="151"/>
      <c r="O194" s="151"/>
      <c r="P194" s="173">
        <v>50861</v>
      </c>
      <c r="Q194" s="116"/>
      <c r="R194" s="116"/>
      <c r="S194" s="119"/>
      <c r="T194" s="2"/>
    </row>
    <row r="195" spans="1:20" ht="15.75" x14ac:dyDescent="0.25">
      <c r="A195" s="171"/>
      <c r="B195" s="116" t="s">
        <v>173</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63</v>
      </c>
      <c r="C196" s="172"/>
      <c r="D196" s="151"/>
      <c r="E196" s="151"/>
      <c r="F196" s="151"/>
      <c r="G196" s="151"/>
      <c r="H196" s="151"/>
      <c r="I196" s="151"/>
      <c r="J196" s="151"/>
      <c r="K196" s="151"/>
      <c r="L196" s="151"/>
      <c r="M196" s="151"/>
      <c r="N196" s="151"/>
      <c r="O196" s="151"/>
      <c r="P196" s="149">
        <v>20.010000000000002</v>
      </c>
      <c r="Q196" s="116" t="s">
        <v>96</v>
      </c>
      <c r="R196" s="116"/>
      <c r="S196" s="119"/>
      <c r="T196" s="2"/>
    </row>
    <row r="197" spans="1:20" ht="15.75" x14ac:dyDescent="0.25">
      <c r="A197" s="171"/>
      <c r="B197" s="116" t="s">
        <v>64</v>
      </c>
      <c r="C197" s="172"/>
      <c r="D197" s="151"/>
      <c r="E197" s="151"/>
      <c r="F197" s="151"/>
      <c r="G197" s="151"/>
      <c r="H197" s="151"/>
      <c r="I197" s="151"/>
      <c r="J197" s="151"/>
      <c r="K197" s="151"/>
      <c r="L197" s="151"/>
      <c r="M197" s="151"/>
      <c r="N197" s="151"/>
      <c r="O197" s="151"/>
      <c r="P197" s="149">
        <v>19.920000000000002</v>
      </c>
      <c r="Q197" s="116" t="s">
        <v>96</v>
      </c>
      <c r="R197" s="116"/>
      <c r="S197" s="119"/>
      <c r="T197" s="2"/>
    </row>
    <row r="198" spans="1:20" ht="15.75" x14ac:dyDescent="0.25">
      <c r="A198" s="171"/>
      <c r="B198" s="116" t="s">
        <v>65</v>
      </c>
      <c r="C198" s="172"/>
      <c r="D198" s="151"/>
      <c r="E198" s="151"/>
      <c r="F198" s="151"/>
      <c r="G198" s="151"/>
      <c r="H198" s="151"/>
      <c r="I198" s="151"/>
      <c r="J198" s="151"/>
      <c r="K198" s="151"/>
      <c r="L198" s="151"/>
      <c r="M198" s="151"/>
      <c r="N198" s="151"/>
      <c r="O198" s="151"/>
      <c r="P198" s="145">
        <f>(+J56+L56)/H56</f>
        <v>1.1514821442464795E-3</v>
      </c>
      <c r="Q198" s="116"/>
      <c r="R198" s="116"/>
      <c r="S198" s="119"/>
      <c r="T198" s="2"/>
    </row>
    <row r="199" spans="1:20" ht="15.75" x14ac:dyDescent="0.25">
      <c r="A199" s="171"/>
      <c r="B199" s="116" t="s">
        <v>66</v>
      </c>
      <c r="C199" s="172"/>
      <c r="D199" s="151"/>
      <c r="E199" s="151"/>
      <c r="F199" s="151"/>
      <c r="G199" s="151"/>
      <c r="H199" s="151"/>
      <c r="I199" s="151"/>
      <c r="J199" s="151"/>
      <c r="K199" s="151"/>
      <c r="L199" s="151"/>
      <c r="M199" s="151"/>
      <c r="N199" s="151"/>
      <c r="O199" s="151"/>
      <c r="P199" s="145">
        <v>6.0000000000000001E-3</v>
      </c>
      <c r="Q199" s="116"/>
      <c r="R199" s="116"/>
      <c r="S199" s="119"/>
      <c r="T199" s="2"/>
    </row>
    <row r="200" spans="1:20" ht="15.75" x14ac:dyDescent="0.25">
      <c r="A200" s="49"/>
      <c r="B200" s="169"/>
      <c r="C200" s="169"/>
      <c r="D200" s="43"/>
      <c r="E200" s="43"/>
      <c r="F200" s="43"/>
      <c r="G200" s="43"/>
      <c r="H200" s="43"/>
      <c r="I200" s="43"/>
      <c r="J200" s="43"/>
      <c r="K200" s="43"/>
      <c r="L200" s="43"/>
      <c r="M200" s="43"/>
      <c r="N200" s="43"/>
      <c r="O200" s="43"/>
      <c r="P200" s="165"/>
      <c r="Q200" s="43"/>
      <c r="R200" s="170"/>
      <c r="S200" s="43"/>
      <c r="T200" s="2"/>
    </row>
    <row r="201" spans="1:20" ht="15.75" x14ac:dyDescent="0.25">
      <c r="A201" s="73"/>
      <c r="B201" s="63" t="s">
        <v>67</v>
      </c>
      <c r="C201" s="64"/>
      <c r="D201" s="64"/>
      <c r="E201" s="64"/>
      <c r="F201" s="64"/>
      <c r="G201" s="64"/>
      <c r="H201" s="64"/>
      <c r="I201" s="64"/>
      <c r="J201" s="64"/>
      <c r="K201" s="64"/>
      <c r="L201" s="64"/>
      <c r="M201" s="64"/>
      <c r="N201" s="64"/>
      <c r="O201" s="64" t="s">
        <v>89</v>
      </c>
      <c r="P201" s="74" t="s">
        <v>94</v>
      </c>
      <c r="Q201" s="56"/>
      <c r="R201" s="56"/>
      <c r="S201" s="56"/>
      <c r="T201" s="2"/>
    </row>
    <row r="202" spans="1:20" ht="15.75" x14ac:dyDescent="0.25">
      <c r="A202" s="53"/>
      <c r="B202" s="81" t="s">
        <v>68</v>
      </c>
      <c r="C202" s="80"/>
      <c r="D202" s="98"/>
      <c r="E202" s="98"/>
      <c r="F202" s="98"/>
      <c r="G202" s="98"/>
      <c r="H202" s="98"/>
      <c r="I202" s="98"/>
      <c r="J202" s="98"/>
      <c r="K202" s="98"/>
      <c r="L202" s="98"/>
      <c r="M202" s="98"/>
      <c r="N202" s="98"/>
      <c r="O202" s="98">
        <v>0</v>
      </c>
      <c r="P202" s="99">
        <v>0</v>
      </c>
      <c r="Q202" s="81"/>
      <c r="R202" s="96"/>
      <c r="S202" s="54"/>
      <c r="T202" s="2"/>
    </row>
    <row r="203" spans="1:20" ht="15.75" x14ac:dyDescent="0.25">
      <c r="A203" s="178"/>
      <c r="B203" s="116" t="s">
        <v>121</v>
      </c>
      <c r="C203" s="158"/>
      <c r="D203" s="126"/>
      <c r="E203" s="126"/>
      <c r="F203" s="126"/>
      <c r="G203" s="126"/>
      <c r="H203" s="126"/>
      <c r="I203" s="126"/>
      <c r="J203" s="126"/>
      <c r="K203" s="126"/>
      <c r="L203" s="126"/>
      <c r="M203" s="126"/>
      <c r="N203" s="126"/>
      <c r="O203" s="179">
        <f>+N255</f>
        <v>0</v>
      </c>
      <c r="P203" s="180">
        <f>+P255</f>
        <v>0</v>
      </c>
      <c r="Q203" s="116"/>
      <c r="R203" s="181"/>
      <c r="S203" s="182"/>
      <c r="T203" s="2"/>
    </row>
    <row r="204" spans="1:20" ht="15.75" x14ac:dyDescent="0.25">
      <c r="A204" s="178"/>
      <c r="B204" s="116" t="s">
        <v>69</v>
      </c>
      <c r="C204" s="158"/>
      <c r="D204" s="126"/>
      <c r="E204" s="126"/>
      <c r="F204" s="126"/>
      <c r="G204" s="126"/>
      <c r="H204" s="126"/>
      <c r="I204" s="126"/>
      <c r="J204" s="126"/>
      <c r="K204" s="126"/>
      <c r="L204" s="126"/>
      <c r="M204" s="126"/>
      <c r="N204" s="126"/>
      <c r="O204" s="179">
        <f>+N267</f>
        <v>0</v>
      </c>
      <c r="P204" s="180">
        <f>+P267</f>
        <v>0</v>
      </c>
      <c r="Q204" s="116"/>
      <c r="R204" s="181"/>
      <c r="S204" s="182"/>
      <c r="T204" s="2"/>
    </row>
    <row r="205" spans="1:20" ht="15.75" x14ac:dyDescent="0.25">
      <c r="A205" s="178"/>
      <c r="B205" s="137" t="s">
        <v>70</v>
      </c>
      <c r="C205" s="183"/>
      <c r="D205" s="138"/>
      <c r="E205" s="138"/>
      <c r="F205" s="138"/>
      <c r="G205" s="138"/>
      <c r="H205" s="138"/>
      <c r="I205" s="138"/>
      <c r="J205" s="138"/>
      <c r="K205" s="138"/>
      <c r="L205" s="138"/>
      <c r="M205" s="138"/>
      <c r="N205" s="138"/>
      <c r="O205" s="116"/>
      <c r="P205" s="180">
        <v>0</v>
      </c>
      <c r="Q205" s="138"/>
      <c r="R205" s="184"/>
      <c r="S205" s="182"/>
      <c r="T205" s="2"/>
    </row>
    <row r="206" spans="1:20" ht="15.75" x14ac:dyDescent="0.25">
      <c r="A206" s="178"/>
      <c r="B206" s="137" t="s">
        <v>154</v>
      </c>
      <c r="C206" s="183"/>
      <c r="D206" s="138"/>
      <c r="E206" s="138"/>
      <c r="F206" s="138"/>
      <c r="G206" s="138"/>
      <c r="H206" s="138"/>
      <c r="I206" s="138"/>
      <c r="J206" s="138"/>
      <c r="K206" s="138"/>
      <c r="L206" s="138"/>
      <c r="M206" s="138"/>
      <c r="N206" s="138"/>
      <c r="O206" s="116"/>
      <c r="P206" s="180">
        <f>+J69</f>
        <v>0</v>
      </c>
      <c r="Q206" s="138"/>
      <c r="R206" s="184"/>
      <c r="S206" s="182"/>
      <c r="T206" s="2"/>
    </row>
    <row r="207" spans="1:20" ht="15.75" x14ac:dyDescent="0.25">
      <c r="A207" s="185"/>
      <c r="B207" s="137" t="s">
        <v>71</v>
      </c>
      <c r="C207" s="186"/>
      <c r="D207" s="138"/>
      <c r="E207" s="138"/>
      <c r="F207" s="138"/>
      <c r="G207" s="138"/>
      <c r="H207" s="138"/>
      <c r="I207" s="138"/>
      <c r="J207" s="138"/>
      <c r="K207" s="138"/>
      <c r="L207" s="138"/>
      <c r="M207" s="138"/>
      <c r="N207" s="138"/>
      <c r="O207" s="116"/>
      <c r="P207" s="180"/>
      <c r="Q207" s="138"/>
      <c r="R207" s="184"/>
      <c r="S207" s="187"/>
      <c r="T207" s="2"/>
    </row>
    <row r="208" spans="1:20" ht="15.75" x14ac:dyDescent="0.25">
      <c r="A208" s="185"/>
      <c r="B208" s="121" t="s">
        <v>72</v>
      </c>
      <c r="C208" s="186"/>
      <c r="D208" s="138"/>
      <c r="E208" s="138"/>
      <c r="F208" s="138"/>
      <c r="G208" s="138"/>
      <c r="H208" s="138"/>
      <c r="I208" s="138"/>
      <c r="J208" s="138"/>
      <c r="K208" s="138"/>
      <c r="L208" s="138"/>
      <c r="M208" s="138"/>
      <c r="N208" s="138"/>
      <c r="O208" s="126"/>
      <c r="P208" s="180">
        <f>R146</f>
        <v>0</v>
      </c>
      <c r="Q208" s="138"/>
      <c r="R208" s="184"/>
      <c r="S208" s="187"/>
      <c r="T208" s="2"/>
    </row>
    <row r="209" spans="1:20" ht="15.75" x14ac:dyDescent="0.25">
      <c r="A209" s="178"/>
      <c r="B209" s="116" t="s">
        <v>73</v>
      </c>
      <c r="C209" s="183"/>
      <c r="D209" s="138"/>
      <c r="E209" s="138"/>
      <c r="F209" s="138"/>
      <c r="G209" s="138"/>
      <c r="H209" s="138"/>
      <c r="I209" s="138"/>
      <c r="J209" s="138"/>
      <c r="K209" s="138"/>
      <c r="L209" s="138"/>
      <c r="M209" s="138"/>
      <c r="N209" s="138"/>
      <c r="O209" s="126"/>
      <c r="P209" s="180">
        <f>+P208</f>
        <v>0</v>
      </c>
      <c r="Q209" s="138"/>
      <c r="R209" s="184"/>
      <c r="S209" s="187"/>
      <c r="T209" s="2"/>
    </row>
    <row r="210" spans="1:20" ht="15.75" x14ac:dyDescent="0.25">
      <c r="A210" s="185"/>
      <c r="B210" s="137" t="s">
        <v>167</v>
      </c>
      <c r="C210" s="186"/>
      <c r="D210" s="138"/>
      <c r="E210" s="138"/>
      <c r="F210" s="138"/>
      <c r="G210" s="138"/>
      <c r="H210" s="138"/>
      <c r="I210" s="138"/>
      <c r="J210" s="138"/>
      <c r="K210" s="138"/>
      <c r="L210" s="138"/>
      <c r="M210" s="138"/>
      <c r="N210" s="138"/>
      <c r="O210" s="126"/>
      <c r="P210" s="180"/>
      <c r="Q210" s="138"/>
      <c r="R210" s="184"/>
      <c r="S210" s="187"/>
      <c r="T210" s="2"/>
    </row>
    <row r="211" spans="1:20" ht="15.75" x14ac:dyDescent="0.25">
      <c r="A211" s="185"/>
      <c r="B211" s="116" t="s">
        <v>199</v>
      </c>
      <c r="C211" s="186"/>
      <c r="D211" s="138"/>
      <c r="E211" s="138"/>
      <c r="F211" s="138"/>
      <c r="G211" s="138"/>
      <c r="H211" s="138"/>
      <c r="I211" s="138"/>
      <c r="J211" s="138"/>
      <c r="K211" s="138"/>
      <c r="L211" s="138"/>
      <c r="M211" s="138"/>
      <c r="N211" s="138"/>
      <c r="O211" s="126">
        <v>0</v>
      </c>
      <c r="P211" s="180">
        <v>0</v>
      </c>
      <c r="Q211" s="138"/>
      <c r="R211" s="184"/>
      <c r="S211" s="187"/>
      <c r="T211" s="2"/>
    </row>
    <row r="212" spans="1:20" ht="15.75" x14ac:dyDescent="0.25">
      <c r="A212" s="178"/>
      <c r="B212" s="116" t="s">
        <v>74</v>
      </c>
      <c r="C212" s="188"/>
      <c r="D212" s="138"/>
      <c r="E212" s="138"/>
      <c r="F212" s="138"/>
      <c r="G212" s="138"/>
      <c r="H212" s="138"/>
      <c r="I212" s="138"/>
      <c r="J212" s="138"/>
      <c r="K212" s="138"/>
      <c r="L212" s="138"/>
      <c r="M212" s="138"/>
      <c r="N212" s="138"/>
      <c r="O212" s="116"/>
      <c r="P212" s="189">
        <v>0</v>
      </c>
      <c r="Q212" s="138"/>
      <c r="R212" s="184"/>
      <c r="S212" s="187"/>
      <c r="T212" s="2"/>
    </row>
    <row r="213" spans="1:20" ht="15.75" x14ac:dyDescent="0.25">
      <c r="A213" s="178"/>
      <c r="B213" s="116" t="s">
        <v>75</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37" t="s">
        <v>149</v>
      </c>
      <c r="C214" s="188"/>
      <c r="D214" s="138"/>
      <c r="E214" s="138"/>
      <c r="F214" s="138"/>
      <c r="G214" s="138"/>
      <c r="H214" s="138"/>
      <c r="I214" s="138"/>
      <c r="J214" s="138"/>
      <c r="K214" s="138"/>
      <c r="L214" s="138"/>
      <c r="M214" s="138"/>
      <c r="N214" s="138"/>
      <c r="O214" s="116"/>
      <c r="P214" s="190"/>
      <c r="Q214" s="138"/>
      <c r="R214" s="184"/>
      <c r="S214" s="187"/>
      <c r="T214" s="2"/>
    </row>
    <row r="215" spans="1:20" ht="15.75" x14ac:dyDescent="0.25">
      <c r="A215" s="178"/>
      <c r="B215" s="116" t="s">
        <v>199</v>
      </c>
      <c r="C215" s="188"/>
      <c r="D215" s="138"/>
      <c r="E215" s="138"/>
      <c r="F215" s="138"/>
      <c r="G215" s="138"/>
      <c r="H215" s="138"/>
      <c r="I215" s="138"/>
      <c r="J215" s="138"/>
      <c r="K215" s="138"/>
      <c r="L215" s="138"/>
      <c r="M215" s="138"/>
      <c r="N215" s="138"/>
      <c r="O215" s="126">
        <v>0</v>
      </c>
      <c r="P215" s="180">
        <v>0</v>
      </c>
      <c r="Q215" s="138"/>
      <c r="R215" s="184"/>
      <c r="S215" s="187"/>
      <c r="T215" s="2"/>
    </row>
    <row r="216" spans="1:20" ht="15.75" x14ac:dyDescent="0.25">
      <c r="A216" s="178"/>
      <c r="B216" s="116" t="s">
        <v>150</v>
      </c>
      <c r="C216" s="188"/>
      <c r="D216" s="138"/>
      <c r="E216" s="138"/>
      <c r="F216" s="138"/>
      <c r="G216" s="138"/>
      <c r="H216" s="138"/>
      <c r="I216" s="138"/>
      <c r="J216" s="138"/>
      <c r="K216" s="138"/>
      <c r="L216" s="138"/>
      <c r="M216" s="138"/>
      <c r="N216" s="138"/>
      <c r="O216" s="116"/>
      <c r="P216" s="189">
        <v>0</v>
      </c>
      <c r="Q216" s="138"/>
      <c r="R216" s="184"/>
      <c r="S216" s="187"/>
      <c r="T216" s="2"/>
    </row>
    <row r="217" spans="1:20" ht="15.75" x14ac:dyDescent="0.25">
      <c r="A217" s="178"/>
      <c r="B217" s="186"/>
      <c r="C217" s="188"/>
      <c r="D217" s="138"/>
      <c r="E217" s="138"/>
      <c r="F217" s="138"/>
      <c r="G217" s="138"/>
      <c r="H217" s="138"/>
      <c r="I217" s="138"/>
      <c r="J217" s="138"/>
      <c r="K217" s="138"/>
      <c r="L217" s="138"/>
      <c r="M217" s="138"/>
      <c r="N217" s="138"/>
      <c r="O217" s="116"/>
      <c r="P217" s="190"/>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38"/>
      <c r="P218" s="191"/>
      <c r="Q218" s="138"/>
      <c r="R218" s="184"/>
      <c r="S218" s="187"/>
      <c r="T218" s="2"/>
    </row>
    <row r="219" spans="1:20" ht="18.75" x14ac:dyDescent="0.3">
      <c r="A219" s="178"/>
      <c r="B219" s="192" t="s">
        <v>139</v>
      </c>
      <c r="C219" s="188"/>
      <c r="D219" s="138"/>
      <c r="E219" s="138"/>
      <c r="F219" s="138"/>
      <c r="G219" s="138"/>
      <c r="H219" s="138"/>
      <c r="I219" s="138"/>
      <c r="J219" s="138"/>
      <c r="K219" s="138"/>
      <c r="L219" s="193"/>
      <c r="M219" s="138"/>
      <c r="N219" s="193" t="s">
        <v>138</v>
      </c>
      <c r="O219" s="193"/>
      <c r="P219" s="191"/>
      <c r="Q219" s="138"/>
      <c r="R219" s="184"/>
      <c r="S219" s="187"/>
      <c r="T219" s="2"/>
    </row>
    <row r="220" spans="1:20" ht="18.75" x14ac:dyDescent="0.3">
      <c r="A220" s="174"/>
      <c r="B220" s="206"/>
      <c r="C220" s="175"/>
      <c r="D220" s="43"/>
      <c r="E220" s="43"/>
      <c r="F220" s="43"/>
      <c r="G220" s="43"/>
      <c r="H220" s="43"/>
      <c r="I220" s="43"/>
      <c r="J220" s="43"/>
      <c r="K220" s="43"/>
      <c r="L220" s="207"/>
      <c r="M220" s="43"/>
      <c r="N220" s="43"/>
      <c r="O220" s="43"/>
      <c r="P220" s="176"/>
      <c r="Q220" s="43"/>
      <c r="R220" s="170"/>
      <c r="S220" s="177"/>
      <c r="T220" s="2"/>
    </row>
    <row r="221" spans="1:20" ht="15.75" x14ac:dyDescent="0.25">
      <c r="A221" s="55"/>
      <c r="B221" s="63" t="s">
        <v>174</v>
      </c>
      <c r="C221" s="64"/>
      <c r="D221" s="64"/>
      <c r="E221" s="64"/>
      <c r="F221" s="64"/>
      <c r="G221" s="64"/>
      <c r="H221" s="64"/>
      <c r="I221" s="64"/>
      <c r="J221" s="64"/>
      <c r="K221" s="64"/>
      <c r="L221" s="64"/>
      <c r="M221" s="64"/>
      <c r="N221" s="74" t="s">
        <v>89</v>
      </c>
      <c r="O221" s="64" t="s">
        <v>90</v>
      </c>
      <c r="P221" s="74" t="s">
        <v>95</v>
      </c>
      <c r="Q221" s="64" t="s">
        <v>90</v>
      </c>
      <c r="R221" s="56"/>
      <c r="S221" s="63"/>
      <c r="T221" s="2"/>
    </row>
    <row r="222" spans="1:20" ht="15.75" x14ac:dyDescent="0.25">
      <c r="A222" s="24"/>
      <c r="B222" s="80" t="s">
        <v>76</v>
      </c>
      <c r="C222" s="95"/>
      <c r="D222" s="95"/>
      <c r="E222" s="95"/>
      <c r="F222" s="95"/>
      <c r="G222" s="95"/>
      <c r="H222" s="95"/>
      <c r="I222" s="95"/>
      <c r="J222" s="95"/>
      <c r="K222" s="95"/>
      <c r="L222" s="95"/>
      <c r="M222" s="95"/>
      <c r="N222" s="80">
        <f t="shared" ref="N222:N229" si="0">+N234+N246+N258</f>
        <v>797</v>
      </c>
      <c r="O222" s="83">
        <f t="shared" ref="O222:O229" si="1">N222/$N$231</f>
        <v>1</v>
      </c>
      <c r="P222" s="84">
        <f t="shared" ref="P222:P229" si="2">+P234+P246+P258</f>
        <v>128442</v>
      </c>
      <c r="Q222" s="83">
        <f t="shared" ref="Q222:Q229" si="3">P222/$P$231</f>
        <v>1</v>
      </c>
      <c r="R222" s="96"/>
      <c r="S222" s="97"/>
      <c r="T222" s="2"/>
    </row>
    <row r="223" spans="1:20" ht="15.75" x14ac:dyDescent="0.25">
      <c r="A223" s="115"/>
      <c r="B223" s="158" t="s">
        <v>77</v>
      </c>
      <c r="C223" s="197"/>
      <c r="D223" s="197"/>
      <c r="E223" s="197"/>
      <c r="F223" s="197"/>
      <c r="G223" s="197"/>
      <c r="H223" s="197"/>
      <c r="I223" s="197"/>
      <c r="J223" s="197"/>
      <c r="K223" s="197"/>
      <c r="L223" s="197"/>
      <c r="M223" s="197"/>
      <c r="N223" s="158">
        <f t="shared" si="0"/>
        <v>0</v>
      </c>
      <c r="O223" s="198">
        <f t="shared" si="1"/>
        <v>0</v>
      </c>
      <c r="P223" s="159">
        <f t="shared" si="2"/>
        <v>0</v>
      </c>
      <c r="Q223" s="198">
        <f t="shared" si="3"/>
        <v>0</v>
      </c>
      <c r="R223" s="181"/>
      <c r="S223" s="199"/>
      <c r="T223" s="2"/>
    </row>
    <row r="224" spans="1:20" ht="15.75" x14ac:dyDescent="0.25">
      <c r="A224" s="115"/>
      <c r="B224" s="158" t="s">
        <v>78</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129</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130</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131</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132</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133</v>
      </c>
      <c r="C229" s="197"/>
      <c r="D229" s="197"/>
      <c r="E229" s="197"/>
      <c r="F229" s="197"/>
      <c r="G229" s="197"/>
      <c r="H229" s="197"/>
      <c r="I229" s="197"/>
      <c r="J229" s="197"/>
      <c r="K229" s="197"/>
      <c r="L229" s="197"/>
      <c r="M229" s="197"/>
      <c r="N229" s="204">
        <f t="shared" si="0"/>
        <v>0</v>
      </c>
      <c r="O229" s="198">
        <f t="shared" si="1"/>
        <v>0</v>
      </c>
      <c r="P229" s="201">
        <f t="shared" si="2"/>
        <v>0</v>
      </c>
      <c r="Q229" s="198">
        <f t="shared" si="3"/>
        <v>0</v>
      </c>
      <c r="R229" s="181"/>
      <c r="S229" s="199"/>
      <c r="T229" s="2"/>
    </row>
    <row r="230" spans="1:21" ht="15.75" x14ac:dyDescent="0.25">
      <c r="A230" s="115"/>
      <c r="B230" s="158"/>
      <c r="C230" s="197"/>
      <c r="D230" s="197"/>
      <c r="E230" s="197"/>
      <c r="F230" s="197"/>
      <c r="G230" s="197"/>
      <c r="H230" s="197"/>
      <c r="I230" s="197"/>
      <c r="J230" s="197"/>
      <c r="K230" s="197"/>
      <c r="L230" s="197"/>
      <c r="M230" s="197"/>
      <c r="N230" s="158"/>
      <c r="O230" s="198"/>
      <c r="P230" s="159"/>
      <c r="Q230" s="198"/>
      <c r="R230" s="181"/>
      <c r="S230" s="199"/>
      <c r="T230" s="2"/>
    </row>
    <row r="231" spans="1:21" ht="15.75" x14ac:dyDescent="0.25">
      <c r="A231" s="115"/>
      <c r="B231" s="116" t="s">
        <v>100</v>
      </c>
      <c r="C231" s="116"/>
      <c r="D231" s="200"/>
      <c r="E231" s="200"/>
      <c r="F231" s="200"/>
      <c r="G231" s="200"/>
      <c r="H231" s="200"/>
      <c r="I231" s="200"/>
      <c r="J231" s="200"/>
      <c r="K231" s="200"/>
      <c r="L231" s="200"/>
      <c r="M231" s="200"/>
      <c r="N231" s="158">
        <f>SUM(N222:N230)</f>
        <v>797</v>
      </c>
      <c r="O231" s="198">
        <f>SUM(O222:O230)</f>
        <v>1</v>
      </c>
      <c r="P231" s="159">
        <f>SUM(P222:P230)</f>
        <v>128442</v>
      </c>
      <c r="Q231" s="198">
        <f>SUM(Q222:Q230)</f>
        <v>1</v>
      </c>
      <c r="R231" s="116"/>
      <c r="S231" s="119"/>
      <c r="T231" s="2"/>
    </row>
    <row r="232" spans="1:21" ht="15.75" x14ac:dyDescent="0.25">
      <c r="A232" s="12"/>
      <c r="B232" s="169"/>
      <c r="C232" s="175"/>
      <c r="D232" s="43"/>
      <c r="E232" s="43"/>
      <c r="F232" s="43"/>
      <c r="G232" s="43"/>
      <c r="H232" s="43"/>
      <c r="I232" s="43"/>
      <c r="J232" s="43"/>
      <c r="K232" s="43"/>
      <c r="L232" s="43"/>
      <c r="M232" s="43"/>
      <c r="N232" s="43"/>
      <c r="O232" s="43"/>
      <c r="P232" s="176"/>
      <c r="Q232" s="43"/>
      <c r="R232" s="43"/>
      <c r="S232" s="43"/>
      <c r="T232" s="2"/>
    </row>
    <row r="233" spans="1:21" ht="15.75" x14ac:dyDescent="0.25">
      <c r="A233" s="55"/>
      <c r="B233" s="63" t="s">
        <v>134</v>
      </c>
      <c r="C233" s="64"/>
      <c r="D233" s="64"/>
      <c r="E233" s="64"/>
      <c r="F233" s="64"/>
      <c r="G233" s="64"/>
      <c r="H233" s="64"/>
      <c r="I233" s="64"/>
      <c r="J233" s="64"/>
      <c r="K233" s="64"/>
      <c r="L233" s="64"/>
      <c r="M233" s="64"/>
      <c r="N233" s="74" t="s">
        <v>89</v>
      </c>
      <c r="O233" s="64" t="s">
        <v>90</v>
      </c>
      <c r="P233" s="74" t="s">
        <v>95</v>
      </c>
      <c r="Q233" s="64" t="s">
        <v>90</v>
      </c>
      <c r="R233" s="56"/>
      <c r="S233" s="63"/>
      <c r="T233" s="2"/>
    </row>
    <row r="234" spans="1:21" ht="15.75" x14ac:dyDescent="0.25">
      <c r="A234" s="24"/>
      <c r="B234" s="80" t="s">
        <v>76</v>
      </c>
      <c r="C234" s="95"/>
      <c r="D234" s="95"/>
      <c r="E234" s="95"/>
      <c r="F234" s="95"/>
      <c r="G234" s="95"/>
      <c r="H234" s="95"/>
      <c r="I234" s="95"/>
      <c r="J234" s="95"/>
      <c r="K234" s="95"/>
      <c r="L234" s="95"/>
      <c r="M234" s="95"/>
      <c r="N234" s="80">
        <v>797</v>
      </c>
      <c r="O234" s="83">
        <f>N234/$N$243</f>
        <v>1</v>
      </c>
      <c r="P234" s="84">
        <v>128442</v>
      </c>
      <c r="Q234" s="83">
        <f t="shared" ref="Q234:Q241" si="4">P234/$P$243</f>
        <v>1</v>
      </c>
      <c r="R234" s="96"/>
      <c r="S234" s="97"/>
      <c r="T234" s="2"/>
    </row>
    <row r="235" spans="1:21" ht="15.75" x14ac:dyDescent="0.25">
      <c r="A235" s="115"/>
      <c r="B235" s="158" t="s">
        <v>77</v>
      </c>
      <c r="C235" s="197"/>
      <c r="D235" s="197"/>
      <c r="E235" s="197"/>
      <c r="F235" s="197"/>
      <c r="G235" s="197"/>
      <c r="H235" s="197"/>
      <c r="I235" s="197"/>
      <c r="J235" s="197"/>
      <c r="K235" s="197"/>
      <c r="L235" s="197"/>
      <c r="M235" s="197"/>
      <c r="N235" s="158">
        <v>0</v>
      </c>
      <c r="O235" s="198">
        <f t="shared" ref="O235:O241" si="5">N235/$N$243</f>
        <v>0</v>
      </c>
      <c r="P235" s="159">
        <v>0</v>
      </c>
      <c r="Q235" s="198">
        <f t="shared" si="4"/>
        <v>0</v>
      </c>
      <c r="R235" s="181"/>
      <c r="S235" s="199"/>
      <c r="T235" s="2"/>
      <c r="U235" s="4"/>
    </row>
    <row r="236" spans="1:21" ht="15.75" x14ac:dyDescent="0.25">
      <c r="A236" s="115"/>
      <c r="B236" s="158" t="s">
        <v>78</v>
      </c>
      <c r="C236" s="197"/>
      <c r="D236" s="197"/>
      <c r="E236" s="197"/>
      <c r="F236" s="197"/>
      <c r="G236" s="197"/>
      <c r="H236" s="197"/>
      <c r="I236" s="197"/>
      <c r="J236" s="197"/>
      <c r="K236" s="197"/>
      <c r="L236" s="197"/>
      <c r="M236" s="197"/>
      <c r="N236" s="158">
        <v>0</v>
      </c>
      <c r="O236" s="198">
        <f t="shared" si="5"/>
        <v>0</v>
      </c>
      <c r="P236" s="159">
        <v>0</v>
      </c>
      <c r="Q236" s="198">
        <f t="shared" si="4"/>
        <v>0</v>
      </c>
      <c r="R236" s="181"/>
      <c r="S236" s="199"/>
      <c r="T236" s="2"/>
    </row>
    <row r="237" spans="1:21" ht="15.75" x14ac:dyDescent="0.25">
      <c r="A237" s="115"/>
      <c r="B237" s="158" t="s">
        <v>129</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c r="U237" s="4"/>
    </row>
    <row r="238" spans="1:21" ht="15.75" x14ac:dyDescent="0.25">
      <c r="A238" s="115"/>
      <c r="B238" s="158" t="s">
        <v>130</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row>
    <row r="239" spans="1:21" ht="15.75" x14ac:dyDescent="0.25">
      <c r="A239" s="115"/>
      <c r="B239" s="158" t="s">
        <v>131</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c r="U239" s="4"/>
    </row>
    <row r="240" spans="1:21" ht="15.75" x14ac:dyDescent="0.25">
      <c r="A240" s="115"/>
      <c r="B240" s="158" t="s">
        <v>132</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row>
    <row r="241" spans="1:21" ht="15.75" x14ac:dyDescent="0.25">
      <c r="A241" s="115"/>
      <c r="B241" s="158" t="s">
        <v>133</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c r="U241" s="4"/>
    </row>
    <row r="242" spans="1:21" ht="15.75" x14ac:dyDescent="0.25">
      <c r="A242" s="115"/>
      <c r="B242" s="158"/>
      <c r="C242" s="197"/>
      <c r="D242" s="197"/>
      <c r="E242" s="197"/>
      <c r="F242" s="197"/>
      <c r="G242" s="197"/>
      <c r="H242" s="197"/>
      <c r="I242" s="197"/>
      <c r="J242" s="197"/>
      <c r="K242" s="197"/>
      <c r="L242" s="197"/>
      <c r="M242" s="197"/>
      <c r="N242" s="158"/>
      <c r="O242" s="198"/>
      <c r="P242" s="159"/>
      <c r="Q242" s="198"/>
      <c r="R242" s="181"/>
      <c r="S242" s="199"/>
      <c r="T242" s="2"/>
    </row>
    <row r="243" spans="1:21" ht="15.75" x14ac:dyDescent="0.25">
      <c r="A243" s="115"/>
      <c r="B243" s="116" t="s">
        <v>100</v>
      </c>
      <c r="C243" s="116"/>
      <c r="D243" s="200"/>
      <c r="E243" s="200"/>
      <c r="F243" s="200"/>
      <c r="G243" s="200"/>
      <c r="H243" s="200"/>
      <c r="I243" s="200"/>
      <c r="J243" s="200"/>
      <c r="K243" s="200"/>
      <c r="L243" s="200"/>
      <c r="M243" s="200"/>
      <c r="N243" s="158">
        <f>SUM(N234:N242)</f>
        <v>797</v>
      </c>
      <c r="O243" s="198">
        <f>SUM(O234:O242)</f>
        <v>1</v>
      </c>
      <c r="P243" s="159">
        <f>SUM(P234:P242)</f>
        <v>128442</v>
      </c>
      <c r="Q243" s="198">
        <f>SUM(Q234:Q242)</f>
        <v>1</v>
      </c>
      <c r="R243" s="116"/>
      <c r="S243" s="119"/>
      <c r="T243" s="2"/>
    </row>
    <row r="244" spans="1:21" ht="15.75" x14ac:dyDescent="0.25">
      <c r="A244" s="12"/>
      <c r="B244" s="43"/>
      <c r="C244" s="43"/>
      <c r="D244" s="194"/>
      <c r="E244" s="194"/>
      <c r="F244" s="194"/>
      <c r="G244" s="194"/>
      <c r="H244" s="194"/>
      <c r="I244" s="194"/>
      <c r="J244" s="194"/>
      <c r="K244" s="194"/>
      <c r="L244" s="194"/>
      <c r="M244" s="194"/>
      <c r="N244" s="156"/>
      <c r="O244" s="195"/>
      <c r="P244" s="196"/>
      <c r="Q244" s="195"/>
      <c r="R244" s="43"/>
      <c r="S244" s="43"/>
      <c r="T244" s="2"/>
    </row>
    <row r="245" spans="1:21" ht="15.75" x14ac:dyDescent="0.25">
      <c r="A245" s="75"/>
      <c r="B245" s="63" t="s">
        <v>161</v>
      </c>
      <c r="C245" s="64"/>
      <c r="D245" s="64"/>
      <c r="E245" s="64"/>
      <c r="F245" s="64"/>
      <c r="G245" s="64"/>
      <c r="H245" s="64"/>
      <c r="I245" s="64"/>
      <c r="J245" s="64"/>
      <c r="K245" s="64"/>
      <c r="L245" s="64"/>
      <c r="M245" s="64"/>
      <c r="N245" s="74" t="s">
        <v>89</v>
      </c>
      <c r="O245" s="64" t="s">
        <v>90</v>
      </c>
      <c r="P245" s="74" t="s">
        <v>95</v>
      </c>
      <c r="Q245" s="64" t="s">
        <v>90</v>
      </c>
      <c r="R245" s="76"/>
      <c r="S245" s="77"/>
      <c r="T245" s="2"/>
    </row>
    <row r="246" spans="1:21" ht="15.75" x14ac:dyDescent="0.25">
      <c r="A246" s="24"/>
      <c r="B246" s="80" t="s">
        <v>76</v>
      </c>
      <c r="C246" s="95"/>
      <c r="D246" s="95"/>
      <c r="E246" s="95"/>
      <c r="F246" s="95"/>
      <c r="G246" s="95"/>
      <c r="H246" s="95"/>
      <c r="I246" s="95"/>
      <c r="J246" s="95"/>
      <c r="K246" s="95"/>
      <c r="L246" s="95"/>
      <c r="M246" s="95"/>
      <c r="N246" s="80">
        <v>0</v>
      </c>
      <c r="O246" s="83">
        <v>0</v>
      </c>
      <c r="P246" s="84">
        <v>0</v>
      </c>
      <c r="Q246" s="83">
        <v>0</v>
      </c>
      <c r="R246" s="81"/>
      <c r="S246" s="81"/>
      <c r="T246" s="2"/>
    </row>
    <row r="247" spans="1:21" ht="15.75" x14ac:dyDescent="0.25">
      <c r="A247" s="115"/>
      <c r="B247" s="158" t="s">
        <v>77</v>
      </c>
      <c r="C247" s="197"/>
      <c r="D247" s="197"/>
      <c r="E247" s="197"/>
      <c r="F247" s="197"/>
      <c r="G247" s="197"/>
      <c r="H247" s="197"/>
      <c r="I247" s="197"/>
      <c r="J247" s="197"/>
      <c r="K247" s="197"/>
      <c r="L247" s="197"/>
      <c r="M247" s="197"/>
      <c r="N247" s="158">
        <v>0</v>
      </c>
      <c r="O247" s="198">
        <v>0</v>
      </c>
      <c r="P247" s="159">
        <v>0</v>
      </c>
      <c r="Q247" s="198">
        <v>0</v>
      </c>
      <c r="R247" s="116"/>
      <c r="S247" s="119"/>
      <c r="T247" s="2"/>
    </row>
    <row r="248" spans="1:21" ht="15.75" x14ac:dyDescent="0.25">
      <c r="A248" s="115"/>
      <c r="B248" s="158" t="s">
        <v>78</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129</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130</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131</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132</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133</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c r="C254" s="197"/>
      <c r="D254" s="197"/>
      <c r="E254" s="197"/>
      <c r="F254" s="197"/>
      <c r="G254" s="197"/>
      <c r="H254" s="197"/>
      <c r="I254" s="197"/>
      <c r="J254" s="197"/>
      <c r="K254" s="197"/>
      <c r="L254" s="197"/>
      <c r="M254" s="197"/>
      <c r="N254" s="158"/>
      <c r="O254" s="198"/>
      <c r="P254" s="159"/>
      <c r="Q254" s="198"/>
      <c r="R254" s="116"/>
      <c r="S254" s="119"/>
      <c r="T254" s="2"/>
    </row>
    <row r="255" spans="1:21" ht="15.75" x14ac:dyDescent="0.25">
      <c r="A255" s="115"/>
      <c r="B255" s="116" t="s">
        <v>100</v>
      </c>
      <c r="C255" s="116"/>
      <c r="D255" s="200"/>
      <c r="E255" s="200"/>
      <c r="F255" s="200"/>
      <c r="G255" s="200"/>
      <c r="H255" s="200"/>
      <c r="I255" s="200"/>
      <c r="J255" s="200"/>
      <c r="K255" s="200"/>
      <c r="L255" s="200"/>
      <c r="M255" s="200"/>
      <c r="N255" s="158">
        <f>SUM(N246:N254)</f>
        <v>0</v>
      </c>
      <c r="O255" s="198">
        <f>SUM(O246:O254)</f>
        <v>0</v>
      </c>
      <c r="P255" s="159">
        <f>SUM(P246:P254)</f>
        <v>0</v>
      </c>
      <c r="Q255" s="198">
        <f>SUM(Q246:Q254)</f>
        <v>0</v>
      </c>
      <c r="R255" s="116"/>
      <c r="S255" s="119"/>
      <c r="T255" s="2"/>
    </row>
    <row r="256" spans="1:21" ht="15.75" x14ac:dyDescent="0.25">
      <c r="A256" s="12"/>
      <c r="B256" s="43"/>
      <c r="C256" s="43"/>
      <c r="D256" s="194"/>
      <c r="E256" s="194"/>
      <c r="F256" s="194"/>
      <c r="G256" s="194"/>
      <c r="H256" s="194"/>
      <c r="I256" s="194"/>
      <c r="J256" s="194"/>
      <c r="K256" s="194"/>
      <c r="L256" s="194"/>
      <c r="M256" s="194"/>
      <c r="N256" s="156"/>
      <c r="O256" s="195"/>
      <c r="P256" s="196"/>
      <c r="Q256" s="195"/>
      <c r="R256" s="43"/>
      <c r="S256" s="43"/>
      <c r="T256" s="2"/>
    </row>
    <row r="257" spans="1:20" ht="15.75" x14ac:dyDescent="0.25">
      <c r="A257" s="75"/>
      <c r="B257" s="63" t="s">
        <v>135</v>
      </c>
      <c r="C257" s="76"/>
      <c r="D257" s="78"/>
      <c r="E257" s="78"/>
      <c r="F257" s="78"/>
      <c r="G257" s="78"/>
      <c r="H257" s="78"/>
      <c r="I257" s="78"/>
      <c r="J257" s="78"/>
      <c r="K257" s="78"/>
      <c r="L257" s="78"/>
      <c r="M257" s="78"/>
      <c r="N257" s="74" t="s">
        <v>89</v>
      </c>
      <c r="O257" s="64" t="s">
        <v>90</v>
      </c>
      <c r="P257" s="74" t="s">
        <v>95</v>
      </c>
      <c r="Q257" s="64" t="s">
        <v>90</v>
      </c>
      <c r="R257" s="76"/>
      <c r="S257" s="77"/>
      <c r="T257" s="2"/>
    </row>
    <row r="258" spans="1:20" ht="15.75" x14ac:dyDescent="0.25">
      <c r="A258" s="79"/>
      <c r="B258" s="80" t="s">
        <v>76</v>
      </c>
      <c r="C258" s="81"/>
      <c r="D258" s="82"/>
      <c r="E258" s="82"/>
      <c r="F258" s="82"/>
      <c r="G258" s="82"/>
      <c r="H258" s="82"/>
      <c r="I258" s="82"/>
      <c r="J258" s="82"/>
      <c r="K258" s="82"/>
      <c r="L258" s="82"/>
      <c r="M258" s="82"/>
      <c r="N258" s="80">
        <v>0</v>
      </c>
      <c r="O258" s="83">
        <v>0</v>
      </c>
      <c r="P258" s="84">
        <v>0</v>
      </c>
      <c r="Q258" s="83">
        <v>0</v>
      </c>
      <c r="R258" s="81"/>
      <c r="S258" s="81"/>
      <c r="T258" s="2"/>
    </row>
    <row r="259" spans="1:20" ht="15.75" x14ac:dyDescent="0.25">
      <c r="A259" s="125"/>
      <c r="B259" s="158" t="s">
        <v>77</v>
      </c>
      <c r="C259" s="116"/>
      <c r="D259" s="200"/>
      <c r="E259" s="200"/>
      <c r="F259" s="200"/>
      <c r="G259" s="200"/>
      <c r="H259" s="200"/>
      <c r="I259" s="200"/>
      <c r="J259" s="200"/>
      <c r="K259" s="200"/>
      <c r="L259" s="200"/>
      <c r="M259" s="200"/>
      <c r="N259" s="158">
        <v>0</v>
      </c>
      <c r="O259" s="198">
        <v>0</v>
      </c>
      <c r="P259" s="159">
        <v>0</v>
      </c>
      <c r="Q259" s="198">
        <v>0</v>
      </c>
      <c r="R259" s="116"/>
      <c r="S259" s="119"/>
      <c r="T259" s="2"/>
    </row>
    <row r="260" spans="1:20" ht="15.75" x14ac:dyDescent="0.25">
      <c r="A260" s="125"/>
      <c r="B260" s="158" t="s">
        <v>78</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129</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130</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131</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132</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133</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c r="C266" s="116"/>
      <c r="D266" s="200"/>
      <c r="E266" s="200"/>
      <c r="F266" s="200"/>
      <c r="G266" s="200"/>
      <c r="H266" s="200"/>
      <c r="I266" s="200"/>
      <c r="J266" s="200"/>
      <c r="K266" s="200"/>
      <c r="L266" s="200"/>
      <c r="M266" s="200"/>
      <c r="N266" s="158"/>
      <c r="O266" s="198"/>
      <c r="P266" s="159"/>
      <c r="Q266" s="198"/>
      <c r="R266" s="116"/>
      <c r="S266" s="119"/>
      <c r="T266" s="2"/>
    </row>
    <row r="267" spans="1:20" ht="15.75" x14ac:dyDescent="0.25">
      <c r="A267" s="125"/>
      <c r="B267" s="116" t="s">
        <v>100</v>
      </c>
      <c r="C267" s="116"/>
      <c r="D267" s="200"/>
      <c r="E267" s="200"/>
      <c r="F267" s="200"/>
      <c r="G267" s="200"/>
      <c r="H267" s="200"/>
      <c r="I267" s="200"/>
      <c r="J267" s="200"/>
      <c r="K267" s="200"/>
      <c r="L267" s="200"/>
      <c r="M267" s="200"/>
      <c r="N267" s="158">
        <f>SUM(N258:N265)</f>
        <v>0</v>
      </c>
      <c r="O267" s="198">
        <f>SUM(O258:O265)</f>
        <v>0</v>
      </c>
      <c r="P267" s="159">
        <f>SUM(P258:P265)</f>
        <v>0</v>
      </c>
      <c r="Q267" s="198">
        <f>SUM(Q258:Q265)</f>
        <v>0</v>
      </c>
      <c r="R267" s="116"/>
      <c r="S267" s="119"/>
      <c r="T267" s="2"/>
    </row>
    <row r="268" spans="1:20" ht="15.75" x14ac:dyDescent="0.25">
      <c r="A268" s="125"/>
      <c r="B268" s="116"/>
      <c r="C268" s="116"/>
      <c r="D268" s="200"/>
      <c r="E268" s="200"/>
      <c r="F268" s="200"/>
      <c r="G268" s="200"/>
      <c r="H268" s="200"/>
      <c r="I268" s="200"/>
      <c r="J268" s="200"/>
      <c r="K268" s="200"/>
      <c r="L268" s="200"/>
      <c r="M268" s="200"/>
      <c r="N268" s="158"/>
      <c r="O268" s="198"/>
      <c r="P268" s="159"/>
      <c r="Q268" s="198"/>
      <c r="R268" s="116"/>
      <c r="S268" s="119"/>
      <c r="T268" s="2"/>
    </row>
    <row r="269" spans="1:20" ht="15.75" x14ac:dyDescent="0.25">
      <c r="A269" s="125"/>
      <c r="B269" s="127" t="s">
        <v>229</v>
      </c>
      <c r="C269" s="116"/>
      <c r="D269" s="200"/>
      <c r="E269" s="200"/>
      <c r="F269" s="200"/>
      <c r="G269" s="200"/>
      <c r="H269" s="200"/>
      <c r="I269" s="200"/>
      <c r="J269" s="200"/>
      <c r="K269" s="200"/>
      <c r="L269" s="200"/>
      <c r="M269" s="200"/>
      <c r="N269" s="202">
        <f>N267+N255+N243</f>
        <v>797</v>
      </c>
      <c r="O269" s="198"/>
      <c r="P269" s="203">
        <f>+P267+P255+P243</f>
        <v>128442</v>
      </c>
      <c r="Q269" s="198"/>
      <c r="R269" s="116"/>
      <c r="S269" s="119"/>
      <c r="T269" s="2"/>
    </row>
    <row r="270" spans="1:20" ht="15.75" x14ac:dyDescent="0.25">
      <c r="A270" s="125"/>
      <c r="B270" s="127" t="s">
        <v>230</v>
      </c>
      <c r="C270" s="127"/>
      <c r="D270" s="213"/>
      <c r="E270" s="213"/>
      <c r="F270" s="213"/>
      <c r="G270" s="213"/>
      <c r="H270" s="213"/>
      <c r="I270" s="213"/>
      <c r="J270" s="213"/>
      <c r="K270" s="213"/>
      <c r="L270" s="213"/>
      <c r="M270" s="213"/>
      <c r="N270" s="202"/>
      <c r="O270" s="214"/>
      <c r="P270" s="215">
        <f>+R162</f>
        <v>35270</v>
      </c>
      <c r="Q270" s="198"/>
      <c r="R270" s="116"/>
      <c r="S270" s="119"/>
      <c r="T270" s="2"/>
    </row>
    <row r="271" spans="1:20" ht="15.75" x14ac:dyDescent="0.25">
      <c r="A271" s="125"/>
      <c r="B271" s="127" t="s">
        <v>136</v>
      </c>
      <c r="C271" s="127"/>
      <c r="D271" s="213"/>
      <c r="E271" s="213"/>
      <c r="F271" s="213"/>
      <c r="G271" s="213"/>
      <c r="H271" s="213"/>
      <c r="I271" s="213"/>
      <c r="J271" s="213"/>
      <c r="K271" s="213"/>
      <c r="L271" s="213"/>
      <c r="M271" s="213"/>
      <c r="N271" s="202"/>
      <c r="O271" s="214"/>
      <c r="P271" s="215">
        <f>+P269+P270</f>
        <v>163712</v>
      </c>
      <c r="Q271" s="198"/>
      <c r="R271" s="116"/>
      <c r="S271" s="119"/>
      <c r="T271" s="2"/>
    </row>
    <row r="272" spans="1:20" ht="15.75" x14ac:dyDescent="0.25">
      <c r="A272" s="125"/>
      <c r="B272" s="127" t="s">
        <v>226</v>
      </c>
      <c r="C272" s="116"/>
      <c r="D272" s="200"/>
      <c r="E272" s="200"/>
      <c r="F272" s="200"/>
      <c r="G272" s="200"/>
      <c r="H272" s="200"/>
      <c r="I272" s="200"/>
      <c r="J272" s="200"/>
      <c r="K272" s="200"/>
      <c r="L272" s="200"/>
      <c r="M272" s="200"/>
      <c r="N272" s="202"/>
      <c r="O272" s="198"/>
      <c r="P272" s="203">
        <f>+R72</f>
        <v>163712</v>
      </c>
      <c r="Q272" s="198"/>
      <c r="R272" s="116"/>
      <c r="S272" s="119"/>
      <c r="T272" s="2"/>
    </row>
    <row r="273" spans="1:20" ht="15.75" x14ac:dyDescent="0.25">
      <c r="A273" s="125"/>
      <c r="B273" s="127"/>
      <c r="C273" s="116"/>
      <c r="D273" s="200"/>
      <c r="E273" s="200"/>
      <c r="F273" s="200"/>
      <c r="G273" s="200"/>
      <c r="H273" s="200"/>
      <c r="I273" s="200"/>
      <c r="J273" s="200"/>
      <c r="K273" s="200"/>
      <c r="L273" s="200"/>
      <c r="M273" s="200"/>
      <c r="N273" s="202"/>
      <c r="O273" s="198"/>
      <c r="P273" s="203"/>
      <c r="Q273" s="198"/>
      <c r="R273" s="116"/>
      <c r="S273" s="119"/>
      <c r="T273" s="2"/>
    </row>
    <row r="274" spans="1:20" ht="15.75" x14ac:dyDescent="0.25">
      <c r="A274" s="125"/>
      <c r="B274" s="127" t="s">
        <v>223</v>
      </c>
      <c r="C274" s="116"/>
      <c r="D274" s="200"/>
      <c r="E274" s="200"/>
      <c r="F274" s="200"/>
      <c r="G274" s="200"/>
      <c r="H274" s="200"/>
      <c r="I274" s="200"/>
      <c r="J274" s="200"/>
      <c r="K274" s="200"/>
      <c r="L274" s="200"/>
      <c r="M274" s="200"/>
      <c r="N274" s="202"/>
      <c r="O274" s="198"/>
      <c r="P274" s="211">
        <f>H30/R30</f>
        <v>0.19607558085687077</v>
      </c>
      <c r="Q274" s="198"/>
      <c r="R274" s="116"/>
      <c r="S274" s="119"/>
      <c r="T274" s="2"/>
    </row>
    <row r="275" spans="1:20" ht="15.75" x14ac:dyDescent="0.25">
      <c r="A275" s="85"/>
      <c r="B275" s="86"/>
      <c r="C275" s="86"/>
      <c r="D275" s="87"/>
      <c r="E275" s="87"/>
      <c r="F275" s="87"/>
      <c r="G275" s="87"/>
      <c r="H275" s="87"/>
      <c r="I275" s="87"/>
      <c r="J275" s="87"/>
      <c r="K275" s="87"/>
      <c r="L275" s="87"/>
      <c r="M275" s="87"/>
      <c r="N275" s="87"/>
      <c r="O275" s="87"/>
      <c r="P275" s="88"/>
      <c r="Q275" s="87"/>
      <c r="R275" s="86"/>
      <c r="S275" s="86"/>
      <c r="T275" s="2"/>
    </row>
    <row r="276" spans="1:20" ht="15.75" x14ac:dyDescent="0.25">
      <c r="A276" s="89"/>
      <c r="B276" s="90" t="s">
        <v>79</v>
      </c>
      <c r="C276" s="86"/>
      <c r="D276" s="91" t="s">
        <v>85</v>
      </c>
      <c r="E276" s="90"/>
      <c r="F276" s="90" t="s">
        <v>86</v>
      </c>
      <c r="G276" s="86"/>
      <c r="H276" s="90"/>
      <c r="I276" s="92"/>
      <c r="J276" s="92"/>
      <c r="K276" s="92"/>
      <c r="L276" s="92"/>
      <c r="M276" s="92"/>
      <c r="N276" s="92"/>
      <c r="O276" s="92"/>
      <c r="P276" s="92"/>
      <c r="Q276" s="92"/>
      <c r="R276" s="92"/>
      <c r="S276" s="92"/>
      <c r="T276" s="2"/>
    </row>
    <row r="277" spans="1:20" ht="15.75" x14ac:dyDescent="0.25">
      <c r="A277" s="89"/>
      <c r="B277" s="92"/>
      <c r="C277" s="86"/>
      <c r="D277" s="86"/>
      <c r="E277" s="86"/>
      <c r="F277" s="86"/>
      <c r="G277" s="86"/>
      <c r="H277" s="86"/>
      <c r="I277" s="92"/>
      <c r="J277" s="92"/>
      <c r="K277" s="92"/>
      <c r="L277" s="92"/>
      <c r="M277" s="92"/>
      <c r="N277" s="92"/>
      <c r="O277" s="92"/>
      <c r="P277" s="92"/>
      <c r="Q277" s="92"/>
      <c r="R277" s="92"/>
      <c r="S277" s="92"/>
      <c r="T277" s="2"/>
    </row>
    <row r="278" spans="1:20" ht="15.75" x14ac:dyDescent="0.25">
      <c r="A278" s="89"/>
      <c r="B278" s="90" t="s">
        <v>80</v>
      </c>
      <c r="C278" s="90"/>
      <c r="D278" s="93" t="s">
        <v>124</v>
      </c>
      <c r="E278" s="90"/>
      <c r="F278" s="90" t="s">
        <v>125</v>
      </c>
      <c r="G278" s="90"/>
      <c r="H278" s="90"/>
      <c r="I278" s="92"/>
      <c r="J278" s="92"/>
      <c r="K278" s="92"/>
      <c r="L278" s="92"/>
      <c r="M278" s="92"/>
      <c r="N278" s="92"/>
      <c r="O278" s="92"/>
      <c r="P278" s="92"/>
      <c r="Q278" s="92"/>
      <c r="R278" s="92"/>
      <c r="S278" s="92"/>
      <c r="T278" s="2"/>
    </row>
    <row r="279" spans="1:20" ht="15.75" x14ac:dyDescent="0.25">
      <c r="A279" s="89"/>
      <c r="B279" s="90" t="s">
        <v>162</v>
      </c>
      <c r="C279" s="90"/>
      <c r="D279" s="93" t="s">
        <v>163</v>
      </c>
      <c r="E279" s="90"/>
      <c r="F279" s="90" t="s">
        <v>164</v>
      </c>
      <c r="G279" s="90"/>
      <c r="H279" s="90"/>
      <c r="I279" s="92"/>
      <c r="J279" s="92"/>
      <c r="K279" s="92"/>
      <c r="L279" s="92"/>
      <c r="M279" s="92"/>
      <c r="N279" s="92"/>
      <c r="O279" s="92"/>
      <c r="P279" s="92"/>
      <c r="Q279" s="92"/>
      <c r="R279" s="92"/>
      <c r="S279" s="92"/>
      <c r="T279" s="2"/>
    </row>
    <row r="280" spans="1:20" ht="15.75" x14ac:dyDescent="0.25">
      <c r="A280" s="89"/>
      <c r="B280" s="90" t="s">
        <v>81</v>
      </c>
      <c r="C280" s="90"/>
      <c r="D280" s="93" t="s">
        <v>123</v>
      </c>
      <c r="E280" s="90"/>
      <c r="F280" s="90" t="s">
        <v>126</v>
      </c>
      <c r="G280" s="90"/>
      <c r="H280" s="90"/>
      <c r="I280" s="92"/>
      <c r="J280" s="92"/>
      <c r="K280" s="92"/>
      <c r="L280" s="92"/>
      <c r="M280" s="92"/>
      <c r="N280" s="92"/>
      <c r="O280" s="92"/>
      <c r="P280" s="92"/>
      <c r="Q280" s="92"/>
      <c r="R280" s="92"/>
      <c r="S280" s="92"/>
      <c r="T280" s="2"/>
    </row>
    <row r="281" spans="1:20" ht="15.75" x14ac:dyDescent="0.25">
      <c r="A281" s="89"/>
      <c r="B281" s="90"/>
      <c r="C281" s="90"/>
      <c r="D281" s="92"/>
      <c r="E281" s="92"/>
      <c r="F281" s="92"/>
      <c r="G281" s="92"/>
      <c r="H281" s="92"/>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9.5" thickBot="1" x14ac:dyDescent="0.35">
      <c r="A283" s="89"/>
      <c r="B283" s="94" t="str">
        <f>B183</f>
        <v>PM16 INVESTOR REPORT QUARTER ENDING DECEMBER 2011</v>
      </c>
      <c r="C283" s="90"/>
      <c r="D283" s="92"/>
      <c r="E283" s="92"/>
      <c r="F283" s="92"/>
      <c r="G283" s="92"/>
      <c r="H283" s="92"/>
      <c r="I283" s="92"/>
      <c r="J283" s="92"/>
      <c r="K283" s="92"/>
      <c r="L283" s="92"/>
      <c r="M283" s="92"/>
      <c r="N283" s="92"/>
      <c r="O283" s="92"/>
      <c r="P283" s="92"/>
      <c r="Q283" s="92"/>
      <c r="R283" s="92"/>
      <c r="S283" s="92"/>
      <c r="T283" s="2"/>
    </row>
    <row r="284" spans="1:20" x14ac:dyDescent="0.2">
      <c r="A284" s="3"/>
      <c r="B284" s="3"/>
      <c r="C284" s="3"/>
      <c r="D284" s="3"/>
      <c r="E284" s="3"/>
      <c r="F284" s="3"/>
      <c r="G284" s="3"/>
      <c r="H284" s="3"/>
      <c r="I284" s="3"/>
      <c r="J284" s="3"/>
      <c r="K284" s="3"/>
      <c r="L284" s="3"/>
      <c r="M284" s="3"/>
      <c r="N284" s="3"/>
      <c r="O284" s="3"/>
      <c r="P284" s="3"/>
      <c r="Q284" s="3"/>
      <c r="R284" s="3"/>
      <c r="S284" s="3"/>
    </row>
  </sheetData>
  <phoneticPr fontId="0" type="noConversion"/>
  <hyperlinks>
    <hyperlink ref="N219" r:id="rId1"/>
    <hyperlink ref="K9" r:id="rId2"/>
  </hyperlinks>
  <printOptions horizontalCentered="1" verticalCentered="1"/>
  <pageMargins left="0.19685039370078741" right="0.19685039370078741" top="0.27559055118110237" bottom="0.27559055118110237" header="0" footer="0"/>
  <pageSetup scale="45" orientation="landscape" r:id="rId3"/>
  <headerFooter alignWithMargins="0"/>
  <rowBreaks count="3" manualBreakCount="3">
    <brk id="52" max="23" man="1"/>
    <brk id="118" max="14" man="1"/>
    <brk id="183" max="14"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85"/>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220">
        <v>41751</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96472.607430000004</v>
      </c>
      <c r="G29" s="208"/>
      <c r="H29" s="208">
        <f>H28</f>
        <v>32100</v>
      </c>
      <c r="I29" s="129"/>
      <c r="J29" s="133"/>
      <c r="K29" s="129"/>
      <c r="L29" s="133"/>
      <c r="M29" s="129"/>
      <c r="N29" s="133"/>
      <c r="O29" s="129"/>
      <c r="P29" s="129"/>
      <c r="Q29" s="130"/>
      <c r="R29" s="129">
        <f>SUM(F29:H29)</f>
        <v>128572.60743</v>
      </c>
      <c r="S29" s="131"/>
      <c r="T29" s="2"/>
    </row>
    <row r="30" spans="1:20" ht="15.75" x14ac:dyDescent="0.25">
      <c r="A30" s="125"/>
      <c r="B30" s="124" t="s">
        <v>114</v>
      </c>
      <c r="C30" s="128"/>
      <c r="D30" s="136"/>
      <c r="E30" s="136"/>
      <c r="F30" s="209">
        <f>F31*F28</f>
        <v>86206.118310000005</v>
      </c>
      <c r="G30" s="209"/>
      <c r="H30" s="209">
        <f>H31*H28</f>
        <v>32100</v>
      </c>
      <c r="I30" s="134"/>
      <c r="J30" s="136"/>
      <c r="K30" s="134"/>
      <c r="L30" s="136"/>
      <c r="M30" s="134"/>
      <c r="N30" s="136"/>
      <c r="O30" s="129"/>
      <c r="P30" s="129"/>
      <c r="Q30" s="130"/>
      <c r="R30" s="210">
        <f>SUM(F30:H30)</f>
        <v>118306.11831000001</v>
      </c>
      <c r="S30" s="131"/>
      <c r="T30" s="2"/>
    </row>
    <row r="31" spans="1:20" ht="15.75" x14ac:dyDescent="0.25">
      <c r="A31" s="115"/>
      <c r="B31" s="137" t="s">
        <v>110</v>
      </c>
      <c r="C31" s="138"/>
      <c r="D31" s="139"/>
      <c r="E31" s="139"/>
      <c r="F31" s="139">
        <v>0.65456429999999999</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0.73251790000000006</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3.2693800000000002E-2</v>
      </c>
      <c r="G34" s="146"/>
      <c r="H34" s="146">
        <v>3.76938E-2</v>
      </c>
      <c r="I34" s="146"/>
      <c r="J34" s="146"/>
      <c r="K34" s="146"/>
      <c r="L34" s="146"/>
      <c r="M34" s="145"/>
      <c r="N34" s="146"/>
      <c r="O34" s="126"/>
      <c r="P34" s="126"/>
      <c r="Q34" s="118"/>
      <c r="R34" s="145">
        <f>SUMPRODUCT(F34:H34,F29:H29)/R29</f>
        <v>3.3942121887594781E-2</v>
      </c>
      <c r="S34" s="119"/>
      <c r="T34" s="2"/>
    </row>
    <row r="35" spans="1:21" ht="15.75" x14ac:dyDescent="0.25">
      <c r="A35" s="115"/>
      <c r="B35" s="116" t="s">
        <v>12</v>
      </c>
      <c r="C35" s="147"/>
      <c r="D35" s="146"/>
      <c r="E35" s="146"/>
      <c r="F35" s="146">
        <v>3.2695000000000002E-2</v>
      </c>
      <c r="G35" s="146"/>
      <c r="H35" s="146">
        <v>3.7694999999999999E-2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0.37236336154897215</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41744</v>
      </c>
      <c r="S45" s="119"/>
      <c r="T45" s="2"/>
    </row>
    <row r="46" spans="1:21" ht="15.75" x14ac:dyDescent="0.25">
      <c r="A46" s="115"/>
      <c r="B46" s="116" t="s">
        <v>106</v>
      </c>
      <c r="C46" s="116"/>
      <c r="D46" s="153"/>
      <c r="E46" s="153"/>
      <c r="F46" s="153"/>
      <c r="G46" s="153"/>
      <c r="H46" s="153"/>
      <c r="I46" s="153"/>
      <c r="J46" s="153"/>
      <c r="K46" s="153"/>
      <c r="L46" s="153"/>
      <c r="M46" s="153"/>
      <c r="N46" s="116">
        <f>+R46-P46+1</f>
        <v>92</v>
      </c>
      <c r="O46" s="116"/>
      <c r="P46" s="154">
        <v>41562</v>
      </c>
      <c r="Q46" s="155"/>
      <c r="R46" s="154">
        <v>41653</v>
      </c>
      <c r="S46" s="119"/>
      <c r="T46" s="2"/>
    </row>
    <row r="47" spans="1:21" ht="15.75" x14ac:dyDescent="0.25">
      <c r="A47" s="115"/>
      <c r="B47" s="116" t="s">
        <v>107</v>
      </c>
      <c r="C47" s="116"/>
      <c r="D47" s="116"/>
      <c r="E47" s="116"/>
      <c r="F47" s="116"/>
      <c r="G47" s="116"/>
      <c r="H47" s="116"/>
      <c r="I47" s="116"/>
      <c r="J47" s="116"/>
      <c r="K47" s="116"/>
      <c r="L47" s="116"/>
      <c r="M47" s="116"/>
      <c r="N47" s="116">
        <f>+R47-P47+1</f>
        <v>90</v>
      </c>
      <c r="O47" s="116"/>
      <c r="P47" s="154">
        <v>41654</v>
      </c>
      <c r="Q47" s="155"/>
      <c r="R47" s="154">
        <v>41743</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41730</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244</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128573</v>
      </c>
      <c r="I56" s="158"/>
      <c r="J56" s="159">
        <v>137</v>
      </c>
      <c r="K56" s="158"/>
      <c r="L56" s="158">
        <f>9875+292-32</f>
        <v>10135</v>
      </c>
      <c r="M56" s="158"/>
      <c r="N56" s="158">
        <v>5</v>
      </c>
      <c r="O56" s="158"/>
      <c r="P56" s="158">
        <v>0</v>
      </c>
      <c r="Q56" s="158"/>
      <c r="R56" s="159">
        <f>H56-J56-L56+N56-P56</f>
        <v>118306</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128573</v>
      </c>
      <c r="I59" s="158"/>
      <c r="J59" s="158">
        <f>J56+J57</f>
        <v>137</v>
      </c>
      <c r="K59" s="158"/>
      <c r="L59" s="158">
        <f>SUM(L56:L58)</f>
        <v>10135</v>
      </c>
      <c r="M59" s="158"/>
      <c r="N59" s="158">
        <f>SUM(N56:N58)</f>
        <v>5</v>
      </c>
      <c r="O59" s="158"/>
      <c r="P59" s="158">
        <f>SUM(P56:P58)</f>
        <v>0</v>
      </c>
      <c r="Q59" s="158"/>
      <c r="R59" s="158">
        <f>SUM(R56:R58)</f>
        <v>118306</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0</v>
      </c>
      <c r="I70" s="158"/>
      <c r="J70" s="158">
        <v>0</v>
      </c>
      <c r="K70" s="158"/>
      <c r="L70" s="158"/>
      <c r="M70" s="158"/>
      <c r="N70" s="158"/>
      <c r="O70" s="158"/>
      <c r="P70" s="158"/>
      <c r="Q70" s="158"/>
      <c r="R70" s="158">
        <f>+H70+J70</f>
        <v>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128573</v>
      </c>
      <c r="I72" s="158"/>
      <c r="J72" s="158"/>
      <c r="K72" s="158"/>
      <c r="L72" s="158"/>
      <c r="M72" s="158"/>
      <c r="N72" s="158"/>
      <c r="O72" s="158"/>
      <c r="P72" s="158"/>
      <c r="Q72" s="158"/>
      <c r="R72" s="158">
        <f>SUM(R59:R71)</f>
        <v>118306</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41729</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137+10135</f>
        <v>10272</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1987-397-2</f>
        <v>1588</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65</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12</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10272</v>
      </c>
      <c r="Q88" s="116"/>
      <c r="R88" s="158">
        <f>SUM(R76:R87)</f>
        <v>1665</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10272</v>
      </c>
      <c r="Q91" s="116"/>
      <c r="R91" s="158">
        <f>R88+R89+R90</f>
        <v>1665</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-48-3</f>
        <v>-51</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0</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-778</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-298</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-47</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-8-209</f>
        <v>-217</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-260</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-5</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0</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-10267</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-10272</v>
      </c>
      <c r="Q114" s="158"/>
      <c r="R114" s="158">
        <f>SUM(R92:R113)</f>
        <v>-1665</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MARCH 2014</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2327.8164507000001</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2586.1835492999999</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118306</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118306</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118306</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+'Dec 13'!O172</f>
        <v>967</v>
      </c>
      <c r="P170" s="159">
        <f>+'Dec 13'!P172</f>
        <v>175</v>
      </c>
      <c r="Q170" s="116"/>
      <c r="R170" s="159">
        <f>O170+P170</f>
        <v>1142</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0</v>
      </c>
      <c r="P171" s="158">
        <v>5</v>
      </c>
      <c r="Q171" s="116"/>
      <c r="R171" s="159">
        <f>O171+P171</f>
        <v>5</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967</v>
      </c>
      <c r="P172" s="159">
        <f>P171+P170</f>
        <v>180</v>
      </c>
      <c r="Q172" s="116"/>
      <c r="R172" s="159">
        <f>O172+P172</f>
        <v>1147</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25061</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2.0629820051413881</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1.66</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2.7583892617449663</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2.2000000000000002</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MARCH 2014</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41729</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3.3942121887594781E-2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1.3827878112405219E-2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4.5193799999999999E-2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5.3539999999999997E-2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3.3942121887594781E-2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1.9597878112405216E-2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1.2949841724156705E-2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17.52</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7.9892356871193795E-2</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0.1283</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'Dec 13'!P210+P209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771</v>
      </c>
      <c r="O223" s="83">
        <f t="shared" ref="O223:O230" si="1">N223/$N$232</f>
        <v>0.99870466321243523</v>
      </c>
      <c r="P223" s="84">
        <f t="shared" ref="P223:P230" si="2">+P235+P247+P259</f>
        <v>118170</v>
      </c>
      <c r="Q223" s="83">
        <f t="shared" ref="Q223:Q230" si="3">P223/$P$232</f>
        <v>0.99885043869288115</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1</v>
      </c>
      <c r="O225" s="198">
        <f t="shared" si="1"/>
        <v>1.2953367875647669E-3</v>
      </c>
      <c r="P225" s="159">
        <f t="shared" si="2"/>
        <v>136</v>
      </c>
      <c r="Q225" s="198">
        <f t="shared" si="3"/>
        <v>1.1495613071188274E-3</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772</v>
      </c>
      <c r="O232" s="198">
        <f>SUM(O223:O231)</f>
        <v>1</v>
      </c>
      <c r="P232" s="159">
        <f>SUM(P223:P231)</f>
        <v>118306</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771</v>
      </c>
      <c r="O235" s="83">
        <f>N235/$N$244</f>
        <v>0.99870466321243523</v>
      </c>
      <c r="P235" s="84">
        <v>118170</v>
      </c>
      <c r="Q235" s="83">
        <f t="shared" ref="Q235:Q242" si="4">P235/$P$244</f>
        <v>0.99885043869288115</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1</v>
      </c>
      <c r="O237" s="198">
        <f t="shared" si="5"/>
        <v>1.2953367875647669E-3</v>
      </c>
      <c r="P237" s="159">
        <v>136</v>
      </c>
      <c r="Q237" s="198">
        <f t="shared" si="4"/>
        <v>1.1495613071188274E-3</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772</v>
      </c>
      <c r="O244" s="198">
        <f>SUM(O235:O243)</f>
        <v>1</v>
      </c>
      <c r="P244" s="159">
        <f>SUM(P235:P243)</f>
        <v>118306</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772</v>
      </c>
      <c r="O270" s="198"/>
      <c r="P270" s="203">
        <f>+P268+P256+P244</f>
        <v>118306</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118306</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118306</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245</v>
      </c>
      <c r="C275" s="116"/>
      <c r="D275" s="200"/>
      <c r="E275" s="200"/>
      <c r="F275" s="200"/>
      <c r="G275" s="200"/>
      <c r="H275" s="200"/>
      <c r="I275" s="200"/>
      <c r="J275" s="200"/>
      <c r="K275" s="200"/>
      <c r="L275" s="200"/>
      <c r="M275" s="200"/>
      <c r="N275" s="202"/>
      <c r="O275" s="198"/>
      <c r="P275" s="211">
        <f>H30/R30</f>
        <v>0.27133000776754163</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219" t="s">
        <v>239</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219" t="s">
        <v>240</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219" t="s">
        <v>241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MARCH 2014</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85"/>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220">
        <v>41842</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86206.118310000005</v>
      </c>
      <c r="G29" s="208"/>
      <c r="H29" s="208">
        <f>H28</f>
        <v>32100</v>
      </c>
      <c r="I29" s="129"/>
      <c r="J29" s="133"/>
      <c r="K29" s="129"/>
      <c r="L29" s="133"/>
      <c r="M29" s="129"/>
      <c r="N29" s="133"/>
      <c r="O29" s="129"/>
      <c r="P29" s="129"/>
      <c r="Q29" s="130"/>
      <c r="R29" s="129">
        <f>SUM(F29:H29)</f>
        <v>118306.11831000001</v>
      </c>
      <c r="S29" s="131"/>
      <c r="T29" s="2"/>
    </row>
    <row r="30" spans="1:20" ht="15.75" x14ac:dyDescent="0.25">
      <c r="A30" s="125"/>
      <c r="B30" s="124" t="s">
        <v>114</v>
      </c>
      <c r="C30" s="128"/>
      <c r="D30" s="136"/>
      <c r="E30" s="136"/>
      <c r="F30" s="209">
        <f>F31*F28</f>
        <v>79685.045490000004</v>
      </c>
      <c r="G30" s="209"/>
      <c r="H30" s="209">
        <f>H31*H28</f>
        <v>32100</v>
      </c>
      <c r="I30" s="134"/>
      <c r="J30" s="136"/>
      <c r="K30" s="134"/>
      <c r="L30" s="136"/>
      <c r="M30" s="134"/>
      <c r="N30" s="136"/>
      <c r="O30" s="129"/>
      <c r="P30" s="129"/>
      <c r="Q30" s="130"/>
      <c r="R30" s="210">
        <f>SUM(F30:H30)</f>
        <v>111785.04549</v>
      </c>
      <c r="S30" s="131"/>
      <c r="T30" s="2"/>
    </row>
    <row r="31" spans="1:20" ht="15.75" x14ac:dyDescent="0.25">
      <c r="A31" s="115"/>
      <c r="B31" s="137" t="s">
        <v>110</v>
      </c>
      <c r="C31" s="138"/>
      <c r="D31" s="139"/>
      <c r="E31" s="139"/>
      <c r="F31" s="139">
        <v>0.60504970000000002</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0.65456429999999999</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3.27531E-2</v>
      </c>
      <c r="G34" s="146"/>
      <c r="H34" s="146">
        <v>3.7753099999999998E-2</v>
      </c>
      <c r="I34" s="146"/>
      <c r="J34" s="146"/>
      <c r="K34" s="146"/>
      <c r="L34" s="146"/>
      <c r="M34" s="145"/>
      <c r="N34" s="146"/>
      <c r="O34" s="126"/>
      <c r="P34" s="126"/>
      <c r="Q34" s="118"/>
      <c r="R34" s="145">
        <f>SUMPRODUCT(F34:H34,F29:H29)/R29</f>
        <v>3.4109750038837705E-2</v>
      </c>
      <c r="S34" s="119"/>
      <c r="T34" s="2"/>
    </row>
    <row r="35" spans="1:21" ht="15.75" x14ac:dyDescent="0.25">
      <c r="A35" s="115"/>
      <c r="B35" s="116" t="s">
        <v>12</v>
      </c>
      <c r="C35" s="147"/>
      <c r="D35" s="146"/>
      <c r="E35" s="146"/>
      <c r="F35" s="146">
        <v>3.2693800000000002E-2</v>
      </c>
      <c r="G35" s="146"/>
      <c r="H35" s="146">
        <v>3.76938E-2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0.40283593744108936</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41835</v>
      </c>
      <c r="S45" s="119"/>
      <c r="T45" s="2"/>
    </row>
    <row r="46" spans="1:21" ht="15.75" x14ac:dyDescent="0.25">
      <c r="A46" s="115"/>
      <c r="B46" s="116" t="s">
        <v>106</v>
      </c>
      <c r="C46" s="116"/>
      <c r="D46" s="153"/>
      <c r="E46" s="153"/>
      <c r="F46" s="153"/>
      <c r="G46" s="153"/>
      <c r="H46" s="153"/>
      <c r="I46" s="153"/>
      <c r="J46" s="153"/>
      <c r="K46" s="153"/>
      <c r="L46" s="153"/>
      <c r="M46" s="153"/>
      <c r="N46" s="116">
        <f>+R46-P46+1</f>
        <v>90</v>
      </c>
      <c r="O46" s="116"/>
      <c r="P46" s="154">
        <v>41654</v>
      </c>
      <c r="Q46" s="155"/>
      <c r="R46" s="154">
        <v>41743</v>
      </c>
      <c r="S46" s="119"/>
      <c r="T46" s="2"/>
    </row>
    <row r="47" spans="1:21" ht="15.75" x14ac:dyDescent="0.25">
      <c r="A47" s="115"/>
      <c r="B47" s="116" t="s">
        <v>107</v>
      </c>
      <c r="C47" s="116"/>
      <c r="D47" s="116"/>
      <c r="E47" s="116"/>
      <c r="F47" s="116"/>
      <c r="G47" s="116"/>
      <c r="H47" s="116"/>
      <c r="I47" s="116"/>
      <c r="J47" s="116"/>
      <c r="K47" s="116"/>
      <c r="L47" s="116"/>
      <c r="M47" s="116"/>
      <c r="N47" s="116">
        <f>+R47-P47+1</f>
        <v>91</v>
      </c>
      <c r="O47" s="116"/>
      <c r="P47" s="154">
        <v>41744</v>
      </c>
      <c r="Q47" s="155"/>
      <c r="R47" s="154">
        <v>41834</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41821</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246</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118306</v>
      </c>
      <c r="I56" s="158"/>
      <c r="J56" s="159">
        <v>136</v>
      </c>
      <c r="K56" s="158"/>
      <c r="L56" s="158">
        <f>6379+210</f>
        <v>6589</v>
      </c>
      <c r="M56" s="158"/>
      <c r="N56" s="158">
        <f>194+10</f>
        <v>204</v>
      </c>
      <c r="O56" s="158"/>
      <c r="P56" s="158">
        <v>0</v>
      </c>
      <c r="Q56" s="158"/>
      <c r="R56" s="159">
        <f>H56-J56-L56+N56-P56</f>
        <v>111785</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118306</v>
      </c>
      <c r="I59" s="158"/>
      <c r="J59" s="158">
        <f>J56+J57</f>
        <v>136</v>
      </c>
      <c r="K59" s="158"/>
      <c r="L59" s="158">
        <f>SUM(L56:L58)</f>
        <v>6589</v>
      </c>
      <c r="M59" s="158"/>
      <c r="N59" s="158">
        <f>SUM(N56:N58)</f>
        <v>204</v>
      </c>
      <c r="O59" s="158"/>
      <c r="P59" s="158">
        <f>SUM(P56:P58)</f>
        <v>0</v>
      </c>
      <c r="Q59" s="158"/>
      <c r="R59" s="158">
        <f>SUM(R56:R58)</f>
        <v>111785</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0</v>
      </c>
      <c r="I70" s="158"/>
      <c r="J70" s="158">
        <v>0</v>
      </c>
      <c r="K70" s="158"/>
      <c r="L70" s="158"/>
      <c r="M70" s="158"/>
      <c r="N70" s="158"/>
      <c r="O70" s="158"/>
      <c r="P70" s="158"/>
      <c r="Q70" s="158"/>
      <c r="R70" s="158">
        <f>+H70+J70</f>
        <v>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118306</v>
      </c>
      <c r="I72" s="158"/>
      <c r="J72" s="158"/>
      <c r="K72" s="158"/>
      <c r="L72" s="158"/>
      <c r="M72" s="158"/>
      <c r="N72" s="158"/>
      <c r="O72" s="158"/>
      <c r="P72" s="158"/>
      <c r="Q72" s="158"/>
      <c r="R72" s="158">
        <f>SUM(R59:R71)</f>
        <v>111785</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41820</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136+6589</f>
        <v>6725</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1853-346</f>
        <v>1507</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47</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11</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6725</v>
      </c>
      <c r="Q88" s="116"/>
      <c r="R88" s="158">
        <f>SUM(R76:R87)</f>
        <v>1565</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6725</v>
      </c>
      <c r="Q91" s="116"/>
      <c r="R91" s="158">
        <f>R88+R89+R90</f>
        <v>1565</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-44-1-3</f>
        <v>-48</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0</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-704</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-302</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-44</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-5-209</f>
        <v>-214</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-239</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-10</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-194</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-6521</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-6725</v>
      </c>
      <c r="Q114" s="158"/>
      <c r="R114" s="158">
        <f>SUM(R92:R113)</f>
        <v>-1565</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JUNE 2014</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2523.4486352999998</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2390.5513647000002</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111785</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111785</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111785</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+'March 14'!O172</f>
        <v>967</v>
      </c>
      <c r="P170" s="159">
        <f>+'March 14'!P172</f>
        <v>180</v>
      </c>
      <c r="Q170" s="116"/>
      <c r="R170" s="159">
        <f>O170+P170</f>
        <v>1147</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194</v>
      </c>
      <c r="P171" s="158">
        <v>10</v>
      </c>
      <c r="Q171" s="116"/>
      <c r="R171" s="159">
        <f>O171+P171</f>
        <v>204</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1161</v>
      </c>
      <c r="P172" s="159">
        <f>P171+P170</f>
        <v>190</v>
      </c>
      <c r="Q172" s="116"/>
      <c r="R172" s="159">
        <f>O172+P172</f>
        <v>1351</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24857</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2.1420454545454546</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1.69</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2.6456953642384105</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2.2400000000000002</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JUNE 2014</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41820</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3.4109750038837705E-2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1.3660249961162295E-2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4.5253099999999997E-2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5.3600000000000002E-2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3.4109750038837705E-2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1.9490249961162297E-2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1.3228407688536507E-2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17.309999999999999</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5.6844116105692018E-2</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0.1361</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+'March 14'!P210+'June 14'!P209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733</v>
      </c>
      <c r="O223" s="83">
        <f t="shared" ref="O223:O230" si="1">N223/$N$232</f>
        <v>0.99863760217983655</v>
      </c>
      <c r="P223" s="84">
        <f t="shared" ref="P223:P230" si="2">+P235+P247+P259</f>
        <v>111649</v>
      </c>
      <c r="Q223" s="83">
        <f t="shared" ref="Q223:Q230" si="3">P223/$P$232</f>
        <v>0.99878337880753232</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1</v>
      </c>
      <c r="O228" s="198">
        <f t="shared" si="1"/>
        <v>1.3623978201634877E-3</v>
      </c>
      <c r="P228" s="159">
        <f t="shared" si="2"/>
        <v>136</v>
      </c>
      <c r="Q228" s="198">
        <f t="shared" si="3"/>
        <v>1.2166211924676835E-3</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734</v>
      </c>
      <c r="O232" s="198">
        <f>SUM(O223:O231)</f>
        <v>1</v>
      </c>
      <c r="P232" s="159">
        <f>SUM(P223:P231)</f>
        <v>111785</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733</v>
      </c>
      <c r="O235" s="83">
        <f>N235/$N$244</f>
        <v>0.99863760217983655</v>
      </c>
      <c r="P235" s="84">
        <v>111649</v>
      </c>
      <c r="Q235" s="83">
        <f t="shared" ref="Q235:Q242" si="4">P235/$P$244</f>
        <v>0.99878337880753232</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1</v>
      </c>
      <c r="O240" s="198">
        <f t="shared" si="5"/>
        <v>1.3623978201634877E-3</v>
      </c>
      <c r="P240" s="159">
        <v>136</v>
      </c>
      <c r="Q240" s="198">
        <f t="shared" si="4"/>
        <v>1.2166211924676835E-3</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734</v>
      </c>
      <c r="O244" s="198">
        <f>SUM(O235:O243)</f>
        <v>1</v>
      </c>
      <c r="P244" s="159">
        <f>SUM(P235:P243)</f>
        <v>111785</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734</v>
      </c>
      <c r="O270" s="198"/>
      <c r="P270" s="203">
        <f>+P268+P256+P244</f>
        <v>111785</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111785</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111785</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245</v>
      </c>
      <c r="C275" s="116"/>
      <c r="D275" s="200"/>
      <c r="E275" s="200"/>
      <c r="F275" s="200"/>
      <c r="G275" s="200"/>
      <c r="H275" s="200"/>
      <c r="I275" s="200"/>
      <c r="J275" s="200"/>
      <c r="K275" s="200"/>
      <c r="L275" s="200"/>
      <c r="M275" s="200"/>
      <c r="N275" s="202"/>
      <c r="O275" s="198"/>
      <c r="P275" s="211">
        <f>H30/R30</f>
        <v>0.28715826754189211</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219" t="s">
        <v>239</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219" t="s">
        <v>240</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219" t="s">
        <v>241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JUNE 2014</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86"/>
  <sheetViews>
    <sheetView showGridLines="0" tabSelected="1"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0</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220">
        <v>41934</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79685.045490000004</v>
      </c>
      <c r="G29" s="208"/>
      <c r="H29" s="208">
        <f>H28</f>
        <v>32100</v>
      </c>
      <c r="I29" s="129"/>
      <c r="J29" s="133"/>
      <c r="K29" s="129"/>
      <c r="L29" s="133"/>
      <c r="M29" s="129"/>
      <c r="N29" s="133"/>
      <c r="O29" s="129"/>
      <c r="P29" s="129"/>
      <c r="Q29" s="130"/>
      <c r="R29" s="129">
        <f>SUM(F29:H29)</f>
        <v>111785.04549</v>
      </c>
      <c r="S29" s="131"/>
      <c r="T29" s="2"/>
    </row>
    <row r="30" spans="1:20" ht="15.75" x14ac:dyDescent="0.25">
      <c r="A30" s="125"/>
      <c r="B30" s="124" t="s">
        <v>114</v>
      </c>
      <c r="C30" s="128"/>
      <c r="D30" s="136"/>
      <c r="E30" s="136"/>
      <c r="F30" s="209">
        <f>F31*F28</f>
        <v>0</v>
      </c>
      <c r="G30" s="209"/>
      <c r="H30" s="209">
        <f>H31*H28</f>
        <v>0</v>
      </c>
      <c r="I30" s="134"/>
      <c r="J30" s="136"/>
      <c r="K30" s="134"/>
      <c r="L30" s="136"/>
      <c r="M30" s="134"/>
      <c r="N30" s="136"/>
      <c r="O30" s="129"/>
      <c r="P30" s="129"/>
      <c r="Q30" s="130"/>
      <c r="R30" s="210">
        <f>SUM(F30:H30)</f>
        <v>0</v>
      </c>
      <c r="S30" s="131"/>
      <c r="T30" s="2"/>
    </row>
    <row r="31" spans="1:20" ht="15.75" x14ac:dyDescent="0.25">
      <c r="A31" s="115"/>
      <c r="B31" s="137" t="s">
        <v>110</v>
      </c>
      <c r="C31" s="138"/>
      <c r="D31" s="139"/>
      <c r="E31" s="139"/>
      <c r="F31" s="139">
        <v>0</v>
      </c>
      <c r="G31" s="139"/>
      <c r="H31" s="139">
        <v>0</v>
      </c>
      <c r="I31" s="139"/>
      <c r="J31" s="139"/>
      <c r="K31" s="139"/>
      <c r="L31" s="139"/>
      <c r="M31" s="139"/>
      <c r="N31" s="139"/>
      <c r="O31" s="140"/>
      <c r="P31" s="140"/>
      <c r="Q31" s="141"/>
      <c r="R31" s="212"/>
      <c r="S31" s="142"/>
      <c r="T31" s="2"/>
    </row>
    <row r="32" spans="1:20" ht="15.75" x14ac:dyDescent="0.25">
      <c r="A32" s="115"/>
      <c r="B32" s="137" t="s">
        <v>111</v>
      </c>
      <c r="C32" s="138"/>
      <c r="D32" s="139"/>
      <c r="E32" s="139"/>
      <c r="F32" s="139">
        <v>0.60504970000000002</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3.3075E-2</v>
      </c>
      <c r="G34" s="146"/>
      <c r="H34" s="146">
        <v>3.8074999999999998E-2</v>
      </c>
      <c r="I34" s="146"/>
      <c r="J34" s="146"/>
      <c r="K34" s="146"/>
      <c r="L34" s="146"/>
      <c r="M34" s="145"/>
      <c r="N34" s="146"/>
      <c r="O34" s="126"/>
      <c r="P34" s="126"/>
      <c r="Q34" s="118"/>
      <c r="R34" s="145">
        <f>SUMPRODUCT(F34:H34,F29:H29)/R29</f>
        <v>3.4510791337709464E-2</v>
      </c>
      <c r="S34" s="119"/>
      <c r="T34" s="2"/>
    </row>
    <row r="35" spans="1:21" ht="15.75" x14ac:dyDescent="0.25">
      <c r="A35" s="115"/>
      <c r="B35" s="116" t="s">
        <v>12</v>
      </c>
      <c r="C35" s="147"/>
      <c r="D35" s="146"/>
      <c r="E35" s="146"/>
      <c r="F35" s="146">
        <v>3.27531E-2</v>
      </c>
      <c r="G35" s="146"/>
      <c r="H35" s="146">
        <v>3.7753099999999998E-2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v>0</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41927</v>
      </c>
      <c r="S45" s="119"/>
      <c r="T45" s="2"/>
    </row>
    <row r="46" spans="1:21" ht="15.75" x14ac:dyDescent="0.25">
      <c r="A46" s="115"/>
      <c r="B46" s="116" t="s">
        <v>106</v>
      </c>
      <c r="C46" s="116"/>
      <c r="D46" s="153"/>
      <c r="E46" s="153"/>
      <c r="F46" s="153"/>
      <c r="G46" s="153"/>
      <c r="H46" s="153"/>
      <c r="I46" s="153"/>
      <c r="J46" s="153"/>
      <c r="K46" s="153"/>
      <c r="L46" s="153"/>
      <c r="M46" s="153"/>
      <c r="N46" s="116">
        <f>+R46-P46+1</f>
        <v>91</v>
      </c>
      <c r="O46" s="116"/>
      <c r="P46" s="154">
        <v>41744</v>
      </c>
      <c r="Q46" s="155"/>
      <c r="R46" s="154">
        <v>41834</v>
      </c>
      <c r="S46" s="119"/>
      <c r="T46" s="2"/>
    </row>
    <row r="47" spans="1:21" ht="15.75" x14ac:dyDescent="0.25">
      <c r="A47" s="115"/>
      <c r="B47" s="116" t="s">
        <v>107</v>
      </c>
      <c r="C47" s="116"/>
      <c r="D47" s="116"/>
      <c r="E47" s="116"/>
      <c r="F47" s="116"/>
      <c r="G47" s="116"/>
      <c r="H47" s="116"/>
      <c r="I47" s="116"/>
      <c r="J47" s="116"/>
      <c r="K47" s="116"/>
      <c r="L47" s="116"/>
      <c r="M47" s="116"/>
      <c r="N47" s="116">
        <f>+R47-P47+1</f>
        <v>92</v>
      </c>
      <c r="O47" s="116"/>
      <c r="P47" s="154">
        <v>41835</v>
      </c>
      <c r="Q47" s="155"/>
      <c r="R47" s="154">
        <v>41926</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41913</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247</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111785</v>
      </c>
      <c r="I56" s="158"/>
      <c r="J56" s="159">
        <v>0</v>
      </c>
      <c r="K56" s="158"/>
      <c r="L56" s="158">
        <v>111785</v>
      </c>
      <c r="M56" s="158"/>
      <c r="N56" s="158">
        <v>0</v>
      </c>
      <c r="O56" s="158"/>
      <c r="P56" s="158">
        <v>0</v>
      </c>
      <c r="Q56" s="158"/>
      <c r="R56" s="159">
        <f>H56-J56-L56+N56-P56</f>
        <v>0</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111785</v>
      </c>
      <c r="I59" s="158"/>
      <c r="J59" s="158">
        <f>J56+J57</f>
        <v>0</v>
      </c>
      <c r="K59" s="158"/>
      <c r="L59" s="158">
        <f>SUM(L56:L58)</f>
        <v>111785</v>
      </c>
      <c r="M59" s="158"/>
      <c r="N59" s="158">
        <f>SUM(N56:N58)</f>
        <v>0</v>
      </c>
      <c r="O59" s="158"/>
      <c r="P59" s="158">
        <f>SUM(P56:P58)</f>
        <v>0</v>
      </c>
      <c r="Q59" s="158"/>
      <c r="R59" s="158">
        <f>SUM(R56:R58)</f>
        <v>0</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0</v>
      </c>
      <c r="I70" s="158"/>
      <c r="J70" s="158">
        <v>0</v>
      </c>
      <c r="K70" s="158"/>
      <c r="L70" s="158"/>
      <c r="M70" s="158"/>
      <c r="N70" s="158"/>
      <c r="O70" s="158"/>
      <c r="P70" s="158"/>
      <c r="Q70" s="158"/>
      <c r="R70" s="158">
        <f>+H70+J70</f>
        <v>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111785</v>
      </c>
      <c r="I72" s="158"/>
      <c r="J72" s="158"/>
      <c r="K72" s="158"/>
      <c r="L72" s="158"/>
      <c r="M72" s="158"/>
      <c r="N72" s="158"/>
      <c r="O72" s="158"/>
      <c r="P72" s="158"/>
      <c r="Q72" s="158"/>
      <c r="R72" s="158">
        <f>SUM(R59:R71)</f>
        <v>0</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+P186</f>
        <v>41912</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v>111785</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1+266</f>
        <v>267</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74</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0</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248</v>
      </c>
      <c r="C87" s="138"/>
      <c r="D87" s="138"/>
      <c r="E87" s="138"/>
      <c r="F87" s="138"/>
      <c r="G87" s="138"/>
      <c r="H87" s="138"/>
      <c r="I87" s="138"/>
      <c r="J87" s="138"/>
      <c r="K87" s="138"/>
      <c r="L87" s="138"/>
      <c r="M87" s="138"/>
      <c r="N87" s="138"/>
      <c r="O87" s="138"/>
      <c r="P87" s="158"/>
      <c r="Q87" s="116"/>
      <c r="R87" s="159">
        <v>4914</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111785</v>
      </c>
      <c r="Q88" s="116"/>
      <c r="R88" s="158">
        <f>SUM(R76:R87)</f>
        <v>5255</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111785</v>
      </c>
      <c r="Q91" s="116"/>
      <c r="R91" s="158">
        <f>R88+R89+R90</f>
        <v>5255</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-3</f>
        <v>-3</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0</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-664</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-308</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-3-278</f>
        <v>-281</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-3985</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-P172</f>
        <v>0</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-O172</f>
        <v>0</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-79685</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-32100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-111785</v>
      </c>
      <c r="Q114" s="158"/>
      <c r="R114" s="158">
        <f>SUM(R92:R113)</f>
        <v>-5255</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SEPTEMBER 2014</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4914</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0</v>
      </c>
      <c r="S125" s="119"/>
      <c r="T125" s="2"/>
    </row>
    <row r="126" spans="1:20" ht="15.75" x14ac:dyDescent="0.25">
      <c r="A126" s="115"/>
      <c r="B126" s="116" t="s">
        <v>249</v>
      </c>
      <c r="C126" s="116"/>
      <c r="D126" s="116"/>
      <c r="E126" s="116"/>
      <c r="F126" s="116"/>
      <c r="G126" s="116"/>
      <c r="H126" s="116"/>
      <c r="I126" s="116"/>
      <c r="J126" s="116"/>
      <c r="K126" s="116"/>
      <c r="L126" s="116"/>
      <c r="M126" s="116"/>
      <c r="N126" s="116"/>
      <c r="O126" s="116"/>
      <c r="P126" s="116"/>
      <c r="Q126" s="116"/>
      <c r="R126" s="159">
        <v>-4914</v>
      </c>
      <c r="S126" s="119"/>
      <c r="T126" s="2"/>
    </row>
    <row r="127" spans="1:20" ht="15.75" x14ac:dyDescent="0.25">
      <c r="A127" s="115"/>
      <c r="B127" s="116" t="s">
        <v>115</v>
      </c>
      <c r="C127" s="116"/>
      <c r="D127" s="116"/>
      <c r="E127" s="116"/>
      <c r="F127" s="116"/>
      <c r="G127" s="116"/>
      <c r="H127" s="116"/>
      <c r="I127" s="116"/>
      <c r="J127" s="116"/>
      <c r="K127" s="116"/>
      <c r="L127" s="116"/>
      <c r="M127" s="116"/>
      <c r="N127" s="116"/>
      <c r="O127" s="116"/>
      <c r="P127" s="116"/>
      <c r="Q127" s="116"/>
      <c r="R127" s="159"/>
      <c r="S127" s="119"/>
      <c r="T127" s="2"/>
    </row>
    <row r="128" spans="1:20" ht="15.75" x14ac:dyDescent="0.25">
      <c r="A128" s="115"/>
      <c r="B128" s="116" t="s">
        <v>187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40</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109</v>
      </c>
      <c r="C130" s="116"/>
      <c r="D130" s="116"/>
      <c r="E130" s="116"/>
      <c r="F130" s="116"/>
      <c r="G130" s="116"/>
      <c r="H130" s="116"/>
      <c r="I130" s="116"/>
      <c r="J130" s="116"/>
      <c r="K130" s="116"/>
      <c r="L130" s="116"/>
      <c r="M130" s="116"/>
      <c r="N130" s="116"/>
      <c r="O130" s="116"/>
      <c r="P130" s="116"/>
      <c r="Q130" s="116"/>
      <c r="R130" s="159">
        <v>0</v>
      </c>
      <c r="S130" s="119"/>
      <c r="T130" s="2"/>
    </row>
    <row r="131" spans="1:21" ht="15.75" x14ac:dyDescent="0.25">
      <c r="A131" s="115"/>
      <c r="B131" s="116" t="s">
        <v>203</v>
      </c>
      <c r="C131" s="116"/>
      <c r="D131" s="116"/>
      <c r="E131" s="116"/>
      <c r="F131" s="116"/>
      <c r="G131" s="116"/>
      <c r="H131" s="116"/>
      <c r="I131" s="116"/>
      <c r="J131" s="116"/>
      <c r="K131" s="116"/>
      <c r="L131" s="116"/>
      <c r="M131" s="116"/>
      <c r="N131" s="116"/>
      <c r="O131" s="116"/>
      <c r="P131" s="116"/>
      <c r="Q131" s="116"/>
      <c r="R131" s="159">
        <v>0</v>
      </c>
      <c r="S131" s="119"/>
      <c r="T131" s="2"/>
      <c r="U131" s="4"/>
    </row>
    <row r="132" spans="1:21" ht="15.75" x14ac:dyDescent="0.25">
      <c r="A132" s="115"/>
      <c r="B132" s="116" t="s">
        <v>41</v>
      </c>
      <c r="C132" s="116"/>
      <c r="D132" s="116"/>
      <c r="E132" s="116"/>
      <c r="F132" s="116"/>
      <c r="G132" s="116"/>
      <c r="H132" s="116"/>
      <c r="I132" s="116"/>
      <c r="J132" s="116"/>
      <c r="K132" s="116"/>
      <c r="L132" s="116"/>
      <c r="M132" s="116"/>
      <c r="N132" s="116"/>
      <c r="O132" s="116"/>
      <c r="P132" s="116"/>
      <c r="Q132" s="116"/>
      <c r="R132" s="159">
        <f>SUM(R124:R131)</f>
        <v>0</v>
      </c>
      <c r="S132" s="119"/>
      <c r="T132" s="2"/>
    </row>
    <row r="133" spans="1:21" ht="15.75" x14ac:dyDescent="0.25">
      <c r="A133" s="115"/>
      <c r="B133" s="138"/>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63" t="s">
        <v>198</v>
      </c>
      <c r="C134" s="138"/>
      <c r="D134" s="138"/>
      <c r="E134" s="138"/>
      <c r="F134" s="138"/>
      <c r="G134" s="138"/>
      <c r="H134" s="138"/>
      <c r="I134" s="138"/>
      <c r="J134" s="138"/>
      <c r="K134" s="138"/>
      <c r="L134" s="138"/>
      <c r="M134" s="138"/>
      <c r="N134" s="138"/>
      <c r="O134" s="138"/>
      <c r="P134" s="138"/>
      <c r="Q134" s="138"/>
      <c r="R134" s="166"/>
      <c r="S134" s="142"/>
      <c r="T134" s="2"/>
    </row>
    <row r="135" spans="1:21" ht="15.75" x14ac:dyDescent="0.25">
      <c r="A135" s="115"/>
      <c r="B135" s="116" t="s">
        <v>128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140</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152</v>
      </c>
      <c r="C137" s="116"/>
      <c r="D137" s="116"/>
      <c r="E137" s="116"/>
      <c r="F137" s="116"/>
      <c r="G137" s="116"/>
      <c r="H137" s="116"/>
      <c r="I137" s="116"/>
      <c r="J137" s="116"/>
      <c r="K137" s="116"/>
      <c r="L137" s="116"/>
      <c r="M137" s="116"/>
      <c r="N137" s="116"/>
      <c r="O137" s="116"/>
      <c r="P137" s="116"/>
      <c r="Q137" s="116"/>
      <c r="R137" s="159">
        <v>0</v>
      </c>
      <c r="S137" s="119"/>
      <c r="T137" s="2"/>
    </row>
    <row r="138" spans="1:21" ht="15.75" x14ac:dyDescent="0.25">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75" x14ac:dyDescent="0.25">
      <c r="A139" s="12"/>
      <c r="B139" s="43"/>
      <c r="C139" s="43"/>
      <c r="D139" s="43"/>
      <c r="E139" s="43"/>
      <c r="F139" s="43"/>
      <c r="G139" s="43"/>
      <c r="H139" s="43"/>
      <c r="I139" s="43"/>
      <c r="J139" s="43"/>
      <c r="K139" s="43"/>
      <c r="L139" s="43"/>
      <c r="M139" s="43"/>
      <c r="N139" s="43"/>
      <c r="O139" s="43"/>
      <c r="P139" s="43"/>
      <c r="Q139" s="43"/>
      <c r="R139" s="165"/>
      <c r="S139" s="43"/>
      <c r="T139" s="2"/>
    </row>
    <row r="140" spans="1:21" ht="15.75" x14ac:dyDescent="0.25">
      <c r="A140" s="12"/>
      <c r="B140" s="41" t="s">
        <v>220</v>
      </c>
      <c r="C140" s="14"/>
      <c r="D140" s="14"/>
      <c r="E140" s="14"/>
      <c r="F140" s="14"/>
      <c r="G140" s="14"/>
      <c r="H140" s="14"/>
      <c r="I140" s="14"/>
      <c r="J140" s="14"/>
      <c r="K140" s="14"/>
      <c r="L140" s="14"/>
      <c r="M140" s="14"/>
      <c r="N140" s="14"/>
      <c r="O140" s="14"/>
      <c r="P140" s="14"/>
      <c r="Q140" s="14"/>
      <c r="R140" s="33"/>
      <c r="S140" s="14"/>
      <c r="T140" s="2"/>
    </row>
    <row r="141" spans="1:21" ht="15.75" x14ac:dyDescent="0.25">
      <c r="A141" s="115"/>
      <c r="B141" s="116" t="s">
        <v>210</v>
      </c>
      <c r="C141" s="116"/>
      <c r="D141" s="116"/>
      <c r="E141" s="116"/>
      <c r="F141" s="116"/>
      <c r="G141" s="116"/>
      <c r="H141" s="116"/>
      <c r="I141" s="116"/>
      <c r="J141" s="116"/>
      <c r="K141" s="116"/>
      <c r="L141" s="116"/>
      <c r="M141" s="116"/>
      <c r="N141" s="116"/>
      <c r="O141" s="116"/>
      <c r="P141" s="116"/>
      <c r="Q141" s="116"/>
      <c r="R141" s="159">
        <v>0</v>
      </c>
      <c r="S141" s="142"/>
      <c r="T141" s="2"/>
    </row>
    <row r="142" spans="1:21" ht="15.75" x14ac:dyDescent="0.25">
      <c r="A142" s="115"/>
      <c r="B142" s="116" t="s">
        <v>213</v>
      </c>
      <c r="C142" s="118"/>
      <c r="D142" s="118"/>
      <c r="E142" s="118"/>
      <c r="F142" s="118"/>
      <c r="G142" s="118"/>
      <c r="H142" s="118"/>
      <c r="I142" s="118"/>
      <c r="J142" s="118"/>
      <c r="K142" s="118"/>
      <c r="L142" s="118"/>
      <c r="M142" s="118"/>
      <c r="N142" s="118"/>
      <c r="O142" s="118"/>
      <c r="P142" s="118"/>
      <c r="Q142" s="118"/>
      <c r="R142" s="159">
        <f>J69</f>
        <v>0</v>
      </c>
      <c r="S142" s="142"/>
      <c r="T142" s="2"/>
    </row>
    <row r="143" spans="1:21" ht="15.75" x14ac:dyDescent="0.25">
      <c r="A143" s="115"/>
      <c r="B143" s="116" t="s">
        <v>214</v>
      </c>
      <c r="C143" s="116"/>
      <c r="D143" s="116"/>
      <c r="E143" s="116"/>
      <c r="F143" s="116"/>
      <c r="G143" s="116"/>
      <c r="H143" s="116"/>
      <c r="I143" s="116"/>
      <c r="J143" s="116"/>
      <c r="K143" s="116"/>
      <c r="L143" s="116"/>
      <c r="M143" s="116"/>
      <c r="N143" s="116"/>
      <c r="O143" s="116"/>
      <c r="P143" s="116"/>
      <c r="Q143" s="116"/>
      <c r="R143" s="159">
        <f>R141+R142</f>
        <v>0</v>
      </c>
      <c r="S143" s="142"/>
      <c r="T143" s="2"/>
    </row>
    <row r="144" spans="1:21" ht="15.75" x14ac:dyDescent="0.25">
      <c r="A144" s="12"/>
      <c r="B144" s="43"/>
      <c r="C144" s="43"/>
      <c r="D144" s="43"/>
      <c r="E144" s="43"/>
      <c r="F144" s="43"/>
      <c r="G144" s="43"/>
      <c r="H144" s="43"/>
      <c r="I144" s="43"/>
      <c r="J144" s="43"/>
      <c r="K144" s="43"/>
      <c r="L144" s="43"/>
      <c r="M144" s="43"/>
      <c r="N144" s="43"/>
      <c r="O144" s="43"/>
      <c r="P144" s="43"/>
      <c r="Q144" s="43"/>
      <c r="R144" s="165"/>
      <c r="S144" s="43"/>
      <c r="T144" s="2"/>
    </row>
    <row r="145" spans="1:252" ht="15.75" x14ac:dyDescent="0.25">
      <c r="A145" s="12"/>
      <c r="B145" s="41" t="s">
        <v>42</v>
      </c>
      <c r="C145" s="14"/>
      <c r="D145" s="14"/>
      <c r="E145" s="14"/>
      <c r="F145" s="14"/>
      <c r="G145" s="14"/>
      <c r="H145" s="14"/>
      <c r="I145" s="14"/>
      <c r="J145" s="14"/>
      <c r="K145" s="14"/>
      <c r="L145" s="14"/>
      <c r="M145" s="14"/>
      <c r="N145" s="14"/>
      <c r="O145" s="14"/>
      <c r="P145" s="14"/>
      <c r="Q145" s="14"/>
      <c r="R145" s="42"/>
      <c r="S145" s="14"/>
      <c r="T145" s="2"/>
    </row>
    <row r="146" spans="1:252" ht="15.75" x14ac:dyDescent="0.25">
      <c r="A146" s="115"/>
      <c r="B146" s="116" t="s">
        <v>43</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44</v>
      </c>
      <c r="C147" s="116"/>
      <c r="D147" s="116"/>
      <c r="E147" s="116"/>
      <c r="F147" s="116"/>
      <c r="G147" s="116"/>
      <c r="H147" s="116"/>
      <c r="I147" s="116"/>
      <c r="J147" s="116"/>
      <c r="K147" s="116"/>
      <c r="L147" s="116"/>
      <c r="M147" s="116"/>
      <c r="N147" s="116"/>
      <c r="O147" s="116"/>
      <c r="P147" s="116"/>
      <c r="Q147" s="116"/>
      <c r="R147" s="159">
        <v>0</v>
      </c>
      <c r="S147" s="119"/>
      <c r="T147" s="2"/>
    </row>
    <row r="148" spans="1:252" ht="15.75" x14ac:dyDescent="0.25">
      <c r="A148" s="115"/>
      <c r="B148" s="116" t="s">
        <v>45</v>
      </c>
      <c r="C148" s="116"/>
      <c r="D148" s="116"/>
      <c r="E148" s="116"/>
      <c r="F148" s="116"/>
      <c r="G148" s="116"/>
      <c r="H148" s="116"/>
      <c r="I148" s="116"/>
      <c r="J148" s="116"/>
      <c r="K148" s="116"/>
      <c r="L148" s="116"/>
      <c r="M148" s="116"/>
      <c r="N148" s="116"/>
      <c r="O148" s="116"/>
      <c r="P148" s="116"/>
      <c r="Q148" s="116"/>
      <c r="R148" s="159">
        <f>R147+R146</f>
        <v>0</v>
      </c>
      <c r="S148" s="119"/>
      <c r="T148" s="2"/>
    </row>
    <row r="149" spans="1:252" ht="15.75" x14ac:dyDescent="0.25">
      <c r="A149" s="115"/>
      <c r="B149" s="116" t="s">
        <v>224</v>
      </c>
      <c r="C149" s="116"/>
      <c r="D149" s="116"/>
      <c r="E149" s="116"/>
      <c r="F149" s="116"/>
      <c r="G149" s="116"/>
      <c r="H149" s="116"/>
      <c r="I149" s="116"/>
      <c r="J149" s="116"/>
      <c r="K149" s="116"/>
      <c r="L149" s="116"/>
      <c r="M149" s="116"/>
      <c r="N149" s="116"/>
      <c r="O149" s="116"/>
      <c r="P149" s="116"/>
      <c r="Q149" s="116"/>
      <c r="R149" s="159">
        <f>R99</f>
        <v>0</v>
      </c>
      <c r="S149" s="119"/>
      <c r="T149" s="2"/>
    </row>
    <row r="150" spans="1:252" ht="15.75" x14ac:dyDescent="0.25">
      <c r="A150" s="115"/>
      <c r="B150" s="116" t="s">
        <v>46</v>
      </c>
      <c r="C150" s="116"/>
      <c r="D150" s="116"/>
      <c r="E150" s="116"/>
      <c r="F150" s="116"/>
      <c r="G150" s="116"/>
      <c r="H150" s="116"/>
      <c r="I150" s="116"/>
      <c r="J150" s="116"/>
      <c r="K150" s="116"/>
      <c r="L150" s="116"/>
      <c r="M150" s="116"/>
      <c r="N150" s="116"/>
      <c r="O150" s="116"/>
      <c r="P150" s="116"/>
      <c r="Q150" s="116"/>
      <c r="R150" s="159">
        <f>R148+R149</f>
        <v>0</v>
      </c>
      <c r="S150" s="119"/>
      <c r="T150" s="2"/>
    </row>
    <row r="151" spans="1:252" ht="15.75" x14ac:dyDescent="0.25">
      <c r="A151" s="115"/>
      <c r="B151" s="116" t="s">
        <v>166</v>
      </c>
      <c r="C151" s="116"/>
      <c r="D151" s="116"/>
      <c r="E151" s="116"/>
      <c r="F151" s="116"/>
      <c r="G151" s="116"/>
      <c r="H151" s="116"/>
      <c r="I151" s="116"/>
      <c r="J151" s="116"/>
      <c r="K151" s="116"/>
      <c r="L151" s="116"/>
      <c r="M151" s="116"/>
      <c r="N151" s="116"/>
      <c r="O151" s="116"/>
      <c r="P151" s="116"/>
      <c r="Q151" s="116"/>
      <c r="R151" s="159">
        <f>-R90</f>
        <v>0</v>
      </c>
      <c r="S151" s="119"/>
      <c r="T151" s="2"/>
    </row>
    <row r="152" spans="1:252" ht="16.5" thickBot="1" x14ac:dyDescent="0.3">
      <c r="A152" s="12"/>
      <c r="B152" s="43"/>
      <c r="C152" s="43"/>
      <c r="D152" s="43"/>
      <c r="E152" s="43"/>
      <c r="F152" s="43"/>
      <c r="G152" s="43"/>
      <c r="H152" s="43"/>
      <c r="I152" s="43"/>
      <c r="J152" s="43"/>
      <c r="K152" s="43"/>
      <c r="L152" s="43"/>
      <c r="M152" s="43"/>
      <c r="N152" s="43"/>
      <c r="O152" s="43"/>
      <c r="P152" s="43"/>
      <c r="Q152" s="43"/>
      <c r="R152" s="165"/>
      <c r="S152" s="43"/>
      <c r="T152" s="2"/>
    </row>
    <row r="153" spans="1:252" ht="15.75" x14ac:dyDescent="0.25">
      <c r="A153" s="10"/>
      <c r="B153" s="11"/>
      <c r="C153" s="11"/>
      <c r="D153" s="11"/>
      <c r="E153" s="11"/>
      <c r="F153" s="11"/>
      <c r="G153" s="11"/>
      <c r="H153" s="11"/>
      <c r="I153" s="11"/>
      <c r="J153" s="11"/>
      <c r="K153" s="11"/>
      <c r="L153" s="11"/>
      <c r="M153" s="11"/>
      <c r="N153" s="11"/>
      <c r="O153" s="11"/>
      <c r="P153" s="11"/>
      <c r="Q153" s="11"/>
      <c r="R153" s="32"/>
      <c r="S153" s="11"/>
      <c r="T153" s="2"/>
    </row>
    <row r="154" spans="1:252" s="6" customFormat="1" ht="15.75" x14ac:dyDescent="0.25">
      <c r="A154" s="12"/>
      <c r="B154" s="41" t="s">
        <v>155</v>
      </c>
      <c r="C154" s="43"/>
      <c r="D154" s="43"/>
      <c r="E154" s="43"/>
      <c r="F154" s="43"/>
      <c r="G154" s="43"/>
      <c r="H154" s="43"/>
      <c r="I154" s="43"/>
      <c r="J154" s="43"/>
      <c r="K154" s="43"/>
      <c r="L154" s="43"/>
      <c r="M154" s="43"/>
      <c r="N154" s="43"/>
      <c r="O154" s="43"/>
      <c r="P154" s="43"/>
      <c r="Q154" s="43"/>
      <c r="R154" s="44"/>
      <c r="S154" s="43"/>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156</v>
      </c>
      <c r="C155" s="116"/>
      <c r="D155" s="116"/>
      <c r="E155" s="116"/>
      <c r="F155" s="116"/>
      <c r="G155" s="116"/>
      <c r="H155" s="116"/>
      <c r="I155" s="116"/>
      <c r="J155" s="116"/>
      <c r="K155" s="116"/>
      <c r="L155" s="116"/>
      <c r="M155" s="116"/>
      <c r="N155" s="116"/>
      <c r="O155" s="116"/>
      <c r="P155" s="116"/>
      <c r="Q155" s="116"/>
      <c r="R155" s="159">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159</v>
      </c>
      <c r="C156" s="116"/>
      <c r="D156" s="116"/>
      <c r="E156" s="116"/>
      <c r="F156" s="116"/>
      <c r="G156" s="116"/>
      <c r="H156" s="116"/>
      <c r="I156" s="116"/>
      <c r="J156" s="116"/>
      <c r="K156" s="116"/>
      <c r="L156" s="116"/>
      <c r="M156" s="116"/>
      <c r="N156" s="116"/>
      <c r="O156" s="116"/>
      <c r="P156" s="116"/>
      <c r="Q156" s="116"/>
      <c r="R156" s="159">
        <f>+R83</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7" customFormat="1" ht="15.75" x14ac:dyDescent="0.25">
      <c r="A157" s="115"/>
      <c r="B157" s="116" t="s">
        <v>157</v>
      </c>
      <c r="C157" s="116"/>
      <c r="D157" s="116"/>
      <c r="E157" s="116"/>
      <c r="F157" s="116"/>
      <c r="G157" s="116"/>
      <c r="H157" s="116"/>
      <c r="I157" s="116"/>
      <c r="J157" s="116"/>
      <c r="K157" s="116"/>
      <c r="L157" s="116"/>
      <c r="M157" s="116"/>
      <c r="N157" s="116"/>
      <c r="O157" s="116"/>
      <c r="P157" s="116"/>
      <c r="Q157" s="116"/>
      <c r="R157" s="159">
        <f>+R155-R156</f>
        <v>0</v>
      </c>
      <c r="S157" s="119"/>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8" customFormat="1" ht="16.5" thickBot="1" x14ac:dyDescent="0.3">
      <c r="A158" s="28"/>
      <c r="B158" s="43"/>
      <c r="C158" s="43"/>
      <c r="D158" s="43"/>
      <c r="E158" s="43"/>
      <c r="F158" s="43"/>
      <c r="G158" s="43"/>
      <c r="H158" s="43"/>
      <c r="I158" s="43"/>
      <c r="J158" s="43"/>
      <c r="K158" s="43"/>
      <c r="L158" s="43"/>
      <c r="M158" s="43"/>
      <c r="N158" s="43"/>
      <c r="O158" s="43"/>
      <c r="P158" s="43"/>
      <c r="Q158" s="43"/>
      <c r="R158" s="165"/>
      <c r="S158" s="43"/>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s="9" customFormat="1" ht="15.75" x14ac:dyDescent="0.25">
      <c r="A159" s="10"/>
      <c r="B159" s="11"/>
      <c r="C159" s="11"/>
      <c r="D159" s="11"/>
      <c r="E159" s="11"/>
      <c r="F159" s="11"/>
      <c r="G159" s="11"/>
      <c r="H159" s="11"/>
      <c r="I159" s="11"/>
      <c r="J159" s="11"/>
      <c r="K159" s="11"/>
      <c r="L159" s="11"/>
      <c r="M159" s="11"/>
      <c r="N159" s="11"/>
      <c r="O159" s="11"/>
      <c r="P159" s="11"/>
      <c r="Q159" s="11"/>
      <c r="R159" s="32"/>
      <c r="S159" s="11"/>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ht="15.75" x14ac:dyDescent="0.25">
      <c r="A160" s="12"/>
      <c r="B160" s="41" t="s">
        <v>47</v>
      </c>
      <c r="C160" s="14"/>
      <c r="D160" s="14"/>
      <c r="E160" s="14"/>
      <c r="F160" s="14"/>
      <c r="G160" s="14"/>
      <c r="H160" s="14"/>
      <c r="I160" s="14"/>
      <c r="J160" s="14"/>
      <c r="K160" s="14"/>
      <c r="L160" s="14"/>
      <c r="M160" s="14"/>
      <c r="N160" s="14"/>
      <c r="O160" s="14"/>
      <c r="P160" s="14"/>
      <c r="Q160" s="14"/>
      <c r="R160" s="33"/>
      <c r="S160" s="14"/>
      <c r="T160" s="2"/>
    </row>
    <row r="161" spans="1:20" ht="15.75" x14ac:dyDescent="0.25">
      <c r="A161" s="12"/>
      <c r="B161" s="22"/>
      <c r="C161" s="14"/>
      <c r="D161" s="14"/>
      <c r="E161" s="14"/>
      <c r="F161" s="14"/>
      <c r="G161" s="14"/>
      <c r="H161" s="14"/>
      <c r="I161" s="14"/>
      <c r="J161" s="14"/>
      <c r="K161" s="14"/>
      <c r="L161" s="14"/>
      <c r="M161" s="14"/>
      <c r="N161" s="14"/>
      <c r="O161" s="14"/>
      <c r="P161" s="14"/>
      <c r="Q161" s="14"/>
      <c r="R161" s="33"/>
      <c r="S161" s="14"/>
      <c r="T161" s="2"/>
    </row>
    <row r="162" spans="1:20" ht="15.75" x14ac:dyDescent="0.25">
      <c r="A162" s="115"/>
      <c r="B162" s="116" t="s">
        <v>221</v>
      </c>
      <c r="C162" s="116"/>
      <c r="D162" s="116"/>
      <c r="E162" s="116"/>
      <c r="F162" s="116"/>
      <c r="G162" s="116"/>
      <c r="H162" s="116"/>
      <c r="I162" s="116"/>
      <c r="J162" s="116"/>
      <c r="K162" s="116"/>
      <c r="L162" s="116"/>
      <c r="M162" s="116"/>
      <c r="N162" s="116"/>
      <c r="O162" s="116"/>
      <c r="P162" s="116"/>
      <c r="Q162" s="116"/>
      <c r="R162" s="159">
        <f>+R59</f>
        <v>0</v>
      </c>
      <c r="S162" s="119"/>
      <c r="T162" s="2"/>
    </row>
    <row r="163" spans="1:20" ht="15.75" x14ac:dyDescent="0.25">
      <c r="A163" s="115"/>
      <c r="B163" s="116" t="s">
        <v>222</v>
      </c>
      <c r="C163" s="116"/>
      <c r="D163" s="116"/>
      <c r="E163" s="116"/>
      <c r="F163" s="116"/>
      <c r="G163" s="116"/>
      <c r="H163" s="116"/>
      <c r="I163" s="116"/>
      <c r="J163" s="116"/>
      <c r="K163" s="116"/>
      <c r="L163" s="116"/>
      <c r="M163" s="116"/>
      <c r="N163" s="116"/>
      <c r="O163" s="116"/>
      <c r="P163" s="116"/>
      <c r="Q163" s="116"/>
      <c r="R163" s="159">
        <f>+R69</f>
        <v>0</v>
      </c>
      <c r="S163" s="119"/>
      <c r="T163" s="2"/>
    </row>
    <row r="164" spans="1:20" ht="15.75" x14ac:dyDescent="0.25">
      <c r="A164" s="115"/>
      <c r="B164" s="217" t="s">
        <v>233</v>
      </c>
      <c r="C164" s="116"/>
      <c r="D164" s="116"/>
      <c r="E164" s="116"/>
      <c r="F164" s="116"/>
      <c r="G164" s="116"/>
      <c r="H164" s="116"/>
      <c r="I164" s="116"/>
      <c r="J164" s="116"/>
      <c r="K164" s="116"/>
      <c r="L164" s="116"/>
      <c r="M164" s="116"/>
      <c r="N164" s="116"/>
      <c r="O164" s="116"/>
      <c r="P164" s="116"/>
      <c r="Q164" s="116"/>
      <c r="R164" s="159">
        <f>+R70</f>
        <v>0</v>
      </c>
      <c r="S164" s="119"/>
      <c r="T164" s="2"/>
    </row>
    <row r="165" spans="1:20" ht="15.75" x14ac:dyDescent="0.25">
      <c r="A165" s="115"/>
      <c r="B165" s="116" t="s">
        <v>136</v>
      </c>
      <c r="C165" s="116"/>
      <c r="D165" s="116"/>
      <c r="E165" s="116"/>
      <c r="F165" s="116"/>
      <c r="G165" s="116"/>
      <c r="H165" s="116"/>
      <c r="I165" s="116"/>
      <c r="J165" s="116"/>
      <c r="K165" s="116"/>
      <c r="L165" s="116"/>
      <c r="M165" s="116"/>
      <c r="N165" s="116"/>
      <c r="O165" s="116"/>
      <c r="P165" s="116"/>
      <c r="Q165" s="116"/>
      <c r="R165" s="159">
        <f>+R162+R163+R164</f>
        <v>0</v>
      </c>
      <c r="S165" s="119"/>
      <c r="T165" s="2"/>
    </row>
    <row r="166" spans="1:20" ht="15.75" x14ac:dyDescent="0.25">
      <c r="A166" s="115"/>
      <c r="B166" s="116" t="s">
        <v>48</v>
      </c>
      <c r="C166" s="116"/>
      <c r="D166" s="116"/>
      <c r="E166" s="116"/>
      <c r="F166" s="116"/>
      <c r="G166" s="116"/>
      <c r="H166" s="116"/>
      <c r="I166" s="116"/>
      <c r="J166" s="116"/>
      <c r="K166" s="116"/>
      <c r="L166" s="116"/>
      <c r="M166" s="116"/>
      <c r="N166" s="116"/>
      <c r="O166" s="116"/>
      <c r="P166" s="116"/>
      <c r="Q166" s="116"/>
      <c r="R166" s="159">
        <f>R72</f>
        <v>0</v>
      </c>
      <c r="S166" s="119"/>
      <c r="T166" s="2"/>
    </row>
    <row r="167" spans="1:20" ht="16.5" thickBot="1" x14ac:dyDescent="0.3">
      <c r="A167" s="12"/>
      <c r="B167" s="43"/>
      <c r="C167" s="43"/>
      <c r="D167" s="43"/>
      <c r="E167" s="43"/>
      <c r="F167" s="43"/>
      <c r="G167" s="43"/>
      <c r="H167" s="43"/>
      <c r="I167" s="43"/>
      <c r="J167" s="43"/>
      <c r="K167" s="43"/>
      <c r="L167" s="43"/>
      <c r="M167" s="43"/>
      <c r="N167" s="43"/>
      <c r="O167" s="43"/>
      <c r="P167" s="43"/>
      <c r="Q167" s="43"/>
      <c r="R167" s="165"/>
      <c r="S167" s="43"/>
      <c r="T167" s="2"/>
    </row>
    <row r="168" spans="1:20" ht="15.75" x14ac:dyDescent="0.25">
      <c r="A168" s="10"/>
      <c r="B168" s="11"/>
      <c r="C168" s="11"/>
      <c r="D168" s="11"/>
      <c r="E168" s="11"/>
      <c r="F168" s="11"/>
      <c r="G168" s="11"/>
      <c r="H168" s="11"/>
      <c r="I168" s="11"/>
      <c r="J168" s="11"/>
      <c r="K168" s="11"/>
      <c r="L168" s="11"/>
      <c r="M168" s="11"/>
      <c r="N168" s="11"/>
      <c r="O168" s="11"/>
      <c r="P168" s="11"/>
      <c r="Q168" s="11"/>
      <c r="R168" s="32"/>
      <c r="S168" s="11"/>
      <c r="T168" s="2"/>
    </row>
    <row r="169" spans="1:20" ht="15.75" x14ac:dyDescent="0.25">
      <c r="A169" s="12"/>
      <c r="B169" s="41" t="s">
        <v>49</v>
      </c>
      <c r="C169" s="37"/>
      <c r="D169" s="45"/>
      <c r="E169" s="45"/>
      <c r="F169" s="45"/>
      <c r="G169" s="45"/>
      <c r="H169" s="45"/>
      <c r="I169" s="45"/>
      <c r="J169" s="45"/>
      <c r="K169" s="45"/>
      <c r="L169" s="45"/>
      <c r="M169" s="45"/>
      <c r="N169" s="45"/>
      <c r="O169" s="45" t="s">
        <v>88</v>
      </c>
      <c r="P169" s="45" t="s">
        <v>215</v>
      </c>
      <c r="Q169" s="16"/>
      <c r="R169" s="46" t="s">
        <v>100</v>
      </c>
      <c r="S169" s="47"/>
      <c r="T169" s="2"/>
    </row>
    <row r="170" spans="1:20" ht="15.75" x14ac:dyDescent="0.25">
      <c r="A170" s="115"/>
      <c r="B170" s="116" t="s">
        <v>50</v>
      </c>
      <c r="C170" s="116"/>
      <c r="D170" s="116"/>
      <c r="E170" s="116"/>
      <c r="F170" s="116"/>
      <c r="G170" s="116"/>
      <c r="H170" s="116"/>
      <c r="I170" s="116"/>
      <c r="J170" s="116"/>
      <c r="K170" s="116"/>
      <c r="L170" s="116"/>
      <c r="M170" s="116"/>
      <c r="N170" s="116"/>
      <c r="O170" s="159">
        <f>+R28*0.16</f>
        <v>26208</v>
      </c>
      <c r="P170" s="148"/>
      <c r="Q170" s="116"/>
      <c r="R170" s="159"/>
      <c r="S170" s="119"/>
      <c r="T170" s="2"/>
    </row>
    <row r="171" spans="1:20" ht="15.75" x14ac:dyDescent="0.25">
      <c r="A171" s="115"/>
      <c r="B171" s="116" t="s">
        <v>51</v>
      </c>
      <c r="C171" s="116"/>
      <c r="D171" s="116"/>
      <c r="E171" s="116"/>
      <c r="F171" s="116"/>
      <c r="G171" s="116"/>
      <c r="H171" s="116"/>
      <c r="I171" s="116"/>
      <c r="J171" s="116"/>
      <c r="K171" s="116"/>
      <c r="L171" s="116"/>
      <c r="M171" s="116"/>
      <c r="N171" s="116"/>
      <c r="O171" s="159">
        <f>+'June 14'!O172</f>
        <v>1161</v>
      </c>
      <c r="P171" s="159">
        <f>+'June 14'!P172</f>
        <v>190</v>
      </c>
      <c r="Q171" s="116"/>
      <c r="R171" s="159">
        <f>O171+P171</f>
        <v>1351</v>
      </c>
      <c r="S171" s="119"/>
      <c r="T171" s="2"/>
    </row>
    <row r="172" spans="1:20" ht="15.75" x14ac:dyDescent="0.25">
      <c r="A172" s="115"/>
      <c r="B172" s="116" t="s">
        <v>52</v>
      </c>
      <c r="C172" s="116"/>
      <c r="D172" s="116"/>
      <c r="E172" s="116"/>
      <c r="F172" s="116"/>
      <c r="G172" s="116"/>
      <c r="H172" s="116"/>
      <c r="I172" s="116"/>
      <c r="J172" s="116"/>
      <c r="K172" s="116"/>
      <c r="L172" s="116"/>
      <c r="M172" s="116"/>
      <c r="N172" s="116"/>
      <c r="O172" s="158">
        <v>0</v>
      </c>
      <c r="P172" s="158">
        <v>0</v>
      </c>
      <c r="Q172" s="116"/>
      <c r="R172" s="159">
        <f>O172+P172</f>
        <v>0</v>
      </c>
      <c r="S172" s="119"/>
      <c r="T172" s="2"/>
    </row>
    <row r="173" spans="1:20" ht="15.75" x14ac:dyDescent="0.25">
      <c r="A173" s="115"/>
      <c r="B173" s="116" t="s">
        <v>53</v>
      </c>
      <c r="C173" s="116"/>
      <c r="D173" s="116"/>
      <c r="E173" s="116"/>
      <c r="F173" s="116"/>
      <c r="G173" s="116"/>
      <c r="H173" s="116"/>
      <c r="I173" s="116"/>
      <c r="J173" s="116"/>
      <c r="K173" s="116"/>
      <c r="L173" s="116"/>
      <c r="M173" s="116"/>
      <c r="N173" s="116"/>
      <c r="O173" s="159">
        <f>O171+O172</f>
        <v>1161</v>
      </c>
      <c r="P173" s="159">
        <f>P172+P171</f>
        <v>190</v>
      </c>
      <c r="Q173" s="116"/>
      <c r="R173" s="159">
        <f>O173+P173</f>
        <v>1351</v>
      </c>
      <c r="S173" s="119"/>
      <c r="T173" s="2"/>
    </row>
    <row r="174" spans="1:20" ht="15.75" x14ac:dyDescent="0.25">
      <c r="A174" s="115"/>
      <c r="B174" s="116" t="s">
        <v>54</v>
      </c>
      <c r="C174" s="116"/>
      <c r="D174" s="116"/>
      <c r="E174" s="116"/>
      <c r="F174" s="116"/>
      <c r="G174" s="116"/>
      <c r="H174" s="116"/>
      <c r="I174" s="116"/>
      <c r="J174" s="116"/>
      <c r="K174" s="116"/>
      <c r="L174" s="116"/>
      <c r="M174" s="116"/>
      <c r="N174" s="116"/>
      <c r="O174" s="159">
        <f>O170-O173-P173</f>
        <v>24857</v>
      </c>
      <c r="P174" s="148"/>
      <c r="Q174" s="116"/>
      <c r="R174" s="159"/>
      <c r="S174" s="119"/>
      <c r="T174" s="2"/>
    </row>
    <row r="175" spans="1:20" ht="16.5" thickBot="1" x14ac:dyDescent="0.3">
      <c r="A175" s="12"/>
      <c r="B175" s="43"/>
      <c r="C175" s="43"/>
      <c r="D175" s="43"/>
      <c r="E175" s="43"/>
      <c r="F175" s="43"/>
      <c r="G175" s="43"/>
      <c r="H175" s="43"/>
      <c r="I175" s="43"/>
      <c r="J175" s="43"/>
      <c r="K175" s="43"/>
      <c r="L175" s="43"/>
      <c r="M175" s="43"/>
      <c r="N175" s="43"/>
      <c r="O175" s="43"/>
      <c r="P175" s="43"/>
      <c r="Q175" s="43"/>
      <c r="R175" s="165"/>
      <c r="S175" s="43"/>
      <c r="T175" s="2"/>
    </row>
    <row r="176" spans="1:20" ht="15.75" x14ac:dyDescent="0.25">
      <c r="A176" s="10"/>
      <c r="B176" s="11"/>
      <c r="C176" s="11"/>
      <c r="D176" s="11"/>
      <c r="E176" s="11"/>
      <c r="F176" s="11"/>
      <c r="G176" s="11"/>
      <c r="H176" s="11"/>
      <c r="I176" s="11"/>
      <c r="J176" s="11"/>
      <c r="K176" s="11"/>
      <c r="L176" s="11"/>
      <c r="M176" s="11"/>
      <c r="N176" s="11"/>
      <c r="O176" s="11"/>
      <c r="P176" s="11"/>
      <c r="Q176" s="11"/>
      <c r="R176" s="32"/>
      <c r="S176" s="11"/>
      <c r="T176" s="2"/>
    </row>
    <row r="177" spans="1:20" ht="15.75" x14ac:dyDescent="0.25">
      <c r="A177" s="12"/>
      <c r="B177" s="41" t="s">
        <v>55</v>
      </c>
      <c r="C177" s="14"/>
      <c r="D177" s="14"/>
      <c r="E177" s="14"/>
      <c r="F177" s="14"/>
      <c r="G177" s="14"/>
      <c r="H177" s="14"/>
      <c r="I177" s="14"/>
      <c r="J177" s="14"/>
      <c r="K177" s="14"/>
      <c r="L177" s="14"/>
      <c r="M177" s="14"/>
      <c r="N177" s="14"/>
      <c r="O177" s="14"/>
      <c r="P177" s="14"/>
      <c r="Q177" s="14"/>
      <c r="R177" s="48"/>
      <c r="S177" s="14"/>
      <c r="T177" s="2"/>
    </row>
    <row r="178" spans="1:20" ht="15.75" x14ac:dyDescent="0.25">
      <c r="A178" s="115"/>
      <c r="B178" s="116" t="s">
        <v>56</v>
      </c>
      <c r="C178" s="116"/>
      <c r="D178" s="116"/>
      <c r="E178" s="116"/>
      <c r="F178" s="116"/>
      <c r="G178" s="116"/>
      <c r="H178" s="116"/>
      <c r="I178" s="116"/>
      <c r="J178" s="116"/>
      <c r="K178" s="116"/>
      <c r="L178" s="116"/>
      <c r="M178" s="116"/>
      <c r="N178" s="116"/>
      <c r="O178" s="116"/>
      <c r="P178" s="116"/>
      <c r="Q178" s="116"/>
      <c r="R178" s="221">
        <v>0</v>
      </c>
      <c r="S178" s="119" t="s">
        <v>101</v>
      </c>
      <c r="T178" s="2"/>
    </row>
    <row r="179" spans="1:20" ht="15.75" x14ac:dyDescent="0.25">
      <c r="A179" s="115"/>
      <c r="B179" s="116" t="s">
        <v>57</v>
      </c>
      <c r="C179" s="116"/>
      <c r="D179" s="116"/>
      <c r="E179" s="116"/>
      <c r="F179" s="116"/>
      <c r="G179" s="116"/>
      <c r="H179" s="116"/>
      <c r="I179" s="116"/>
      <c r="J179" s="116"/>
      <c r="K179" s="116"/>
      <c r="L179" s="116"/>
      <c r="M179" s="116"/>
      <c r="N179" s="116"/>
      <c r="O179" s="116"/>
      <c r="P179" s="116"/>
      <c r="Q179" s="116"/>
      <c r="R179" s="222">
        <v>0</v>
      </c>
      <c r="S179" s="119" t="s">
        <v>101</v>
      </c>
      <c r="T179" s="2"/>
    </row>
    <row r="180" spans="1:20" ht="15.75" x14ac:dyDescent="0.25">
      <c r="A180" s="115"/>
      <c r="B180" s="116" t="s">
        <v>194</v>
      </c>
      <c r="C180" s="116"/>
      <c r="D180" s="116"/>
      <c r="E180" s="116"/>
      <c r="F180" s="116"/>
      <c r="G180" s="116"/>
      <c r="H180" s="116"/>
      <c r="I180" s="116"/>
      <c r="J180" s="116"/>
      <c r="K180" s="116"/>
      <c r="L180" s="116"/>
      <c r="M180" s="116"/>
      <c r="N180" s="116"/>
      <c r="O180" s="116"/>
      <c r="P180" s="116"/>
      <c r="Q180" s="116"/>
      <c r="R180" s="221">
        <v>0</v>
      </c>
      <c r="S180" s="119" t="s">
        <v>101</v>
      </c>
      <c r="T180" s="2"/>
    </row>
    <row r="181" spans="1:20" ht="15.75" x14ac:dyDescent="0.25">
      <c r="A181" s="115"/>
      <c r="B181" s="116" t="s">
        <v>195</v>
      </c>
      <c r="C181" s="116"/>
      <c r="D181" s="116"/>
      <c r="E181" s="116"/>
      <c r="F181" s="116"/>
      <c r="G181" s="116"/>
      <c r="H181" s="116"/>
      <c r="I181" s="116"/>
      <c r="J181" s="116"/>
      <c r="K181" s="116"/>
      <c r="L181" s="116"/>
      <c r="M181" s="116"/>
      <c r="N181" s="116"/>
      <c r="O181" s="116"/>
      <c r="P181" s="116"/>
      <c r="Q181" s="116"/>
      <c r="R181" s="222">
        <v>0</v>
      </c>
      <c r="S181" s="119" t="s">
        <v>101</v>
      </c>
      <c r="T181" s="2"/>
    </row>
    <row r="182" spans="1:20" ht="15.75" x14ac:dyDescent="0.25">
      <c r="A182" s="115"/>
      <c r="B182" s="116"/>
      <c r="C182" s="116"/>
      <c r="D182" s="116"/>
      <c r="E182" s="116"/>
      <c r="F182" s="116"/>
      <c r="G182" s="116"/>
      <c r="H182" s="116"/>
      <c r="I182" s="116"/>
      <c r="J182" s="116"/>
      <c r="K182" s="116"/>
      <c r="L182" s="116"/>
      <c r="M182" s="116"/>
      <c r="N182" s="116"/>
      <c r="O182" s="116"/>
      <c r="P182" s="116"/>
      <c r="Q182" s="116"/>
      <c r="R182" s="116"/>
      <c r="S182" s="119"/>
      <c r="T182" s="2"/>
    </row>
    <row r="183" spans="1:20" ht="15.75" x14ac:dyDescent="0.25">
      <c r="A183" s="12"/>
      <c r="B183" s="167"/>
      <c r="C183" s="167"/>
      <c r="D183" s="167"/>
      <c r="E183" s="167"/>
      <c r="F183" s="167"/>
      <c r="G183" s="167"/>
      <c r="H183" s="167"/>
      <c r="I183" s="167"/>
      <c r="J183" s="167"/>
      <c r="K183" s="167"/>
      <c r="L183" s="167"/>
      <c r="M183" s="167"/>
      <c r="N183" s="167"/>
      <c r="O183" s="167"/>
      <c r="P183" s="167"/>
      <c r="Q183" s="167"/>
      <c r="R183" s="167"/>
      <c r="S183" s="167"/>
      <c r="T183" s="2"/>
    </row>
    <row r="184" spans="1:20" ht="15.75" x14ac:dyDescent="0.25">
      <c r="A184" s="12"/>
      <c r="B184" s="86"/>
      <c r="C184" s="86"/>
      <c r="D184" s="86"/>
      <c r="E184" s="86"/>
      <c r="F184" s="86"/>
      <c r="G184" s="86"/>
      <c r="H184" s="86"/>
      <c r="I184" s="86"/>
      <c r="J184" s="86"/>
      <c r="K184" s="86"/>
      <c r="L184" s="86"/>
      <c r="M184" s="86"/>
      <c r="N184" s="86"/>
      <c r="O184" s="86"/>
      <c r="P184" s="86"/>
      <c r="Q184" s="86"/>
      <c r="R184" s="86"/>
      <c r="S184" s="86"/>
      <c r="T184" s="2"/>
    </row>
    <row r="185" spans="1:20" ht="19.5" thickBot="1" x14ac:dyDescent="0.35">
      <c r="A185" s="28"/>
      <c r="B185" s="100" t="str">
        <f>B118</f>
        <v>PM16 INVESTOR REPORT QUARTER ENDING SEPTEMBER 2014</v>
      </c>
      <c r="C185" s="101"/>
      <c r="D185" s="101"/>
      <c r="E185" s="101"/>
      <c r="F185" s="101"/>
      <c r="G185" s="101"/>
      <c r="H185" s="101"/>
      <c r="I185" s="101"/>
      <c r="J185" s="101"/>
      <c r="K185" s="101"/>
      <c r="L185" s="101"/>
      <c r="M185" s="101"/>
      <c r="N185" s="101"/>
      <c r="O185" s="101"/>
      <c r="P185" s="101"/>
      <c r="Q185" s="101"/>
      <c r="R185" s="101"/>
      <c r="S185" s="102"/>
      <c r="T185" s="2"/>
    </row>
    <row r="186" spans="1:20" ht="15.75" x14ac:dyDescent="0.25">
      <c r="A186" s="67"/>
      <c r="B186" s="68" t="s">
        <v>58</v>
      </c>
      <c r="C186" s="71"/>
      <c r="D186" s="72"/>
      <c r="E186" s="72"/>
      <c r="F186" s="72"/>
      <c r="G186" s="72"/>
      <c r="H186" s="72"/>
      <c r="I186" s="72"/>
      <c r="J186" s="72"/>
      <c r="K186" s="72"/>
      <c r="L186" s="72"/>
      <c r="M186" s="72"/>
      <c r="N186" s="72"/>
      <c r="O186" s="72"/>
      <c r="P186" s="218">
        <v>41912</v>
      </c>
      <c r="Q186" s="69"/>
      <c r="R186" s="69"/>
      <c r="S186" s="69"/>
      <c r="T186" s="2"/>
    </row>
    <row r="187" spans="1:20" ht="15.75" x14ac:dyDescent="0.25">
      <c r="A187" s="49"/>
      <c r="B187" s="50"/>
      <c r="C187" s="51"/>
      <c r="D187" s="52"/>
      <c r="E187" s="52"/>
      <c r="F187" s="52"/>
      <c r="G187" s="52"/>
      <c r="H187" s="52"/>
      <c r="I187" s="52"/>
      <c r="J187" s="52"/>
      <c r="K187" s="52"/>
      <c r="L187" s="52"/>
      <c r="M187" s="52"/>
      <c r="N187" s="52"/>
      <c r="O187" s="52"/>
      <c r="P187" s="52"/>
      <c r="Q187" s="14"/>
      <c r="R187" s="14"/>
      <c r="S187" s="14"/>
      <c r="T187" s="2"/>
    </row>
    <row r="188" spans="1:20" ht="15.75" x14ac:dyDescent="0.25">
      <c r="A188" s="171"/>
      <c r="B188" s="116" t="s">
        <v>59</v>
      </c>
      <c r="C188" s="172"/>
      <c r="D188" s="151"/>
      <c r="E188" s="151"/>
      <c r="F188" s="151"/>
      <c r="G188" s="151"/>
      <c r="H188" s="151"/>
      <c r="I188" s="151"/>
      <c r="J188" s="151"/>
      <c r="K188" s="151"/>
      <c r="L188" s="151"/>
      <c r="M188" s="151"/>
      <c r="N188" s="151"/>
      <c r="O188" s="151"/>
      <c r="P188" s="145">
        <v>4.777E-2</v>
      </c>
      <c r="Q188" s="116"/>
      <c r="R188" s="116"/>
      <c r="S188" s="119"/>
      <c r="T188" s="2"/>
    </row>
    <row r="189" spans="1:20" ht="15.75" x14ac:dyDescent="0.25">
      <c r="A189" s="171"/>
      <c r="B189" s="116" t="s">
        <v>196</v>
      </c>
      <c r="C189" s="172"/>
      <c r="D189" s="151"/>
      <c r="E189" s="151"/>
      <c r="F189" s="151"/>
      <c r="G189" s="151"/>
      <c r="H189" s="151"/>
      <c r="I189" s="151"/>
      <c r="J189" s="151"/>
      <c r="K189" s="151"/>
      <c r="L189" s="151"/>
      <c r="M189" s="151"/>
      <c r="N189" s="151"/>
      <c r="O189" s="151"/>
      <c r="P189" s="145">
        <f>+R34</f>
        <v>3.4510791337709464E-2</v>
      </c>
      <c r="Q189" s="116"/>
      <c r="R189" s="116"/>
      <c r="S189" s="119"/>
      <c r="T189" s="2"/>
    </row>
    <row r="190" spans="1:20" ht="15.75" x14ac:dyDescent="0.25">
      <c r="A190" s="171"/>
      <c r="B190" s="116" t="s">
        <v>60</v>
      </c>
      <c r="C190" s="172"/>
      <c r="D190" s="151"/>
      <c r="E190" s="151"/>
      <c r="F190" s="151"/>
      <c r="G190" s="151"/>
      <c r="H190" s="151"/>
      <c r="I190" s="151"/>
      <c r="J190" s="151"/>
      <c r="K190" s="151"/>
      <c r="L190" s="151"/>
      <c r="M190" s="151"/>
      <c r="N190" s="151"/>
      <c r="O190" s="151"/>
      <c r="P190" s="145">
        <f>P188-P189</f>
        <v>1.3259208662290536E-2</v>
      </c>
      <c r="Q190" s="116"/>
      <c r="R190" s="116"/>
      <c r="S190" s="119"/>
      <c r="T190" s="2"/>
    </row>
    <row r="191" spans="1:20" ht="15.75" x14ac:dyDescent="0.25">
      <c r="A191" s="171"/>
      <c r="B191" s="116" t="s">
        <v>200</v>
      </c>
      <c r="C191" s="172"/>
      <c r="D191" s="151"/>
      <c r="E191" s="151"/>
      <c r="F191" s="151"/>
      <c r="G191" s="151"/>
      <c r="H191" s="151"/>
      <c r="I191" s="151"/>
      <c r="J191" s="151"/>
      <c r="K191" s="151"/>
      <c r="L191" s="151"/>
      <c r="M191" s="151"/>
      <c r="N191" s="151"/>
      <c r="O191" s="151"/>
      <c r="P191" s="145">
        <v>4.5574999999999997E-2</v>
      </c>
      <c r="Q191" s="116"/>
      <c r="R191" s="116"/>
      <c r="S191" s="119"/>
      <c r="T191" s="2"/>
    </row>
    <row r="192" spans="1:20" ht="15.75" x14ac:dyDescent="0.25">
      <c r="A192" s="171"/>
      <c r="B192" s="116" t="s">
        <v>61</v>
      </c>
      <c r="C192" s="172"/>
      <c r="D192" s="151"/>
      <c r="E192" s="151"/>
      <c r="F192" s="151"/>
      <c r="G192" s="151"/>
      <c r="H192" s="151"/>
      <c r="I192" s="151"/>
      <c r="J192" s="151"/>
      <c r="K192" s="151"/>
      <c r="L192" s="151"/>
      <c r="M192" s="151"/>
      <c r="N192" s="151"/>
      <c r="O192" s="151"/>
      <c r="P192" s="145">
        <v>0</v>
      </c>
      <c r="Q192" s="116"/>
      <c r="R192" s="116"/>
      <c r="S192" s="119"/>
      <c r="T192" s="2"/>
    </row>
    <row r="193" spans="1:20" ht="15.75" x14ac:dyDescent="0.25">
      <c r="A193" s="171"/>
      <c r="B193" s="116" t="s">
        <v>197</v>
      </c>
      <c r="C193" s="172"/>
      <c r="D193" s="151"/>
      <c r="E193" s="151"/>
      <c r="F193" s="151"/>
      <c r="G193" s="151"/>
      <c r="H193" s="151"/>
      <c r="I193" s="151"/>
      <c r="J193" s="151"/>
      <c r="K193" s="151"/>
      <c r="L193" s="151"/>
      <c r="M193" s="151"/>
      <c r="N193" s="151"/>
      <c r="O193" s="151"/>
      <c r="P193" s="145">
        <v>0</v>
      </c>
      <c r="Q193" s="116"/>
      <c r="R193" s="116"/>
      <c r="S193" s="119"/>
      <c r="T193" s="2"/>
    </row>
    <row r="194" spans="1:20" ht="15.75" x14ac:dyDescent="0.25">
      <c r="A194" s="171"/>
      <c r="B194" s="116" t="s">
        <v>62</v>
      </c>
      <c r="C194" s="172"/>
      <c r="D194" s="151"/>
      <c r="E194" s="151"/>
      <c r="F194" s="151"/>
      <c r="G194" s="151"/>
      <c r="H194" s="151"/>
      <c r="I194" s="151"/>
      <c r="J194" s="151"/>
      <c r="K194" s="151"/>
      <c r="L194" s="151"/>
      <c r="M194" s="151"/>
      <c r="N194" s="151"/>
      <c r="O194" s="151"/>
      <c r="P194" s="145">
        <v>0</v>
      </c>
      <c r="Q194" s="116"/>
      <c r="R194" s="116"/>
      <c r="S194" s="119"/>
      <c r="T194" s="2"/>
    </row>
    <row r="195" spans="1:20" ht="15.75" x14ac:dyDescent="0.25">
      <c r="A195" s="171"/>
      <c r="B195" s="116" t="s">
        <v>153</v>
      </c>
      <c r="C195" s="172"/>
      <c r="D195" s="151"/>
      <c r="E195" s="151"/>
      <c r="F195" s="151"/>
      <c r="G195" s="151"/>
      <c r="H195" s="151"/>
      <c r="I195" s="151"/>
      <c r="J195" s="151"/>
      <c r="K195" s="151"/>
      <c r="L195" s="151"/>
      <c r="M195" s="151"/>
      <c r="N195" s="151"/>
      <c r="O195" s="151"/>
      <c r="P195" s="145">
        <v>0</v>
      </c>
      <c r="Q195" s="116"/>
      <c r="R195" s="116"/>
      <c r="S195" s="119"/>
      <c r="T195" s="2"/>
    </row>
    <row r="196" spans="1:20" ht="15.75" x14ac:dyDescent="0.25">
      <c r="A196" s="171"/>
      <c r="B196" s="116" t="s">
        <v>145</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173</v>
      </c>
      <c r="C197" s="172"/>
      <c r="D197" s="151"/>
      <c r="E197" s="151"/>
      <c r="F197" s="151"/>
      <c r="G197" s="151"/>
      <c r="H197" s="151"/>
      <c r="I197" s="151"/>
      <c r="J197" s="151"/>
      <c r="K197" s="151"/>
      <c r="L197" s="151"/>
      <c r="M197" s="151"/>
      <c r="N197" s="151"/>
      <c r="O197" s="151"/>
      <c r="P197" s="173">
        <v>50861</v>
      </c>
      <c r="Q197" s="116"/>
      <c r="R197" s="116"/>
      <c r="S197" s="119"/>
      <c r="T197" s="2"/>
    </row>
    <row r="198" spans="1:20" ht="15.75" x14ac:dyDescent="0.25">
      <c r="A198" s="171"/>
      <c r="B198" s="116" t="s">
        <v>63</v>
      </c>
      <c r="C198" s="172"/>
      <c r="D198" s="151"/>
      <c r="E198" s="151"/>
      <c r="F198" s="151"/>
      <c r="G198" s="151"/>
      <c r="H198" s="151"/>
      <c r="I198" s="151"/>
      <c r="J198" s="151"/>
      <c r="K198" s="151"/>
      <c r="L198" s="151"/>
      <c r="M198" s="151"/>
      <c r="N198" s="151"/>
      <c r="O198" s="151"/>
      <c r="P198" s="149">
        <v>20.010000000000002</v>
      </c>
      <c r="Q198" s="116" t="s">
        <v>96</v>
      </c>
      <c r="R198" s="116"/>
      <c r="S198" s="119"/>
      <c r="T198" s="2"/>
    </row>
    <row r="199" spans="1:20" ht="15.75" x14ac:dyDescent="0.25">
      <c r="A199" s="171"/>
      <c r="B199" s="116" t="s">
        <v>64</v>
      </c>
      <c r="C199" s="172"/>
      <c r="D199" s="151"/>
      <c r="E199" s="151"/>
      <c r="F199" s="151"/>
      <c r="G199" s="151"/>
      <c r="H199" s="151"/>
      <c r="I199" s="151"/>
      <c r="J199" s="151"/>
      <c r="K199" s="151"/>
      <c r="L199" s="151"/>
      <c r="M199" s="151"/>
      <c r="N199" s="151"/>
      <c r="O199" s="151"/>
      <c r="P199" s="149">
        <v>0</v>
      </c>
      <c r="Q199" s="116" t="s">
        <v>96</v>
      </c>
      <c r="R199" s="116"/>
      <c r="S199" s="119"/>
      <c r="T199" s="2"/>
    </row>
    <row r="200" spans="1:20" ht="15.75" x14ac:dyDescent="0.25">
      <c r="A200" s="171"/>
      <c r="B200" s="116" t="s">
        <v>65</v>
      </c>
      <c r="C200" s="172"/>
      <c r="D200" s="151"/>
      <c r="E200" s="151"/>
      <c r="F200" s="151"/>
      <c r="G200" s="151"/>
      <c r="H200" s="151"/>
      <c r="I200" s="151"/>
      <c r="J200" s="151"/>
      <c r="K200" s="151"/>
      <c r="L200" s="151"/>
      <c r="M200" s="151"/>
      <c r="N200" s="151"/>
      <c r="O200" s="151"/>
      <c r="P200" s="145">
        <f>(+J56+L56)/H56</f>
        <v>1</v>
      </c>
      <c r="Q200" s="116"/>
      <c r="R200" s="116"/>
      <c r="S200" s="119"/>
      <c r="T200" s="2"/>
    </row>
    <row r="201" spans="1:20" ht="15.75" x14ac:dyDescent="0.25">
      <c r="A201" s="171"/>
      <c r="B201" s="116" t="s">
        <v>66</v>
      </c>
      <c r="C201" s="172"/>
      <c r="D201" s="151"/>
      <c r="E201" s="151"/>
      <c r="F201" s="151"/>
      <c r="G201" s="151"/>
      <c r="H201" s="151"/>
      <c r="I201" s="151"/>
      <c r="J201" s="151"/>
      <c r="K201" s="151"/>
      <c r="L201" s="151"/>
      <c r="M201" s="151"/>
      <c r="N201" s="151"/>
      <c r="O201" s="151"/>
      <c r="P201" s="145">
        <v>1</v>
      </c>
      <c r="Q201" s="116"/>
      <c r="R201" s="116"/>
      <c r="S201" s="119"/>
      <c r="T201" s="2"/>
    </row>
    <row r="202" spans="1:20" ht="15.75" x14ac:dyDescent="0.25">
      <c r="A202" s="49"/>
      <c r="B202" s="169"/>
      <c r="C202" s="169"/>
      <c r="D202" s="43"/>
      <c r="E202" s="43"/>
      <c r="F202" s="43"/>
      <c r="G202" s="43"/>
      <c r="H202" s="43"/>
      <c r="I202" s="43"/>
      <c r="J202" s="43"/>
      <c r="K202" s="43"/>
      <c r="L202" s="43"/>
      <c r="M202" s="43"/>
      <c r="N202" s="43"/>
      <c r="O202" s="43"/>
      <c r="P202" s="165"/>
      <c r="Q202" s="43"/>
      <c r="R202" s="170"/>
      <c r="S202" s="43"/>
      <c r="T202" s="2"/>
    </row>
    <row r="203" spans="1:20" ht="15.75" x14ac:dyDescent="0.25">
      <c r="A203" s="73"/>
      <c r="B203" s="63" t="s">
        <v>67</v>
      </c>
      <c r="C203" s="64"/>
      <c r="D203" s="64"/>
      <c r="E203" s="64"/>
      <c r="F203" s="64"/>
      <c r="G203" s="64"/>
      <c r="H203" s="64"/>
      <c r="I203" s="64"/>
      <c r="J203" s="64"/>
      <c r="K203" s="64"/>
      <c r="L203" s="64"/>
      <c r="M203" s="64"/>
      <c r="N203" s="64"/>
      <c r="O203" s="64" t="s">
        <v>89</v>
      </c>
      <c r="P203" s="74" t="s">
        <v>94</v>
      </c>
      <c r="Q203" s="56"/>
      <c r="R203" s="56"/>
      <c r="S203" s="56"/>
      <c r="T203" s="2"/>
    </row>
    <row r="204" spans="1:20" ht="15.75" x14ac:dyDescent="0.25">
      <c r="A204" s="53"/>
      <c r="B204" s="81" t="s">
        <v>68</v>
      </c>
      <c r="C204" s="80"/>
      <c r="D204" s="98"/>
      <c r="E204" s="98"/>
      <c r="F204" s="98"/>
      <c r="G204" s="98"/>
      <c r="H204" s="98"/>
      <c r="I204" s="98"/>
      <c r="J204" s="98"/>
      <c r="K204" s="98"/>
      <c r="L204" s="98"/>
      <c r="M204" s="98"/>
      <c r="N204" s="98"/>
      <c r="O204" s="98">
        <v>0</v>
      </c>
      <c r="P204" s="99">
        <v>0</v>
      </c>
      <c r="Q204" s="81"/>
      <c r="R204" s="96"/>
      <c r="S204" s="54"/>
      <c r="T204" s="2"/>
    </row>
    <row r="205" spans="1:20" ht="15.75" x14ac:dyDescent="0.25">
      <c r="A205" s="178"/>
      <c r="B205" s="116" t="s">
        <v>121</v>
      </c>
      <c r="C205" s="158"/>
      <c r="D205" s="126"/>
      <c r="E205" s="126"/>
      <c r="F205" s="126"/>
      <c r="G205" s="126"/>
      <c r="H205" s="126"/>
      <c r="I205" s="126"/>
      <c r="J205" s="126"/>
      <c r="K205" s="126"/>
      <c r="L205" s="126"/>
      <c r="M205" s="126"/>
      <c r="N205" s="126"/>
      <c r="O205" s="179">
        <f>+N257</f>
        <v>0</v>
      </c>
      <c r="P205" s="180">
        <f>+P257</f>
        <v>0</v>
      </c>
      <c r="Q205" s="116"/>
      <c r="R205" s="181"/>
      <c r="S205" s="182"/>
      <c r="T205" s="2"/>
    </row>
    <row r="206" spans="1:20" ht="15.75" x14ac:dyDescent="0.25">
      <c r="A206" s="178"/>
      <c r="B206" s="116" t="s">
        <v>69</v>
      </c>
      <c r="C206" s="158"/>
      <c r="D206" s="126"/>
      <c r="E206" s="126"/>
      <c r="F206" s="126"/>
      <c r="G206" s="126"/>
      <c r="H206" s="126"/>
      <c r="I206" s="126"/>
      <c r="J206" s="126"/>
      <c r="K206" s="126"/>
      <c r="L206" s="126"/>
      <c r="M206" s="126"/>
      <c r="N206" s="126"/>
      <c r="O206" s="179">
        <f>+N269</f>
        <v>0</v>
      </c>
      <c r="P206" s="180">
        <f>+P269</f>
        <v>0</v>
      </c>
      <c r="Q206" s="116"/>
      <c r="R206" s="181"/>
      <c r="S206" s="182"/>
      <c r="T206" s="2"/>
    </row>
    <row r="207" spans="1:20" ht="15.75" x14ac:dyDescent="0.25">
      <c r="A207" s="178"/>
      <c r="B207" s="137" t="s">
        <v>70</v>
      </c>
      <c r="C207" s="183"/>
      <c r="D207" s="138"/>
      <c r="E207" s="138"/>
      <c r="F207" s="138"/>
      <c r="G207" s="138"/>
      <c r="H207" s="138"/>
      <c r="I207" s="138"/>
      <c r="J207" s="138"/>
      <c r="K207" s="138"/>
      <c r="L207" s="138"/>
      <c r="M207" s="138"/>
      <c r="N207" s="138"/>
      <c r="O207" s="116"/>
      <c r="P207" s="180">
        <v>0</v>
      </c>
      <c r="Q207" s="138"/>
      <c r="R207" s="184"/>
      <c r="S207" s="182"/>
      <c r="T207" s="2"/>
    </row>
    <row r="208" spans="1:20" ht="15.75" x14ac:dyDescent="0.25">
      <c r="A208" s="178"/>
      <c r="B208" s="137" t="s">
        <v>154</v>
      </c>
      <c r="C208" s="183"/>
      <c r="D208" s="138"/>
      <c r="E208" s="138"/>
      <c r="F208" s="138"/>
      <c r="G208" s="138"/>
      <c r="H208" s="138"/>
      <c r="I208" s="138"/>
      <c r="J208" s="138"/>
      <c r="K208" s="138"/>
      <c r="L208" s="138"/>
      <c r="M208" s="138"/>
      <c r="N208" s="138"/>
      <c r="O208" s="116"/>
      <c r="P208" s="180">
        <f>H69</f>
        <v>0</v>
      </c>
      <c r="Q208" s="138"/>
      <c r="R208" s="184"/>
      <c r="S208" s="182"/>
      <c r="T208" s="2"/>
    </row>
    <row r="209" spans="1:20" ht="15.75" x14ac:dyDescent="0.25">
      <c r="A209" s="185"/>
      <c r="B209" s="137" t="s">
        <v>71</v>
      </c>
      <c r="C209" s="186"/>
      <c r="D209" s="138"/>
      <c r="E209" s="138"/>
      <c r="F209" s="138"/>
      <c r="G209" s="138"/>
      <c r="H209" s="138"/>
      <c r="I209" s="138"/>
      <c r="J209" s="138"/>
      <c r="K209" s="138"/>
      <c r="L209" s="138"/>
      <c r="M209" s="138"/>
      <c r="N209" s="138"/>
      <c r="O209" s="116"/>
      <c r="P209" s="180"/>
      <c r="Q209" s="138"/>
      <c r="R209" s="184"/>
      <c r="S209" s="187"/>
      <c r="T209" s="2"/>
    </row>
    <row r="210" spans="1:20" ht="15.75" x14ac:dyDescent="0.25">
      <c r="A210" s="185"/>
      <c r="B210" s="121" t="s">
        <v>72</v>
      </c>
      <c r="C210" s="186"/>
      <c r="D210" s="138"/>
      <c r="E210" s="138"/>
      <c r="F210" s="138"/>
      <c r="G210" s="138"/>
      <c r="H210" s="138"/>
      <c r="I210" s="138"/>
      <c r="J210" s="138"/>
      <c r="K210" s="138"/>
      <c r="L210" s="138"/>
      <c r="M210" s="138"/>
      <c r="N210" s="138"/>
      <c r="O210" s="126"/>
      <c r="P210" s="180">
        <f>R147</f>
        <v>0</v>
      </c>
      <c r="Q210" s="138"/>
      <c r="R210" s="184"/>
      <c r="S210" s="187"/>
      <c r="T210" s="2"/>
    </row>
    <row r="211" spans="1:20" ht="15.75" x14ac:dyDescent="0.25">
      <c r="A211" s="178"/>
      <c r="B211" s="116" t="s">
        <v>73</v>
      </c>
      <c r="C211" s="183"/>
      <c r="D211" s="138"/>
      <c r="E211" s="138"/>
      <c r="F211" s="138"/>
      <c r="G211" s="138"/>
      <c r="H211" s="138"/>
      <c r="I211" s="138"/>
      <c r="J211" s="138"/>
      <c r="K211" s="138"/>
      <c r="L211" s="138"/>
      <c r="M211" s="138"/>
      <c r="N211" s="138"/>
      <c r="O211" s="126"/>
      <c r="P211" s="180">
        <f>+'June 14'!P210+'Sept 14 '!P210</f>
        <v>0</v>
      </c>
      <c r="Q211" s="138"/>
      <c r="R211" s="184"/>
      <c r="S211" s="187"/>
      <c r="T211" s="2"/>
    </row>
    <row r="212" spans="1:20" ht="15.75" x14ac:dyDescent="0.25">
      <c r="A212" s="185"/>
      <c r="B212" s="137" t="s">
        <v>167</v>
      </c>
      <c r="C212" s="186"/>
      <c r="D212" s="138"/>
      <c r="E212" s="138"/>
      <c r="F212" s="138"/>
      <c r="G212" s="138"/>
      <c r="H212" s="138"/>
      <c r="I212" s="138"/>
      <c r="J212" s="138"/>
      <c r="K212" s="138"/>
      <c r="L212" s="138"/>
      <c r="M212" s="138"/>
      <c r="N212" s="138"/>
      <c r="O212" s="126"/>
      <c r="P212" s="180"/>
      <c r="Q212" s="138"/>
      <c r="R212" s="184"/>
      <c r="S212" s="187"/>
      <c r="T212" s="2"/>
    </row>
    <row r="213" spans="1:20" ht="15.75" x14ac:dyDescent="0.25">
      <c r="A213" s="185"/>
      <c r="B213" s="116" t="s">
        <v>199</v>
      </c>
      <c r="C213" s="186"/>
      <c r="D213" s="138"/>
      <c r="E213" s="138"/>
      <c r="F213" s="138"/>
      <c r="G213" s="138"/>
      <c r="H213" s="138"/>
      <c r="I213" s="138"/>
      <c r="J213" s="138"/>
      <c r="K213" s="138"/>
      <c r="L213" s="138"/>
      <c r="M213" s="138"/>
      <c r="N213" s="138"/>
      <c r="O213" s="126">
        <v>0</v>
      </c>
      <c r="P213" s="180">
        <v>0</v>
      </c>
      <c r="Q213" s="138"/>
      <c r="R213" s="184"/>
      <c r="S213" s="187"/>
      <c r="T213" s="2"/>
    </row>
    <row r="214" spans="1:20" ht="15.75" x14ac:dyDescent="0.25">
      <c r="A214" s="178"/>
      <c r="B214" s="116" t="s">
        <v>74</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16" t="s">
        <v>75</v>
      </c>
      <c r="C215" s="188"/>
      <c r="D215" s="138"/>
      <c r="E215" s="138"/>
      <c r="F215" s="138"/>
      <c r="G215" s="138"/>
      <c r="H215" s="138"/>
      <c r="I215" s="138"/>
      <c r="J215" s="138"/>
      <c r="K215" s="138"/>
      <c r="L215" s="138"/>
      <c r="M215" s="138"/>
      <c r="N215" s="138"/>
      <c r="O215" s="116"/>
      <c r="P215" s="189">
        <v>0</v>
      </c>
      <c r="Q215" s="138"/>
      <c r="R215" s="184"/>
      <c r="S215" s="187"/>
      <c r="T215" s="2"/>
    </row>
    <row r="216" spans="1:20" ht="15.75" x14ac:dyDescent="0.25">
      <c r="A216" s="178"/>
      <c r="B216" s="137" t="s">
        <v>149</v>
      </c>
      <c r="C216" s="188"/>
      <c r="D216" s="138"/>
      <c r="E216" s="138"/>
      <c r="F216" s="138"/>
      <c r="G216" s="138"/>
      <c r="H216" s="138"/>
      <c r="I216" s="138"/>
      <c r="J216" s="138"/>
      <c r="K216" s="138"/>
      <c r="L216" s="138"/>
      <c r="M216" s="138"/>
      <c r="N216" s="138"/>
      <c r="O216" s="116"/>
      <c r="P216" s="190"/>
      <c r="Q216" s="138"/>
      <c r="R216" s="184"/>
      <c r="S216" s="187"/>
      <c r="T216" s="2"/>
    </row>
    <row r="217" spans="1:20" ht="15.75" x14ac:dyDescent="0.25">
      <c r="A217" s="178"/>
      <c r="B217" s="116" t="s">
        <v>199</v>
      </c>
      <c r="C217" s="188"/>
      <c r="D217" s="138"/>
      <c r="E217" s="138"/>
      <c r="F217" s="138"/>
      <c r="G217" s="138"/>
      <c r="H217" s="138"/>
      <c r="I217" s="138"/>
      <c r="J217" s="138"/>
      <c r="K217" s="138"/>
      <c r="L217" s="138"/>
      <c r="M217" s="138"/>
      <c r="N217" s="138"/>
      <c r="O217" s="126">
        <v>0</v>
      </c>
      <c r="P217" s="180">
        <v>0</v>
      </c>
      <c r="Q217" s="138"/>
      <c r="R217" s="184"/>
      <c r="S217" s="187"/>
      <c r="T217" s="2"/>
    </row>
    <row r="218" spans="1:20" ht="15.75" x14ac:dyDescent="0.25">
      <c r="A218" s="178"/>
      <c r="B218" s="116" t="s">
        <v>150</v>
      </c>
      <c r="C218" s="188"/>
      <c r="D218" s="138"/>
      <c r="E218" s="138"/>
      <c r="F218" s="138"/>
      <c r="G218" s="138"/>
      <c r="H218" s="138"/>
      <c r="I218" s="138"/>
      <c r="J218" s="138"/>
      <c r="K218" s="138"/>
      <c r="L218" s="138"/>
      <c r="M218" s="138"/>
      <c r="N218" s="138"/>
      <c r="O218" s="116"/>
      <c r="P218" s="189">
        <v>0</v>
      </c>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16"/>
      <c r="P219" s="190"/>
      <c r="Q219" s="138"/>
      <c r="R219" s="184"/>
      <c r="S219" s="187"/>
      <c r="T219" s="2"/>
    </row>
    <row r="220" spans="1:20" ht="15.75" x14ac:dyDescent="0.25">
      <c r="A220" s="178"/>
      <c r="B220" s="186"/>
      <c r="C220" s="188"/>
      <c r="D220" s="138"/>
      <c r="E220" s="138"/>
      <c r="F220" s="138"/>
      <c r="G220" s="138"/>
      <c r="H220" s="138"/>
      <c r="I220" s="138"/>
      <c r="J220" s="138"/>
      <c r="K220" s="138"/>
      <c r="L220" s="138"/>
      <c r="M220" s="138"/>
      <c r="N220" s="138"/>
      <c r="O220" s="138"/>
      <c r="P220" s="191"/>
      <c r="Q220" s="138"/>
      <c r="R220" s="184"/>
      <c r="S220" s="187"/>
      <c r="T220" s="2"/>
    </row>
    <row r="221" spans="1:20" ht="18.75" x14ac:dyDescent="0.3">
      <c r="A221" s="178"/>
      <c r="B221" s="192" t="s">
        <v>139</v>
      </c>
      <c r="C221" s="188"/>
      <c r="D221" s="138"/>
      <c r="E221" s="138"/>
      <c r="F221" s="138"/>
      <c r="G221" s="138"/>
      <c r="H221" s="138"/>
      <c r="I221" s="138"/>
      <c r="J221" s="138"/>
      <c r="K221" s="138"/>
      <c r="L221" s="193"/>
      <c r="M221" s="138"/>
      <c r="N221" s="193" t="s">
        <v>138</v>
      </c>
      <c r="O221" s="193"/>
      <c r="P221" s="191"/>
      <c r="Q221" s="138"/>
      <c r="R221" s="184"/>
      <c r="S221" s="187"/>
      <c r="T221" s="2"/>
    </row>
    <row r="222" spans="1:20" ht="18.75" x14ac:dyDescent="0.3">
      <c r="A222" s="174"/>
      <c r="B222" s="206"/>
      <c r="C222" s="175"/>
      <c r="D222" s="43"/>
      <c r="E222" s="43"/>
      <c r="F222" s="43"/>
      <c r="G222" s="43"/>
      <c r="H222" s="43"/>
      <c r="I222" s="43"/>
      <c r="J222" s="43"/>
      <c r="K222" s="43"/>
      <c r="L222" s="207"/>
      <c r="M222" s="43"/>
      <c r="N222" s="43"/>
      <c r="O222" s="43"/>
      <c r="P222" s="176"/>
      <c r="Q222" s="43"/>
      <c r="R222" s="170"/>
      <c r="S222" s="177"/>
      <c r="T222" s="2"/>
    </row>
    <row r="223" spans="1:20" ht="15.75" x14ac:dyDescent="0.25">
      <c r="A223" s="55"/>
      <c r="B223" s="63" t="s">
        <v>174</v>
      </c>
      <c r="C223" s="64"/>
      <c r="D223" s="64"/>
      <c r="E223" s="64"/>
      <c r="F223" s="64"/>
      <c r="G223" s="64"/>
      <c r="H223" s="64"/>
      <c r="I223" s="64"/>
      <c r="J223" s="64"/>
      <c r="K223" s="64"/>
      <c r="L223" s="64"/>
      <c r="M223" s="64"/>
      <c r="N223" s="74" t="s">
        <v>89</v>
      </c>
      <c r="O223" s="64" t="s">
        <v>90</v>
      </c>
      <c r="P223" s="74" t="s">
        <v>95</v>
      </c>
      <c r="Q223" s="64" t="s">
        <v>90</v>
      </c>
      <c r="R223" s="56"/>
      <c r="S223" s="63"/>
      <c r="T223" s="2"/>
    </row>
    <row r="224" spans="1:20" ht="15.75" x14ac:dyDescent="0.25">
      <c r="A224" s="24"/>
      <c r="B224" s="80" t="s">
        <v>76</v>
      </c>
      <c r="C224" s="95"/>
      <c r="D224" s="95"/>
      <c r="E224" s="95"/>
      <c r="F224" s="95"/>
      <c r="G224" s="95"/>
      <c r="H224" s="95"/>
      <c r="I224" s="95"/>
      <c r="J224" s="95"/>
      <c r="K224" s="95"/>
      <c r="L224" s="95"/>
      <c r="M224" s="95"/>
      <c r="N224" s="80">
        <f t="shared" ref="N224:N231" si="0">+N236+N248+N260</f>
        <v>0</v>
      </c>
      <c r="O224" s="83">
        <v>0</v>
      </c>
      <c r="P224" s="84">
        <f t="shared" ref="P224:P231" si="1">+P236+P248+P260</f>
        <v>0</v>
      </c>
      <c r="Q224" s="83">
        <v>0</v>
      </c>
      <c r="R224" s="96"/>
      <c r="S224" s="97"/>
      <c r="T224" s="2"/>
    </row>
    <row r="225" spans="1:21" ht="15.75" x14ac:dyDescent="0.25">
      <c r="A225" s="115"/>
      <c r="B225" s="158" t="s">
        <v>77</v>
      </c>
      <c r="C225" s="197"/>
      <c r="D225" s="197"/>
      <c r="E225" s="197"/>
      <c r="F225" s="197"/>
      <c r="G225" s="197"/>
      <c r="H225" s="197"/>
      <c r="I225" s="197"/>
      <c r="J225" s="197"/>
      <c r="K225" s="197"/>
      <c r="L225" s="197"/>
      <c r="M225" s="197"/>
      <c r="N225" s="158">
        <f t="shared" si="0"/>
        <v>0</v>
      </c>
      <c r="O225" s="198">
        <v>0</v>
      </c>
      <c r="P225" s="159">
        <f t="shared" si="1"/>
        <v>0</v>
      </c>
      <c r="Q225" s="198">
        <v>0</v>
      </c>
      <c r="R225" s="181"/>
      <c r="S225" s="199"/>
      <c r="T225" s="2"/>
    </row>
    <row r="226" spans="1:21" ht="15.75" x14ac:dyDescent="0.25">
      <c r="A226" s="115"/>
      <c r="B226" s="158" t="s">
        <v>78</v>
      </c>
      <c r="C226" s="197"/>
      <c r="D226" s="197"/>
      <c r="E226" s="197"/>
      <c r="F226" s="197"/>
      <c r="G226" s="197"/>
      <c r="H226" s="197"/>
      <c r="I226" s="197"/>
      <c r="J226" s="197"/>
      <c r="K226" s="197"/>
      <c r="L226" s="197"/>
      <c r="M226" s="197"/>
      <c r="N226" s="158">
        <f t="shared" si="0"/>
        <v>0</v>
      </c>
      <c r="O226" s="198">
        <v>0</v>
      </c>
      <c r="P226" s="159">
        <f t="shared" si="1"/>
        <v>0</v>
      </c>
      <c r="Q226" s="198">
        <v>0</v>
      </c>
      <c r="R226" s="181"/>
      <c r="S226" s="199"/>
      <c r="T226" s="2"/>
    </row>
    <row r="227" spans="1:21" ht="15.75" x14ac:dyDescent="0.25">
      <c r="A227" s="115"/>
      <c r="B227" s="158" t="s">
        <v>129</v>
      </c>
      <c r="C227" s="197"/>
      <c r="D227" s="197"/>
      <c r="E227" s="197"/>
      <c r="F227" s="197"/>
      <c r="G227" s="197"/>
      <c r="H227" s="197"/>
      <c r="I227" s="197"/>
      <c r="J227" s="197"/>
      <c r="K227" s="197"/>
      <c r="L227" s="197"/>
      <c r="M227" s="197"/>
      <c r="N227" s="158">
        <f t="shared" si="0"/>
        <v>0</v>
      </c>
      <c r="O227" s="198">
        <v>0</v>
      </c>
      <c r="P227" s="159">
        <f t="shared" si="1"/>
        <v>0</v>
      </c>
      <c r="Q227" s="198">
        <v>0</v>
      </c>
      <c r="R227" s="181"/>
      <c r="S227" s="199"/>
      <c r="T227" s="2"/>
    </row>
    <row r="228" spans="1:21" ht="15.75" x14ac:dyDescent="0.25">
      <c r="A228" s="115"/>
      <c r="B228" s="158" t="s">
        <v>130</v>
      </c>
      <c r="C228" s="197"/>
      <c r="D228" s="197"/>
      <c r="E228" s="197"/>
      <c r="F228" s="197"/>
      <c r="G228" s="197"/>
      <c r="H228" s="197"/>
      <c r="I228" s="197"/>
      <c r="J228" s="197"/>
      <c r="K228" s="197"/>
      <c r="L228" s="197"/>
      <c r="M228" s="197"/>
      <c r="N228" s="158">
        <f t="shared" si="0"/>
        <v>0</v>
      </c>
      <c r="O228" s="198">
        <v>0</v>
      </c>
      <c r="P228" s="159">
        <f t="shared" si="1"/>
        <v>0</v>
      </c>
      <c r="Q228" s="198">
        <v>0</v>
      </c>
      <c r="R228" s="181"/>
      <c r="S228" s="199"/>
      <c r="T228" s="2"/>
    </row>
    <row r="229" spans="1:21" ht="15.75" x14ac:dyDescent="0.25">
      <c r="A229" s="115"/>
      <c r="B229" s="158" t="s">
        <v>131</v>
      </c>
      <c r="C229" s="197"/>
      <c r="D229" s="197"/>
      <c r="E229" s="197"/>
      <c r="F229" s="197"/>
      <c r="G229" s="197"/>
      <c r="H229" s="197"/>
      <c r="I229" s="197"/>
      <c r="J229" s="197"/>
      <c r="K229" s="197"/>
      <c r="L229" s="197"/>
      <c r="M229" s="197"/>
      <c r="N229" s="158">
        <f t="shared" si="0"/>
        <v>0</v>
      </c>
      <c r="O229" s="198">
        <v>0</v>
      </c>
      <c r="P229" s="159">
        <f t="shared" si="1"/>
        <v>0</v>
      </c>
      <c r="Q229" s="198">
        <v>0</v>
      </c>
      <c r="R229" s="181"/>
      <c r="S229" s="199"/>
      <c r="T229" s="2"/>
    </row>
    <row r="230" spans="1:21" ht="15.75" x14ac:dyDescent="0.25">
      <c r="A230" s="115"/>
      <c r="B230" s="158" t="s">
        <v>132</v>
      </c>
      <c r="C230" s="197"/>
      <c r="D230" s="197"/>
      <c r="E230" s="197"/>
      <c r="F230" s="197"/>
      <c r="G230" s="197"/>
      <c r="H230" s="197"/>
      <c r="I230" s="197"/>
      <c r="J230" s="197"/>
      <c r="K230" s="197"/>
      <c r="L230" s="197"/>
      <c r="M230" s="197"/>
      <c r="N230" s="158">
        <f t="shared" si="0"/>
        <v>0</v>
      </c>
      <c r="O230" s="198">
        <v>0</v>
      </c>
      <c r="P230" s="159">
        <f t="shared" si="1"/>
        <v>0</v>
      </c>
      <c r="Q230" s="198">
        <v>0</v>
      </c>
      <c r="R230" s="181"/>
      <c r="S230" s="199"/>
      <c r="T230" s="2"/>
    </row>
    <row r="231" spans="1:21" ht="15.75" x14ac:dyDescent="0.25">
      <c r="A231" s="115"/>
      <c r="B231" s="158" t="s">
        <v>133</v>
      </c>
      <c r="C231" s="197"/>
      <c r="D231" s="197"/>
      <c r="E231" s="197"/>
      <c r="F231" s="197"/>
      <c r="G231" s="197"/>
      <c r="H231" s="197"/>
      <c r="I231" s="197"/>
      <c r="J231" s="197"/>
      <c r="K231" s="197"/>
      <c r="L231" s="197"/>
      <c r="M231" s="197"/>
      <c r="N231" s="204">
        <f t="shared" si="0"/>
        <v>0</v>
      </c>
      <c r="O231" s="198">
        <v>0</v>
      </c>
      <c r="P231" s="201">
        <f t="shared" si="1"/>
        <v>0</v>
      </c>
      <c r="Q231" s="198">
        <v>0</v>
      </c>
      <c r="R231" s="181"/>
      <c r="S231" s="199"/>
      <c r="T231" s="2"/>
    </row>
    <row r="232" spans="1:21" ht="15.75" x14ac:dyDescent="0.25">
      <c r="A232" s="115"/>
      <c r="B232" s="158"/>
      <c r="C232" s="197"/>
      <c r="D232" s="197"/>
      <c r="E232" s="197"/>
      <c r="F232" s="197"/>
      <c r="G232" s="197"/>
      <c r="H232" s="197"/>
      <c r="I232" s="197"/>
      <c r="J232" s="197"/>
      <c r="K232" s="197"/>
      <c r="L232" s="197"/>
      <c r="M232" s="197"/>
      <c r="N232" s="158"/>
      <c r="O232" s="198"/>
      <c r="P232" s="159"/>
      <c r="Q232" s="198"/>
      <c r="R232" s="181"/>
      <c r="S232" s="199"/>
      <c r="T232" s="2"/>
    </row>
    <row r="233" spans="1:21" ht="15.75" x14ac:dyDescent="0.25">
      <c r="A233" s="115"/>
      <c r="B233" s="116" t="s">
        <v>100</v>
      </c>
      <c r="C233" s="116"/>
      <c r="D233" s="200"/>
      <c r="E233" s="200"/>
      <c r="F233" s="200"/>
      <c r="G233" s="200"/>
      <c r="H233" s="200"/>
      <c r="I233" s="200"/>
      <c r="J233" s="200"/>
      <c r="K233" s="200"/>
      <c r="L233" s="200"/>
      <c r="M233" s="200"/>
      <c r="N233" s="158">
        <f>SUM(N224:N232)</f>
        <v>0</v>
      </c>
      <c r="O233" s="198">
        <f>SUM(O224:O232)</f>
        <v>0</v>
      </c>
      <c r="P233" s="159">
        <f>SUM(P224:P232)</f>
        <v>0</v>
      </c>
      <c r="Q233" s="198">
        <f>SUM(Q224:Q232)</f>
        <v>0</v>
      </c>
      <c r="R233" s="116"/>
      <c r="S233" s="119"/>
      <c r="T233" s="2"/>
    </row>
    <row r="234" spans="1:21" ht="15.75" x14ac:dyDescent="0.25">
      <c r="A234" s="12"/>
      <c r="B234" s="169"/>
      <c r="C234" s="175"/>
      <c r="D234" s="43"/>
      <c r="E234" s="43"/>
      <c r="F234" s="43"/>
      <c r="G234" s="43"/>
      <c r="H234" s="43"/>
      <c r="I234" s="43"/>
      <c r="J234" s="43"/>
      <c r="K234" s="43"/>
      <c r="L234" s="43"/>
      <c r="M234" s="43"/>
      <c r="N234" s="43"/>
      <c r="O234" s="43"/>
      <c r="P234" s="176"/>
      <c r="Q234" s="43"/>
      <c r="R234" s="43"/>
      <c r="S234" s="43"/>
      <c r="T234" s="2"/>
    </row>
    <row r="235" spans="1:21" ht="15.75" x14ac:dyDescent="0.25">
      <c r="A235" s="55"/>
      <c r="B235" s="63" t="s">
        <v>134</v>
      </c>
      <c r="C235" s="64"/>
      <c r="D235" s="64"/>
      <c r="E235" s="64"/>
      <c r="F235" s="64"/>
      <c r="G235" s="64"/>
      <c r="H235" s="64"/>
      <c r="I235" s="64"/>
      <c r="J235" s="64"/>
      <c r="K235" s="64"/>
      <c r="L235" s="64"/>
      <c r="M235" s="64"/>
      <c r="N235" s="74" t="s">
        <v>89</v>
      </c>
      <c r="O235" s="64" t="s">
        <v>90</v>
      </c>
      <c r="P235" s="74" t="s">
        <v>95</v>
      </c>
      <c r="Q235" s="64" t="s">
        <v>90</v>
      </c>
      <c r="R235" s="56"/>
      <c r="S235" s="63"/>
      <c r="T235" s="2"/>
    </row>
    <row r="236" spans="1:21" ht="15.75" x14ac:dyDescent="0.25">
      <c r="A236" s="24"/>
      <c r="B236" s="80" t="s">
        <v>76</v>
      </c>
      <c r="C236" s="95"/>
      <c r="D236" s="95"/>
      <c r="E236" s="95"/>
      <c r="F236" s="95"/>
      <c r="G236" s="95"/>
      <c r="H236" s="95"/>
      <c r="I236" s="95"/>
      <c r="J236" s="95"/>
      <c r="K236" s="95"/>
      <c r="L236" s="95"/>
      <c r="M236" s="95"/>
      <c r="N236" s="80">
        <v>0</v>
      </c>
      <c r="O236" s="83">
        <v>0</v>
      </c>
      <c r="P236" s="84">
        <v>0</v>
      </c>
      <c r="Q236" s="83">
        <v>0</v>
      </c>
      <c r="R236" s="96"/>
      <c r="S236" s="97"/>
      <c r="T236" s="2"/>
    </row>
    <row r="237" spans="1:21" ht="15.75" x14ac:dyDescent="0.25">
      <c r="A237" s="115"/>
      <c r="B237" s="158" t="s">
        <v>77</v>
      </c>
      <c r="C237" s="197"/>
      <c r="D237" s="197"/>
      <c r="E237" s="197"/>
      <c r="F237" s="197"/>
      <c r="G237" s="197"/>
      <c r="H237" s="197"/>
      <c r="I237" s="197"/>
      <c r="J237" s="197"/>
      <c r="K237" s="197"/>
      <c r="L237" s="197"/>
      <c r="M237" s="197"/>
      <c r="N237" s="158">
        <v>0</v>
      </c>
      <c r="O237" s="198">
        <v>0</v>
      </c>
      <c r="P237" s="159">
        <v>0</v>
      </c>
      <c r="Q237" s="198">
        <v>0</v>
      </c>
      <c r="R237" s="181"/>
      <c r="S237" s="199"/>
      <c r="T237" s="2"/>
      <c r="U237" s="4"/>
    </row>
    <row r="238" spans="1:21" ht="15.75" x14ac:dyDescent="0.25">
      <c r="A238" s="115"/>
      <c r="B238" s="158" t="s">
        <v>78</v>
      </c>
      <c r="C238" s="197"/>
      <c r="D238" s="197"/>
      <c r="E238" s="197"/>
      <c r="F238" s="197"/>
      <c r="G238" s="197"/>
      <c r="H238" s="197"/>
      <c r="I238" s="197"/>
      <c r="J238" s="197"/>
      <c r="K238" s="197"/>
      <c r="L238" s="197"/>
      <c r="M238" s="197"/>
      <c r="N238" s="158">
        <v>0</v>
      </c>
      <c r="O238" s="198">
        <v>0</v>
      </c>
      <c r="P238" s="159">
        <v>0</v>
      </c>
      <c r="Q238" s="198">
        <v>0</v>
      </c>
      <c r="R238" s="181"/>
      <c r="S238" s="199"/>
      <c r="T238" s="2"/>
    </row>
    <row r="239" spans="1:21" ht="15.75" x14ac:dyDescent="0.25">
      <c r="A239" s="115"/>
      <c r="B239" s="158" t="s">
        <v>129</v>
      </c>
      <c r="C239" s="197"/>
      <c r="D239" s="197"/>
      <c r="E239" s="197"/>
      <c r="F239" s="197"/>
      <c r="G239" s="197"/>
      <c r="H239" s="197"/>
      <c r="I239" s="197"/>
      <c r="J239" s="197"/>
      <c r="K239" s="197"/>
      <c r="L239" s="197"/>
      <c r="M239" s="197"/>
      <c r="N239" s="158">
        <v>0</v>
      </c>
      <c r="O239" s="198">
        <v>0</v>
      </c>
      <c r="P239" s="159">
        <v>0</v>
      </c>
      <c r="Q239" s="198">
        <v>0</v>
      </c>
      <c r="R239" s="181"/>
      <c r="S239" s="199"/>
      <c r="T239" s="2"/>
      <c r="U239" s="4"/>
    </row>
    <row r="240" spans="1:21" ht="15.75" x14ac:dyDescent="0.25">
      <c r="A240" s="115"/>
      <c r="B240" s="158" t="s">
        <v>130</v>
      </c>
      <c r="C240" s="197"/>
      <c r="D240" s="197"/>
      <c r="E240" s="197"/>
      <c r="F240" s="197"/>
      <c r="G240" s="197"/>
      <c r="H240" s="197"/>
      <c r="I240" s="197"/>
      <c r="J240" s="197"/>
      <c r="K240" s="197"/>
      <c r="L240" s="197"/>
      <c r="M240" s="197"/>
      <c r="N240" s="158">
        <v>0</v>
      </c>
      <c r="O240" s="198">
        <v>0</v>
      </c>
      <c r="P240" s="159">
        <v>0</v>
      </c>
      <c r="Q240" s="198">
        <v>0</v>
      </c>
      <c r="R240" s="181"/>
      <c r="S240" s="199"/>
      <c r="T240" s="2"/>
    </row>
    <row r="241" spans="1:21" ht="15.75" x14ac:dyDescent="0.25">
      <c r="A241" s="115"/>
      <c r="B241" s="158" t="s">
        <v>131</v>
      </c>
      <c r="C241" s="197"/>
      <c r="D241" s="197"/>
      <c r="E241" s="197"/>
      <c r="F241" s="197"/>
      <c r="G241" s="197"/>
      <c r="H241" s="197"/>
      <c r="I241" s="197"/>
      <c r="J241" s="197"/>
      <c r="K241" s="197"/>
      <c r="L241" s="197"/>
      <c r="M241" s="197"/>
      <c r="N241" s="158">
        <v>0</v>
      </c>
      <c r="O241" s="198">
        <v>0</v>
      </c>
      <c r="P241" s="159">
        <v>0</v>
      </c>
      <c r="Q241" s="198">
        <v>0</v>
      </c>
      <c r="R241" s="181"/>
      <c r="S241" s="199"/>
      <c r="T241" s="2"/>
      <c r="U241" s="4"/>
    </row>
    <row r="242" spans="1:21" ht="15.75" x14ac:dyDescent="0.25">
      <c r="A242" s="115"/>
      <c r="B242" s="158" t="s">
        <v>132</v>
      </c>
      <c r="C242" s="197"/>
      <c r="D242" s="197"/>
      <c r="E242" s="197"/>
      <c r="F242" s="197"/>
      <c r="G242" s="197"/>
      <c r="H242" s="197"/>
      <c r="I242" s="197"/>
      <c r="J242" s="197"/>
      <c r="K242" s="197"/>
      <c r="L242" s="197"/>
      <c r="M242" s="197"/>
      <c r="N242" s="158">
        <v>0</v>
      </c>
      <c r="O242" s="198">
        <v>0</v>
      </c>
      <c r="P242" s="159">
        <v>0</v>
      </c>
      <c r="Q242" s="198">
        <v>0</v>
      </c>
      <c r="R242" s="181"/>
      <c r="S242" s="199"/>
      <c r="T242" s="2"/>
    </row>
    <row r="243" spans="1:21" ht="15.75" x14ac:dyDescent="0.25">
      <c r="A243" s="115"/>
      <c r="B243" s="158" t="s">
        <v>133</v>
      </c>
      <c r="C243" s="197"/>
      <c r="D243" s="197"/>
      <c r="E243" s="197"/>
      <c r="F243" s="197"/>
      <c r="G243" s="197"/>
      <c r="H243" s="197"/>
      <c r="I243" s="197"/>
      <c r="J243" s="197"/>
      <c r="K243" s="197"/>
      <c r="L243" s="197"/>
      <c r="M243" s="197"/>
      <c r="N243" s="158">
        <v>0</v>
      </c>
      <c r="O243" s="198">
        <v>0</v>
      </c>
      <c r="P243" s="159">
        <v>0</v>
      </c>
      <c r="Q243" s="198">
        <v>0</v>
      </c>
      <c r="R243" s="181"/>
      <c r="S243" s="199"/>
      <c r="T243" s="2"/>
      <c r="U243" s="4"/>
    </row>
    <row r="244" spans="1:21" ht="15.75" x14ac:dyDescent="0.25">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75" x14ac:dyDescent="0.25">
      <c r="A245" s="115"/>
      <c r="B245" s="116" t="s">
        <v>100</v>
      </c>
      <c r="C245" s="116"/>
      <c r="D245" s="200"/>
      <c r="E245" s="200"/>
      <c r="F245" s="200"/>
      <c r="G245" s="200"/>
      <c r="H245" s="200"/>
      <c r="I245" s="200"/>
      <c r="J245" s="200"/>
      <c r="K245" s="200"/>
      <c r="L245" s="200"/>
      <c r="M245" s="200"/>
      <c r="N245" s="158">
        <f>SUM(N236:N244)</f>
        <v>0</v>
      </c>
      <c r="O245" s="198">
        <f>SUM(O236:O244)</f>
        <v>0</v>
      </c>
      <c r="P245" s="159">
        <f>SUM(P236:P244)</f>
        <v>0</v>
      </c>
      <c r="Q245" s="198">
        <f>SUM(Q236:Q244)</f>
        <v>0</v>
      </c>
      <c r="R245" s="116"/>
      <c r="S245" s="119"/>
      <c r="T245" s="2"/>
    </row>
    <row r="246" spans="1:21" ht="15.75" x14ac:dyDescent="0.25">
      <c r="A246" s="12"/>
      <c r="B246" s="43"/>
      <c r="C246" s="43"/>
      <c r="D246" s="194"/>
      <c r="E246" s="194"/>
      <c r="F246" s="194"/>
      <c r="G246" s="194"/>
      <c r="H246" s="194"/>
      <c r="I246" s="194"/>
      <c r="J246" s="194"/>
      <c r="K246" s="194"/>
      <c r="L246" s="194"/>
      <c r="M246" s="194"/>
      <c r="N246" s="156"/>
      <c r="O246" s="195"/>
      <c r="P246" s="196"/>
      <c r="Q246" s="195"/>
      <c r="R246" s="43"/>
      <c r="S246" s="43"/>
      <c r="T246" s="2"/>
    </row>
    <row r="247" spans="1:21" ht="15.75" x14ac:dyDescent="0.25">
      <c r="A247" s="75"/>
      <c r="B247" s="63" t="s">
        <v>161</v>
      </c>
      <c r="C247" s="64"/>
      <c r="D247" s="64"/>
      <c r="E247" s="64"/>
      <c r="F247" s="64"/>
      <c r="G247" s="64"/>
      <c r="H247" s="64"/>
      <c r="I247" s="64"/>
      <c r="J247" s="64"/>
      <c r="K247" s="64"/>
      <c r="L247" s="64"/>
      <c r="M247" s="64"/>
      <c r="N247" s="74" t="s">
        <v>89</v>
      </c>
      <c r="O247" s="64" t="s">
        <v>90</v>
      </c>
      <c r="P247" s="74" t="s">
        <v>95</v>
      </c>
      <c r="Q247" s="64" t="s">
        <v>90</v>
      </c>
      <c r="R247" s="76"/>
      <c r="S247" s="77"/>
      <c r="T247" s="2"/>
    </row>
    <row r="248" spans="1:21" ht="15.75" x14ac:dyDescent="0.25">
      <c r="A248" s="24"/>
      <c r="B248" s="80" t="s">
        <v>76</v>
      </c>
      <c r="C248" s="95"/>
      <c r="D248" s="95"/>
      <c r="E248" s="95"/>
      <c r="F248" s="95"/>
      <c r="G248" s="95"/>
      <c r="H248" s="95"/>
      <c r="I248" s="95"/>
      <c r="J248" s="95"/>
      <c r="K248" s="95"/>
      <c r="L248" s="95"/>
      <c r="M248" s="95"/>
      <c r="N248" s="80">
        <v>0</v>
      </c>
      <c r="O248" s="83">
        <v>0</v>
      </c>
      <c r="P248" s="84">
        <v>0</v>
      </c>
      <c r="Q248" s="83">
        <v>0</v>
      </c>
      <c r="R248" s="81"/>
      <c r="S248" s="81"/>
      <c r="T248" s="2"/>
    </row>
    <row r="249" spans="1:21" ht="15.75" x14ac:dyDescent="0.25">
      <c r="A249" s="115"/>
      <c r="B249" s="158" t="s">
        <v>77</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78</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129</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130</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131</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132</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t="s">
        <v>133</v>
      </c>
      <c r="C255" s="197"/>
      <c r="D255" s="197"/>
      <c r="E255" s="197"/>
      <c r="F255" s="197"/>
      <c r="G255" s="197"/>
      <c r="H255" s="197"/>
      <c r="I255" s="197"/>
      <c r="J255" s="197"/>
      <c r="K255" s="197"/>
      <c r="L255" s="197"/>
      <c r="M255" s="197"/>
      <c r="N255" s="158">
        <v>0</v>
      </c>
      <c r="O255" s="198">
        <v>0</v>
      </c>
      <c r="P255" s="159">
        <v>0</v>
      </c>
      <c r="Q255" s="198">
        <v>0</v>
      </c>
      <c r="R255" s="116"/>
      <c r="S255" s="119"/>
      <c r="T255" s="2"/>
    </row>
    <row r="256" spans="1:21" ht="15.75" x14ac:dyDescent="0.25">
      <c r="A256" s="115"/>
      <c r="B256" s="158"/>
      <c r="C256" s="197"/>
      <c r="D256" s="197"/>
      <c r="E256" s="197"/>
      <c r="F256" s="197"/>
      <c r="G256" s="197"/>
      <c r="H256" s="197"/>
      <c r="I256" s="197"/>
      <c r="J256" s="197"/>
      <c r="K256" s="197"/>
      <c r="L256" s="197"/>
      <c r="M256" s="197"/>
      <c r="N256" s="158"/>
      <c r="O256" s="198"/>
      <c r="P256" s="159"/>
      <c r="Q256" s="198"/>
      <c r="R256" s="116"/>
      <c r="S256" s="119"/>
      <c r="T256" s="2"/>
    </row>
    <row r="257" spans="1:20" ht="15.75" x14ac:dyDescent="0.25">
      <c r="A257" s="115"/>
      <c r="B257" s="116" t="s">
        <v>100</v>
      </c>
      <c r="C257" s="116"/>
      <c r="D257" s="200"/>
      <c r="E257" s="200"/>
      <c r="F257" s="200"/>
      <c r="G257" s="200"/>
      <c r="H257" s="200"/>
      <c r="I257" s="200"/>
      <c r="J257" s="200"/>
      <c r="K257" s="200"/>
      <c r="L257" s="200"/>
      <c r="M257" s="200"/>
      <c r="N257" s="158">
        <f>SUM(N248:N256)</f>
        <v>0</v>
      </c>
      <c r="O257" s="198">
        <f>SUM(O248:O256)</f>
        <v>0</v>
      </c>
      <c r="P257" s="159">
        <f>SUM(P248:P256)</f>
        <v>0</v>
      </c>
      <c r="Q257" s="198">
        <f>SUM(Q248:Q256)</f>
        <v>0</v>
      </c>
      <c r="R257" s="116"/>
      <c r="S257" s="119"/>
      <c r="T257" s="2"/>
    </row>
    <row r="258" spans="1:20" ht="15.75" x14ac:dyDescent="0.25">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75" x14ac:dyDescent="0.25">
      <c r="A259" s="75"/>
      <c r="B259" s="63" t="s">
        <v>135</v>
      </c>
      <c r="C259" s="76"/>
      <c r="D259" s="78"/>
      <c r="E259" s="78"/>
      <c r="F259" s="78"/>
      <c r="G259" s="78"/>
      <c r="H259" s="78"/>
      <c r="I259" s="78"/>
      <c r="J259" s="78"/>
      <c r="K259" s="78"/>
      <c r="L259" s="78"/>
      <c r="M259" s="78"/>
      <c r="N259" s="74" t="s">
        <v>89</v>
      </c>
      <c r="O259" s="64" t="s">
        <v>90</v>
      </c>
      <c r="P259" s="74" t="s">
        <v>95</v>
      </c>
      <c r="Q259" s="64" t="s">
        <v>90</v>
      </c>
      <c r="R259" s="76"/>
      <c r="S259" s="77"/>
      <c r="T259" s="2"/>
    </row>
    <row r="260" spans="1:20" ht="15.75" x14ac:dyDescent="0.25">
      <c r="A260" s="79"/>
      <c r="B260" s="80" t="s">
        <v>76</v>
      </c>
      <c r="C260" s="81"/>
      <c r="D260" s="82"/>
      <c r="E260" s="82"/>
      <c r="F260" s="82"/>
      <c r="G260" s="82"/>
      <c r="H260" s="82"/>
      <c r="I260" s="82"/>
      <c r="J260" s="82"/>
      <c r="K260" s="82"/>
      <c r="L260" s="82"/>
      <c r="M260" s="82"/>
      <c r="N260" s="80">
        <v>0</v>
      </c>
      <c r="O260" s="83">
        <v>0</v>
      </c>
      <c r="P260" s="84">
        <v>0</v>
      </c>
      <c r="Q260" s="83">
        <v>0</v>
      </c>
      <c r="R260" s="81"/>
      <c r="S260" s="81"/>
      <c r="T260" s="2"/>
    </row>
    <row r="261" spans="1:20" ht="15.75" x14ac:dyDescent="0.25">
      <c r="A261" s="125"/>
      <c r="B261" s="158" t="s">
        <v>77</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78</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129</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130</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131</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132</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t="s">
        <v>133</v>
      </c>
      <c r="C267" s="116"/>
      <c r="D267" s="200"/>
      <c r="E267" s="200"/>
      <c r="F267" s="200"/>
      <c r="G267" s="200"/>
      <c r="H267" s="200"/>
      <c r="I267" s="200"/>
      <c r="J267" s="200"/>
      <c r="K267" s="200"/>
      <c r="L267" s="200"/>
      <c r="M267" s="200"/>
      <c r="N267" s="158">
        <v>0</v>
      </c>
      <c r="O267" s="198">
        <v>0</v>
      </c>
      <c r="P267" s="159">
        <v>0</v>
      </c>
      <c r="Q267" s="198">
        <v>0</v>
      </c>
      <c r="R267" s="116"/>
      <c r="S267" s="119"/>
      <c r="T267" s="2"/>
    </row>
    <row r="268" spans="1:20" ht="15.75" x14ac:dyDescent="0.25">
      <c r="A268" s="125"/>
      <c r="B268" s="158"/>
      <c r="C268" s="116"/>
      <c r="D268" s="200"/>
      <c r="E268" s="200"/>
      <c r="F268" s="200"/>
      <c r="G268" s="200"/>
      <c r="H268" s="200"/>
      <c r="I268" s="200"/>
      <c r="J268" s="200"/>
      <c r="K268" s="200"/>
      <c r="L268" s="200"/>
      <c r="M268" s="200"/>
      <c r="N268" s="158"/>
      <c r="O268" s="198"/>
      <c r="P268" s="159"/>
      <c r="Q268" s="198"/>
      <c r="R268" s="116"/>
      <c r="S268" s="119"/>
      <c r="T268" s="2"/>
    </row>
    <row r="269" spans="1:20" ht="15.75" x14ac:dyDescent="0.25">
      <c r="A269" s="125"/>
      <c r="B269" s="116" t="s">
        <v>100</v>
      </c>
      <c r="C269" s="116"/>
      <c r="D269" s="200"/>
      <c r="E269" s="200"/>
      <c r="F269" s="200"/>
      <c r="G269" s="200"/>
      <c r="H269" s="200"/>
      <c r="I269" s="200"/>
      <c r="J269" s="200"/>
      <c r="K269" s="200"/>
      <c r="L269" s="200"/>
      <c r="M269" s="200"/>
      <c r="N269" s="158">
        <f>SUM(N260:N267)</f>
        <v>0</v>
      </c>
      <c r="O269" s="198">
        <f>SUM(O260:O267)</f>
        <v>0</v>
      </c>
      <c r="P269" s="159">
        <f>SUM(P260:P267)</f>
        <v>0</v>
      </c>
      <c r="Q269" s="198">
        <f>SUM(Q260:Q267)</f>
        <v>0</v>
      </c>
      <c r="R269" s="116"/>
      <c r="S269" s="119"/>
      <c r="T269" s="2"/>
    </row>
    <row r="270" spans="1:20" ht="15.75" x14ac:dyDescent="0.25">
      <c r="A270" s="125"/>
      <c r="B270" s="116"/>
      <c r="C270" s="116"/>
      <c r="D270" s="200"/>
      <c r="E270" s="200"/>
      <c r="F270" s="200"/>
      <c r="G270" s="200"/>
      <c r="H270" s="200"/>
      <c r="I270" s="200"/>
      <c r="J270" s="200"/>
      <c r="K270" s="200"/>
      <c r="L270" s="200"/>
      <c r="M270" s="200"/>
      <c r="N270" s="158"/>
      <c r="O270" s="198"/>
      <c r="P270" s="159"/>
      <c r="Q270" s="198"/>
      <c r="R270" s="116"/>
      <c r="S270" s="119"/>
      <c r="T270" s="2"/>
    </row>
    <row r="271" spans="1:20" ht="15.75" x14ac:dyDescent="0.25">
      <c r="A271" s="125"/>
      <c r="B271" s="127" t="s">
        <v>229</v>
      </c>
      <c r="C271" s="116"/>
      <c r="D271" s="200"/>
      <c r="E271" s="200"/>
      <c r="F271" s="200"/>
      <c r="G271" s="200"/>
      <c r="H271" s="200"/>
      <c r="I271" s="200"/>
      <c r="J271" s="200"/>
      <c r="K271" s="200"/>
      <c r="L271" s="200"/>
      <c r="M271" s="200"/>
      <c r="N271" s="202">
        <f>N269+N257+N245</f>
        <v>0</v>
      </c>
      <c r="O271" s="198"/>
      <c r="P271" s="203">
        <f>+P269+P257+P245</f>
        <v>0</v>
      </c>
      <c r="Q271" s="198"/>
      <c r="R271" s="116"/>
      <c r="S271" s="119"/>
      <c r="T271" s="2"/>
    </row>
    <row r="272" spans="1:20" ht="15.75" x14ac:dyDescent="0.25">
      <c r="A272" s="125"/>
      <c r="B272" s="216" t="s">
        <v>233</v>
      </c>
      <c r="C272" s="127"/>
      <c r="D272" s="213"/>
      <c r="E272" s="213"/>
      <c r="F272" s="213"/>
      <c r="G272" s="213"/>
      <c r="H272" s="213"/>
      <c r="I272" s="213"/>
      <c r="J272" s="213"/>
      <c r="K272" s="213"/>
      <c r="L272" s="213"/>
      <c r="M272" s="213"/>
      <c r="N272" s="202"/>
      <c r="O272" s="214"/>
      <c r="P272" s="215">
        <f>+R70</f>
        <v>0</v>
      </c>
      <c r="Q272" s="198"/>
      <c r="R272" s="116"/>
      <c r="S272" s="119"/>
      <c r="T272" s="2"/>
    </row>
    <row r="273" spans="1:20" ht="15.75" x14ac:dyDescent="0.25">
      <c r="A273" s="125"/>
      <c r="B273" s="127" t="s">
        <v>136</v>
      </c>
      <c r="C273" s="127"/>
      <c r="D273" s="213"/>
      <c r="E273" s="213"/>
      <c r="F273" s="213"/>
      <c r="G273" s="213"/>
      <c r="H273" s="213"/>
      <c r="I273" s="213"/>
      <c r="J273" s="213"/>
      <c r="K273" s="213"/>
      <c r="L273" s="213"/>
      <c r="M273" s="213"/>
      <c r="N273" s="202"/>
      <c r="O273" s="214"/>
      <c r="P273" s="215">
        <f>+P271+P272</f>
        <v>0</v>
      </c>
      <c r="Q273" s="198"/>
      <c r="R273" s="116"/>
      <c r="S273" s="119"/>
      <c r="T273" s="2"/>
    </row>
    <row r="274" spans="1:20" ht="15.75" x14ac:dyDescent="0.25">
      <c r="A274" s="125"/>
      <c r="B274" s="127" t="s">
        <v>226</v>
      </c>
      <c r="C274" s="116"/>
      <c r="D274" s="200"/>
      <c r="E274" s="200"/>
      <c r="F274" s="200"/>
      <c r="G274" s="200"/>
      <c r="H274" s="200"/>
      <c r="I274" s="200"/>
      <c r="J274" s="200"/>
      <c r="K274" s="200"/>
      <c r="L274" s="200"/>
      <c r="M274" s="200"/>
      <c r="N274" s="202"/>
      <c r="O274" s="198"/>
      <c r="P274" s="203">
        <f>+R72</f>
        <v>0</v>
      </c>
      <c r="Q274" s="198"/>
      <c r="R274" s="116"/>
      <c r="S274" s="119"/>
      <c r="T274" s="2"/>
    </row>
    <row r="275" spans="1:20" ht="15.75" x14ac:dyDescent="0.25">
      <c r="A275" s="125"/>
      <c r="B275" s="127"/>
      <c r="C275" s="116"/>
      <c r="D275" s="200"/>
      <c r="E275" s="200"/>
      <c r="F275" s="200"/>
      <c r="G275" s="200"/>
      <c r="H275" s="200"/>
      <c r="I275" s="200"/>
      <c r="J275" s="200"/>
      <c r="K275" s="200"/>
      <c r="L275" s="200"/>
      <c r="M275" s="200"/>
      <c r="N275" s="202"/>
      <c r="O275" s="198"/>
      <c r="P275" s="203"/>
      <c r="Q275" s="198"/>
      <c r="R275" s="116"/>
      <c r="S275" s="119"/>
      <c r="T275" s="2"/>
    </row>
    <row r="276" spans="1:20" ht="15.75" x14ac:dyDescent="0.25">
      <c r="A276" s="125"/>
      <c r="B276" s="127" t="s">
        <v>245</v>
      </c>
      <c r="C276" s="116"/>
      <c r="D276" s="200"/>
      <c r="E276" s="200"/>
      <c r="F276" s="200"/>
      <c r="G276" s="200"/>
      <c r="H276" s="200"/>
      <c r="I276" s="200"/>
      <c r="J276" s="200"/>
      <c r="K276" s="200"/>
      <c r="L276" s="200"/>
      <c r="M276" s="200"/>
      <c r="N276" s="202"/>
      <c r="O276" s="198"/>
      <c r="P276" s="211">
        <v>0</v>
      </c>
      <c r="Q276" s="198"/>
      <c r="R276" s="116"/>
      <c r="S276" s="119"/>
      <c r="T276" s="2"/>
    </row>
    <row r="277" spans="1:20" ht="15.75" x14ac:dyDescent="0.25">
      <c r="A277" s="85"/>
      <c r="B277" s="86"/>
      <c r="C277" s="86"/>
      <c r="D277" s="87"/>
      <c r="E277" s="87"/>
      <c r="F277" s="87"/>
      <c r="G277" s="87"/>
      <c r="H277" s="87"/>
      <c r="I277" s="87"/>
      <c r="J277" s="87"/>
      <c r="K277" s="87"/>
      <c r="L277" s="87"/>
      <c r="M277" s="87"/>
      <c r="N277" s="87"/>
      <c r="O277" s="87"/>
      <c r="P277" s="88"/>
      <c r="Q277" s="87"/>
      <c r="R277" s="86"/>
      <c r="S277" s="86"/>
      <c r="T277" s="2"/>
    </row>
    <row r="278" spans="1:20" ht="15.75" x14ac:dyDescent="0.25">
      <c r="A278" s="89"/>
      <c r="B278" s="90" t="s">
        <v>79</v>
      </c>
      <c r="C278" s="86"/>
      <c r="D278" s="91" t="s">
        <v>85</v>
      </c>
      <c r="E278" s="90"/>
      <c r="F278" s="90" t="s">
        <v>86</v>
      </c>
      <c r="G278" s="86"/>
      <c r="H278" s="90"/>
      <c r="I278" s="92"/>
      <c r="J278" s="92"/>
      <c r="K278" s="92"/>
      <c r="L278" s="92"/>
      <c r="M278" s="92"/>
      <c r="N278" s="92"/>
      <c r="O278" s="92"/>
      <c r="P278" s="92"/>
      <c r="Q278" s="92"/>
      <c r="R278" s="92"/>
      <c r="S278" s="92"/>
      <c r="T278" s="2"/>
    </row>
    <row r="279" spans="1:20" ht="15.75" x14ac:dyDescent="0.25">
      <c r="A279" s="89"/>
      <c r="B279" s="92"/>
      <c r="C279" s="86"/>
      <c r="D279" s="86"/>
      <c r="E279" s="86"/>
      <c r="F279" s="86"/>
      <c r="G279" s="86"/>
      <c r="H279" s="86"/>
      <c r="I279" s="92"/>
      <c r="J279" s="92"/>
      <c r="K279" s="92"/>
      <c r="L279" s="92"/>
      <c r="M279" s="92"/>
      <c r="N279" s="92"/>
      <c r="O279" s="92"/>
      <c r="P279" s="92"/>
      <c r="Q279" s="92"/>
      <c r="R279" s="92"/>
      <c r="S279" s="92"/>
      <c r="T279" s="2"/>
    </row>
    <row r="280" spans="1:20" ht="15.75" x14ac:dyDescent="0.25">
      <c r="A280" s="89"/>
      <c r="B280" s="219" t="s">
        <v>239</v>
      </c>
      <c r="C280" s="90"/>
      <c r="D280" s="93" t="s">
        <v>124</v>
      </c>
      <c r="E280" s="90"/>
      <c r="F280" s="90" t="s">
        <v>125</v>
      </c>
      <c r="G280" s="90"/>
      <c r="H280" s="90"/>
      <c r="I280" s="92"/>
      <c r="J280" s="92"/>
      <c r="K280" s="92"/>
      <c r="L280" s="92"/>
      <c r="M280" s="92"/>
      <c r="N280" s="92"/>
      <c r="O280" s="92"/>
      <c r="P280" s="92"/>
      <c r="Q280" s="92"/>
      <c r="R280" s="92"/>
      <c r="S280" s="92"/>
      <c r="T280" s="2"/>
    </row>
    <row r="281" spans="1:20" ht="15.75" x14ac:dyDescent="0.25">
      <c r="A281" s="89"/>
      <c r="B281" s="219" t="s">
        <v>240</v>
      </c>
      <c r="C281" s="90"/>
      <c r="D281" s="93" t="s">
        <v>163</v>
      </c>
      <c r="E281" s="90"/>
      <c r="F281" s="90" t="s">
        <v>164</v>
      </c>
      <c r="G281" s="90"/>
      <c r="H281" s="90"/>
      <c r="I281" s="92"/>
      <c r="J281" s="92"/>
      <c r="K281" s="92"/>
      <c r="L281" s="92"/>
      <c r="M281" s="92"/>
      <c r="N281" s="92"/>
      <c r="O281" s="92"/>
      <c r="P281" s="92"/>
      <c r="Q281" s="92"/>
      <c r="R281" s="92"/>
      <c r="S281" s="92"/>
      <c r="T281" s="2"/>
    </row>
    <row r="282" spans="1:20" ht="15.75" x14ac:dyDescent="0.25">
      <c r="A282" s="89"/>
      <c r="B282" s="219" t="s">
        <v>241</v>
      </c>
      <c r="C282" s="90"/>
      <c r="D282" s="93" t="s">
        <v>123</v>
      </c>
      <c r="E282" s="90"/>
      <c r="F282" s="90" t="s">
        <v>126</v>
      </c>
      <c r="G282" s="90"/>
      <c r="H282" s="90"/>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5.75" x14ac:dyDescent="0.25">
      <c r="A284" s="89"/>
      <c r="B284" s="90"/>
      <c r="C284" s="90"/>
      <c r="D284" s="92"/>
      <c r="E284" s="92"/>
      <c r="F284" s="92"/>
      <c r="G284" s="92"/>
      <c r="H284" s="92"/>
      <c r="I284" s="92"/>
      <c r="J284" s="92"/>
      <c r="K284" s="92"/>
      <c r="L284" s="92"/>
      <c r="M284" s="92"/>
      <c r="N284" s="92"/>
      <c r="O284" s="92"/>
      <c r="P284" s="92"/>
      <c r="Q284" s="92"/>
      <c r="R284" s="92"/>
      <c r="S284" s="92"/>
      <c r="T284" s="2"/>
    </row>
    <row r="285" spans="1:20" ht="19.5" thickBot="1" x14ac:dyDescent="0.35">
      <c r="A285" s="89"/>
      <c r="B285" s="94" t="str">
        <f>B185</f>
        <v>PM16 INVESTOR REPORT QUARTER ENDING SEPTEMBER 2014</v>
      </c>
      <c r="C285" s="90"/>
      <c r="D285" s="92"/>
      <c r="E285" s="92"/>
      <c r="F285" s="92"/>
      <c r="G285" s="92"/>
      <c r="H285" s="92"/>
      <c r="I285" s="92"/>
      <c r="J285" s="92"/>
      <c r="K285" s="92"/>
      <c r="L285" s="92"/>
      <c r="M285" s="92"/>
      <c r="N285" s="92"/>
      <c r="O285" s="92"/>
      <c r="P285" s="92"/>
      <c r="Q285" s="92"/>
      <c r="R285" s="92"/>
      <c r="S285" s="92"/>
      <c r="T285" s="2"/>
    </row>
    <row r="286" spans="1:20" x14ac:dyDescent="0.2">
      <c r="A286" s="3"/>
      <c r="B286" s="3"/>
      <c r="C286" s="3"/>
      <c r="D286" s="3"/>
      <c r="E286" s="3"/>
      <c r="F286" s="3"/>
      <c r="G286" s="3"/>
      <c r="H286" s="3"/>
      <c r="I286" s="3"/>
      <c r="J286" s="3"/>
      <c r="K286" s="3"/>
      <c r="L286" s="3"/>
      <c r="M286" s="3"/>
      <c r="N286" s="3"/>
      <c r="O286" s="3"/>
      <c r="P286" s="3"/>
      <c r="Q286" s="3"/>
      <c r="R286" s="3"/>
      <c r="S286" s="3"/>
    </row>
  </sheetData>
  <hyperlinks>
    <hyperlink ref="N221"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5" max="18"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86"/>
  <sheetViews>
    <sheetView showGridLines="0" showOutlineSymbols="0" topLeftCell="A53" zoomScale="70" zoomScaleNormal="70" workbookViewId="0">
      <selection activeCell="R83" sqref="R83"/>
    </sheetView>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41019</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131612.37999000002</v>
      </c>
      <c r="G29" s="208"/>
      <c r="H29" s="208">
        <f>H28</f>
        <v>32100</v>
      </c>
      <c r="I29" s="129"/>
      <c r="J29" s="133"/>
      <c r="K29" s="129"/>
      <c r="L29" s="133"/>
      <c r="M29" s="129"/>
      <c r="N29" s="133"/>
      <c r="O29" s="129"/>
      <c r="P29" s="129"/>
      <c r="Q29" s="130"/>
      <c r="R29" s="129">
        <f>SUM(F29:H29)</f>
        <v>163712.37999000002</v>
      </c>
      <c r="S29" s="131"/>
      <c r="T29" s="2"/>
    </row>
    <row r="30" spans="1:20" ht="15.75" x14ac:dyDescent="0.25">
      <c r="A30" s="125"/>
      <c r="B30" s="124" t="s">
        <v>114</v>
      </c>
      <c r="C30" s="128"/>
      <c r="D30" s="136"/>
      <c r="E30" s="136"/>
      <c r="F30" s="209">
        <f>F31*F28</f>
        <v>131293.78452000002</v>
      </c>
      <c r="G30" s="209"/>
      <c r="H30" s="209">
        <f>H31*H28</f>
        <v>32100</v>
      </c>
      <c r="I30" s="134"/>
      <c r="J30" s="136"/>
      <c r="K30" s="134"/>
      <c r="L30" s="136"/>
      <c r="M30" s="134"/>
      <c r="N30" s="136"/>
      <c r="O30" s="129"/>
      <c r="P30" s="129"/>
      <c r="Q30" s="130"/>
      <c r="R30" s="210">
        <f>SUM(F30:H30)</f>
        <v>163393.78452000002</v>
      </c>
      <c r="S30" s="131"/>
      <c r="T30" s="2"/>
    </row>
    <row r="31" spans="1:20" ht="15.75" x14ac:dyDescent="0.25">
      <c r="A31" s="115"/>
      <c r="B31" s="137" t="s">
        <v>110</v>
      </c>
      <c r="C31" s="138"/>
      <c r="D31" s="139"/>
      <c r="E31" s="139"/>
      <c r="F31" s="139">
        <v>0.99691560000000001</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0.99933470000000002</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3.8395600000000002E-2</v>
      </c>
      <c r="G34" s="146"/>
      <c r="H34" s="146">
        <v>4.3395599999999999E-2</v>
      </c>
      <c r="I34" s="146"/>
      <c r="J34" s="146"/>
      <c r="K34" s="146"/>
      <c r="L34" s="146"/>
      <c r="M34" s="145"/>
      <c r="N34" s="146"/>
      <c r="O34" s="126"/>
      <c r="P34" s="126"/>
      <c r="Q34" s="118"/>
      <c r="R34" s="145">
        <f>SUMPRODUCT(F34:H34,F29:H29)/R29</f>
        <v>3.9375977904284348E-2</v>
      </c>
      <c r="S34" s="119"/>
      <c r="T34" s="2"/>
    </row>
    <row r="35" spans="1:21" ht="15.75" x14ac:dyDescent="0.25">
      <c r="A35" s="115"/>
      <c r="B35" s="116" t="s">
        <v>12</v>
      </c>
      <c r="C35" s="147"/>
      <c r="D35" s="146"/>
      <c r="E35" s="146"/>
      <c r="F35" s="146">
        <v>3.6141100000000002E-2</v>
      </c>
      <c r="G35" s="146"/>
      <c r="H35" s="146">
        <v>4.11411E-2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0.24448986764571631</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41015</v>
      </c>
      <c r="S45" s="119"/>
      <c r="T45" s="2"/>
    </row>
    <row r="46" spans="1:21" ht="15.75" x14ac:dyDescent="0.25">
      <c r="A46" s="115"/>
      <c r="B46" s="116" t="s">
        <v>106</v>
      </c>
      <c r="C46" s="116"/>
      <c r="D46" s="153"/>
      <c r="E46" s="153"/>
      <c r="F46" s="153"/>
      <c r="G46" s="153"/>
      <c r="H46" s="153"/>
      <c r="I46" s="153"/>
      <c r="J46" s="153"/>
      <c r="K46" s="153"/>
      <c r="L46" s="153"/>
      <c r="M46" s="153"/>
      <c r="N46" s="116">
        <f>+R46-P46+1</f>
        <v>67</v>
      </c>
      <c r="O46" s="116"/>
      <c r="P46" s="154">
        <v>40857</v>
      </c>
      <c r="Q46" s="155"/>
      <c r="R46" s="154">
        <v>40923</v>
      </c>
      <c r="S46" s="119"/>
      <c r="T46" s="2"/>
    </row>
    <row r="47" spans="1:21" ht="15.75" x14ac:dyDescent="0.25">
      <c r="A47" s="115"/>
      <c r="B47" s="116" t="s">
        <v>107</v>
      </c>
      <c r="C47" s="116"/>
      <c r="D47" s="116"/>
      <c r="E47" s="116"/>
      <c r="F47" s="116"/>
      <c r="G47" s="116"/>
      <c r="H47" s="116"/>
      <c r="I47" s="116"/>
      <c r="J47" s="116"/>
      <c r="K47" s="116"/>
      <c r="L47" s="116"/>
      <c r="M47" s="116"/>
      <c r="N47" s="116">
        <f>+R47-P47+1</f>
        <v>91</v>
      </c>
      <c r="O47" s="116"/>
      <c r="P47" s="154">
        <v>40924</v>
      </c>
      <c r="Q47" s="155"/>
      <c r="R47" s="154">
        <v>41014</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41001</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231</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128442</v>
      </c>
      <c r="I56" s="158"/>
      <c r="J56" s="159">
        <v>129</v>
      </c>
      <c r="K56" s="158"/>
      <c r="L56" s="158">
        <f>500+4</f>
        <v>504</v>
      </c>
      <c r="M56" s="158"/>
      <c r="N56" s="158">
        <f>25+35264+1</f>
        <v>35290</v>
      </c>
      <c r="O56" s="158"/>
      <c r="P56" s="158">
        <v>0</v>
      </c>
      <c r="Q56" s="158"/>
      <c r="R56" s="159">
        <f>H56-J56-L56+N56-P56</f>
        <v>163099</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128442</v>
      </c>
      <c r="I59" s="158"/>
      <c r="J59" s="158">
        <f>J56+J57</f>
        <v>129</v>
      </c>
      <c r="K59" s="158"/>
      <c r="L59" s="158">
        <f>SUM(L56:L58)</f>
        <v>504</v>
      </c>
      <c r="M59" s="158"/>
      <c r="N59" s="158">
        <f>SUM(N56:N58)</f>
        <v>35290</v>
      </c>
      <c r="O59" s="158"/>
      <c r="P59" s="158">
        <f>SUM(P56:P58)</f>
        <v>0</v>
      </c>
      <c r="Q59" s="158"/>
      <c r="R59" s="158">
        <f>SUM(R56:R58)</f>
        <v>163099</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103</v>
      </c>
      <c r="C69" s="158"/>
      <c r="D69" s="158"/>
      <c r="E69" s="158"/>
      <c r="F69" s="158">
        <v>35270</v>
      </c>
      <c r="G69" s="158"/>
      <c r="H69" s="158">
        <v>35270</v>
      </c>
      <c r="I69" s="158"/>
      <c r="J69" s="158">
        <v>-35270</v>
      </c>
      <c r="K69" s="158"/>
      <c r="L69" s="158"/>
      <c r="M69" s="158"/>
      <c r="N69" s="158"/>
      <c r="O69" s="158"/>
      <c r="P69" s="158"/>
      <c r="Q69" s="158"/>
      <c r="R69" s="158">
        <f>SUM(H69:N69)</f>
        <v>0</v>
      </c>
      <c r="S69" s="119"/>
      <c r="T69" s="2"/>
    </row>
    <row r="70" spans="1:20" ht="15.75" x14ac:dyDescent="0.25">
      <c r="A70" s="115"/>
      <c r="B70" s="116" t="s">
        <v>232</v>
      </c>
      <c r="C70" s="158"/>
      <c r="D70" s="158"/>
      <c r="E70" s="158"/>
      <c r="F70" s="158">
        <v>0</v>
      </c>
      <c r="G70" s="158"/>
      <c r="H70" s="158">
        <v>0</v>
      </c>
      <c r="I70" s="158"/>
      <c r="J70" s="158">
        <v>0</v>
      </c>
      <c r="K70" s="158"/>
      <c r="L70" s="158"/>
      <c r="M70" s="158"/>
      <c r="N70" s="158"/>
      <c r="O70" s="158"/>
      <c r="P70" s="158"/>
      <c r="Q70" s="158"/>
      <c r="R70" s="158">
        <v>295</v>
      </c>
      <c r="S70" s="119"/>
      <c r="T70" s="2"/>
    </row>
    <row r="71" spans="1:20"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23</v>
      </c>
      <c r="C72" s="158"/>
      <c r="D72" s="158"/>
      <c r="E72" s="158"/>
      <c r="F72" s="158">
        <f>SUM(F59:F71)</f>
        <v>163800</v>
      </c>
      <c r="G72" s="158"/>
      <c r="H72" s="158">
        <f>SUM(H59:H71)</f>
        <v>163712</v>
      </c>
      <c r="I72" s="158"/>
      <c r="J72" s="158"/>
      <c r="K72" s="158"/>
      <c r="L72" s="158"/>
      <c r="M72" s="158"/>
      <c r="N72" s="158"/>
      <c r="O72" s="158"/>
      <c r="P72" s="158"/>
      <c r="Q72" s="158"/>
      <c r="R72" s="158">
        <f>SUM(R59:R71)</f>
        <v>163394</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24</v>
      </c>
      <c r="C75" s="63"/>
      <c r="D75" s="64"/>
      <c r="E75" s="64"/>
      <c r="F75" s="64"/>
      <c r="G75" s="64"/>
      <c r="H75" s="65" t="s">
        <v>83</v>
      </c>
      <c r="I75" s="64"/>
      <c r="J75" s="66">
        <f>+P185</f>
        <v>40998</v>
      </c>
      <c r="K75" s="64"/>
      <c r="L75" s="64"/>
      <c r="M75" s="64"/>
      <c r="N75" s="64"/>
      <c r="O75" s="64"/>
      <c r="P75" s="64" t="s">
        <v>93</v>
      </c>
      <c r="Q75" s="64"/>
      <c r="R75" s="64" t="s">
        <v>99</v>
      </c>
      <c r="S75" s="56"/>
      <c r="T75" s="2"/>
    </row>
    <row r="76" spans="1:20" ht="15.75" x14ac:dyDescent="0.25">
      <c r="A76" s="79"/>
      <c r="B76" s="81" t="s">
        <v>25</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216</v>
      </c>
      <c r="C77" s="138"/>
      <c r="D77" s="160"/>
      <c r="E77" s="160"/>
      <c r="F77" s="160"/>
      <c r="G77" s="161"/>
      <c r="H77" s="160"/>
      <c r="I77" s="138"/>
      <c r="J77" s="162"/>
      <c r="K77" s="138"/>
      <c r="L77" s="138"/>
      <c r="M77" s="138"/>
      <c r="N77" s="138"/>
      <c r="O77" s="138"/>
      <c r="P77" s="158">
        <v>6</v>
      </c>
      <c r="Q77" s="116"/>
      <c r="R77" s="159"/>
      <c r="S77" s="142"/>
      <c r="T77" s="2"/>
    </row>
    <row r="78" spans="1:20" ht="15.75" x14ac:dyDescent="0.25">
      <c r="A78" s="125"/>
      <c r="B78" s="116" t="s">
        <v>26</v>
      </c>
      <c r="C78" s="138"/>
      <c r="D78" s="160"/>
      <c r="E78" s="160"/>
      <c r="F78" s="160"/>
      <c r="G78" s="161"/>
      <c r="H78" s="160"/>
      <c r="I78" s="138"/>
      <c r="J78" s="162"/>
      <c r="K78" s="138"/>
      <c r="L78" s="138"/>
      <c r="M78" s="138"/>
      <c r="N78" s="138"/>
      <c r="O78" s="138"/>
      <c r="P78" s="158">
        <v>633</v>
      </c>
      <c r="Q78" s="116"/>
      <c r="R78" s="159"/>
      <c r="S78" s="142"/>
      <c r="T78" s="2"/>
    </row>
    <row r="79" spans="1:20" ht="15.75" x14ac:dyDescent="0.25">
      <c r="A79" s="125"/>
      <c r="B79" s="116" t="s">
        <v>148</v>
      </c>
      <c r="C79" s="138"/>
      <c r="D79" s="160"/>
      <c r="E79" s="160"/>
      <c r="F79" s="160"/>
      <c r="G79" s="161"/>
      <c r="H79" s="160"/>
      <c r="I79" s="138"/>
      <c r="J79" s="162"/>
      <c r="K79" s="138"/>
      <c r="L79" s="138"/>
      <c r="M79" s="138"/>
      <c r="N79" s="138"/>
      <c r="O79" s="138"/>
      <c r="P79" s="158"/>
      <c r="Q79" s="116"/>
      <c r="R79" s="159">
        <f>1924-133</f>
        <v>1791</v>
      </c>
      <c r="S79" s="142"/>
      <c r="T79" s="2"/>
    </row>
    <row r="80" spans="1:20" ht="15.75" x14ac:dyDescent="0.25">
      <c r="A80" s="125"/>
      <c r="B80" s="116" t="s">
        <v>146</v>
      </c>
      <c r="C80" s="138"/>
      <c r="D80" s="160"/>
      <c r="E80" s="160"/>
      <c r="F80" s="160"/>
      <c r="G80" s="161"/>
      <c r="H80" s="160"/>
      <c r="I80" s="138"/>
      <c r="J80" s="162"/>
      <c r="K80" s="138"/>
      <c r="L80" s="138"/>
      <c r="M80" s="138"/>
      <c r="N80" s="138"/>
      <c r="O80" s="138"/>
      <c r="P80" s="158"/>
      <c r="Q80" s="116"/>
      <c r="R80" s="159">
        <v>5</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51</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295</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639</v>
      </c>
      <c r="Q88" s="116"/>
      <c r="R88" s="158">
        <f>SUM(R76:R87)</f>
        <v>2142</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639</v>
      </c>
      <c r="Q91" s="116"/>
      <c r="R91" s="158">
        <f>R88+R89+R90</f>
        <v>2142</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-61</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-48-3</f>
        <v>-51</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-67</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-1259</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-477</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-75</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-49-89</f>
        <v>-138</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0</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-25</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0</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-319</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-344</v>
      </c>
      <c r="Q114" s="158"/>
      <c r="R114" s="158">
        <f>SUM(R92:R113)</f>
        <v>-2142</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295</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MARCH 2012</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975.18646439999975</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3938.8135356000003</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f>+F69</f>
        <v>35270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-35270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f>+'Dec 11'!R156</f>
        <v>295</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295</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163099</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295</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163394</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163394</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+'Dec 11'!O171</f>
        <v>37</v>
      </c>
      <c r="P170" s="159">
        <f>+'Dec 11'!P171</f>
        <v>23</v>
      </c>
      <c r="Q170" s="116"/>
      <c r="R170" s="159">
        <f>O170+P170</f>
        <v>60</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0</v>
      </c>
      <c r="P171" s="158">
        <v>25</v>
      </c>
      <c r="Q171" s="116"/>
      <c r="R171" s="159">
        <f>O171+P171</f>
        <v>25</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37</v>
      </c>
      <c r="P172" s="159">
        <f>P171+P170</f>
        <v>48</v>
      </c>
      <c r="Q172" s="116"/>
      <c r="R172" s="159">
        <f>O172+P172</f>
        <v>85</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26123</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1.5520254169976171</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1.38</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1.4465408805031446</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1.36</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MARCH 2012</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72">
        <v>40998</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3.9375977904284348E-2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8.3940220957156517E-3</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5.0895599999999999E-2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4.8509999999999998E-2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3.9375977904284348E-2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9.1340220957156493E-3</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(+R91+R93)/H72</f>
        <v>1.2711346755277561E-2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19.600000000000001</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4.9282944831130007E-3</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1.38E-2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35270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+'Dec 11'!P209+P209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1005</v>
      </c>
      <c r="O223" s="83">
        <f t="shared" ref="O223:O230" si="1">N223/$N$232</f>
        <v>1</v>
      </c>
      <c r="P223" s="84">
        <f t="shared" ref="P223:P230" si="2">+P235+P247+P259</f>
        <v>163099</v>
      </c>
      <c r="Q223" s="83">
        <f t="shared" ref="Q223:Q230" si="3">P223/$P$232</f>
        <v>1</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1005</v>
      </c>
      <c r="O232" s="198">
        <f>SUM(O223:O231)</f>
        <v>1</v>
      </c>
      <c r="P232" s="159">
        <f>SUM(P223:P231)</f>
        <v>163099</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1005</v>
      </c>
      <c r="O235" s="83">
        <f>N235/$N$244</f>
        <v>1</v>
      </c>
      <c r="P235" s="84">
        <v>163099</v>
      </c>
      <c r="Q235" s="83">
        <f t="shared" ref="Q235:Q242" si="4">P235/$P$244</f>
        <v>1</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1005</v>
      </c>
      <c r="O244" s="198">
        <f>SUM(O235:O243)</f>
        <v>1</v>
      </c>
      <c r="P244" s="159">
        <f>SUM(P235:P243)</f>
        <v>163099</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1005</v>
      </c>
      <c r="O270" s="198"/>
      <c r="P270" s="203">
        <f>+P268+P256+P244</f>
        <v>163099</v>
      </c>
      <c r="Q270" s="198"/>
      <c r="R270" s="116"/>
      <c r="S270" s="119"/>
      <c r="T270" s="2"/>
    </row>
    <row r="271" spans="1:20" ht="15.75" x14ac:dyDescent="0.25">
      <c r="A271" s="125"/>
      <c r="B271" s="127" t="s">
        <v>230</v>
      </c>
      <c r="C271" s="127"/>
      <c r="D271" s="213"/>
      <c r="E271" s="213"/>
      <c r="F271" s="213"/>
      <c r="G271" s="213"/>
      <c r="H271" s="213"/>
      <c r="I271" s="213"/>
      <c r="J271" s="213"/>
      <c r="K271" s="213"/>
      <c r="L271" s="213"/>
      <c r="M271" s="213"/>
      <c r="N271" s="202"/>
      <c r="O271" s="214"/>
      <c r="P271" s="215">
        <f>+R162</f>
        <v>0</v>
      </c>
      <c r="Q271" s="198"/>
      <c r="R271" s="116"/>
      <c r="S271" s="119"/>
      <c r="T271" s="2"/>
    </row>
    <row r="272" spans="1:20" ht="15.75" x14ac:dyDescent="0.25">
      <c r="A272" s="125"/>
      <c r="B272" s="216" t="s">
        <v>233</v>
      </c>
      <c r="C272" s="127"/>
      <c r="D272" s="213"/>
      <c r="E272" s="213"/>
      <c r="F272" s="213"/>
      <c r="G272" s="213"/>
      <c r="H272" s="213"/>
      <c r="I272" s="213"/>
      <c r="J272" s="213"/>
      <c r="K272" s="213"/>
      <c r="L272" s="213"/>
      <c r="M272" s="213"/>
      <c r="N272" s="202"/>
      <c r="O272" s="214"/>
      <c r="P272" s="215">
        <f>+R70</f>
        <v>295</v>
      </c>
      <c r="Q272" s="198"/>
      <c r="R272" s="116"/>
      <c r="S272" s="119"/>
      <c r="T272" s="2"/>
    </row>
    <row r="273" spans="1:20" ht="15.75" x14ac:dyDescent="0.25">
      <c r="A273" s="125"/>
      <c r="B273" s="127" t="s">
        <v>136</v>
      </c>
      <c r="C273" s="127"/>
      <c r="D273" s="213"/>
      <c r="E273" s="213"/>
      <c r="F273" s="213"/>
      <c r="G273" s="213"/>
      <c r="H273" s="213"/>
      <c r="I273" s="213"/>
      <c r="J273" s="213"/>
      <c r="K273" s="213"/>
      <c r="L273" s="213"/>
      <c r="M273" s="213"/>
      <c r="N273" s="202"/>
      <c r="O273" s="214"/>
      <c r="P273" s="215">
        <f>+P270+P271+P272</f>
        <v>163394</v>
      </c>
      <c r="Q273" s="198"/>
      <c r="R273" s="116"/>
      <c r="S273" s="119"/>
      <c r="T273" s="2"/>
    </row>
    <row r="274" spans="1:20" ht="15.75" x14ac:dyDescent="0.25">
      <c r="A274" s="125"/>
      <c r="B274" s="127" t="s">
        <v>226</v>
      </c>
      <c r="C274" s="116"/>
      <c r="D274" s="200"/>
      <c r="E274" s="200"/>
      <c r="F274" s="200"/>
      <c r="G274" s="200"/>
      <c r="H274" s="200"/>
      <c r="I274" s="200"/>
      <c r="J274" s="200"/>
      <c r="K274" s="200"/>
      <c r="L274" s="200"/>
      <c r="M274" s="200"/>
      <c r="N274" s="202"/>
      <c r="O274" s="198"/>
      <c r="P274" s="203">
        <f>+R72</f>
        <v>163394</v>
      </c>
      <c r="Q274" s="198"/>
      <c r="R274" s="116"/>
      <c r="S274" s="119"/>
      <c r="T274" s="2"/>
    </row>
    <row r="275" spans="1:20" ht="15.75" x14ac:dyDescent="0.25">
      <c r="A275" s="125"/>
      <c r="B275" s="127"/>
      <c r="C275" s="116"/>
      <c r="D275" s="200"/>
      <c r="E275" s="200"/>
      <c r="F275" s="200"/>
      <c r="G275" s="200"/>
      <c r="H275" s="200"/>
      <c r="I275" s="200"/>
      <c r="J275" s="200"/>
      <c r="K275" s="200"/>
      <c r="L275" s="200"/>
      <c r="M275" s="200"/>
      <c r="N275" s="202"/>
      <c r="O275" s="198"/>
      <c r="P275" s="203"/>
      <c r="Q275" s="198"/>
      <c r="R275" s="116"/>
      <c r="S275" s="119"/>
      <c r="T275" s="2"/>
    </row>
    <row r="276" spans="1:20" ht="15.75" x14ac:dyDescent="0.25">
      <c r="A276" s="125"/>
      <c r="B276" s="127" t="s">
        <v>223</v>
      </c>
      <c r="C276" s="116"/>
      <c r="D276" s="200"/>
      <c r="E276" s="200"/>
      <c r="F276" s="200"/>
      <c r="G276" s="200"/>
      <c r="H276" s="200"/>
      <c r="I276" s="200"/>
      <c r="J276" s="200"/>
      <c r="K276" s="200"/>
      <c r="L276" s="200"/>
      <c r="M276" s="200"/>
      <c r="N276" s="202"/>
      <c r="O276" s="198"/>
      <c r="P276" s="211">
        <f>H30/R30</f>
        <v>0.196457901347348</v>
      </c>
      <c r="Q276" s="198"/>
      <c r="R276" s="116"/>
      <c r="S276" s="119"/>
      <c r="T276" s="2"/>
    </row>
    <row r="277" spans="1:20" ht="15.75" x14ac:dyDescent="0.25">
      <c r="A277" s="85"/>
      <c r="B277" s="86"/>
      <c r="C277" s="86"/>
      <c r="D277" s="87"/>
      <c r="E277" s="87"/>
      <c r="F277" s="87"/>
      <c r="G277" s="87"/>
      <c r="H277" s="87"/>
      <c r="I277" s="87"/>
      <c r="J277" s="87"/>
      <c r="K277" s="87"/>
      <c r="L277" s="87"/>
      <c r="M277" s="87"/>
      <c r="N277" s="87"/>
      <c r="O277" s="87"/>
      <c r="P277" s="88"/>
      <c r="Q277" s="87"/>
      <c r="R277" s="86"/>
      <c r="S277" s="86"/>
      <c r="T277" s="2"/>
    </row>
    <row r="278" spans="1:20" ht="15.75" x14ac:dyDescent="0.25">
      <c r="A278" s="89"/>
      <c r="B278" s="90" t="s">
        <v>79</v>
      </c>
      <c r="C278" s="86"/>
      <c r="D278" s="91" t="s">
        <v>85</v>
      </c>
      <c r="E278" s="90"/>
      <c r="F278" s="90" t="s">
        <v>86</v>
      </c>
      <c r="G278" s="86"/>
      <c r="H278" s="90"/>
      <c r="I278" s="92"/>
      <c r="J278" s="92"/>
      <c r="K278" s="92"/>
      <c r="L278" s="92"/>
      <c r="M278" s="92"/>
      <c r="N278" s="92"/>
      <c r="O278" s="92"/>
      <c r="P278" s="92"/>
      <c r="Q278" s="92"/>
      <c r="R278" s="92"/>
      <c r="S278" s="92"/>
      <c r="T278" s="2"/>
    </row>
    <row r="279" spans="1:20" ht="15.75" x14ac:dyDescent="0.25">
      <c r="A279" s="89"/>
      <c r="B279" s="92"/>
      <c r="C279" s="86"/>
      <c r="D279" s="86"/>
      <c r="E279" s="86"/>
      <c r="F279" s="86"/>
      <c r="G279" s="86"/>
      <c r="H279" s="86"/>
      <c r="I279" s="92"/>
      <c r="J279" s="92"/>
      <c r="K279" s="92"/>
      <c r="L279" s="92"/>
      <c r="M279" s="92"/>
      <c r="N279" s="92"/>
      <c r="O279" s="92"/>
      <c r="P279" s="92"/>
      <c r="Q279" s="92"/>
      <c r="R279" s="92"/>
      <c r="S279" s="92"/>
      <c r="T279" s="2"/>
    </row>
    <row r="280" spans="1:20" ht="15.75" x14ac:dyDescent="0.25">
      <c r="A280" s="89"/>
      <c r="B280" s="90" t="s">
        <v>80</v>
      </c>
      <c r="C280" s="90"/>
      <c r="D280" s="93" t="s">
        <v>124</v>
      </c>
      <c r="E280" s="90"/>
      <c r="F280" s="90" t="s">
        <v>125</v>
      </c>
      <c r="G280" s="90"/>
      <c r="H280" s="90"/>
      <c r="I280" s="92"/>
      <c r="J280" s="92"/>
      <c r="K280" s="92"/>
      <c r="L280" s="92"/>
      <c r="M280" s="92"/>
      <c r="N280" s="92"/>
      <c r="O280" s="92"/>
      <c r="P280" s="92"/>
      <c r="Q280" s="92"/>
      <c r="R280" s="92"/>
      <c r="S280" s="92"/>
      <c r="T280" s="2"/>
    </row>
    <row r="281" spans="1:20" ht="15.75" x14ac:dyDescent="0.25">
      <c r="A281" s="89"/>
      <c r="B281" s="90" t="s">
        <v>162</v>
      </c>
      <c r="C281" s="90"/>
      <c r="D281" s="93" t="s">
        <v>163</v>
      </c>
      <c r="E281" s="90"/>
      <c r="F281" s="90" t="s">
        <v>164</v>
      </c>
      <c r="G281" s="90"/>
      <c r="H281" s="90"/>
      <c r="I281" s="92"/>
      <c r="J281" s="92"/>
      <c r="K281" s="92"/>
      <c r="L281" s="92"/>
      <c r="M281" s="92"/>
      <c r="N281" s="92"/>
      <c r="O281" s="92"/>
      <c r="P281" s="92"/>
      <c r="Q281" s="92"/>
      <c r="R281" s="92"/>
      <c r="S281" s="92"/>
      <c r="T281" s="2"/>
    </row>
    <row r="282" spans="1:20" ht="15.75" x14ac:dyDescent="0.25">
      <c r="A282" s="89"/>
      <c r="B282" s="90" t="s">
        <v>81</v>
      </c>
      <c r="C282" s="90"/>
      <c r="D282" s="93" t="s">
        <v>123</v>
      </c>
      <c r="E282" s="90"/>
      <c r="F282" s="90" t="s">
        <v>126</v>
      </c>
      <c r="G282" s="90"/>
      <c r="H282" s="90"/>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5.75" x14ac:dyDescent="0.25">
      <c r="A284" s="89"/>
      <c r="B284" s="90"/>
      <c r="C284" s="90"/>
      <c r="D284" s="92"/>
      <c r="E284" s="92"/>
      <c r="F284" s="92"/>
      <c r="G284" s="92"/>
      <c r="H284" s="92"/>
      <c r="I284" s="92"/>
      <c r="J284" s="92"/>
      <c r="K284" s="92"/>
      <c r="L284" s="92"/>
      <c r="M284" s="92"/>
      <c r="N284" s="92"/>
      <c r="O284" s="92"/>
      <c r="P284" s="92"/>
      <c r="Q284" s="92"/>
      <c r="R284" s="92"/>
      <c r="S284" s="92"/>
      <c r="T284" s="2"/>
    </row>
    <row r="285" spans="1:20" ht="19.5" thickBot="1" x14ac:dyDescent="0.35">
      <c r="A285" s="89"/>
      <c r="B285" s="94" t="str">
        <f>B184</f>
        <v>PM16 INVESTOR REPORT QUARTER ENDING MARCH 2012</v>
      </c>
      <c r="C285" s="90"/>
      <c r="D285" s="92"/>
      <c r="E285" s="92"/>
      <c r="F285" s="92"/>
      <c r="G285" s="92"/>
      <c r="H285" s="92"/>
      <c r="I285" s="92"/>
      <c r="J285" s="92"/>
      <c r="K285" s="92"/>
      <c r="L285" s="92"/>
      <c r="M285" s="92"/>
      <c r="N285" s="92"/>
      <c r="O285" s="92"/>
      <c r="P285" s="92"/>
      <c r="Q285" s="92"/>
      <c r="R285" s="92"/>
      <c r="S285" s="92"/>
      <c r="T285" s="2"/>
    </row>
    <row r="286" spans="1:20" x14ac:dyDescent="0.2">
      <c r="A286" s="3"/>
      <c r="B286" s="3"/>
      <c r="C286" s="3"/>
      <c r="D286" s="3"/>
      <c r="E286" s="3"/>
      <c r="F286" s="3"/>
      <c r="G286" s="3"/>
      <c r="H286" s="3"/>
      <c r="I286" s="3"/>
      <c r="J286" s="3"/>
      <c r="K286" s="3"/>
      <c r="L286" s="3"/>
      <c r="M286" s="3"/>
      <c r="N286" s="3"/>
      <c r="O286" s="3"/>
      <c r="P286" s="3"/>
      <c r="Q286" s="3"/>
      <c r="R286" s="3"/>
      <c r="S286" s="3"/>
    </row>
  </sheetData>
  <hyperlinks>
    <hyperlink ref="N220" r:id="rId1"/>
    <hyperlink ref="K9" r:id="rId2"/>
  </hyperlinks>
  <printOptions horizontalCentered="1" verticalCentered="1"/>
  <pageMargins left="0.19685039370078741" right="0.19685039370078741" top="0.27559055118110237" bottom="0.27559055118110237" header="0" footer="0"/>
  <pageSetup scale="45" orientation="landscape" r:id="rId3"/>
  <headerFooter alignWithMargins="0"/>
  <rowBreaks count="3" manualBreakCount="3">
    <brk id="52" max="23" man="1"/>
    <brk id="118" max="14" man="1"/>
    <brk id="184" max="14"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85"/>
  <sheetViews>
    <sheetView showGridLines="0" showOutlineSymbols="0" topLeftCell="A56" zoomScale="70" zoomScaleNormal="70" workbookViewId="0">
      <selection activeCell="R87" sqref="R87"/>
    </sheetView>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41108</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131293.78452000002</v>
      </c>
      <c r="G29" s="208"/>
      <c r="H29" s="208">
        <f>H28</f>
        <v>32100</v>
      </c>
      <c r="I29" s="129"/>
      <c r="J29" s="133"/>
      <c r="K29" s="129"/>
      <c r="L29" s="133"/>
      <c r="M29" s="129"/>
      <c r="N29" s="133"/>
      <c r="O29" s="129"/>
      <c r="P29" s="129"/>
      <c r="Q29" s="130"/>
      <c r="R29" s="129">
        <f>SUM(F29:H29)</f>
        <v>163393.78452000002</v>
      </c>
      <c r="S29" s="131"/>
      <c r="T29" s="2"/>
    </row>
    <row r="30" spans="1:20" ht="15.75" x14ac:dyDescent="0.25">
      <c r="A30" s="125"/>
      <c r="B30" s="124" t="s">
        <v>114</v>
      </c>
      <c r="C30" s="128"/>
      <c r="D30" s="136"/>
      <c r="E30" s="136"/>
      <c r="F30" s="209">
        <f>F31*F28</f>
        <v>130065.69519</v>
      </c>
      <c r="G30" s="209"/>
      <c r="H30" s="209">
        <f>H31*H28</f>
        <v>32100</v>
      </c>
      <c r="I30" s="134"/>
      <c r="J30" s="136"/>
      <c r="K30" s="134"/>
      <c r="L30" s="136"/>
      <c r="M30" s="134"/>
      <c r="N30" s="136"/>
      <c r="O30" s="129"/>
      <c r="P30" s="129"/>
      <c r="Q30" s="130"/>
      <c r="R30" s="210">
        <f>SUM(F30:H30)</f>
        <v>162165.69519</v>
      </c>
      <c r="S30" s="131"/>
      <c r="T30" s="2"/>
    </row>
    <row r="31" spans="1:20" ht="15.75" x14ac:dyDescent="0.25">
      <c r="A31" s="115"/>
      <c r="B31" s="137" t="s">
        <v>110</v>
      </c>
      <c r="C31" s="138"/>
      <c r="D31" s="139"/>
      <c r="E31" s="139"/>
      <c r="F31" s="139">
        <v>0.98759070000000004</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0.99691560000000001</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3.7675E-2</v>
      </c>
      <c r="G34" s="146"/>
      <c r="H34" s="146">
        <v>4.2674999999999998E-2</v>
      </c>
      <c r="I34" s="146"/>
      <c r="J34" s="146"/>
      <c r="K34" s="146"/>
      <c r="L34" s="146"/>
      <c r="M34" s="145"/>
      <c r="N34" s="146"/>
      <c r="O34" s="126"/>
      <c r="P34" s="126"/>
      <c r="Q34" s="118"/>
      <c r="R34" s="145">
        <f>SUMPRODUCT(F34:H34,F29:H29)/R29</f>
        <v>3.865728950673674E-2</v>
      </c>
      <c r="S34" s="119"/>
      <c r="T34" s="2"/>
    </row>
    <row r="35" spans="1:21" ht="15.75" x14ac:dyDescent="0.25">
      <c r="A35" s="115"/>
      <c r="B35" s="116" t="s">
        <v>12</v>
      </c>
      <c r="C35" s="147"/>
      <c r="D35" s="146"/>
      <c r="E35" s="146"/>
      <c r="F35" s="146">
        <v>3.8395600000000002E-2</v>
      </c>
      <c r="G35" s="146"/>
      <c r="H35" s="146">
        <v>4.3395599999999999E-2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0.24679835796140029</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41106</v>
      </c>
      <c r="S45" s="119"/>
      <c r="T45" s="2"/>
    </row>
    <row r="46" spans="1:21" ht="15.75" x14ac:dyDescent="0.25">
      <c r="A46" s="115"/>
      <c r="B46" s="116" t="s">
        <v>106</v>
      </c>
      <c r="C46" s="116"/>
      <c r="D46" s="153"/>
      <c r="E46" s="153"/>
      <c r="F46" s="153"/>
      <c r="G46" s="153"/>
      <c r="H46" s="153"/>
      <c r="I46" s="153"/>
      <c r="J46" s="153"/>
      <c r="K46" s="153"/>
      <c r="L46" s="153"/>
      <c r="M46" s="153"/>
      <c r="N46" s="116">
        <f>+R46-P46+1</f>
        <v>91</v>
      </c>
      <c r="O46" s="116"/>
      <c r="P46" s="154">
        <v>40924</v>
      </c>
      <c r="Q46" s="155"/>
      <c r="R46" s="154">
        <v>41014</v>
      </c>
      <c r="S46" s="119"/>
      <c r="T46" s="2"/>
    </row>
    <row r="47" spans="1:21" ht="15.75" x14ac:dyDescent="0.25">
      <c r="A47" s="115"/>
      <c r="B47" s="116" t="s">
        <v>107</v>
      </c>
      <c r="C47" s="116"/>
      <c r="D47" s="116"/>
      <c r="E47" s="116"/>
      <c r="F47" s="116"/>
      <c r="G47" s="116"/>
      <c r="H47" s="116"/>
      <c r="I47" s="116"/>
      <c r="J47" s="116"/>
      <c r="K47" s="116"/>
      <c r="L47" s="116"/>
      <c r="M47" s="116"/>
      <c r="N47" s="116">
        <f>+R47-P47+1</f>
        <v>91</v>
      </c>
      <c r="O47" s="116"/>
      <c r="P47" s="154">
        <v>41015</v>
      </c>
      <c r="Q47" s="155"/>
      <c r="R47" s="154">
        <v>41105</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41092</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234</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163099</v>
      </c>
      <c r="I56" s="158"/>
      <c r="J56" s="159">
        <v>145</v>
      </c>
      <c r="K56" s="158"/>
      <c r="L56" s="158">
        <f>1246+3-1</f>
        <v>1248</v>
      </c>
      <c r="M56" s="158"/>
      <c r="N56" s="158">
        <v>167</v>
      </c>
      <c r="O56" s="158"/>
      <c r="P56" s="158">
        <v>0</v>
      </c>
      <c r="Q56" s="158"/>
      <c r="R56" s="159">
        <f>H56-J56-L56+N56-P56</f>
        <v>161873</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163099</v>
      </c>
      <c r="I59" s="158"/>
      <c r="J59" s="158">
        <f>J56+J57</f>
        <v>145</v>
      </c>
      <c r="K59" s="158"/>
      <c r="L59" s="158">
        <f>SUM(L56:L58)</f>
        <v>1248</v>
      </c>
      <c r="M59" s="158"/>
      <c r="N59" s="158">
        <f>SUM(N56:N58)</f>
        <v>167</v>
      </c>
      <c r="O59" s="158"/>
      <c r="P59" s="158">
        <f>SUM(P56:P58)</f>
        <v>0</v>
      </c>
      <c r="Q59" s="158"/>
      <c r="R59" s="158">
        <f>SUM(R56:R58)</f>
        <v>161873</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295</v>
      </c>
      <c r="I70" s="158"/>
      <c r="J70" s="158">
        <v>-2</v>
      </c>
      <c r="K70" s="158"/>
      <c r="L70" s="158"/>
      <c r="M70" s="158"/>
      <c r="N70" s="158"/>
      <c r="O70" s="158"/>
      <c r="P70" s="158"/>
      <c r="Q70" s="158"/>
      <c r="R70" s="158">
        <f>H70+J70</f>
        <v>293</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163394</v>
      </c>
      <c r="I72" s="158"/>
      <c r="J72" s="158"/>
      <c r="K72" s="158"/>
      <c r="L72" s="158"/>
      <c r="M72" s="158"/>
      <c r="N72" s="158"/>
      <c r="O72" s="158"/>
      <c r="P72" s="158"/>
      <c r="Q72" s="158"/>
      <c r="R72" s="158">
        <f>SUM(R59:R71)</f>
        <v>162166</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41089</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295</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v>1393</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2126-147</f>
        <v>1979</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74</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9</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60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1688</v>
      </c>
      <c r="Q88" s="116"/>
      <c r="R88" s="158">
        <f>SUM(R76:R87)</f>
        <v>2122</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1688</v>
      </c>
      <c r="Q91" s="116"/>
      <c r="R91" s="158">
        <f>R88+R89+R90</f>
        <v>2122</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-61-3</f>
        <v>-64</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-75</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-1233</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-342</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-61</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-27-306</f>
        <v>-333</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0</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-26</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-141</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-1228</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-1395</v>
      </c>
      <c r="Q114" s="158"/>
      <c r="R114" s="158">
        <f>SUM(R92:R113)</f>
        <v>-2122</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293</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JUNE 2012</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1012.0291443000001</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3901.9708556999999</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161873</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293</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162166</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162166</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+'March 12'!O172</f>
        <v>37</v>
      </c>
      <c r="P170" s="159">
        <f>+'March 12'!P172</f>
        <v>48</v>
      </c>
      <c r="Q170" s="116"/>
      <c r="R170" s="159">
        <f>O170+P170</f>
        <v>85</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141</v>
      </c>
      <c r="P171" s="158">
        <v>26</v>
      </c>
      <c r="Q171" s="116"/>
      <c r="R171" s="159">
        <f>O171+P171</f>
        <v>167</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178</v>
      </c>
      <c r="P172" s="159">
        <f>P171+P170</f>
        <v>74</v>
      </c>
      <c r="Q172" s="116"/>
      <c r="R172" s="159">
        <f>O172+P172</f>
        <v>252</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25956</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1.6009732360097324</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1.46</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2.1520467836257309</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1.65</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JUNE 2012</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41089</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3.865728950673674E-2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9.1127104932632597E-3</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5.0174999999999997E-2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4.854E-2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3.865728950673674E-2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9.8827104932632595E-3</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1.2987012987012988E-2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19.329999999999998</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8.5408248977614822E-3</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2.1100000000000001E-2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'March 12'!P210+P209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1000</v>
      </c>
      <c r="O223" s="83">
        <f t="shared" ref="O223:O230" si="1">N223/$N$232</f>
        <v>1</v>
      </c>
      <c r="P223" s="84">
        <f t="shared" ref="P223:P230" si="2">+P235+P247+P259</f>
        <v>161873</v>
      </c>
      <c r="Q223" s="83">
        <f t="shared" ref="Q223:Q230" si="3">P223/$P$232</f>
        <v>1</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1000</v>
      </c>
      <c r="O232" s="198">
        <f>SUM(O223:O231)</f>
        <v>1</v>
      </c>
      <c r="P232" s="159">
        <f>SUM(P223:P231)</f>
        <v>161873</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1000</v>
      </c>
      <c r="O235" s="83">
        <f>N235/$N$244</f>
        <v>1</v>
      </c>
      <c r="P235" s="84">
        <v>161873</v>
      </c>
      <c r="Q235" s="83">
        <f t="shared" ref="Q235:Q242" si="4">P235/$P$244</f>
        <v>1</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1000</v>
      </c>
      <c r="O244" s="198">
        <f>SUM(O235:O243)</f>
        <v>1</v>
      </c>
      <c r="P244" s="159">
        <f>SUM(P235:P243)</f>
        <v>161873</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1000</v>
      </c>
      <c r="O270" s="198"/>
      <c r="P270" s="203">
        <f>+P268+P256+P244</f>
        <v>161873</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293</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162166</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162166</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0.19794568735631984</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90" t="s">
        <v>80</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90" t="s">
        <v>162</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90" t="s">
        <v>81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JUNE 2012</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85"/>
  <sheetViews>
    <sheetView showGridLines="0" showOutlineSymbols="0" topLeftCell="A49"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41201</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130065.69519</v>
      </c>
      <c r="G29" s="208"/>
      <c r="H29" s="208">
        <f>H28</f>
        <v>32100</v>
      </c>
      <c r="I29" s="129"/>
      <c r="J29" s="133"/>
      <c r="K29" s="129"/>
      <c r="L29" s="133"/>
      <c r="M29" s="129"/>
      <c r="N29" s="133"/>
      <c r="O29" s="129"/>
      <c r="P29" s="129"/>
      <c r="Q29" s="130"/>
      <c r="R29" s="129">
        <f>SUM(F29:H29)</f>
        <v>162165.69519</v>
      </c>
      <c r="S29" s="131"/>
      <c r="T29" s="2"/>
    </row>
    <row r="30" spans="1:20" ht="15.75" x14ac:dyDescent="0.25">
      <c r="A30" s="125"/>
      <c r="B30" s="124" t="s">
        <v>114</v>
      </c>
      <c r="C30" s="128"/>
      <c r="D30" s="136"/>
      <c r="E30" s="136"/>
      <c r="F30" s="209">
        <f>F31*F28</f>
        <v>127875.82710000001</v>
      </c>
      <c r="G30" s="209"/>
      <c r="H30" s="209">
        <f>H31*H28</f>
        <v>32100</v>
      </c>
      <c r="I30" s="134"/>
      <c r="J30" s="136"/>
      <c r="K30" s="134"/>
      <c r="L30" s="136"/>
      <c r="M30" s="134"/>
      <c r="N30" s="136"/>
      <c r="O30" s="129"/>
      <c r="P30" s="129"/>
      <c r="Q30" s="130"/>
      <c r="R30" s="210">
        <f>SUM(F30:H30)</f>
        <v>159975.82709999999</v>
      </c>
      <c r="S30" s="131"/>
      <c r="T30" s="2"/>
    </row>
    <row r="31" spans="1:20" ht="15.75" x14ac:dyDescent="0.25">
      <c r="A31" s="115"/>
      <c r="B31" s="137" t="s">
        <v>110</v>
      </c>
      <c r="C31" s="138"/>
      <c r="D31" s="139"/>
      <c r="E31" s="139"/>
      <c r="F31" s="139">
        <v>0.97096300000000002</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0.98759070000000004</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3.5783799999999998E-2</v>
      </c>
      <c r="G34" s="146"/>
      <c r="H34" s="146">
        <v>4.0783800000000002E-2</v>
      </c>
      <c r="I34" s="146"/>
      <c r="J34" s="146"/>
      <c r="K34" s="146"/>
      <c r="L34" s="146"/>
      <c r="M34" s="145"/>
      <c r="N34" s="146"/>
      <c r="O34" s="126"/>
      <c r="P34" s="126"/>
      <c r="Q34" s="118"/>
      <c r="R34" s="145">
        <f>SUMPRODUCT(F34:H34,F29:H29)/R29</f>
        <v>3.6773528436781597E-2</v>
      </c>
      <c r="S34" s="119"/>
      <c r="T34" s="2"/>
    </row>
    <row r="35" spans="1:21" ht="15.75" x14ac:dyDescent="0.25">
      <c r="A35" s="115"/>
      <c r="B35" s="116" t="s">
        <v>12</v>
      </c>
      <c r="C35" s="147"/>
      <c r="D35" s="146"/>
      <c r="E35" s="146"/>
      <c r="F35" s="146">
        <v>3.7675E-2</v>
      </c>
      <c r="G35" s="146"/>
      <c r="H35" s="146">
        <v>4.2674999999999998E-2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0.25102476932483508</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41197</v>
      </c>
      <c r="S45" s="119"/>
      <c r="T45" s="2"/>
    </row>
    <row r="46" spans="1:21" ht="15.75" x14ac:dyDescent="0.25">
      <c r="A46" s="115"/>
      <c r="B46" s="116" t="s">
        <v>106</v>
      </c>
      <c r="C46" s="116"/>
      <c r="D46" s="153"/>
      <c r="E46" s="153"/>
      <c r="F46" s="153"/>
      <c r="G46" s="153"/>
      <c r="H46" s="153"/>
      <c r="I46" s="153"/>
      <c r="J46" s="153"/>
      <c r="K46" s="153"/>
      <c r="L46" s="153"/>
      <c r="M46" s="153"/>
      <c r="N46" s="116">
        <f>+R46-P46+1</f>
        <v>91</v>
      </c>
      <c r="O46" s="116"/>
      <c r="P46" s="154">
        <v>41015</v>
      </c>
      <c r="Q46" s="155"/>
      <c r="R46" s="154">
        <v>41105</v>
      </c>
      <c r="S46" s="119"/>
      <c r="T46" s="2"/>
    </row>
    <row r="47" spans="1:21" ht="15.75" x14ac:dyDescent="0.25">
      <c r="A47" s="115"/>
      <c r="B47" s="116" t="s">
        <v>107</v>
      </c>
      <c r="C47" s="116"/>
      <c r="D47" s="116"/>
      <c r="E47" s="116"/>
      <c r="F47" s="116"/>
      <c r="G47" s="116"/>
      <c r="H47" s="116"/>
      <c r="I47" s="116"/>
      <c r="J47" s="116"/>
      <c r="K47" s="116"/>
      <c r="L47" s="116"/>
      <c r="M47" s="116"/>
      <c r="N47" s="116">
        <f>+R47-P47+1</f>
        <v>91</v>
      </c>
      <c r="O47" s="116"/>
      <c r="P47" s="154">
        <v>41106</v>
      </c>
      <c r="Q47" s="155"/>
      <c r="R47" s="154">
        <v>41196</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41183</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235</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161873</v>
      </c>
      <c r="I56" s="158"/>
      <c r="J56" s="159">
        <v>151</v>
      </c>
      <c r="K56" s="158"/>
      <c r="L56" s="158">
        <f>1889+2</f>
        <v>1891</v>
      </c>
      <c r="M56" s="158"/>
      <c r="N56" s="158">
        <v>145</v>
      </c>
      <c r="O56" s="158"/>
      <c r="P56" s="158">
        <v>0</v>
      </c>
      <c r="Q56" s="158"/>
      <c r="R56" s="159">
        <f>H56-J56-L56+N56-P56</f>
        <v>159976</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161873</v>
      </c>
      <c r="I59" s="158"/>
      <c r="J59" s="158">
        <f>J56+J57</f>
        <v>151</v>
      </c>
      <c r="K59" s="158"/>
      <c r="L59" s="158">
        <f>SUM(L56:L58)</f>
        <v>1891</v>
      </c>
      <c r="M59" s="158"/>
      <c r="N59" s="158">
        <f>SUM(N56:N58)</f>
        <v>145</v>
      </c>
      <c r="O59" s="158"/>
      <c r="P59" s="158">
        <f>SUM(P56:P58)</f>
        <v>0</v>
      </c>
      <c r="Q59" s="158"/>
      <c r="R59" s="158">
        <f>SUM(R56:R58)</f>
        <v>159976</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293</v>
      </c>
      <c r="I70" s="158"/>
      <c r="J70" s="158">
        <v>-293</v>
      </c>
      <c r="K70" s="158"/>
      <c r="L70" s="158"/>
      <c r="M70" s="158"/>
      <c r="N70" s="158"/>
      <c r="O70" s="158"/>
      <c r="P70" s="158"/>
      <c r="Q70" s="158"/>
      <c r="R70" s="158">
        <f>H70+J70</f>
        <v>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162166</v>
      </c>
      <c r="I72" s="158"/>
      <c r="J72" s="158"/>
      <c r="K72" s="158"/>
      <c r="L72" s="158"/>
      <c r="M72" s="158"/>
      <c r="N72" s="158"/>
      <c r="O72" s="158"/>
      <c r="P72" s="158"/>
      <c r="Q72" s="158"/>
      <c r="R72" s="158">
        <f>SUM(R59:R71)</f>
        <v>159976</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41180</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293</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1891+151</f>
        <v>2042</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2058-153</f>
        <v>1905</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76</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5</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62</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2335</v>
      </c>
      <c r="Q88" s="116"/>
      <c r="R88" s="158">
        <f>SUM(R76:R87)</f>
        <v>2048</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2335</v>
      </c>
      <c r="Q91" s="116"/>
      <c r="R91" s="158">
        <f>R88+R89+R90</f>
        <v>2048</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-61-3</f>
        <v>-64</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-101</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-1160</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-326</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-61</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-25-297</f>
        <v>-322</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0</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-13</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-132</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-2190</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-2335</v>
      </c>
      <c r="Q114" s="158"/>
      <c r="R114" s="158">
        <f>SUM(R92:R113)</f>
        <v>-2048</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SEPTEMBER 2012</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1077.725187</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3836.274813</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159976</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159976</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159976</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+'June 12'!O172</f>
        <v>178</v>
      </c>
      <c r="P170" s="159">
        <f>+'June 12'!P172</f>
        <v>74</v>
      </c>
      <c r="Q170" s="116"/>
      <c r="R170" s="159">
        <f>O170+P170</f>
        <v>252</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132</v>
      </c>
      <c r="P171" s="158">
        <v>13</v>
      </c>
      <c r="Q171" s="116"/>
      <c r="R171" s="159">
        <f>O171+P171</f>
        <v>145</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310</v>
      </c>
      <c r="P172" s="159">
        <f>P171+P170</f>
        <v>87</v>
      </c>
      <c r="Q172" s="116"/>
      <c r="R172" s="159">
        <f>O172+P172</f>
        <v>397</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25811</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1.6155172413793104</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1.5</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2.1748466257668713</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1.79</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SEPTEMBER 2012</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41180</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3.6773528436781597E-2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1.0996471563218403E-2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4.8283800000000002E-2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4.7239999999999997E-2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3.6773528436781597E-2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1.04664715632184E-2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1.2629034446184774E-2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19.05</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1.2614827673546545E-2</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2.87E-2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'June 12'!P210+P209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993</v>
      </c>
      <c r="O223" s="83">
        <f t="shared" ref="O223:O230" si="1">N223/$N$232</f>
        <v>1</v>
      </c>
      <c r="P223" s="84">
        <f t="shared" ref="P223:P230" si="2">+P235+P247+P259</f>
        <v>159976</v>
      </c>
      <c r="Q223" s="83">
        <f t="shared" ref="Q223:Q230" si="3">P223/$P$232</f>
        <v>1</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993</v>
      </c>
      <c r="O232" s="198">
        <f>SUM(O223:O231)</f>
        <v>1</v>
      </c>
      <c r="P232" s="159">
        <f>SUM(P223:P231)</f>
        <v>159976</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993</v>
      </c>
      <c r="O235" s="83">
        <f>N235/$N$244</f>
        <v>1</v>
      </c>
      <c r="P235" s="84">
        <v>159976</v>
      </c>
      <c r="Q235" s="83">
        <f t="shared" ref="Q235:Q242" si="4">P235/$P$244</f>
        <v>1</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993</v>
      </c>
      <c r="O244" s="198">
        <f>SUM(O235:O243)</f>
        <v>1</v>
      </c>
      <c r="P244" s="159">
        <f>SUM(P235:P243)</f>
        <v>159976</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993</v>
      </c>
      <c r="O270" s="198"/>
      <c r="P270" s="203">
        <f>+P268+P256+P244</f>
        <v>159976</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159976</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159976</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0.20065531513041948</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90" t="s">
        <v>80</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90" t="s">
        <v>162</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90" t="s">
        <v>81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SEPTEMBER 2012</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85"/>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41296</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127875.82710000001</v>
      </c>
      <c r="G29" s="208"/>
      <c r="H29" s="208">
        <f>H28</f>
        <v>32100</v>
      </c>
      <c r="I29" s="129"/>
      <c r="J29" s="133"/>
      <c r="K29" s="129"/>
      <c r="L29" s="133"/>
      <c r="M29" s="129"/>
      <c r="N29" s="133"/>
      <c r="O29" s="129"/>
      <c r="P29" s="129"/>
      <c r="Q29" s="130"/>
      <c r="R29" s="129">
        <f>SUM(F29:H29)</f>
        <v>159975.82709999999</v>
      </c>
      <c r="S29" s="131"/>
      <c r="T29" s="2"/>
    </row>
    <row r="30" spans="1:20" ht="15.75" x14ac:dyDescent="0.25">
      <c r="A30" s="125"/>
      <c r="B30" s="124" t="s">
        <v>114</v>
      </c>
      <c r="C30" s="128"/>
      <c r="D30" s="136"/>
      <c r="E30" s="136"/>
      <c r="F30" s="209">
        <f>F31*F28</f>
        <v>127193.79231</v>
      </c>
      <c r="G30" s="209"/>
      <c r="H30" s="209">
        <f>H31*H28</f>
        <v>32100</v>
      </c>
      <c r="I30" s="134"/>
      <c r="J30" s="136"/>
      <c r="K30" s="134"/>
      <c r="L30" s="136"/>
      <c r="M30" s="134"/>
      <c r="N30" s="136"/>
      <c r="O30" s="129"/>
      <c r="P30" s="129"/>
      <c r="Q30" s="130"/>
      <c r="R30" s="210">
        <f>SUM(F30:H30)</f>
        <v>159293.79230999999</v>
      </c>
      <c r="S30" s="131"/>
      <c r="T30" s="2"/>
    </row>
    <row r="31" spans="1:20" ht="15.75" x14ac:dyDescent="0.25">
      <c r="A31" s="115"/>
      <c r="B31" s="137" t="s">
        <v>110</v>
      </c>
      <c r="C31" s="138"/>
      <c r="D31" s="139"/>
      <c r="E31" s="139"/>
      <c r="F31" s="139">
        <v>0.96578430000000004</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0.97096300000000002</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3.28875E-2</v>
      </c>
      <c r="G34" s="146"/>
      <c r="H34" s="146">
        <v>3.7887499999999998E-2</v>
      </c>
      <c r="I34" s="146"/>
      <c r="J34" s="146"/>
      <c r="K34" s="146"/>
      <c r="L34" s="146"/>
      <c r="M34" s="145"/>
      <c r="N34" s="146"/>
      <c r="O34" s="126"/>
      <c r="P34" s="126"/>
      <c r="Q34" s="118"/>
      <c r="R34" s="145">
        <f>SUMPRODUCT(F34:H34,F29:H29)/R29</f>
        <v>3.38907765756521E-2</v>
      </c>
      <c r="S34" s="119"/>
      <c r="T34" s="2"/>
    </row>
    <row r="35" spans="1:21" ht="15.75" x14ac:dyDescent="0.25">
      <c r="A35" s="115"/>
      <c r="B35" s="116" t="s">
        <v>12</v>
      </c>
      <c r="C35" s="147"/>
      <c r="D35" s="146"/>
      <c r="E35" s="146"/>
      <c r="F35" s="146">
        <v>3.5783799999999998E-2</v>
      </c>
      <c r="G35" s="146"/>
      <c r="H35" s="146">
        <v>4.0783800000000002E-2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0.25237080691615082</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41289</v>
      </c>
      <c r="S45" s="119"/>
      <c r="T45" s="2"/>
    </row>
    <row r="46" spans="1:21" ht="15.75" x14ac:dyDescent="0.25">
      <c r="A46" s="115"/>
      <c r="B46" s="116" t="s">
        <v>106</v>
      </c>
      <c r="C46" s="116"/>
      <c r="D46" s="153"/>
      <c r="E46" s="153"/>
      <c r="F46" s="153"/>
      <c r="G46" s="153"/>
      <c r="H46" s="153"/>
      <c r="I46" s="153"/>
      <c r="J46" s="153"/>
      <c r="K46" s="153"/>
      <c r="L46" s="153"/>
      <c r="M46" s="153"/>
      <c r="N46" s="116">
        <f>+R46-P46+1</f>
        <v>91</v>
      </c>
      <c r="O46" s="116"/>
      <c r="P46" s="154">
        <v>41106</v>
      </c>
      <c r="Q46" s="155"/>
      <c r="R46" s="154">
        <v>41196</v>
      </c>
      <c r="S46" s="119"/>
      <c r="T46" s="2"/>
    </row>
    <row r="47" spans="1:21" ht="15.75" x14ac:dyDescent="0.25">
      <c r="A47" s="115"/>
      <c r="B47" s="116" t="s">
        <v>107</v>
      </c>
      <c r="C47" s="116"/>
      <c r="D47" s="116"/>
      <c r="E47" s="116"/>
      <c r="F47" s="116"/>
      <c r="G47" s="116"/>
      <c r="H47" s="116"/>
      <c r="I47" s="116"/>
      <c r="J47" s="116"/>
      <c r="K47" s="116"/>
      <c r="L47" s="116"/>
      <c r="M47" s="116"/>
      <c r="N47" s="116">
        <f>+R47-P47+1</f>
        <v>92</v>
      </c>
      <c r="O47" s="116"/>
      <c r="P47" s="154">
        <v>41197</v>
      </c>
      <c r="Q47" s="155"/>
      <c r="R47" s="154">
        <v>41288</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41276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236</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159976</v>
      </c>
      <c r="I56" s="158"/>
      <c r="J56" s="159">
        <v>155</v>
      </c>
      <c r="K56" s="158"/>
      <c r="L56" s="158">
        <f>782+93</f>
        <v>875</v>
      </c>
      <c r="M56" s="158"/>
      <c r="N56" s="158">
        <v>248</v>
      </c>
      <c r="O56" s="158"/>
      <c r="P56" s="158">
        <v>0</v>
      </c>
      <c r="Q56" s="158"/>
      <c r="R56" s="159">
        <f>H56-J56-L56+N56-P56</f>
        <v>159194</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159976</v>
      </c>
      <c r="I59" s="158"/>
      <c r="J59" s="158">
        <f>J56+J57</f>
        <v>155</v>
      </c>
      <c r="K59" s="158"/>
      <c r="L59" s="158">
        <f>SUM(L56:L58)</f>
        <v>875</v>
      </c>
      <c r="M59" s="158"/>
      <c r="N59" s="158">
        <f>SUM(N56:N58)</f>
        <v>248</v>
      </c>
      <c r="O59" s="158"/>
      <c r="P59" s="158">
        <f>SUM(P56:P58)</f>
        <v>0</v>
      </c>
      <c r="Q59" s="158"/>
      <c r="R59" s="158">
        <f>SUM(R56:R58)</f>
        <v>159194</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0</v>
      </c>
      <c r="I70" s="158"/>
      <c r="J70" s="158">
        <v>0</v>
      </c>
      <c r="K70" s="158"/>
      <c r="L70" s="158"/>
      <c r="M70" s="158"/>
      <c r="N70" s="158"/>
      <c r="O70" s="158"/>
      <c r="P70" s="158"/>
      <c r="Q70" s="158"/>
      <c r="R70" s="158">
        <v>100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159976</v>
      </c>
      <c r="I72" s="158"/>
      <c r="J72" s="158"/>
      <c r="K72" s="158"/>
      <c r="L72" s="158"/>
      <c r="M72" s="158"/>
      <c r="N72" s="158"/>
      <c r="O72" s="158"/>
      <c r="P72" s="158"/>
      <c r="Q72" s="158"/>
      <c r="R72" s="158">
        <f>SUM(R59:R71)</f>
        <v>159294</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41274</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155+875</f>
        <v>1030</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2027-248</f>
        <v>1779</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42</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9</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94</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1030</v>
      </c>
      <c r="Q88" s="116"/>
      <c r="R88" s="158">
        <f>SUM(R76:R87)</f>
        <v>1924</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1030</v>
      </c>
      <c r="Q91" s="116"/>
      <c r="R91" s="158">
        <f>R88+R89+R90</f>
        <v>1924</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-61-3</f>
        <v>-64</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-142</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-1060</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-307</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-60</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-20-226</f>
        <v>-246</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-31</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-34</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-214</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-682</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-930</v>
      </c>
      <c r="Q114" s="158"/>
      <c r="R114" s="158">
        <f>SUM(R92:R113)</f>
        <v>-1924</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100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DECEMBER 2012</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1098.1862307000001</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3815.8137692999999</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159194</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100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159294</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159294</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+'Sept 12'!O172</f>
        <v>310</v>
      </c>
      <c r="P170" s="159">
        <f>+'Sept 12'!P172</f>
        <v>87</v>
      </c>
      <c r="Q170" s="116"/>
      <c r="R170" s="159">
        <f>O170+P170</f>
        <v>397</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214</v>
      </c>
      <c r="P171" s="158">
        <v>34</v>
      </c>
      <c r="Q171" s="116"/>
      <c r="R171" s="159">
        <f>O171+P171</f>
        <v>248</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524</v>
      </c>
      <c r="P172" s="159">
        <f>P171+P170</f>
        <v>121</v>
      </c>
      <c r="Q172" s="116"/>
      <c r="R172" s="159">
        <f>O172+P172</f>
        <v>645</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25563</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1.6122641509433961</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1.52</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2.0977198697068404</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1.85</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DECEMBER 2012</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41274</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3.38907765756521E-2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1.38792234243479E-2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4.5387499999999997E-2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4.5379999999999997E-2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3.38907765756521E-2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1.1489223424347897E-2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1.2026804020603091E-2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18.809999999999999</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6.4384657698654795E-3</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2.8000000000000001E-2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'Sept 12'!P210+P209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990</v>
      </c>
      <c r="O223" s="83">
        <f t="shared" ref="O223:O230" si="1">N223/$N$232</f>
        <v>1</v>
      </c>
      <c r="P223" s="84">
        <f t="shared" ref="P223:P230" si="2">+P235+P247+P259</f>
        <v>159194</v>
      </c>
      <c r="Q223" s="83">
        <f t="shared" ref="Q223:Q230" si="3">P223/$P$232</f>
        <v>1</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990</v>
      </c>
      <c r="O232" s="198">
        <f>SUM(O223:O231)</f>
        <v>1</v>
      </c>
      <c r="P232" s="159">
        <f>SUM(P223:P231)</f>
        <v>159194</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990</v>
      </c>
      <c r="O235" s="83">
        <f>N235/$N$244</f>
        <v>1</v>
      </c>
      <c r="P235" s="84">
        <v>159194</v>
      </c>
      <c r="Q235" s="83">
        <f t="shared" ref="Q235:Q242" si="4">P235/$P$244</f>
        <v>1</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990</v>
      </c>
      <c r="O244" s="198">
        <f>SUM(O235:O243)</f>
        <v>1</v>
      </c>
      <c r="P244" s="159">
        <f>SUM(P235:P243)</f>
        <v>159194</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990</v>
      </c>
      <c r="O270" s="198"/>
      <c r="P270" s="203">
        <f>+P268+P256+P244</f>
        <v>159194</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100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159294</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159294</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0.20151444406277003</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90" t="s">
        <v>80</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90" t="s">
        <v>162</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90" t="s">
        <v>81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DECEMBER 2012</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85"/>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41386</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127193.79231</v>
      </c>
      <c r="G29" s="208"/>
      <c r="H29" s="208">
        <f>H28</f>
        <v>32100</v>
      </c>
      <c r="I29" s="129"/>
      <c r="J29" s="133"/>
      <c r="K29" s="129"/>
      <c r="L29" s="133"/>
      <c r="M29" s="129"/>
      <c r="N29" s="133"/>
      <c r="O29" s="129"/>
      <c r="P29" s="129"/>
      <c r="Q29" s="130"/>
      <c r="R29" s="129">
        <f>SUM(F29:H29)</f>
        <v>159293.79230999999</v>
      </c>
      <c r="S29" s="131"/>
      <c r="T29" s="2"/>
    </row>
    <row r="30" spans="1:20" ht="15.75" x14ac:dyDescent="0.25">
      <c r="A30" s="125"/>
      <c r="B30" s="124" t="s">
        <v>114</v>
      </c>
      <c r="C30" s="128"/>
      <c r="D30" s="136"/>
      <c r="E30" s="136"/>
      <c r="F30" s="209">
        <f>F31*F28</f>
        <v>126208.53144000001</v>
      </c>
      <c r="G30" s="209"/>
      <c r="H30" s="209">
        <f>H31*H28</f>
        <v>32100</v>
      </c>
      <c r="I30" s="134"/>
      <c r="J30" s="136"/>
      <c r="K30" s="134"/>
      <c r="L30" s="136"/>
      <c r="M30" s="134"/>
      <c r="N30" s="136"/>
      <c r="O30" s="129"/>
      <c r="P30" s="129"/>
      <c r="Q30" s="130"/>
      <c r="R30" s="210">
        <f>SUM(F30:H30)</f>
        <v>158308.53143999999</v>
      </c>
      <c r="S30" s="131"/>
      <c r="T30" s="2"/>
    </row>
    <row r="31" spans="1:20" ht="15.75" x14ac:dyDescent="0.25">
      <c r="A31" s="115"/>
      <c r="B31" s="137" t="s">
        <v>110</v>
      </c>
      <c r="C31" s="138"/>
      <c r="D31" s="139"/>
      <c r="E31" s="139"/>
      <c r="F31" s="139">
        <v>0.95830320000000002</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0.96578430000000004</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3.2612500000000003E-2</v>
      </c>
      <c r="G34" s="146"/>
      <c r="H34" s="146">
        <v>3.76125E-2</v>
      </c>
      <c r="I34" s="146"/>
      <c r="J34" s="146"/>
      <c r="K34" s="146"/>
      <c r="L34" s="146"/>
      <c r="M34" s="145"/>
      <c r="N34" s="146"/>
      <c r="O34" s="126"/>
      <c r="P34" s="126"/>
      <c r="Q34" s="118"/>
      <c r="R34" s="145">
        <f>SUMPRODUCT(F34:H34,F29:H29)/R29</f>
        <v>3.3620072220313851E-2</v>
      </c>
      <c r="S34" s="119"/>
      <c r="T34" s="2"/>
    </row>
    <row r="35" spans="1:21" ht="15.75" x14ac:dyDescent="0.25">
      <c r="A35" s="115"/>
      <c r="B35" s="116" t="s">
        <v>12</v>
      </c>
      <c r="C35" s="147"/>
      <c r="D35" s="146"/>
      <c r="E35" s="146"/>
      <c r="F35" s="146">
        <v>3.28875E-2</v>
      </c>
      <c r="G35" s="146"/>
      <c r="H35" s="146">
        <v>3.7887499999999998E-2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0.25434096755384922</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41379</v>
      </c>
      <c r="S45" s="119"/>
      <c r="T45" s="2"/>
    </row>
    <row r="46" spans="1:21" ht="15.75" x14ac:dyDescent="0.25">
      <c r="A46" s="115"/>
      <c r="B46" s="116" t="s">
        <v>106</v>
      </c>
      <c r="C46" s="116"/>
      <c r="D46" s="153"/>
      <c r="E46" s="153"/>
      <c r="F46" s="153"/>
      <c r="G46" s="153"/>
      <c r="H46" s="153"/>
      <c r="I46" s="153"/>
      <c r="J46" s="153"/>
      <c r="K46" s="153"/>
      <c r="L46" s="153"/>
      <c r="M46" s="153"/>
      <c r="N46" s="116">
        <f>+R46-P46+1</f>
        <v>92</v>
      </c>
      <c r="O46" s="116"/>
      <c r="P46" s="154">
        <v>41197</v>
      </c>
      <c r="Q46" s="155"/>
      <c r="R46" s="154">
        <v>41288</v>
      </c>
      <c r="S46" s="119"/>
      <c r="T46" s="2"/>
    </row>
    <row r="47" spans="1:21" ht="15.75" x14ac:dyDescent="0.25">
      <c r="A47" s="115"/>
      <c r="B47" s="116" t="s">
        <v>107</v>
      </c>
      <c r="C47" s="116"/>
      <c r="D47" s="116"/>
      <c r="E47" s="116"/>
      <c r="F47" s="116"/>
      <c r="G47" s="116"/>
      <c r="H47" s="116"/>
      <c r="I47" s="116"/>
      <c r="J47" s="116"/>
      <c r="K47" s="116"/>
      <c r="L47" s="116"/>
      <c r="M47" s="116"/>
      <c r="N47" s="116">
        <f>+R47-P47+1</f>
        <v>90</v>
      </c>
      <c r="O47" s="116"/>
      <c r="P47" s="154">
        <v>41289</v>
      </c>
      <c r="Q47" s="155"/>
      <c r="R47" s="154">
        <v>41378</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41366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237</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159194</v>
      </c>
      <c r="I56" s="158"/>
      <c r="J56" s="159">
        <v>157</v>
      </c>
      <c r="K56" s="158"/>
      <c r="L56" s="158">
        <f>1281+3</f>
        <v>1284</v>
      </c>
      <c r="M56" s="158"/>
      <c r="N56" s="158">
        <f>82+14</f>
        <v>96</v>
      </c>
      <c r="O56" s="158"/>
      <c r="P56" s="158">
        <v>0</v>
      </c>
      <c r="Q56" s="158"/>
      <c r="R56" s="159">
        <f>H56-J56-L56+N56-P56</f>
        <v>157849</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159194</v>
      </c>
      <c r="I59" s="158"/>
      <c r="J59" s="158">
        <f>J56+J57</f>
        <v>157</v>
      </c>
      <c r="K59" s="158"/>
      <c r="L59" s="158">
        <f>SUM(L56:L58)</f>
        <v>1284</v>
      </c>
      <c r="M59" s="158"/>
      <c r="N59" s="158">
        <f>SUM(N56:N58)</f>
        <v>96</v>
      </c>
      <c r="O59" s="158"/>
      <c r="P59" s="158">
        <f>SUM(P56:P58)</f>
        <v>0</v>
      </c>
      <c r="Q59" s="158"/>
      <c r="R59" s="158">
        <f>SUM(R56:R58)</f>
        <v>157849</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100</v>
      </c>
      <c r="I70" s="158"/>
      <c r="J70" s="158">
        <v>0</v>
      </c>
      <c r="K70" s="158"/>
      <c r="L70" s="158"/>
      <c r="M70" s="158"/>
      <c r="N70" s="158"/>
      <c r="O70" s="158"/>
      <c r="P70" s="158"/>
      <c r="Q70" s="158"/>
      <c r="R70" s="158">
        <v>460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159294</v>
      </c>
      <c r="I72" s="158"/>
      <c r="J72" s="158"/>
      <c r="K72" s="158"/>
      <c r="L72" s="158"/>
      <c r="M72" s="158"/>
      <c r="N72" s="158"/>
      <c r="O72" s="158"/>
      <c r="P72" s="158"/>
      <c r="Q72" s="158"/>
      <c r="R72" s="158">
        <f>SUM(R59:R71)</f>
        <v>158309</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41361</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100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157+1284</f>
        <v>1441</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1922-160</f>
        <v>1762</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10</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8</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97</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1541</v>
      </c>
      <c r="Q88" s="116"/>
      <c r="R88" s="158">
        <f>SUM(R76:R87)</f>
        <v>1877</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1541</v>
      </c>
      <c r="Q91" s="116"/>
      <c r="R91" s="158">
        <f>R88+R89+R90</f>
        <v>1877</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-59-3</f>
        <v>-62</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-137</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-1023</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-298</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-59</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-17-209</f>
        <v>-226</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-58</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-14</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-82</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-985</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-1081</v>
      </c>
      <c r="Q114" s="158"/>
      <c r="R114" s="158">
        <f>SUM(R92:R113)</f>
        <v>-1877</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460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MARCH 2013</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1127.7440568000002</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3786.2559431999998</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157849</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460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158309</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158309</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+'Dec 12'!O172</f>
        <v>524</v>
      </c>
      <c r="P170" s="159">
        <f>+'Dec 12'!P172</f>
        <v>121</v>
      </c>
      <c r="Q170" s="116"/>
      <c r="R170" s="159">
        <f>O170+P170</f>
        <v>645</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82</v>
      </c>
      <c r="P171" s="158">
        <v>14</v>
      </c>
      <c r="Q171" s="116"/>
      <c r="R171" s="159">
        <f>O171+P171</f>
        <v>96</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606</v>
      </c>
      <c r="P172" s="159">
        <f>P171+P170</f>
        <v>135</v>
      </c>
      <c r="Q172" s="116"/>
      <c r="R172" s="159">
        <f>O172+P172</f>
        <v>741</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25467</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1.6314760508308896</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1.54</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2.151006711409396</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1.9</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MARCH 2013</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41361</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3.3620072220313851E-2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1.4149927779686149E-2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4.51125E-2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4.5749999999999999E-2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3.3620072220313851E-2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1.2129927779686148E-2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1.1783243562218288E-2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18.55</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9.0518486877646138E-3</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2.9399999999999999E-2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'Dec 12'!P210+P209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981</v>
      </c>
      <c r="O223" s="83">
        <f t="shared" ref="O223:O230" si="1">N223/$N$232</f>
        <v>0.99898167006109984</v>
      </c>
      <c r="P223" s="84">
        <f t="shared" ref="P223:P230" si="2">+P235+P247+P259</f>
        <v>157741</v>
      </c>
      <c r="Q223" s="83">
        <f t="shared" ref="Q223:Q230" si="3">P223/$P$232</f>
        <v>0.9993158018105911</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1</v>
      </c>
      <c r="O224" s="198">
        <f t="shared" si="1"/>
        <v>1.0183299389002036E-3</v>
      </c>
      <c r="P224" s="159">
        <f t="shared" si="2"/>
        <v>108</v>
      </c>
      <c r="Q224" s="198">
        <f t="shared" si="3"/>
        <v>6.8419818940886545E-4</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982</v>
      </c>
      <c r="O232" s="198">
        <f>SUM(O223:O231)</f>
        <v>1</v>
      </c>
      <c r="P232" s="159">
        <f>SUM(P223:P231)</f>
        <v>157849</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981</v>
      </c>
      <c r="O235" s="83">
        <f>N235/$N$244</f>
        <v>0.99898167006109984</v>
      </c>
      <c r="P235" s="84">
        <v>157741</v>
      </c>
      <c r="Q235" s="83">
        <f t="shared" ref="Q235:Q242" si="4">P235/$P$244</f>
        <v>0.9993158018105911</v>
      </c>
      <c r="R235" s="96"/>
      <c r="S235" s="97"/>
      <c r="T235" s="2"/>
    </row>
    <row r="236" spans="1:21" ht="15.75" x14ac:dyDescent="0.25">
      <c r="A236" s="115"/>
      <c r="B236" s="158" t="s">
        <v>77</v>
      </c>
      <c r="C236" s="197"/>
      <c r="D236" s="197"/>
      <c r="E236" s="197"/>
      <c r="F236" s="197"/>
      <c r="G236" s="197"/>
      <c r="H236" s="197"/>
      <c r="I236" s="197"/>
      <c r="J236" s="197"/>
      <c r="K236" s="197"/>
      <c r="L236" s="197"/>
      <c r="M236" s="197"/>
      <c r="N236" s="158">
        <v>1</v>
      </c>
      <c r="O236" s="198">
        <f t="shared" ref="O236:O242" si="5">N236/$N$244</f>
        <v>1.0183299389002036E-3</v>
      </c>
      <c r="P236" s="159">
        <v>108</v>
      </c>
      <c r="Q236" s="198">
        <f t="shared" si="4"/>
        <v>6.8419818940886545E-4</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982</v>
      </c>
      <c r="O244" s="198">
        <f>SUM(O235:O243)</f>
        <v>1</v>
      </c>
      <c r="P244" s="159">
        <f>SUM(P235:P243)</f>
        <v>157849</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982</v>
      </c>
      <c r="O270" s="198"/>
      <c r="P270" s="203">
        <f>+P268+P256+P244</f>
        <v>157849</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460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158309</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158309</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0.20276860449663206</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90" t="s">
        <v>80</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90" t="s">
        <v>162</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90" t="s">
        <v>81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MARCH 2013</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85"/>
  <sheetViews>
    <sheetView showGridLines="0" showOutlineSymbols="0" topLeftCell="A64"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41474</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126208.53144000001</v>
      </c>
      <c r="G29" s="208"/>
      <c r="H29" s="208">
        <f>H28</f>
        <v>32100</v>
      </c>
      <c r="I29" s="129"/>
      <c r="J29" s="133"/>
      <c r="K29" s="129"/>
      <c r="L29" s="133"/>
      <c r="M29" s="129"/>
      <c r="N29" s="133"/>
      <c r="O29" s="129"/>
      <c r="P29" s="129"/>
      <c r="Q29" s="130"/>
      <c r="R29" s="129">
        <f>SUM(F29:H29)</f>
        <v>158308.53143999999</v>
      </c>
      <c r="S29" s="131"/>
      <c r="T29" s="2"/>
    </row>
    <row r="30" spans="1:20" ht="15.75" x14ac:dyDescent="0.25">
      <c r="A30" s="125"/>
      <c r="B30" s="124" t="s">
        <v>114</v>
      </c>
      <c r="C30" s="128"/>
      <c r="D30" s="136"/>
      <c r="E30" s="136"/>
      <c r="F30" s="209">
        <f>F31*F28</f>
        <v>120478.72539000001</v>
      </c>
      <c r="G30" s="209"/>
      <c r="H30" s="209">
        <f>H31*H28</f>
        <v>32100</v>
      </c>
      <c r="I30" s="134"/>
      <c r="J30" s="136"/>
      <c r="K30" s="134"/>
      <c r="L30" s="136"/>
      <c r="M30" s="134"/>
      <c r="N30" s="136"/>
      <c r="O30" s="129"/>
      <c r="P30" s="129"/>
      <c r="Q30" s="130"/>
      <c r="R30" s="210">
        <f>SUM(F30:H30)</f>
        <v>152578.72539000001</v>
      </c>
      <c r="S30" s="131"/>
      <c r="T30" s="2"/>
    </row>
    <row r="31" spans="1:20" ht="15.75" x14ac:dyDescent="0.25">
      <c r="A31" s="115"/>
      <c r="B31" s="137" t="s">
        <v>110</v>
      </c>
      <c r="C31" s="138"/>
      <c r="D31" s="139"/>
      <c r="E31" s="139"/>
      <c r="F31" s="139">
        <v>0.91479670000000002</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0.95830320000000002</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3.2556300000000003E-2</v>
      </c>
      <c r="G34" s="146"/>
      <c r="H34" s="146">
        <v>3.7556300000000001E-2</v>
      </c>
      <c r="I34" s="146"/>
      <c r="J34" s="146"/>
      <c r="K34" s="146"/>
      <c r="L34" s="146"/>
      <c r="M34" s="145"/>
      <c r="N34" s="146"/>
      <c r="O34" s="126"/>
      <c r="P34" s="126"/>
      <c r="Q34" s="118"/>
      <c r="R34" s="145">
        <f>SUMPRODUCT(F34:H34,F29:H29)/R29</f>
        <v>3.3570143022483165E-2</v>
      </c>
      <c r="S34" s="119"/>
      <c r="T34" s="2"/>
    </row>
    <row r="35" spans="1:21" ht="15.75" x14ac:dyDescent="0.25">
      <c r="A35" s="115"/>
      <c r="B35" s="116" t="s">
        <v>12</v>
      </c>
      <c r="C35" s="147"/>
      <c r="D35" s="146"/>
      <c r="E35" s="146"/>
      <c r="F35" s="146">
        <v>3.2612500000000003E-2</v>
      </c>
      <c r="G35" s="146"/>
      <c r="H35" s="146">
        <v>3.76125E-2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0.26643708170126745</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41470</v>
      </c>
      <c r="S45" s="119"/>
      <c r="T45" s="2"/>
    </row>
    <row r="46" spans="1:21" ht="15.75" x14ac:dyDescent="0.25">
      <c r="A46" s="115"/>
      <c r="B46" s="116" t="s">
        <v>106</v>
      </c>
      <c r="C46" s="116"/>
      <c r="D46" s="153"/>
      <c r="E46" s="153"/>
      <c r="F46" s="153"/>
      <c r="G46" s="153"/>
      <c r="H46" s="153"/>
      <c r="I46" s="153"/>
      <c r="J46" s="153"/>
      <c r="K46" s="153"/>
      <c r="L46" s="153"/>
      <c r="M46" s="153"/>
      <c r="N46" s="116">
        <f>+R46-P46+1</f>
        <v>90</v>
      </c>
      <c r="O46" s="116"/>
      <c r="P46" s="154">
        <v>41289</v>
      </c>
      <c r="Q46" s="155"/>
      <c r="R46" s="154">
        <v>41378</v>
      </c>
      <c r="S46" s="119"/>
      <c r="T46" s="2"/>
    </row>
    <row r="47" spans="1:21" ht="15.75" x14ac:dyDescent="0.25">
      <c r="A47" s="115"/>
      <c r="B47" s="116" t="s">
        <v>107</v>
      </c>
      <c r="C47" s="116"/>
      <c r="D47" s="116"/>
      <c r="E47" s="116"/>
      <c r="F47" s="116"/>
      <c r="G47" s="116"/>
      <c r="H47" s="116"/>
      <c r="I47" s="116"/>
      <c r="J47" s="116"/>
      <c r="K47" s="116"/>
      <c r="L47" s="116"/>
      <c r="M47" s="116"/>
      <c r="N47" s="116">
        <f>+R47-P47+1</f>
        <v>91</v>
      </c>
      <c r="O47" s="116"/>
      <c r="P47" s="154">
        <v>41379</v>
      </c>
      <c r="Q47" s="155"/>
      <c r="R47" s="154">
        <v>41469</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41456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238</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157849</v>
      </c>
      <c r="I56" s="158"/>
      <c r="J56" s="159">
        <v>156</v>
      </c>
      <c r="K56" s="158"/>
      <c r="L56" s="158">
        <f>5603+19</f>
        <v>5622</v>
      </c>
      <c r="M56" s="158"/>
      <c r="N56" s="158">
        <v>8</v>
      </c>
      <c r="O56" s="158"/>
      <c r="P56" s="158">
        <v>0</v>
      </c>
      <c r="Q56" s="158"/>
      <c r="R56" s="159">
        <f>H56-J56-L56+N56-P56</f>
        <v>152079</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157849</v>
      </c>
      <c r="I59" s="158"/>
      <c r="J59" s="158">
        <f>J56+J57</f>
        <v>156</v>
      </c>
      <c r="K59" s="158"/>
      <c r="L59" s="158">
        <f>SUM(L56:L58)</f>
        <v>5622</v>
      </c>
      <c r="M59" s="158"/>
      <c r="N59" s="158">
        <f>SUM(N56:N58)</f>
        <v>8</v>
      </c>
      <c r="O59" s="158"/>
      <c r="P59" s="158">
        <f>SUM(P56:P58)</f>
        <v>0</v>
      </c>
      <c r="Q59" s="158"/>
      <c r="R59" s="158">
        <f>SUM(R56:R58)</f>
        <v>152079</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460</v>
      </c>
      <c r="I70" s="158"/>
      <c r="J70" s="158">
        <v>0</v>
      </c>
      <c r="K70" s="158"/>
      <c r="L70" s="158"/>
      <c r="M70" s="158"/>
      <c r="N70" s="158"/>
      <c r="O70" s="158"/>
      <c r="P70" s="158"/>
      <c r="Q70" s="158"/>
      <c r="R70" s="158">
        <v>500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158309</v>
      </c>
      <c r="I72" s="158"/>
      <c r="J72" s="158"/>
      <c r="K72" s="158"/>
      <c r="L72" s="158"/>
      <c r="M72" s="158"/>
      <c r="N72" s="158"/>
      <c r="O72" s="158"/>
      <c r="P72" s="158"/>
      <c r="Q72" s="158"/>
      <c r="R72" s="158">
        <f>SUM(R59:R71)</f>
        <v>152579</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41453</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460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156+5622</f>
        <v>5778</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2002-175</f>
        <v>1827</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27</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8</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6238</v>
      </c>
      <c r="Q88" s="116"/>
      <c r="R88" s="158">
        <f>SUM(R76:R87)</f>
        <v>1862</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6238</v>
      </c>
      <c r="Q91" s="116"/>
      <c r="R91" s="158">
        <f>R88+R89+R90</f>
        <v>1862</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-59-3</f>
        <v>-62</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-94</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-1024</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-301</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-59</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-15-209</f>
        <v>-224</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-84</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-8</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0</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-5730</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-5738</v>
      </c>
      <c r="Q114" s="158"/>
      <c r="R114" s="158">
        <f>SUM(R92:R113)</f>
        <v>-1862</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500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JUNE 2013</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1299.6382383</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3614.3617617</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152079</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500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152579</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152579</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+'March 13'!O172</f>
        <v>606</v>
      </c>
      <c r="P170" s="159">
        <f>+'March 13'!P172</f>
        <v>135</v>
      </c>
      <c r="Q170" s="116"/>
      <c r="R170" s="159">
        <f>O170+P170</f>
        <v>741</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0</v>
      </c>
      <c r="P171" s="158">
        <v>8</v>
      </c>
      <c r="Q171" s="116"/>
      <c r="R171" s="159">
        <f>O171+P171</f>
        <v>8</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606</v>
      </c>
      <c r="P172" s="159">
        <f>P171+P170</f>
        <v>143</v>
      </c>
      <c r="Q172" s="116"/>
      <c r="R172" s="159">
        <f>O172+P172</f>
        <v>749</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25459</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1.6572265625</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1.55</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2.2192691029900331</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1.94</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JUNE 2013</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41453</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3.3570143022483165E-2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1.4199856977516835E-2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4.5056300000000001E-2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4.7710000000000002E-2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3.3570143022483165E-2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1.4139856977516838E-2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1.1761807604116001E-2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18.329999999999998</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3.6604603133374304E-2</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4.65E-2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'March 13'!P210+P209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955</v>
      </c>
      <c r="O223" s="83">
        <f t="shared" ref="O223:O230" si="1">N223/$N$232</f>
        <v>0.9989539748953975</v>
      </c>
      <c r="P223" s="84">
        <f t="shared" ref="P223:P230" si="2">+P235+P247+P259</f>
        <v>151971</v>
      </c>
      <c r="Q223" s="83">
        <f t="shared" ref="Q223:Q230" si="3">P223/$P$232</f>
        <v>0.99928984277908195</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1</v>
      </c>
      <c r="O224" s="198">
        <f t="shared" si="1"/>
        <v>1.0460251046025104E-3</v>
      </c>
      <c r="P224" s="159">
        <f t="shared" si="2"/>
        <v>108</v>
      </c>
      <c r="Q224" s="198">
        <f t="shared" si="3"/>
        <v>7.101572209180755E-4</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956</v>
      </c>
      <c r="O232" s="198">
        <f>SUM(O223:O231)</f>
        <v>1</v>
      </c>
      <c r="P232" s="159">
        <f>SUM(P223:P231)</f>
        <v>152079</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955</v>
      </c>
      <c r="O235" s="83">
        <f>N235/$N$244</f>
        <v>0.9989539748953975</v>
      </c>
      <c r="P235" s="84">
        <v>151971</v>
      </c>
      <c r="Q235" s="83">
        <f t="shared" ref="Q235:Q242" si="4">P235/$P$244</f>
        <v>0.99928984277908195</v>
      </c>
      <c r="R235" s="96"/>
      <c r="S235" s="97"/>
      <c r="T235" s="2"/>
    </row>
    <row r="236" spans="1:21" ht="15.75" x14ac:dyDescent="0.25">
      <c r="A236" s="115"/>
      <c r="B236" s="158" t="s">
        <v>77</v>
      </c>
      <c r="C236" s="197"/>
      <c r="D236" s="197"/>
      <c r="E236" s="197"/>
      <c r="F236" s="197"/>
      <c r="G236" s="197"/>
      <c r="H236" s="197"/>
      <c r="I236" s="197"/>
      <c r="J236" s="197"/>
      <c r="K236" s="197"/>
      <c r="L236" s="197"/>
      <c r="M236" s="197"/>
      <c r="N236" s="158">
        <v>1</v>
      </c>
      <c r="O236" s="198">
        <f t="shared" ref="O236:O242" si="5">N236/$N$244</f>
        <v>1.0460251046025104E-3</v>
      </c>
      <c r="P236" s="159">
        <v>108</v>
      </c>
      <c r="Q236" s="198">
        <f t="shared" si="4"/>
        <v>7.101572209180755E-4</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956</v>
      </c>
      <c r="O244" s="198">
        <f>SUM(O235:O243)</f>
        <v>1</v>
      </c>
      <c r="P244" s="159">
        <f>SUM(P235:P243)</f>
        <v>152079</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956</v>
      </c>
      <c r="O270" s="198"/>
      <c r="P270" s="203">
        <f>+P268+P256+P244</f>
        <v>152079</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500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152579</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152579</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0.2103831967264804</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219" t="s">
        <v>239</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219" t="s">
        <v>240</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219" t="s">
        <v>241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JUNE 2013</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85"/>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220">
        <v>41565</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120478.72539000001</v>
      </c>
      <c r="G29" s="208"/>
      <c r="H29" s="208">
        <f>H28</f>
        <v>32100</v>
      </c>
      <c r="I29" s="129"/>
      <c r="J29" s="133"/>
      <c r="K29" s="129"/>
      <c r="L29" s="133"/>
      <c r="M29" s="129"/>
      <c r="N29" s="133"/>
      <c r="O29" s="129"/>
      <c r="P29" s="129"/>
      <c r="Q29" s="130"/>
      <c r="R29" s="129">
        <f>SUM(F29:H29)</f>
        <v>152578.72539000001</v>
      </c>
      <c r="S29" s="131"/>
      <c r="T29" s="2"/>
    </row>
    <row r="30" spans="1:20" ht="15.75" x14ac:dyDescent="0.25">
      <c r="A30" s="125"/>
      <c r="B30" s="124" t="s">
        <v>114</v>
      </c>
      <c r="C30" s="128"/>
      <c r="D30" s="136"/>
      <c r="E30" s="136"/>
      <c r="F30" s="209">
        <f>F31*F28</f>
        <v>109367.98659</v>
      </c>
      <c r="G30" s="209"/>
      <c r="H30" s="209">
        <f>H31*H28</f>
        <v>32100</v>
      </c>
      <c r="I30" s="134"/>
      <c r="J30" s="136"/>
      <c r="K30" s="134"/>
      <c r="L30" s="136"/>
      <c r="M30" s="134"/>
      <c r="N30" s="136"/>
      <c r="O30" s="129"/>
      <c r="P30" s="129"/>
      <c r="Q30" s="130"/>
      <c r="R30" s="210">
        <f>SUM(F30:H30)</f>
        <v>141467.98658999999</v>
      </c>
      <c r="S30" s="131"/>
      <c r="T30" s="2"/>
    </row>
    <row r="31" spans="1:20" ht="15.75" x14ac:dyDescent="0.25">
      <c r="A31" s="115"/>
      <c r="B31" s="137" t="s">
        <v>110</v>
      </c>
      <c r="C31" s="138"/>
      <c r="D31" s="139"/>
      <c r="E31" s="139"/>
      <c r="F31" s="139">
        <v>0.83043270000000002</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0.91479670000000002</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3.2593799999999999E-2</v>
      </c>
      <c r="G34" s="146"/>
      <c r="H34" s="146">
        <v>3.7593799999999997E-2</v>
      </c>
      <c r="I34" s="146"/>
      <c r="J34" s="146"/>
      <c r="K34" s="146"/>
      <c r="L34" s="146"/>
      <c r="M34" s="145"/>
      <c r="N34" s="146"/>
      <c r="O34" s="126"/>
      <c r="P34" s="126"/>
      <c r="Q34" s="118"/>
      <c r="R34" s="145">
        <f>SUMPRODUCT(F34:H34,F29:H29)/R29</f>
        <v>3.3645715983632397E-2</v>
      </c>
      <c r="S34" s="119"/>
      <c r="T34" s="2"/>
    </row>
    <row r="35" spans="1:21" ht="15.75" x14ac:dyDescent="0.25">
      <c r="A35" s="115"/>
      <c r="B35" s="116" t="s">
        <v>12</v>
      </c>
      <c r="C35" s="147"/>
      <c r="D35" s="146"/>
      <c r="E35" s="146"/>
      <c r="F35" s="146">
        <v>3.2556300000000003E-2</v>
      </c>
      <c r="G35" s="146"/>
      <c r="H35" s="146">
        <v>3.7556300000000001E-2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0.2935045345612593</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41562</v>
      </c>
      <c r="S45" s="119"/>
      <c r="T45" s="2"/>
    </row>
    <row r="46" spans="1:21" ht="15.75" x14ac:dyDescent="0.25">
      <c r="A46" s="115"/>
      <c r="B46" s="116" t="s">
        <v>106</v>
      </c>
      <c r="C46" s="116"/>
      <c r="D46" s="153"/>
      <c r="E46" s="153"/>
      <c r="F46" s="153"/>
      <c r="G46" s="153"/>
      <c r="H46" s="153"/>
      <c r="I46" s="153"/>
      <c r="J46" s="153"/>
      <c r="K46" s="153"/>
      <c r="L46" s="153"/>
      <c r="M46" s="153"/>
      <c r="N46" s="116">
        <f>+R46-P46+1</f>
        <v>91</v>
      </c>
      <c r="O46" s="116"/>
      <c r="P46" s="154">
        <v>41379</v>
      </c>
      <c r="Q46" s="155"/>
      <c r="R46" s="154">
        <v>41469</v>
      </c>
      <c r="S46" s="119"/>
      <c r="T46" s="2"/>
    </row>
    <row r="47" spans="1:21" ht="15.75" x14ac:dyDescent="0.25">
      <c r="A47" s="115"/>
      <c r="B47" s="116" t="s">
        <v>107</v>
      </c>
      <c r="C47" s="116"/>
      <c r="D47" s="116"/>
      <c r="E47" s="116"/>
      <c r="F47" s="116"/>
      <c r="G47" s="116"/>
      <c r="H47" s="116"/>
      <c r="I47" s="116"/>
      <c r="J47" s="116"/>
      <c r="K47" s="116"/>
      <c r="L47" s="116"/>
      <c r="M47" s="116"/>
      <c r="N47" s="116">
        <f>+R47-P47+1</f>
        <v>92</v>
      </c>
      <c r="O47" s="116"/>
      <c r="P47" s="154">
        <v>41470</v>
      </c>
      <c r="Q47" s="155"/>
      <c r="R47" s="154">
        <v>41561</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41548</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242</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152079</v>
      </c>
      <c r="I56" s="158"/>
      <c r="J56" s="159">
        <v>148</v>
      </c>
      <c r="K56" s="158"/>
      <c r="L56" s="158">
        <f>10742+196</f>
        <v>10938</v>
      </c>
      <c r="M56" s="158"/>
      <c r="N56" s="158">
        <f>375</f>
        <v>375</v>
      </c>
      <c r="O56" s="158"/>
      <c r="P56" s="158">
        <v>0</v>
      </c>
      <c r="Q56" s="158"/>
      <c r="R56" s="159">
        <f>H56-J56-L56+N56-P56</f>
        <v>141368</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152079</v>
      </c>
      <c r="I59" s="158"/>
      <c r="J59" s="158">
        <f>J56+J57</f>
        <v>148</v>
      </c>
      <c r="K59" s="158"/>
      <c r="L59" s="158">
        <f>SUM(L56:L58)</f>
        <v>10938</v>
      </c>
      <c r="M59" s="158"/>
      <c r="N59" s="158">
        <f>SUM(N56:N58)</f>
        <v>375</v>
      </c>
      <c r="O59" s="158"/>
      <c r="P59" s="158">
        <f>SUM(P56:P58)</f>
        <v>0</v>
      </c>
      <c r="Q59" s="158"/>
      <c r="R59" s="158">
        <f>SUM(R56:R58)</f>
        <v>141368</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500</v>
      </c>
      <c r="I70" s="158"/>
      <c r="J70" s="158">
        <v>-400</v>
      </c>
      <c r="K70" s="158"/>
      <c r="L70" s="158"/>
      <c r="M70" s="158"/>
      <c r="N70" s="158"/>
      <c r="O70" s="158"/>
      <c r="P70" s="158"/>
      <c r="Q70" s="158"/>
      <c r="R70" s="158">
        <f>+H70+J70</f>
        <v>100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152579</v>
      </c>
      <c r="I72" s="158"/>
      <c r="J72" s="158"/>
      <c r="K72" s="158"/>
      <c r="L72" s="158"/>
      <c r="M72" s="158"/>
      <c r="N72" s="158"/>
      <c r="O72" s="158"/>
      <c r="P72" s="158"/>
      <c r="Q72" s="158"/>
      <c r="R72" s="158">
        <f>SUM(R59:R71)</f>
        <v>141468</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41547</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500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148+10938</f>
        <v>11086</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2176-344</f>
        <v>1832</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38</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11</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11586</v>
      </c>
      <c r="Q88" s="116"/>
      <c r="R88" s="158">
        <f>SUM(R76:R87)</f>
        <v>1881</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11586</v>
      </c>
      <c r="Q91" s="116"/>
      <c r="R91" s="158">
        <f>R88+R89+R90</f>
        <v>1881</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-58-3</f>
        <v>-61</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-23</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-990</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-304</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-57</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-13-209</f>
        <v>-222</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-210</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-32</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-343</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-11111</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-11486</v>
      </c>
      <c r="Q114" s="158"/>
      <c r="R114" s="158">
        <f>SUM(R92:R113)</f>
        <v>-1881</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100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SEPTEMBER 2013</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1632.9604023000002</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3281.0395976999998</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141368</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100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141468</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141468</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+'June 13'!O172</f>
        <v>606</v>
      </c>
      <c r="P170" s="159">
        <f>+'June 13'!P172</f>
        <v>143</v>
      </c>
      <c r="Q170" s="116"/>
      <c r="R170" s="159">
        <f>O170+P170</f>
        <v>749</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343</v>
      </c>
      <c r="P171" s="158">
        <v>32</v>
      </c>
      <c r="Q171" s="116"/>
      <c r="R171" s="159">
        <f>O171+P171</f>
        <v>375</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949</v>
      </c>
      <c r="P172" s="159">
        <f>P171+P170</f>
        <v>175</v>
      </c>
      <c r="Q172" s="116"/>
      <c r="R172" s="159">
        <f>O172+P172</f>
        <v>1124</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25084</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1.8060606060606061</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1.58</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2.6085526315789473</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2.0299999999999998</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SEPTEMBER 2013</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41547</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3.3645715983632397E-2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1.4124284016367603E-2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4.5093800000000003E-2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5.0599999999999999E-2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3.3645715983632397E-2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1.6954284016367602E-2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1.2328039900641635E-2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18.04</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7.289632362127578E-2</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7.7399999999999997E-2</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'June 13'!P210+P209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895</v>
      </c>
      <c r="O223" s="83">
        <f t="shared" ref="O223:O230" si="1">N223/$N$232</f>
        <v>0.9988839285714286</v>
      </c>
      <c r="P223" s="84">
        <f t="shared" ref="P223:P230" si="2">+P235+P247+P259</f>
        <v>141260</v>
      </c>
      <c r="Q223" s="83">
        <f t="shared" ref="Q223:Q230" si="3">P223/$P$232</f>
        <v>0.99923603644389114</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1</v>
      </c>
      <c r="O224" s="198">
        <f t="shared" si="1"/>
        <v>1.1160714285714285E-3</v>
      </c>
      <c r="P224" s="159">
        <f t="shared" si="2"/>
        <v>108</v>
      </c>
      <c r="Q224" s="198">
        <f t="shared" si="3"/>
        <v>7.6396355610887899E-4</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896</v>
      </c>
      <c r="O232" s="198">
        <f>SUM(O223:O231)</f>
        <v>1</v>
      </c>
      <c r="P232" s="159">
        <f>SUM(P223:P231)</f>
        <v>141368</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895</v>
      </c>
      <c r="O235" s="83">
        <f>N235/$N$244</f>
        <v>0.9988839285714286</v>
      </c>
      <c r="P235" s="84">
        <v>141260</v>
      </c>
      <c r="Q235" s="83">
        <f t="shared" ref="Q235:Q242" si="4">P235/$P$244</f>
        <v>0.99923603644389114</v>
      </c>
      <c r="R235" s="96"/>
      <c r="S235" s="97"/>
      <c r="T235" s="2"/>
    </row>
    <row r="236" spans="1:21" ht="15.75" x14ac:dyDescent="0.25">
      <c r="A236" s="115"/>
      <c r="B236" s="158" t="s">
        <v>77</v>
      </c>
      <c r="C236" s="197"/>
      <c r="D236" s="197"/>
      <c r="E236" s="197"/>
      <c r="F236" s="197"/>
      <c r="G236" s="197"/>
      <c r="H236" s="197"/>
      <c r="I236" s="197"/>
      <c r="J236" s="197"/>
      <c r="K236" s="197"/>
      <c r="L236" s="197"/>
      <c r="M236" s="197"/>
      <c r="N236" s="158">
        <v>1</v>
      </c>
      <c r="O236" s="198">
        <f t="shared" ref="O236:O242" si="5">N236/$N$244</f>
        <v>1.1160714285714285E-3</v>
      </c>
      <c r="P236" s="159">
        <v>108</v>
      </c>
      <c r="Q236" s="198">
        <f t="shared" si="4"/>
        <v>7.6396355610887899E-4</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896</v>
      </c>
      <c r="O244" s="198">
        <f>SUM(O235:O243)</f>
        <v>1</v>
      </c>
      <c r="P244" s="159">
        <f>SUM(P235:P243)</f>
        <v>141368</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896</v>
      </c>
      <c r="O270" s="198"/>
      <c r="P270" s="203">
        <f>+P268+P256+P244</f>
        <v>141368</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100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141468</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141468</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0.22690645971396803</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219" t="s">
        <v>239</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219" t="s">
        <v>240</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219" t="s">
        <v>241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SEPTEMBER 2013</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IR285"/>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168</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205</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116</v>
      </c>
      <c r="C5" s="14"/>
      <c r="D5" s="14"/>
      <c r="E5" s="14"/>
      <c r="F5" s="14"/>
      <c r="G5" s="14"/>
      <c r="H5" s="14"/>
      <c r="I5" s="14"/>
      <c r="J5" s="14"/>
      <c r="K5" s="14"/>
      <c r="L5" s="14"/>
      <c r="M5" s="14"/>
      <c r="N5" s="14"/>
      <c r="O5" s="14"/>
      <c r="P5" s="14"/>
      <c r="Q5" s="14"/>
      <c r="R5" s="14"/>
      <c r="S5" s="14"/>
      <c r="T5" s="2"/>
    </row>
    <row r="6" spans="1:20" ht="15.75" x14ac:dyDescent="0.25">
      <c r="A6" s="12"/>
      <c r="B6" s="105" t="s">
        <v>118</v>
      </c>
      <c r="C6" s="14"/>
      <c r="D6" s="14"/>
      <c r="E6" s="14"/>
      <c r="F6" s="14"/>
      <c r="G6" s="14"/>
      <c r="H6" s="14"/>
      <c r="I6" s="14"/>
      <c r="J6" s="14"/>
      <c r="K6" s="14"/>
      <c r="L6" s="14"/>
      <c r="M6" s="14"/>
      <c r="N6" s="14"/>
      <c r="O6" s="14"/>
      <c r="P6" s="14"/>
      <c r="Q6" s="14"/>
      <c r="R6" s="14"/>
      <c r="S6" s="14"/>
      <c r="T6" s="2"/>
    </row>
    <row r="7" spans="1:20" ht="15.75" x14ac:dyDescent="0.25">
      <c r="A7" s="12"/>
      <c r="B7" s="105" t="s">
        <v>117</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137</v>
      </c>
      <c r="C9" s="14"/>
      <c r="D9" s="14"/>
      <c r="E9" s="19"/>
      <c r="F9" s="14"/>
      <c r="G9" s="14"/>
      <c r="H9" s="19"/>
      <c r="I9" s="14"/>
      <c r="J9" s="19"/>
      <c r="K9" s="19" t="s">
        <v>138</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169</v>
      </c>
      <c r="S14" s="86"/>
      <c r="T14" s="2"/>
    </row>
    <row r="15" spans="1:20" ht="15.75" x14ac:dyDescent="0.25">
      <c r="A15" s="12"/>
      <c r="B15" s="90" t="s">
        <v>2</v>
      </c>
      <c r="C15" s="86"/>
      <c r="D15" s="107"/>
      <c r="E15" s="107"/>
      <c r="F15" s="107"/>
      <c r="G15" s="107"/>
      <c r="H15" s="107"/>
      <c r="I15" s="107"/>
      <c r="J15" s="107"/>
      <c r="K15" s="107"/>
      <c r="L15" s="107"/>
      <c r="M15" s="107"/>
      <c r="N15" s="107"/>
      <c r="O15" s="108" t="s">
        <v>185</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185</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40857</v>
      </c>
      <c r="S17" s="86"/>
      <c r="T17" s="2"/>
    </row>
    <row r="18" spans="1:20" ht="15.75" x14ac:dyDescent="0.25">
      <c r="A18" s="12"/>
      <c r="B18" s="90" t="s">
        <v>5</v>
      </c>
      <c r="C18" s="86"/>
      <c r="D18" s="86"/>
      <c r="E18" s="86"/>
      <c r="F18" s="86"/>
      <c r="G18" s="86"/>
      <c r="H18" s="86"/>
      <c r="I18" s="86"/>
      <c r="J18" s="86"/>
      <c r="K18" s="86"/>
      <c r="L18" s="86"/>
      <c r="M18" s="86"/>
      <c r="N18" s="86"/>
      <c r="O18" s="86"/>
      <c r="P18" s="86"/>
      <c r="Q18" s="86"/>
      <c r="R18" s="220">
        <v>41661</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91</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c r="E22" s="57"/>
      <c r="F22" s="57" t="s">
        <v>170</v>
      </c>
      <c r="G22" s="57"/>
      <c r="H22" s="57" t="s">
        <v>171</v>
      </c>
      <c r="I22" s="57"/>
      <c r="J22" s="57"/>
      <c r="K22" s="57"/>
      <c r="L22" s="57"/>
      <c r="M22" s="57"/>
      <c r="N22" s="57"/>
      <c r="O22" s="58"/>
      <c r="P22" s="59"/>
      <c r="Q22" s="60"/>
      <c r="R22" s="60"/>
      <c r="S22" s="56"/>
      <c r="T22" s="2"/>
    </row>
    <row r="23" spans="1:20" ht="15.75" x14ac:dyDescent="0.25">
      <c r="A23" s="24"/>
      <c r="B23" s="81" t="s">
        <v>7</v>
      </c>
      <c r="C23" s="112"/>
      <c r="D23" s="112"/>
      <c r="E23" s="112"/>
      <c r="F23" s="112" t="s">
        <v>119</v>
      </c>
      <c r="G23" s="112"/>
      <c r="H23" s="112" t="s">
        <v>182</v>
      </c>
      <c r="I23" s="112"/>
      <c r="J23" s="112"/>
      <c r="K23" s="112"/>
      <c r="L23" s="112"/>
      <c r="M23" s="112"/>
      <c r="N23" s="112"/>
      <c r="O23" s="112"/>
      <c r="P23" s="112"/>
      <c r="Q23" s="103"/>
      <c r="R23" s="103"/>
      <c r="S23" s="81"/>
      <c r="T23" s="2"/>
    </row>
    <row r="24" spans="1:20" ht="15.75" x14ac:dyDescent="0.25">
      <c r="A24" s="120"/>
      <c r="B24" s="121" t="s">
        <v>141</v>
      </c>
      <c r="C24" s="122"/>
      <c r="D24" s="117"/>
      <c r="E24" s="117"/>
      <c r="F24" s="117" t="s">
        <v>120</v>
      </c>
      <c r="G24" s="117"/>
      <c r="H24" s="117" t="s">
        <v>182</v>
      </c>
      <c r="I24" s="117"/>
      <c r="J24" s="117"/>
      <c r="K24" s="117"/>
      <c r="L24" s="117"/>
      <c r="M24" s="117"/>
      <c r="N24" s="117"/>
      <c r="O24" s="122"/>
      <c r="P24" s="117"/>
      <c r="Q24" s="118"/>
      <c r="R24" s="118"/>
      <c r="S24" s="119"/>
      <c r="T24" s="2"/>
    </row>
    <row r="25" spans="1:20" ht="15.75" x14ac:dyDescent="0.25">
      <c r="A25" s="123"/>
      <c r="B25" s="124" t="s">
        <v>8</v>
      </c>
      <c r="C25" s="122"/>
      <c r="D25" s="122"/>
      <c r="E25" s="122"/>
      <c r="F25" s="122" t="s">
        <v>119</v>
      </c>
      <c r="G25" s="122"/>
      <c r="H25" s="122" t="s">
        <v>182</v>
      </c>
      <c r="I25" s="122"/>
      <c r="J25" s="122"/>
      <c r="K25" s="122"/>
      <c r="L25" s="122"/>
      <c r="M25" s="122"/>
      <c r="N25" s="122"/>
      <c r="O25" s="122"/>
      <c r="P25" s="117"/>
      <c r="Q25" s="118"/>
      <c r="R25" s="118"/>
      <c r="S25" s="119"/>
      <c r="T25" s="2"/>
    </row>
    <row r="26" spans="1:20" ht="15.75" x14ac:dyDescent="0.25">
      <c r="A26" s="125"/>
      <c r="B26" s="127" t="s">
        <v>142</v>
      </c>
      <c r="C26" s="117"/>
      <c r="D26" s="122"/>
      <c r="E26" s="122"/>
      <c r="F26" s="122" t="s">
        <v>120</v>
      </c>
      <c r="G26" s="122"/>
      <c r="H26" s="122" t="s">
        <v>182</v>
      </c>
      <c r="I26" s="122"/>
      <c r="J26" s="122"/>
      <c r="K26" s="122"/>
      <c r="L26" s="122"/>
      <c r="M26" s="122"/>
      <c r="N26" s="122"/>
      <c r="O26" s="117"/>
      <c r="P26" s="126"/>
      <c r="Q26" s="118"/>
      <c r="R26" s="118"/>
      <c r="S26" s="119"/>
      <c r="T26" s="2"/>
    </row>
    <row r="27" spans="1:20" ht="15.75" x14ac:dyDescent="0.25">
      <c r="A27" s="125"/>
      <c r="B27" s="116" t="s">
        <v>9</v>
      </c>
      <c r="C27" s="128"/>
      <c r="D27" s="117"/>
      <c r="E27" s="117"/>
      <c r="F27" s="117" t="s">
        <v>177</v>
      </c>
      <c r="G27" s="117"/>
      <c r="H27" s="117" t="s">
        <v>178</v>
      </c>
      <c r="I27" s="117"/>
      <c r="J27" s="117"/>
      <c r="K27" s="117"/>
      <c r="L27" s="117"/>
      <c r="M27" s="117"/>
      <c r="N27" s="117"/>
      <c r="O27" s="129"/>
      <c r="P27" s="129"/>
      <c r="Q27" s="130"/>
      <c r="R27" s="129"/>
      <c r="S27" s="131"/>
      <c r="T27" s="2"/>
    </row>
    <row r="28" spans="1:20" ht="15.75" x14ac:dyDescent="0.25">
      <c r="A28" s="123"/>
      <c r="B28" s="116" t="s">
        <v>113</v>
      </c>
      <c r="C28" s="132"/>
      <c r="D28" s="133"/>
      <c r="E28" s="133"/>
      <c r="F28" s="208">
        <v>131700</v>
      </c>
      <c r="G28" s="205"/>
      <c r="H28" s="208">
        <v>32100</v>
      </c>
      <c r="I28" s="129"/>
      <c r="J28" s="133"/>
      <c r="K28" s="129"/>
      <c r="L28" s="133"/>
      <c r="M28" s="129"/>
      <c r="N28" s="133"/>
      <c r="O28" s="134"/>
      <c r="P28" s="134"/>
      <c r="Q28" s="135"/>
      <c r="R28" s="129">
        <f>SUM(F28:H28)</f>
        <v>163800</v>
      </c>
      <c r="S28" s="131"/>
      <c r="T28" s="2"/>
    </row>
    <row r="29" spans="1:20" ht="15.75" x14ac:dyDescent="0.25">
      <c r="A29" s="125"/>
      <c r="B29" s="116" t="s">
        <v>112</v>
      </c>
      <c r="C29" s="128"/>
      <c r="D29" s="133"/>
      <c r="E29" s="133"/>
      <c r="F29" s="208">
        <f>F28*F32</f>
        <v>109367.98659</v>
      </c>
      <c r="G29" s="208"/>
      <c r="H29" s="208">
        <f>H28</f>
        <v>32100</v>
      </c>
      <c r="I29" s="129"/>
      <c r="J29" s="133"/>
      <c r="K29" s="129"/>
      <c r="L29" s="133"/>
      <c r="M29" s="129"/>
      <c r="N29" s="133"/>
      <c r="O29" s="129"/>
      <c r="P29" s="129"/>
      <c r="Q29" s="130"/>
      <c r="R29" s="129">
        <f>SUM(F29:H29)</f>
        <v>141467.98658999999</v>
      </c>
      <c r="S29" s="131"/>
      <c r="T29" s="2"/>
    </row>
    <row r="30" spans="1:20" ht="15.75" x14ac:dyDescent="0.25">
      <c r="A30" s="125"/>
      <c r="B30" s="124" t="s">
        <v>114</v>
      </c>
      <c r="C30" s="128"/>
      <c r="D30" s="136"/>
      <c r="E30" s="136"/>
      <c r="F30" s="209">
        <f>F31*F28</f>
        <v>96472.607430000004</v>
      </c>
      <c r="G30" s="209"/>
      <c r="H30" s="209">
        <f>H31*H28</f>
        <v>32100</v>
      </c>
      <c r="I30" s="134"/>
      <c r="J30" s="136"/>
      <c r="K30" s="134"/>
      <c r="L30" s="136"/>
      <c r="M30" s="134"/>
      <c r="N30" s="136"/>
      <c r="O30" s="129"/>
      <c r="P30" s="129"/>
      <c r="Q30" s="130"/>
      <c r="R30" s="210">
        <f>SUM(F30:H30)</f>
        <v>128572.60743</v>
      </c>
      <c r="S30" s="131"/>
      <c r="T30" s="2"/>
    </row>
    <row r="31" spans="1:20" ht="15.75" x14ac:dyDescent="0.25">
      <c r="A31" s="115"/>
      <c r="B31" s="137" t="s">
        <v>110</v>
      </c>
      <c r="C31" s="138"/>
      <c r="D31" s="139"/>
      <c r="E31" s="139"/>
      <c r="F31" s="139">
        <v>0.73251790000000006</v>
      </c>
      <c r="G31" s="139"/>
      <c r="H31" s="139">
        <v>1</v>
      </c>
      <c r="I31" s="139"/>
      <c r="J31" s="139"/>
      <c r="K31" s="139"/>
      <c r="L31" s="139"/>
      <c r="M31" s="139"/>
      <c r="N31" s="139"/>
      <c r="O31" s="140"/>
      <c r="P31" s="140"/>
      <c r="Q31" s="141"/>
      <c r="R31" s="212"/>
      <c r="S31" s="142"/>
      <c r="T31" s="2"/>
    </row>
    <row r="32" spans="1:20" ht="15.75" x14ac:dyDescent="0.25">
      <c r="A32" s="115"/>
      <c r="B32" s="137" t="s">
        <v>111</v>
      </c>
      <c r="C32" s="138"/>
      <c r="D32" s="139"/>
      <c r="E32" s="139"/>
      <c r="F32" s="139">
        <v>0.83043270000000002</v>
      </c>
      <c r="G32" s="139"/>
      <c r="H32" s="139">
        <v>1</v>
      </c>
      <c r="I32" s="139"/>
      <c r="J32" s="139"/>
      <c r="K32" s="139"/>
      <c r="L32" s="139"/>
      <c r="M32" s="139"/>
      <c r="N32" s="139"/>
      <c r="O32" s="143"/>
      <c r="P32" s="144"/>
      <c r="Q32" s="141"/>
      <c r="R32" s="143"/>
      <c r="S32" s="142"/>
      <c r="T32" s="2"/>
    </row>
    <row r="33" spans="1:21" ht="15.75" x14ac:dyDescent="0.25">
      <c r="A33" s="115"/>
      <c r="B33" s="116" t="s">
        <v>10</v>
      </c>
      <c r="C33" s="116"/>
      <c r="D33" s="126"/>
      <c r="E33" s="126"/>
      <c r="F33" s="126" t="s">
        <v>176</v>
      </c>
      <c r="G33" s="126"/>
      <c r="H33" s="126" t="s">
        <v>175</v>
      </c>
      <c r="I33" s="126"/>
      <c r="J33" s="126"/>
      <c r="K33" s="126"/>
      <c r="L33" s="126"/>
      <c r="M33" s="126"/>
      <c r="N33" s="126"/>
      <c r="O33" s="145"/>
      <c r="P33" s="146"/>
      <c r="Q33" s="118"/>
      <c r="R33" s="118"/>
      <c r="S33" s="119"/>
      <c r="T33" s="2"/>
    </row>
    <row r="34" spans="1:21" ht="15.75" x14ac:dyDescent="0.25">
      <c r="A34" s="115"/>
      <c r="B34" s="116" t="s">
        <v>11</v>
      </c>
      <c r="C34" s="147"/>
      <c r="D34" s="146"/>
      <c r="E34" s="146"/>
      <c r="F34" s="146">
        <v>3.2695000000000002E-2</v>
      </c>
      <c r="G34" s="146"/>
      <c r="H34" s="146">
        <v>3.7694999999999999E-2</v>
      </c>
      <c r="I34" s="146"/>
      <c r="J34" s="146"/>
      <c r="K34" s="146"/>
      <c r="L34" s="146"/>
      <c r="M34" s="145"/>
      <c r="N34" s="146"/>
      <c r="O34" s="126"/>
      <c r="P34" s="126"/>
      <c r="Q34" s="118"/>
      <c r="R34" s="145">
        <f>SUMPRODUCT(F34:H34,F29:H29)/R29</f>
        <v>3.3829532298569845E-2</v>
      </c>
      <c r="S34" s="119"/>
      <c r="T34" s="2"/>
    </row>
    <row r="35" spans="1:21" ht="15.75" x14ac:dyDescent="0.25">
      <c r="A35" s="115"/>
      <c r="B35" s="116" t="s">
        <v>12</v>
      </c>
      <c r="C35" s="147"/>
      <c r="D35" s="146"/>
      <c r="E35" s="146"/>
      <c r="F35" s="146">
        <v>3.2593799999999999E-2</v>
      </c>
      <c r="G35" s="146"/>
      <c r="H35" s="146">
        <v>3.7593799999999997E-2</v>
      </c>
      <c r="I35" s="146"/>
      <c r="J35" s="146"/>
      <c r="K35" s="146"/>
      <c r="L35" s="146"/>
      <c r="M35" s="145"/>
      <c r="N35" s="146"/>
      <c r="O35" s="126"/>
      <c r="P35" s="126"/>
      <c r="Q35" s="118"/>
      <c r="R35" s="118"/>
      <c r="S35" s="119"/>
      <c r="T35" s="2"/>
    </row>
    <row r="36" spans="1:21" ht="15.75" x14ac:dyDescent="0.25">
      <c r="A36" s="115"/>
      <c r="B36" s="116" t="s">
        <v>183</v>
      </c>
      <c r="C36" s="116"/>
      <c r="D36" s="147"/>
      <c r="E36" s="147"/>
      <c r="F36" s="147">
        <v>41927</v>
      </c>
      <c r="G36" s="147"/>
      <c r="H36" s="147">
        <v>41927</v>
      </c>
      <c r="I36" s="147"/>
      <c r="J36" s="147"/>
      <c r="K36" s="147"/>
      <c r="L36" s="147"/>
      <c r="M36" s="147"/>
      <c r="N36" s="147"/>
      <c r="O36" s="126"/>
      <c r="P36" s="126"/>
      <c r="Q36" s="118"/>
      <c r="R36" s="118"/>
      <c r="S36" s="119"/>
      <c r="T36" s="2"/>
    </row>
    <row r="37" spans="1:21" ht="15.75" x14ac:dyDescent="0.25">
      <c r="A37" s="115"/>
      <c r="B37" s="116" t="s">
        <v>13</v>
      </c>
      <c r="C37" s="116"/>
      <c r="D37" s="147"/>
      <c r="E37" s="147"/>
      <c r="F37" s="147" t="s">
        <v>104</v>
      </c>
      <c r="G37" s="126"/>
      <c r="H37" s="147" t="s">
        <v>104</v>
      </c>
      <c r="I37" s="126"/>
      <c r="J37" s="147"/>
      <c r="K37" s="126"/>
      <c r="L37" s="147"/>
      <c r="M37" s="126"/>
      <c r="N37" s="147"/>
      <c r="O37" s="126"/>
      <c r="P37" s="126"/>
      <c r="Q37" s="118"/>
      <c r="R37" s="118"/>
      <c r="S37" s="119"/>
      <c r="T37" s="2"/>
    </row>
    <row r="38" spans="1:21" ht="15.75" x14ac:dyDescent="0.25">
      <c r="A38" s="115"/>
      <c r="B38" s="116" t="s">
        <v>105</v>
      </c>
      <c r="C38" s="116"/>
      <c r="D38" s="126"/>
      <c r="E38" s="126"/>
      <c r="F38" s="126" t="s">
        <v>104</v>
      </c>
      <c r="G38" s="126"/>
      <c r="H38" s="126" t="s">
        <v>104</v>
      </c>
      <c r="I38" s="126"/>
      <c r="J38" s="126"/>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143</v>
      </c>
      <c r="S39" s="119"/>
      <c r="T39" s="2"/>
    </row>
    <row r="40" spans="1:21" ht="15.75" x14ac:dyDescent="0.25">
      <c r="A40" s="115"/>
      <c r="B40" s="116" t="s">
        <v>179</v>
      </c>
      <c r="C40" s="116"/>
      <c r="D40" s="126"/>
      <c r="E40" s="126"/>
      <c r="F40" s="126"/>
      <c r="G40" s="126"/>
      <c r="H40" s="126"/>
      <c r="I40" s="126"/>
      <c r="J40" s="126"/>
      <c r="K40" s="126"/>
      <c r="L40" s="126"/>
      <c r="M40" s="126"/>
      <c r="N40" s="126"/>
      <c r="O40" s="116"/>
      <c r="P40" s="116"/>
      <c r="Q40" s="116"/>
      <c r="R40" s="145">
        <f>H28/F28</f>
        <v>0.24373576309794989</v>
      </c>
      <c r="S40" s="119"/>
      <c r="T40" s="2"/>
    </row>
    <row r="41" spans="1:21" ht="15.75" x14ac:dyDescent="0.25">
      <c r="A41" s="115"/>
      <c r="B41" s="116" t="s">
        <v>227</v>
      </c>
      <c r="C41" s="116"/>
      <c r="D41" s="116"/>
      <c r="E41" s="116"/>
      <c r="F41" s="116"/>
      <c r="G41" s="116"/>
      <c r="H41" s="116"/>
      <c r="I41" s="116"/>
      <c r="J41" s="116"/>
      <c r="K41" s="116"/>
      <c r="L41" s="116"/>
      <c r="M41" s="116"/>
      <c r="N41" s="116"/>
      <c r="O41" s="116"/>
      <c r="P41" s="116"/>
      <c r="Q41" s="116"/>
      <c r="R41" s="145">
        <f>H30/F30</f>
        <v>0.33273693802970533</v>
      </c>
      <c r="S41" s="119"/>
      <c r="T41" s="2"/>
    </row>
    <row r="42" spans="1:21" ht="15.75" x14ac:dyDescent="0.25">
      <c r="A42" s="115"/>
      <c r="B42" s="116" t="s">
        <v>184</v>
      </c>
      <c r="C42" s="116"/>
      <c r="D42" s="116"/>
      <c r="E42" s="116"/>
      <c r="F42" s="116"/>
      <c r="G42" s="116"/>
      <c r="H42" s="116"/>
      <c r="I42" s="116"/>
      <c r="J42" s="116"/>
      <c r="K42" s="116"/>
      <c r="L42" s="116"/>
      <c r="M42" s="116"/>
      <c r="N42" s="116"/>
      <c r="O42" s="116"/>
      <c r="P42" s="126"/>
      <c r="Q42" s="126"/>
      <c r="R42" s="129" t="s">
        <v>165</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180</v>
      </c>
      <c r="C44" s="116"/>
      <c r="D44" s="116"/>
      <c r="E44" s="116"/>
      <c r="F44" s="116"/>
      <c r="G44" s="116"/>
      <c r="H44" s="116"/>
      <c r="I44" s="116"/>
      <c r="J44" s="116"/>
      <c r="K44" s="116"/>
      <c r="L44" s="116"/>
      <c r="M44" s="116"/>
      <c r="N44" s="116"/>
      <c r="O44" s="116"/>
      <c r="P44" s="116"/>
      <c r="Q44" s="116"/>
      <c r="R44" s="150" t="s">
        <v>97</v>
      </c>
      <c r="S44" s="119"/>
      <c r="T44" s="2"/>
    </row>
    <row r="45" spans="1:21" ht="15.75" x14ac:dyDescent="0.25">
      <c r="A45" s="115"/>
      <c r="B45" s="124" t="s">
        <v>144</v>
      </c>
      <c r="C45" s="124"/>
      <c r="D45" s="124"/>
      <c r="E45" s="124"/>
      <c r="F45" s="124"/>
      <c r="G45" s="124"/>
      <c r="H45" s="124"/>
      <c r="I45" s="124"/>
      <c r="J45" s="124"/>
      <c r="K45" s="124"/>
      <c r="L45" s="124"/>
      <c r="M45" s="124"/>
      <c r="N45" s="124"/>
      <c r="O45" s="124"/>
      <c r="P45" s="151"/>
      <c r="Q45" s="151"/>
      <c r="R45" s="152">
        <v>41654</v>
      </c>
      <c r="S45" s="119"/>
      <c r="T45" s="2"/>
    </row>
    <row r="46" spans="1:21" ht="15.75" x14ac:dyDescent="0.25">
      <c r="A46" s="115"/>
      <c r="B46" s="116" t="s">
        <v>106</v>
      </c>
      <c r="C46" s="116"/>
      <c r="D46" s="153"/>
      <c r="E46" s="153"/>
      <c r="F46" s="153"/>
      <c r="G46" s="153"/>
      <c r="H46" s="153"/>
      <c r="I46" s="153"/>
      <c r="J46" s="153"/>
      <c r="K46" s="153"/>
      <c r="L46" s="153"/>
      <c r="M46" s="153"/>
      <c r="N46" s="116">
        <f>+R46-P46+1</f>
        <v>92</v>
      </c>
      <c r="O46" s="116"/>
      <c r="P46" s="154">
        <v>41470</v>
      </c>
      <c r="Q46" s="155"/>
      <c r="R46" s="154">
        <v>41561</v>
      </c>
      <c r="S46" s="119"/>
      <c r="T46" s="2"/>
    </row>
    <row r="47" spans="1:21" ht="15.75" x14ac:dyDescent="0.25">
      <c r="A47" s="115"/>
      <c r="B47" s="116" t="s">
        <v>107</v>
      </c>
      <c r="C47" s="116"/>
      <c r="D47" s="116"/>
      <c r="E47" s="116"/>
      <c r="F47" s="116"/>
      <c r="G47" s="116"/>
      <c r="H47" s="116"/>
      <c r="I47" s="116"/>
      <c r="J47" s="116"/>
      <c r="K47" s="116"/>
      <c r="L47" s="116"/>
      <c r="M47" s="116"/>
      <c r="N47" s="116">
        <f>+R47-P47+1</f>
        <v>92</v>
      </c>
      <c r="O47" s="116"/>
      <c r="P47" s="154">
        <v>41562</v>
      </c>
      <c r="Q47" s="155"/>
      <c r="R47" s="154">
        <v>41653</v>
      </c>
      <c r="S47" s="119"/>
      <c r="T47" s="2"/>
    </row>
    <row r="48" spans="1:21" ht="15.75" x14ac:dyDescent="0.25">
      <c r="A48" s="115"/>
      <c r="B48" s="116" t="s">
        <v>181</v>
      </c>
      <c r="C48" s="116"/>
      <c r="D48" s="116"/>
      <c r="E48" s="116"/>
      <c r="F48" s="116"/>
      <c r="G48" s="116"/>
      <c r="H48" s="116"/>
      <c r="I48" s="116"/>
      <c r="J48" s="116"/>
      <c r="K48" s="116"/>
      <c r="L48" s="116"/>
      <c r="M48" s="116"/>
      <c r="N48" s="116"/>
      <c r="O48" s="116"/>
      <c r="P48" s="154"/>
      <c r="Q48" s="155"/>
      <c r="R48" s="154" t="s">
        <v>127</v>
      </c>
      <c r="S48" s="119"/>
      <c r="T48" s="2"/>
      <c r="U48" s="5"/>
    </row>
    <row r="49" spans="1:20" ht="15.75" x14ac:dyDescent="0.25">
      <c r="A49" s="115"/>
      <c r="B49" s="116" t="s">
        <v>14</v>
      </c>
      <c r="C49" s="116"/>
      <c r="D49" s="116"/>
      <c r="E49" s="116"/>
      <c r="F49" s="116"/>
      <c r="G49" s="116"/>
      <c r="H49" s="116"/>
      <c r="I49" s="116"/>
      <c r="J49" s="116"/>
      <c r="K49" s="116"/>
      <c r="L49" s="116"/>
      <c r="M49" s="116"/>
      <c r="N49" s="116"/>
      <c r="O49" s="116"/>
      <c r="P49" s="154"/>
      <c r="Q49" s="155"/>
      <c r="R49" s="154">
        <v>41641</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243</v>
      </c>
      <c r="C52" s="29"/>
      <c r="D52" s="29"/>
      <c r="E52" s="29"/>
      <c r="F52" s="29"/>
      <c r="G52" s="29"/>
      <c r="H52" s="29"/>
      <c r="I52" s="29"/>
      <c r="J52" s="29"/>
      <c r="K52" s="29"/>
      <c r="L52" s="29"/>
      <c r="M52" s="29"/>
      <c r="N52" s="29"/>
      <c r="O52" s="29"/>
      <c r="P52" s="29"/>
      <c r="Q52" s="29"/>
      <c r="R52" s="30"/>
      <c r="S52" s="31"/>
      <c r="T52" s="2"/>
    </row>
    <row r="53" spans="1:20" ht="15.75" x14ac:dyDescent="0.25">
      <c r="A53" s="55"/>
      <c r="B53" s="61" t="s">
        <v>15</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16</v>
      </c>
      <c r="C55" s="35"/>
      <c r="D55" s="35"/>
      <c r="E55" s="35"/>
      <c r="F55" s="35" t="s">
        <v>82</v>
      </c>
      <c r="G55" s="35"/>
      <c r="H55" s="35" t="s">
        <v>84</v>
      </c>
      <c r="I55" s="35"/>
      <c r="J55" s="35" t="s">
        <v>201</v>
      </c>
      <c r="K55" s="35"/>
      <c r="L55" s="35" t="s">
        <v>202</v>
      </c>
      <c r="M55" s="35"/>
      <c r="N55" s="35" t="s">
        <v>87</v>
      </c>
      <c r="O55" s="35"/>
      <c r="P55" s="35" t="s">
        <v>92</v>
      </c>
      <c r="Q55" s="35"/>
      <c r="R55" s="36" t="s">
        <v>98</v>
      </c>
      <c r="S55" s="37"/>
      <c r="T55" s="2"/>
    </row>
    <row r="56" spans="1:20" ht="15.75" x14ac:dyDescent="0.25">
      <c r="A56" s="115"/>
      <c r="B56" s="116" t="s">
        <v>17</v>
      </c>
      <c r="C56" s="158"/>
      <c r="D56" s="158"/>
      <c r="E56" s="158"/>
      <c r="F56" s="158">
        <v>128530</v>
      </c>
      <c r="G56" s="158"/>
      <c r="H56" s="159">
        <v>141368</v>
      </c>
      <c r="I56" s="158"/>
      <c r="J56" s="159">
        <v>143</v>
      </c>
      <c r="K56" s="158"/>
      <c r="L56" s="158">
        <f>12595+119-44</f>
        <v>12670</v>
      </c>
      <c r="M56" s="158"/>
      <c r="N56" s="158">
        <v>18</v>
      </c>
      <c r="O56" s="158"/>
      <c r="P56" s="158">
        <v>0</v>
      </c>
      <c r="Q56" s="158"/>
      <c r="R56" s="159">
        <f>H56-J56-L56+N56-P56</f>
        <v>128573</v>
      </c>
      <c r="S56" s="119"/>
      <c r="T56" s="2"/>
    </row>
    <row r="57" spans="1:20" ht="15.75" x14ac:dyDescent="0.25">
      <c r="A57" s="115"/>
      <c r="B57" s="116" t="s">
        <v>18</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19</v>
      </c>
      <c r="C59" s="158"/>
      <c r="D59" s="158"/>
      <c r="E59" s="158"/>
      <c r="F59" s="158">
        <f>SUM(F56:F58)</f>
        <v>128530</v>
      </c>
      <c r="G59" s="158"/>
      <c r="H59" s="158">
        <f>H56+H57</f>
        <v>141368</v>
      </c>
      <c r="I59" s="158"/>
      <c r="J59" s="158">
        <f>J56+J57</f>
        <v>143</v>
      </c>
      <c r="K59" s="158"/>
      <c r="L59" s="158">
        <f>SUM(L56:L58)</f>
        <v>12670</v>
      </c>
      <c r="M59" s="158"/>
      <c r="N59" s="158">
        <f>SUM(N56:N58)</f>
        <v>18</v>
      </c>
      <c r="O59" s="158"/>
      <c r="P59" s="158">
        <f>SUM(P56:P58)</f>
        <v>0</v>
      </c>
      <c r="Q59" s="158"/>
      <c r="R59" s="158">
        <f>SUM(R56:R58)</f>
        <v>128573</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20</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17</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18</v>
      </c>
      <c r="C64" s="158"/>
      <c r="D64" s="158"/>
      <c r="E64" s="158"/>
      <c r="F64" s="158"/>
      <c r="G64" s="158"/>
      <c r="H64" s="158"/>
      <c r="I64" s="158"/>
      <c r="J64" s="158"/>
      <c r="K64" s="158"/>
      <c r="L64" s="158"/>
      <c r="M64" s="158"/>
      <c r="N64" s="158"/>
      <c r="O64" s="158"/>
      <c r="P64" s="158"/>
      <c r="Q64" s="158"/>
      <c r="R64" s="158"/>
      <c r="S64" s="119"/>
      <c r="T64" s="2"/>
    </row>
    <row r="65" spans="1:21"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1" ht="15.75" x14ac:dyDescent="0.25">
      <c r="A66" s="115"/>
      <c r="B66" s="116" t="s">
        <v>19</v>
      </c>
      <c r="C66" s="158"/>
      <c r="D66" s="158"/>
      <c r="E66" s="158"/>
      <c r="F66" s="158"/>
      <c r="G66" s="158"/>
      <c r="H66" s="158"/>
      <c r="I66" s="158"/>
      <c r="J66" s="158"/>
      <c r="K66" s="158"/>
      <c r="L66" s="158"/>
      <c r="M66" s="158"/>
      <c r="N66" s="158"/>
      <c r="O66" s="158"/>
      <c r="P66" s="158"/>
      <c r="Q66" s="158"/>
      <c r="R66" s="158"/>
      <c r="S66" s="119"/>
      <c r="T66" s="2"/>
    </row>
    <row r="67" spans="1:21"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1" ht="15.75" x14ac:dyDescent="0.25">
      <c r="A68" s="115"/>
      <c r="B68" s="116" t="s">
        <v>21</v>
      </c>
      <c r="C68" s="158"/>
      <c r="D68" s="158"/>
      <c r="E68" s="158"/>
      <c r="F68" s="158">
        <v>0</v>
      </c>
      <c r="G68" s="158"/>
      <c r="H68" s="158">
        <v>0</v>
      </c>
      <c r="I68" s="158"/>
      <c r="J68" s="158"/>
      <c r="K68" s="158"/>
      <c r="L68" s="158"/>
      <c r="M68" s="158"/>
      <c r="N68" s="158"/>
      <c r="O68" s="158"/>
      <c r="P68" s="158"/>
      <c r="Q68" s="158"/>
      <c r="R68" s="159">
        <v>0</v>
      </c>
      <c r="S68" s="119"/>
      <c r="T68" s="2"/>
    </row>
    <row r="69" spans="1:21" ht="15.75" x14ac:dyDescent="0.25">
      <c r="A69" s="115"/>
      <c r="B69" s="116" t="s">
        <v>103</v>
      </c>
      <c r="C69" s="158"/>
      <c r="D69" s="158"/>
      <c r="E69" s="158"/>
      <c r="F69" s="158">
        <v>35270</v>
      </c>
      <c r="G69" s="158"/>
      <c r="H69" s="158">
        <v>0</v>
      </c>
      <c r="I69" s="158"/>
      <c r="J69" s="158">
        <v>0</v>
      </c>
      <c r="K69" s="158"/>
      <c r="L69" s="158"/>
      <c r="M69" s="158"/>
      <c r="N69" s="158"/>
      <c r="O69" s="158"/>
      <c r="P69" s="158"/>
      <c r="Q69" s="158"/>
      <c r="R69" s="158">
        <f>SUM(H69:N69)</f>
        <v>0</v>
      </c>
      <c r="S69" s="119"/>
      <c r="T69" s="2"/>
    </row>
    <row r="70" spans="1:21" ht="15.75" x14ac:dyDescent="0.25">
      <c r="A70" s="115"/>
      <c r="B70" s="116" t="s">
        <v>232</v>
      </c>
      <c r="C70" s="158"/>
      <c r="D70" s="158"/>
      <c r="E70" s="158"/>
      <c r="F70" s="158">
        <v>0</v>
      </c>
      <c r="G70" s="158"/>
      <c r="H70" s="158">
        <v>100</v>
      </c>
      <c r="I70" s="158"/>
      <c r="J70" s="158">
        <v>-100</v>
      </c>
      <c r="K70" s="158"/>
      <c r="L70" s="158"/>
      <c r="M70" s="158"/>
      <c r="N70" s="158"/>
      <c r="O70" s="158"/>
      <c r="P70" s="158"/>
      <c r="Q70" s="158"/>
      <c r="R70" s="158">
        <f>+H70+J70</f>
        <v>0</v>
      </c>
      <c r="S70" s="119"/>
      <c r="T70" s="2"/>
    </row>
    <row r="71" spans="1:21" ht="15.75" x14ac:dyDescent="0.25">
      <c r="A71" s="115"/>
      <c r="B71" s="116" t="s">
        <v>22</v>
      </c>
      <c r="C71" s="158"/>
      <c r="D71" s="158"/>
      <c r="E71" s="158"/>
      <c r="F71" s="158">
        <v>0</v>
      </c>
      <c r="G71" s="158"/>
      <c r="H71" s="158">
        <v>0</v>
      </c>
      <c r="I71" s="158"/>
      <c r="J71" s="158"/>
      <c r="K71" s="158"/>
      <c r="L71" s="158"/>
      <c r="M71" s="158"/>
      <c r="N71" s="158"/>
      <c r="O71" s="158"/>
      <c r="P71" s="158"/>
      <c r="Q71" s="158"/>
      <c r="R71" s="158">
        <v>0</v>
      </c>
      <c r="S71" s="119"/>
      <c r="T71" s="2"/>
    </row>
    <row r="72" spans="1:21" ht="15.75" x14ac:dyDescent="0.25">
      <c r="A72" s="115"/>
      <c r="B72" s="116" t="s">
        <v>23</v>
      </c>
      <c r="C72" s="158"/>
      <c r="D72" s="158"/>
      <c r="E72" s="158"/>
      <c r="F72" s="158">
        <f>SUM(F59:F71)</f>
        <v>163800</v>
      </c>
      <c r="G72" s="158"/>
      <c r="H72" s="158">
        <f>SUM(H59:H71)</f>
        <v>141468</v>
      </c>
      <c r="I72" s="158"/>
      <c r="J72" s="158"/>
      <c r="K72" s="158"/>
      <c r="L72" s="158"/>
      <c r="M72" s="158"/>
      <c r="N72" s="158"/>
      <c r="O72" s="158"/>
      <c r="P72" s="158"/>
      <c r="Q72" s="158"/>
      <c r="R72" s="158">
        <f>SUM(R59:R71)</f>
        <v>128573</v>
      </c>
      <c r="S72" s="119"/>
      <c r="T72" s="2"/>
      <c r="U72" s="4"/>
    </row>
    <row r="73" spans="1:21"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1" ht="15.75" x14ac:dyDescent="0.25">
      <c r="A74" s="12"/>
      <c r="B74" s="14"/>
      <c r="C74" s="14"/>
      <c r="D74" s="14"/>
      <c r="E74" s="14"/>
      <c r="F74" s="14"/>
      <c r="G74" s="14"/>
      <c r="H74" s="14"/>
      <c r="I74" s="14"/>
      <c r="J74" s="14"/>
      <c r="K74" s="14"/>
      <c r="L74" s="14"/>
      <c r="M74" s="14"/>
      <c r="N74" s="14"/>
      <c r="O74" s="14"/>
      <c r="P74" s="14"/>
      <c r="Q74" s="14"/>
      <c r="R74" s="14"/>
      <c r="S74" s="14"/>
      <c r="T74" s="2"/>
    </row>
    <row r="75" spans="1:21" ht="15.75" x14ac:dyDescent="0.25">
      <c r="A75" s="55"/>
      <c r="B75" s="63" t="s">
        <v>24</v>
      </c>
      <c r="C75" s="63"/>
      <c r="D75" s="64"/>
      <c r="E75" s="64"/>
      <c r="F75" s="64"/>
      <c r="G75" s="64"/>
      <c r="H75" s="65" t="s">
        <v>83</v>
      </c>
      <c r="I75" s="64"/>
      <c r="J75" s="66">
        <f>+P185</f>
        <v>41639</v>
      </c>
      <c r="K75" s="64"/>
      <c r="L75" s="64"/>
      <c r="M75" s="64"/>
      <c r="N75" s="64"/>
      <c r="O75" s="64"/>
      <c r="P75" s="64" t="s">
        <v>93</v>
      </c>
      <c r="Q75" s="64"/>
      <c r="R75" s="64" t="s">
        <v>99</v>
      </c>
      <c r="S75" s="56"/>
      <c r="T75" s="2"/>
    </row>
    <row r="76" spans="1:21" ht="15.75" x14ac:dyDescent="0.25">
      <c r="A76" s="79"/>
      <c r="B76" s="81" t="s">
        <v>25</v>
      </c>
      <c r="C76" s="25"/>
      <c r="D76" s="25"/>
      <c r="E76" s="25"/>
      <c r="F76" s="25"/>
      <c r="G76" s="25"/>
      <c r="H76" s="25"/>
      <c r="I76" s="25"/>
      <c r="J76" s="25"/>
      <c r="K76" s="25"/>
      <c r="L76" s="25"/>
      <c r="M76" s="25"/>
      <c r="N76" s="25"/>
      <c r="O76" s="25"/>
      <c r="P76" s="80">
        <v>100</v>
      </c>
      <c r="Q76" s="81"/>
      <c r="R76" s="84">
        <v>0</v>
      </c>
      <c r="S76" s="25"/>
      <c r="T76" s="2"/>
    </row>
    <row r="77" spans="1:21" ht="15.75" x14ac:dyDescent="0.25">
      <c r="A77" s="125"/>
      <c r="B77" s="116" t="s">
        <v>216</v>
      </c>
      <c r="C77" s="138"/>
      <c r="D77" s="160"/>
      <c r="E77" s="160"/>
      <c r="F77" s="160"/>
      <c r="G77" s="161"/>
      <c r="H77" s="160"/>
      <c r="I77" s="138"/>
      <c r="J77" s="162"/>
      <c r="K77" s="138"/>
      <c r="L77" s="138"/>
      <c r="M77" s="138"/>
      <c r="N77" s="138"/>
      <c r="O77" s="138"/>
      <c r="P77" s="158">
        <v>0</v>
      </c>
      <c r="Q77" s="116"/>
      <c r="R77" s="159"/>
      <c r="S77" s="142"/>
      <c r="T77" s="2"/>
    </row>
    <row r="78" spans="1:21" ht="15.75" x14ac:dyDescent="0.25">
      <c r="A78" s="125"/>
      <c r="B78" s="116" t="s">
        <v>26</v>
      </c>
      <c r="C78" s="138"/>
      <c r="D78" s="160"/>
      <c r="E78" s="160"/>
      <c r="F78" s="160"/>
      <c r="G78" s="161"/>
      <c r="H78" s="160"/>
      <c r="I78" s="138"/>
      <c r="J78" s="162"/>
      <c r="K78" s="138"/>
      <c r="L78" s="138"/>
      <c r="M78" s="138"/>
      <c r="N78" s="138"/>
      <c r="O78" s="138"/>
      <c r="P78" s="158">
        <f>143+12670</f>
        <v>12813</v>
      </c>
      <c r="Q78" s="116"/>
      <c r="R78" s="159"/>
      <c r="S78" s="142"/>
      <c r="T78" s="2"/>
    </row>
    <row r="79" spans="1:21" ht="15.75" x14ac:dyDescent="0.25">
      <c r="A79" s="125"/>
      <c r="B79" s="116" t="s">
        <v>148</v>
      </c>
      <c r="C79" s="138"/>
      <c r="D79" s="160"/>
      <c r="E79" s="160"/>
      <c r="F79" s="160"/>
      <c r="G79" s="161"/>
      <c r="H79" s="160"/>
      <c r="I79" s="138"/>
      <c r="J79" s="162"/>
      <c r="K79" s="138"/>
      <c r="L79" s="138"/>
      <c r="M79" s="138"/>
      <c r="N79" s="138"/>
      <c r="O79" s="138"/>
      <c r="P79" s="158"/>
      <c r="Q79" s="116"/>
      <c r="R79" s="159">
        <f>1948-218</f>
        <v>1730</v>
      </c>
      <c r="S79" s="142"/>
      <c r="T79" s="2"/>
    </row>
    <row r="80" spans="1:21" ht="15.75" x14ac:dyDescent="0.25">
      <c r="A80" s="125"/>
      <c r="B80" s="116" t="s">
        <v>146</v>
      </c>
      <c r="C80" s="138"/>
      <c r="D80" s="160"/>
      <c r="E80" s="160"/>
      <c r="F80" s="160"/>
      <c r="G80" s="161"/>
      <c r="H80" s="160"/>
      <c r="I80" s="138"/>
      <c r="J80" s="162"/>
      <c r="K80" s="138"/>
      <c r="L80" s="138"/>
      <c r="M80" s="138"/>
      <c r="N80" s="138"/>
      <c r="O80" s="138"/>
      <c r="P80" s="158"/>
      <c r="Q80" s="116"/>
      <c r="R80" s="159">
        <v>163</v>
      </c>
      <c r="S80" s="142"/>
      <c r="T80" s="2"/>
    </row>
    <row r="81" spans="1:20" ht="15.75" x14ac:dyDescent="0.25">
      <c r="A81" s="125"/>
      <c r="B81" s="116" t="s">
        <v>147</v>
      </c>
      <c r="C81" s="138"/>
      <c r="D81" s="160"/>
      <c r="E81" s="160"/>
      <c r="F81" s="160"/>
      <c r="G81" s="161"/>
      <c r="H81" s="160"/>
      <c r="I81" s="138"/>
      <c r="J81" s="162"/>
      <c r="K81" s="138"/>
      <c r="L81" s="138"/>
      <c r="M81" s="138"/>
      <c r="N81" s="138"/>
      <c r="O81" s="138"/>
      <c r="P81" s="158"/>
      <c r="Q81" s="116"/>
      <c r="R81" s="159">
        <v>15</v>
      </c>
      <c r="S81" s="142"/>
      <c r="T81" s="2"/>
    </row>
    <row r="82" spans="1:20" ht="15.75" x14ac:dyDescent="0.25">
      <c r="A82" s="125"/>
      <c r="B82" s="116" t="s">
        <v>158</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160</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206</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207</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208</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186</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27</v>
      </c>
      <c r="C88" s="138"/>
      <c r="D88" s="138"/>
      <c r="E88" s="138"/>
      <c r="F88" s="138"/>
      <c r="G88" s="138"/>
      <c r="H88" s="138"/>
      <c r="I88" s="138"/>
      <c r="J88" s="138"/>
      <c r="K88" s="138"/>
      <c r="L88" s="138"/>
      <c r="M88" s="138"/>
      <c r="N88" s="138"/>
      <c r="O88" s="138"/>
      <c r="P88" s="158">
        <f>SUM(P76:P87)</f>
        <v>12913</v>
      </c>
      <c r="Q88" s="116"/>
      <c r="R88" s="158">
        <f>SUM(R76:R87)</f>
        <v>1908</v>
      </c>
      <c r="S88" s="142"/>
      <c r="T88" s="2"/>
    </row>
    <row r="89" spans="1:20" ht="15.75" x14ac:dyDescent="0.25">
      <c r="A89" s="125"/>
      <c r="B89" s="116" t="s">
        <v>28</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166</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29</v>
      </c>
      <c r="C91" s="138"/>
      <c r="D91" s="138"/>
      <c r="E91" s="138"/>
      <c r="F91" s="138"/>
      <c r="G91" s="138"/>
      <c r="H91" s="138"/>
      <c r="I91" s="138"/>
      <c r="J91" s="138"/>
      <c r="K91" s="138"/>
      <c r="L91" s="138"/>
      <c r="M91" s="138"/>
      <c r="N91" s="138"/>
      <c r="O91" s="138"/>
      <c r="P91" s="158">
        <f>P88+P89</f>
        <v>12913</v>
      </c>
      <c r="Q91" s="116"/>
      <c r="R91" s="158">
        <f>R88+R89+R90</f>
        <v>1908</v>
      </c>
      <c r="S91" s="142"/>
      <c r="T91" s="2"/>
    </row>
    <row r="92" spans="1:20" ht="15.75" x14ac:dyDescent="0.25">
      <c r="A92" s="115"/>
      <c r="B92" s="163" t="s">
        <v>30</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225</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217</v>
      </c>
      <c r="C94" s="116"/>
      <c r="D94" s="138"/>
      <c r="E94" s="138"/>
      <c r="F94" s="138"/>
      <c r="G94" s="138"/>
      <c r="H94" s="138"/>
      <c r="I94" s="138"/>
      <c r="J94" s="138"/>
      <c r="K94" s="138"/>
      <c r="L94" s="138"/>
      <c r="M94" s="138"/>
      <c r="N94" s="138"/>
      <c r="O94" s="138"/>
      <c r="P94" s="116"/>
      <c r="Q94" s="116"/>
      <c r="R94" s="159">
        <f>-9</f>
        <v>-9</v>
      </c>
      <c r="S94" s="142"/>
      <c r="T94" s="2"/>
    </row>
    <row r="95" spans="1:20" ht="15.75" x14ac:dyDescent="0.25">
      <c r="A95" s="125">
        <v>3</v>
      </c>
      <c r="B95" s="116" t="s">
        <v>204</v>
      </c>
      <c r="C95" s="116"/>
      <c r="D95" s="138"/>
      <c r="E95" s="138"/>
      <c r="F95" s="138"/>
      <c r="G95" s="138"/>
      <c r="H95" s="138"/>
      <c r="I95" s="138"/>
      <c r="J95" s="138"/>
      <c r="K95" s="138"/>
      <c r="L95" s="138"/>
      <c r="M95" s="138"/>
      <c r="N95" s="138"/>
      <c r="O95" s="138"/>
      <c r="P95" s="116"/>
      <c r="Q95" s="116"/>
      <c r="R95" s="159">
        <f>-54-3</f>
        <v>-57</v>
      </c>
      <c r="S95" s="142"/>
      <c r="T95" s="2"/>
    </row>
    <row r="96" spans="1:20" ht="15.75" x14ac:dyDescent="0.25">
      <c r="A96" s="125">
        <v>4</v>
      </c>
      <c r="B96" s="116" t="s">
        <v>102</v>
      </c>
      <c r="C96" s="116"/>
      <c r="D96" s="138"/>
      <c r="E96" s="138"/>
      <c r="F96" s="138"/>
      <c r="G96" s="138"/>
      <c r="H96" s="138"/>
      <c r="I96" s="138"/>
      <c r="J96" s="138"/>
      <c r="K96" s="138"/>
      <c r="L96" s="138"/>
      <c r="M96" s="138"/>
      <c r="N96" s="138"/>
      <c r="O96" s="138"/>
      <c r="P96" s="116"/>
      <c r="Q96" s="116"/>
      <c r="R96" s="159">
        <v>-2</v>
      </c>
      <c r="S96" s="142"/>
      <c r="T96" s="2"/>
    </row>
    <row r="97" spans="1:21" ht="15.75" x14ac:dyDescent="0.25">
      <c r="A97" s="125">
        <v>5</v>
      </c>
      <c r="B97" s="116" t="s">
        <v>187</v>
      </c>
      <c r="C97" s="116"/>
      <c r="D97" s="138"/>
      <c r="E97" s="138"/>
      <c r="F97" s="138"/>
      <c r="G97" s="138"/>
      <c r="H97" s="138"/>
      <c r="I97" s="138"/>
      <c r="J97" s="138"/>
      <c r="K97" s="138"/>
      <c r="L97" s="138"/>
      <c r="M97" s="138"/>
      <c r="N97" s="138"/>
      <c r="O97" s="138"/>
      <c r="P97" s="116"/>
      <c r="Q97" s="116"/>
      <c r="R97" s="159">
        <v>-901</v>
      </c>
      <c r="S97" s="142"/>
      <c r="T97" s="2"/>
      <c r="U97" s="4"/>
    </row>
    <row r="98" spans="1:21" ht="15.75" x14ac:dyDescent="0.25">
      <c r="A98" s="125">
        <v>6</v>
      </c>
      <c r="B98" s="116" t="s">
        <v>188</v>
      </c>
      <c r="C98" s="116"/>
      <c r="D98" s="138"/>
      <c r="E98" s="138"/>
      <c r="F98" s="138"/>
      <c r="G98" s="138"/>
      <c r="H98" s="138"/>
      <c r="I98" s="138"/>
      <c r="J98" s="138"/>
      <c r="K98" s="138"/>
      <c r="L98" s="138"/>
      <c r="M98" s="138"/>
      <c r="N98" s="138"/>
      <c r="O98" s="138"/>
      <c r="P98" s="116"/>
      <c r="Q98" s="116"/>
      <c r="R98" s="159">
        <v>0</v>
      </c>
      <c r="S98" s="142"/>
      <c r="T98" s="2"/>
      <c r="U98" s="4"/>
    </row>
    <row r="99" spans="1:21" ht="15.75" x14ac:dyDescent="0.25">
      <c r="A99" s="125">
        <v>7</v>
      </c>
      <c r="B99" s="116" t="s">
        <v>40</v>
      </c>
      <c r="C99" s="116"/>
      <c r="D99" s="138"/>
      <c r="E99" s="138"/>
      <c r="F99" s="138"/>
      <c r="G99" s="138"/>
      <c r="H99" s="138"/>
      <c r="I99" s="138"/>
      <c r="J99" s="138"/>
      <c r="K99" s="138"/>
      <c r="L99" s="138"/>
      <c r="M99" s="138"/>
      <c r="N99" s="138"/>
      <c r="O99" s="138"/>
      <c r="P99" s="158">
        <f>-R99</f>
        <v>0</v>
      </c>
      <c r="Q99" s="116"/>
      <c r="R99" s="159">
        <v>0</v>
      </c>
      <c r="S99" s="142"/>
      <c r="T99" s="2"/>
    </row>
    <row r="100" spans="1:21" ht="15.75" x14ac:dyDescent="0.25">
      <c r="A100" s="125">
        <v>8</v>
      </c>
      <c r="B100" s="116" t="s">
        <v>108</v>
      </c>
      <c r="C100" s="116"/>
      <c r="D100" s="138"/>
      <c r="E100" s="138"/>
      <c r="F100" s="138"/>
      <c r="G100" s="138"/>
      <c r="H100" s="138"/>
      <c r="I100" s="138"/>
      <c r="J100" s="138"/>
      <c r="K100" s="138"/>
      <c r="L100" s="138"/>
      <c r="M100" s="138"/>
      <c r="N100" s="138"/>
      <c r="O100" s="138"/>
      <c r="P100" s="116"/>
      <c r="Q100" s="116"/>
      <c r="R100" s="159">
        <v>0</v>
      </c>
      <c r="S100" s="142"/>
      <c r="T100" s="2"/>
    </row>
    <row r="101" spans="1:21" ht="15.75" x14ac:dyDescent="0.25">
      <c r="A101" s="125">
        <v>9</v>
      </c>
      <c r="B101" s="116" t="s">
        <v>31</v>
      </c>
      <c r="C101" s="116"/>
      <c r="D101" s="138"/>
      <c r="E101" s="138"/>
      <c r="F101" s="138"/>
      <c r="G101" s="138"/>
      <c r="H101" s="138"/>
      <c r="I101" s="138"/>
      <c r="J101" s="138"/>
      <c r="K101" s="138"/>
      <c r="L101" s="138"/>
      <c r="M101" s="138"/>
      <c r="N101" s="138"/>
      <c r="O101" s="138"/>
      <c r="P101" s="116"/>
      <c r="Q101" s="116"/>
      <c r="R101" s="159">
        <v>-5</v>
      </c>
      <c r="S101" s="142"/>
      <c r="T101" s="2"/>
    </row>
    <row r="102" spans="1:21" ht="15.75" x14ac:dyDescent="0.25">
      <c r="A102" s="125">
        <v>10</v>
      </c>
      <c r="B102" s="116" t="s">
        <v>151</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116" t="s">
        <v>228</v>
      </c>
      <c r="C103" s="116"/>
      <c r="D103" s="138"/>
      <c r="E103" s="138"/>
      <c r="F103" s="138"/>
      <c r="G103" s="138"/>
      <c r="H103" s="138"/>
      <c r="I103" s="138"/>
      <c r="J103" s="138"/>
      <c r="K103" s="138"/>
      <c r="L103" s="138"/>
      <c r="M103" s="138"/>
      <c r="N103" s="138"/>
      <c r="O103" s="138"/>
      <c r="P103" s="116"/>
      <c r="Q103" s="116"/>
      <c r="R103" s="159">
        <v>-305</v>
      </c>
      <c r="S103" s="142"/>
      <c r="T103" s="2"/>
    </row>
    <row r="104" spans="1:21" ht="15.75" x14ac:dyDescent="0.25">
      <c r="A104" s="125">
        <v>12</v>
      </c>
      <c r="B104" s="116" t="s">
        <v>189</v>
      </c>
      <c r="C104" s="116"/>
      <c r="D104" s="138"/>
      <c r="E104" s="138"/>
      <c r="F104" s="138"/>
      <c r="G104" s="138"/>
      <c r="H104" s="138"/>
      <c r="I104" s="138"/>
      <c r="J104" s="138"/>
      <c r="K104" s="138"/>
      <c r="L104" s="138"/>
      <c r="M104" s="138"/>
      <c r="N104" s="138"/>
      <c r="O104" s="138"/>
      <c r="P104" s="116"/>
      <c r="Q104" s="116"/>
      <c r="R104" s="159">
        <v>0</v>
      </c>
      <c r="S104" s="142"/>
      <c r="T104" s="2"/>
    </row>
    <row r="105" spans="1:21" ht="15.75" x14ac:dyDescent="0.25">
      <c r="A105" s="125">
        <v>13</v>
      </c>
      <c r="B105" s="116" t="s">
        <v>190</v>
      </c>
      <c r="C105" s="116"/>
      <c r="D105" s="138"/>
      <c r="E105" s="138"/>
      <c r="F105" s="138"/>
      <c r="G105" s="138"/>
      <c r="H105" s="138"/>
      <c r="I105" s="138"/>
      <c r="J105" s="138"/>
      <c r="K105" s="138"/>
      <c r="L105" s="138"/>
      <c r="M105" s="138"/>
      <c r="N105" s="138"/>
      <c r="O105" s="138"/>
      <c r="P105" s="116"/>
      <c r="Q105" s="116"/>
      <c r="R105" s="159">
        <v>-53</v>
      </c>
      <c r="S105" s="142"/>
      <c r="T105" s="2"/>
    </row>
    <row r="106" spans="1:21" ht="15.75" x14ac:dyDescent="0.25">
      <c r="A106" s="125">
        <v>14</v>
      </c>
      <c r="B106" s="116" t="s">
        <v>209</v>
      </c>
      <c r="C106" s="116"/>
      <c r="D106" s="138"/>
      <c r="E106" s="138"/>
      <c r="F106" s="138"/>
      <c r="G106" s="138"/>
      <c r="H106" s="138"/>
      <c r="I106" s="138"/>
      <c r="J106" s="138"/>
      <c r="K106" s="138"/>
      <c r="L106" s="138"/>
      <c r="M106" s="138"/>
      <c r="N106" s="138"/>
      <c r="O106" s="138"/>
      <c r="P106" s="116"/>
      <c r="Q106" s="116"/>
      <c r="R106" s="159">
        <f>-10-209</f>
        <v>-219</v>
      </c>
      <c r="S106" s="142"/>
      <c r="T106" s="2"/>
    </row>
    <row r="107" spans="1:21" ht="15.75" x14ac:dyDescent="0.25">
      <c r="A107" s="125">
        <v>15</v>
      </c>
      <c r="B107" s="116" t="s">
        <v>218</v>
      </c>
      <c r="C107" s="116"/>
      <c r="D107" s="138"/>
      <c r="E107" s="138"/>
      <c r="F107" s="138"/>
      <c r="G107" s="138"/>
      <c r="H107" s="138"/>
      <c r="I107" s="138"/>
      <c r="J107" s="138"/>
      <c r="K107" s="138"/>
      <c r="L107" s="138"/>
      <c r="M107" s="138"/>
      <c r="N107" s="138"/>
      <c r="O107" s="138"/>
      <c r="P107" s="116"/>
      <c r="Q107" s="116"/>
      <c r="R107" s="159">
        <f>-R91-SUM(R93:R106)</f>
        <v>-357</v>
      </c>
      <c r="S107" s="142"/>
      <c r="T107" s="2"/>
    </row>
    <row r="108" spans="1:21" ht="15.75" x14ac:dyDescent="0.25">
      <c r="A108" s="125">
        <v>16</v>
      </c>
      <c r="B108" s="116" t="s">
        <v>219</v>
      </c>
      <c r="C108" s="116"/>
      <c r="D108" s="138"/>
      <c r="E108" s="138"/>
      <c r="F108" s="138"/>
      <c r="G108" s="138"/>
      <c r="H108" s="138"/>
      <c r="I108" s="138"/>
      <c r="J108" s="138"/>
      <c r="K108" s="138"/>
      <c r="L108" s="138"/>
      <c r="M108" s="138"/>
      <c r="N108" s="138"/>
      <c r="O108" s="138"/>
      <c r="P108" s="158">
        <f>-R108</f>
        <v>0</v>
      </c>
      <c r="Q108" s="116"/>
      <c r="R108" s="159">
        <v>0</v>
      </c>
      <c r="S108" s="142"/>
      <c r="T108" s="2"/>
    </row>
    <row r="109" spans="1:21" ht="15.75" x14ac:dyDescent="0.25">
      <c r="A109" s="115"/>
      <c r="B109" s="163" t="s">
        <v>32</v>
      </c>
      <c r="C109" s="138"/>
      <c r="D109" s="138"/>
      <c r="E109" s="138"/>
      <c r="F109" s="138"/>
      <c r="G109" s="138"/>
      <c r="H109" s="138"/>
      <c r="I109" s="138"/>
      <c r="J109" s="138"/>
      <c r="K109" s="138"/>
      <c r="L109" s="138"/>
      <c r="M109" s="138"/>
      <c r="N109" s="138"/>
      <c r="O109" s="138"/>
      <c r="P109" s="116"/>
      <c r="Q109" s="116"/>
      <c r="R109" s="164"/>
      <c r="S109" s="142"/>
      <c r="T109" s="2"/>
    </row>
    <row r="110" spans="1:21" ht="15.75" x14ac:dyDescent="0.25">
      <c r="A110" s="115"/>
      <c r="B110" s="116" t="s">
        <v>191</v>
      </c>
      <c r="C110" s="138"/>
      <c r="D110" s="138"/>
      <c r="E110" s="138"/>
      <c r="F110" s="138"/>
      <c r="G110" s="138"/>
      <c r="H110" s="138"/>
      <c r="I110" s="138"/>
      <c r="J110" s="138"/>
      <c r="K110" s="138"/>
      <c r="L110" s="138"/>
      <c r="M110" s="138"/>
      <c r="N110" s="138"/>
      <c r="O110" s="138"/>
      <c r="P110" s="158">
        <f>-P171</f>
        <v>0</v>
      </c>
      <c r="Q110" s="158"/>
      <c r="R110" s="159"/>
      <c r="S110" s="142"/>
      <c r="T110" s="2"/>
    </row>
    <row r="111" spans="1:21" ht="15.75" x14ac:dyDescent="0.25">
      <c r="A111" s="115"/>
      <c r="B111" s="116" t="s">
        <v>33</v>
      </c>
      <c r="C111" s="138"/>
      <c r="D111" s="138"/>
      <c r="E111" s="138"/>
      <c r="F111" s="138"/>
      <c r="G111" s="138"/>
      <c r="H111" s="138"/>
      <c r="I111" s="138"/>
      <c r="J111" s="138"/>
      <c r="K111" s="138"/>
      <c r="L111" s="138"/>
      <c r="M111" s="138"/>
      <c r="N111" s="138"/>
      <c r="O111" s="138"/>
      <c r="P111" s="158">
        <f>-O171</f>
        <v>-18</v>
      </c>
      <c r="Q111" s="158"/>
      <c r="R111" s="159"/>
      <c r="S111" s="142"/>
      <c r="T111" s="2"/>
    </row>
    <row r="112" spans="1:21" ht="15.75" x14ac:dyDescent="0.25">
      <c r="A112" s="115"/>
      <c r="B112" s="116" t="s">
        <v>192</v>
      </c>
      <c r="C112" s="138"/>
      <c r="D112" s="138"/>
      <c r="E112" s="138"/>
      <c r="F112" s="138"/>
      <c r="G112" s="138"/>
      <c r="H112" s="138"/>
      <c r="I112" s="138"/>
      <c r="J112" s="138"/>
      <c r="K112" s="138"/>
      <c r="L112" s="138"/>
      <c r="M112" s="138"/>
      <c r="N112" s="138"/>
      <c r="O112" s="138"/>
      <c r="P112" s="158">
        <v>-12895</v>
      </c>
      <c r="Q112" s="158"/>
      <c r="R112" s="159"/>
      <c r="S112" s="142"/>
      <c r="T112" s="2"/>
    </row>
    <row r="113" spans="1:20" ht="15.75" x14ac:dyDescent="0.25">
      <c r="A113" s="115"/>
      <c r="B113" s="116" t="s">
        <v>193</v>
      </c>
      <c r="C113" s="138"/>
      <c r="D113" s="138"/>
      <c r="E113" s="138"/>
      <c r="F113" s="138"/>
      <c r="G113" s="138"/>
      <c r="H113" s="138"/>
      <c r="I113" s="138"/>
      <c r="J113" s="138"/>
      <c r="K113" s="138"/>
      <c r="L113" s="138"/>
      <c r="M113" s="138"/>
      <c r="N113" s="138"/>
      <c r="O113" s="138"/>
      <c r="P113" s="158">
        <v>0</v>
      </c>
      <c r="Q113" s="158"/>
      <c r="R113" s="159"/>
      <c r="S113" s="142"/>
      <c r="T113" s="2"/>
    </row>
    <row r="114" spans="1:20" ht="15.75" x14ac:dyDescent="0.25">
      <c r="A114" s="115"/>
      <c r="B114" s="116" t="s">
        <v>34</v>
      </c>
      <c r="C114" s="138"/>
      <c r="D114" s="138"/>
      <c r="E114" s="138"/>
      <c r="F114" s="138"/>
      <c r="G114" s="138"/>
      <c r="H114" s="138"/>
      <c r="I114" s="138"/>
      <c r="J114" s="138"/>
      <c r="K114" s="138"/>
      <c r="L114" s="138"/>
      <c r="M114" s="138"/>
      <c r="N114" s="138"/>
      <c r="O114" s="138"/>
      <c r="P114" s="158">
        <f>SUM(P110:P113)</f>
        <v>-12913</v>
      </c>
      <c r="Q114" s="158"/>
      <c r="R114" s="158">
        <f>SUM(R92:R113)</f>
        <v>-1908</v>
      </c>
      <c r="S114" s="142"/>
      <c r="T114" s="2"/>
    </row>
    <row r="115" spans="1:20" ht="15.75" x14ac:dyDescent="0.25">
      <c r="A115" s="115"/>
      <c r="B115" s="116" t="s">
        <v>35</v>
      </c>
      <c r="C115" s="138"/>
      <c r="D115" s="138"/>
      <c r="E115" s="138"/>
      <c r="F115" s="138"/>
      <c r="G115" s="138"/>
      <c r="H115" s="138"/>
      <c r="I115" s="138"/>
      <c r="J115" s="138"/>
      <c r="K115" s="138"/>
      <c r="L115" s="138"/>
      <c r="M115" s="138"/>
      <c r="N115" s="138"/>
      <c r="O115" s="138"/>
      <c r="P115" s="158">
        <f>P91+P114+P99+P108</f>
        <v>0</v>
      </c>
      <c r="Q115" s="158"/>
      <c r="R115" s="158">
        <f>R91+R114</f>
        <v>0</v>
      </c>
      <c r="S115" s="142"/>
      <c r="T115" s="2"/>
    </row>
    <row r="116" spans="1:20" ht="15.75" x14ac:dyDescent="0.25">
      <c r="A116" s="12"/>
      <c r="B116" s="43"/>
      <c r="C116" s="43"/>
      <c r="D116" s="43"/>
      <c r="E116" s="43"/>
      <c r="F116" s="43"/>
      <c r="G116" s="43"/>
      <c r="H116" s="43"/>
      <c r="I116" s="43"/>
      <c r="J116" s="43"/>
      <c r="K116" s="43"/>
      <c r="L116" s="43"/>
      <c r="M116" s="43"/>
      <c r="N116" s="43"/>
      <c r="O116" s="43"/>
      <c r="P116" s="156"/>
      <c r="Q116" s="156"/>
      <c r="R116" s="156"/>
      <c r="S116" s="43"/>
      <c r="T116" s="2"/>
    </row>
    <row r="117" spans="1:20" ht="15.75" x14ac:dyDescent="0.25">
      <c r="A117" s="12"/>
      <c r="B117" s="14"/>
      <c r="C117" s="14"/>
      <c r="D117" s="14"/>
      <c r="E117" s="14"/>
      <c r="F117" s="14"/>
      <c r="G117" s="14"/>
      <c r="H117" s="14"/>
      <c r="I117" s="14"/>
      <c r="J117" s="14"/>
      <c r="K117" s="14"/>
      <c r="L117" s="14"/>
      <c r="M117" s="14"/>
      <c r="N117" s="14"/>
      <c r="O117" s="14"/>
      <c r="P117" s="14"/>
      <c r="Q117" s="14"/>
      <c r="R117" s="33"/>
      <c r="S117" s="14"/>
      <c r="T117" s="2"/>
    </row>
    <row r="118" spans="1:20" ht="19.5" thickBot="1" x14ac:dyDescent="0.35">
      <c r="A118" s="28"/>
      <c r="B118" s="100" t="str">
        <f>B52</f>
        <v>PM16 INVESTOR REPORT QUARTER ENDING DECEMBER 2013</v>
      </c>
      <c r="C118" s="29"/>
      <c r="D118" s="29"/>
      <c r="E118" s="29"/>
      <c r="F118" s="29"/>
      <c r="G118" s="29"/>
      <c r="H118" s="29"/>
      <c r="I118" s="29"/>
      <c r="J118" s="29"/>
      <c r="K118" s="29"/>
      <c r="L118" s="29"/>
      <c r="M118" s="29"/>
      <c r="N118" s="29"/>
      <c r="O118" s="29"/>
      <c r="P118" s="29"/>
      <c r="Q118" s="29"/>
      <c r="R118" s="40"/>
      <c r="S118" s="31"/>
      <c r="T118" s="2"/>
    </row>
    <row r="119" spans="1:20" ht="15.75" x14ac:dyDescent="0.25">
      <c r="A119" s="67"/>
      <c r="B119" s="68" t="s">
        <v>36</v>
      </c>
      <c r="C119" s="69"/>
      <c r="D119" s="69"/>
      <c r="E119" s="69"/>
      <c r="F119" s="69"/>
      <c r="G119" s="69"/>
      <c r="H119" s="69"/>
      <c r="I119" s="69"/>
      <c r="J119" s="69"/>
      <c r="K119" s="69"/>
      <c r="L119" s="69"/>
      <c r="M119" s="69"/>
      <c r="N119" s="69"/>
      <c r="O119" s="69"/>
      <c r="P119" s="69"/>
      <c r="Q119" s="69"/>
      <c r="R119" s="70"/>
      <c r="S119" s="69"/>
      <c r="T119" s="2"/>
    </row>
    <row r="120" spans="1:20" ht="15.75" x14ac:dyDescent="0.25">
      <c r="A120" s="12"/>
      <c r="B120" s="22"/>
      <c r="C120" s="14"/>
      <c r="D120" s="14"/>
      <c r="E120" s="14"/>
      <c r="F120" s="14"/>
      <c r="G120" s="14"/>
      <c r="H120" s="14"/>
      <c r="I120" s="14"/>
      <c r="J120" s="14"/>
      <c r="K120" s="14"/>
      <c r="L120" s="14"/>
      <c r="M120" s="14"/>
      <c r="N120" s="14"/>
      <c r="O120" s="14"/>
      <c r="P120" s="14"/>
      <c r="Q120" s="14"/>
      <c r="R120" s="33"/>
      <c r="S120" s="14"/>
      <c r="T120" s="2"/>
    </row>
    <row r="121" spans="1:20" ht="15.75" x14ac:dyDescent="0.25">
      <c r="A121" s="12"/>
      <c r="B121" s="41" t="s">
        <v>37</v>
      </c>
      <c r="C121" s="14"/>
      <c r="D121" s="14"/>
      <c r="E121" s="14"/>
      <c r="F121" s="14"/>
      <c r="G121" s="14"/>
      <c r="H121" s="14"/>
      <c r="I121" s="14"/>
      <c r="J121" s="14"/>
      <c r="K121" s="14"/>
      <c r="L121" s="14"/>
      <c r="M121" s="14"/>
      <c r="N121" s="14"/>
      <c r="O121" s="14"/>
      <c r="P121" s="14"/>
      <c r="Q121" s="14"/>
      <c r="R121" s="33"/>
      <c r="S121" s="14"/>
      <c r="T121" s="2"/>
    </row>
    <row r="122" spans="1:20" ht="15.75" x14ac:dyDescent="0.25">
      <c r="A122" s="115"/>
      <c r="B122" s="116" t="s">
        <v>38</v>
      </c>
      <c r="C122" s="116"/>
      <c r="D122" s="116"/>
      <c r="E122" s="116"/>
      <c r="F122" s="116"/>
      <c r="G122" s="116"/>
      <c r="H122" s="116"/>
      <c r="I122" s="116"/>
      <c r="J122" s="116"/>
      <c r="K122" s="116"/>
      <c r="L122" s="116"/>
      <c r="M122" s="116"/>
      <c r="N122" s="116"/>
      <c r="O122" s="116"/>
      <c r="P122" s="116"/>
      <c r="Q122" s="116"/>
      <c r="R122" s="159">
        <f>+R28*0.03</f>
        <v>4914</v>
      </c>
      <c r="S122" s="119"/>
      <c r="T122" s="2"/>
    </row>
    <row r="123" spans="1:20" ht="15.75" x14ac:dyDescent="0.25">
      <c r="A123" s="115"/>
      <c r="B123" s="116" t="s">
        <v>39</v>
      </c>
      <c r="C123" s="116"/>
      <c r="D123" s="116"/>
      <c r="E123" s="116"/>
      <c r="F123" s="116"/>
      <c r="G123" s="116"/>
      <c r="H123" s="116"/>
      <c r="I123" s="116"/>
      <c r="J123" s="116"/>
      <c r="K123" s="116"/>
      <c r="L123" s="116"/>
      <c r="M123" s="116"/>
      <c r="N123" s="116"/>
      <c r="O123" s="116"/>
      <c r="P123" s="116"/>
      <c r="Q123" s="116"/>
      <c r="R123" s="159">
        <v>0</v>
      </c>
      <c r="S123" s="119"/>
      <c r="T123" s="2"/>
    </row>
    <row r="124" spans="1:20" ht="15.75" x14ac:dyDescent="0.25">
      <c r="A124" s="115"/>
      <c r="B124" s="116" t="s">
        <v>212</v>
      </c>
      <c r="C124" s="116"/>
      <c r="D124" s="116"/>
      <c r="E124" s="116"/>
      <c r="F124" s="116"/>
      <c r="G124" s="116"/>
      <c r="H124" s="116"/>
      <c r="I124" s="116"/>
      <c r="J124" s="116"/>
      <c r="K124" s="116"/>
      <c r="L124" s="116"/>
      <c r="M124" s="116"/>
      <c r="N124" s="116"/>
      <c r="O124" s="116"/>
      <c r="P124" s="116"/>
      <c r="Q124" s="116"/>
      <c r="R124" s="159">
        <f>R122-R125</f>
        <v>2019.8217771</v>
      </c>
      <c r="S124" s="119"/>
      <c r="T124" s="2"/>
    </row>
    <row r="125" spans="1:20" ht="15.75" x14ac:dyDescent="0.25">
      <c r="A125" s="115"/>
      <c r="B125" s="116" t="s">
        <v>211</v>
      </c>
      <c r="C125" s="116"/>
      <c r="D125" s="116"/>
      <c r="E125" s="116"/>
      <c r="F125" s="116"/>
      <c r="G125" s="116"/>
      <c r="H125" s="116"/>
      <c r="I125" s="116"/>
      <c r="J125" s="116"/>
      <c r="K125" s="116"/>
      <c r="L125" s="116"/>
      <c r="M125" s="116"/>
      <c r="N125" s="116"/>
      <c r="O125" s="116"/>
      <c r="P125" s="116"/>
      <c r="Q125" s="116"/>
      <c r="R125" s="159">
        <f>F30*0.03</f>
        <v>2894.1782229</v>
      </c>
      <c r="S125" s="119"/>
      <c r="T125" s="2"/>
    </row>
    <row r="126" spans="1:20" ht="15.75" x14ac:dyDescent="0.25">
      <c r="A126" s="115"/>
      <c r="B126" s="116" t="s">
        <v>115</v>
      </c>
      <c r="C126" s="116"/>
      <c r="D126" s="116"/>
      <c r="E126" s="116"/>
      <c r="F126" s="116"/>
      <c r="G126" s="116"/>
      <c r="H126" s="116"/>
      <c r="I126" s="116"/>
      <c r="J126" s="116"/>
      <c r="K126" s="116"/>
      <c r="L126" s="116"/>
      <c r="M126" s="116"/>
      <c r="N126" s="116"/>
      <c r="O126" s="116"/>
      <c r="P126" s="116"/>
      <c r="Q126" s="116"/>
      <c r="R126" s="159"/>
      <c r="S126" s="119"/>
      <c r="T126" s="2"/>
    </row>
    <row r="127" spans="1:20" ht="15.75" x14ac:dyDescent="0.25">
      <c r="A127" s="115"/>
      <c r="B127" s="116" t="s">
        <v>187</v>
      </c>
      <c r="C127" s="116"/>
      <c r="D127" s="116"/>
      <c r="E127" s="116"/>
      <c r="F127" s="116"/>
      <c r="G127" s="116"/>
      <c r="H127" s="116"/>
      <c r="I127" s="116"/>
      <c r="J127" s="116"/>
      <c r="K127" s="116"/>
      <c r="L127" s="116"/>
      <c r="M127" s="116"/>
      <c r="N127" s="116"/>
      <c r="O127" s="116"/>
      <c r="P127" s="116"/>
      <c r="Q127" s="116"/>
      <c r="R127" s="159">
        <v>0</v>
      </c>
      <c r="S127" s="119"/>
      <c r="T127" s="2"/>
    </row>
    <row r="128" spans="1:20" ht="15.75" x14ac:dyDescent="0.25">
      <c r="A128" s="115"/>
      <c r="B128" s="116" t="s">
        <v>40</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109</v>
      </c>
      <c r="C129" s="116"/>
      <c r="D129" s="116"/>
      <c r="E129" s="116"/>
      <c r="F129" s="116"/>
      <c r="G129" s="116"/>
      <c r="H129" s="116"/>
      <c r="I129" s="116"/>
      <c r="J129" s="116"/>
      <c r="K129" s="116"/>
      <c r="L129" s="116"/>
      <c r="M129" s="116"/>
      <c r="N129" s="116"/>
      <c r="O129" s="116"/>
      <c r="P129" s="116"/>
      <c r="Q129" s="116"/>
      <c r="R129" s="159">
        <v>0</v>
      </c>
      <c r="S129" s="119"/>
      <c r="T129" s="2"/>
    </row>
    <row r="130" spans="1:21" ht="15.75" x14ac:dyDescent="0.25">
      <c r="A130" s="115"/>
      <c r="B130" s="116" t="s">
        <v>203</v>
      </c>
      <c r="C130" s="116"/>
      <c r="D130" s="116"/>
      <c r="E130" s="116"/>
      <c r="F130" s="116"/>
      <c r="G130" s="116"/>
      <c r="H130" s="116"/>
      <c r="I130" s="116"/>
      <c r="J130" s="116"/>
      <c r="K130" s="116"/>
      <c r="L130" s="116"/>
      <c r="M130" s="116"/>
      <c r="N130" s="116"/>
      <c r="O130" s="116"/>
      <c r="P130" s="116"/>
      <c r="Q130" s="116"/>
      <c r="R130" s="159">
        <v>0</v>
      </c>
      <c r="S130" s="119"/>
      <c r="T130" s="2"/>
      <c r="U130" s="4"/>
    </row>
    <row r="131" spans="1:21" ht="15.75" x14ac:dyDescent="0.25">
      <c r="A131" s="115"/>
      <c r="B131" s="116" t="s">
        <v>41</v>
      </c>
      <c r="C131" s="116"/>
      <c r="D131" s="116"/>
      <c r="E131" s="116"/>
      <c r="F131" s="116"/>
      <c r="G131" s="116"/>
      <c r="H131" s="116"/>
      <c r="I131" s="116"/>
      <c r="J131" s="116"/>
      <c r="K131" s="116"/>
      <c r="L131" s="116"/>
      <c r="M131" s="116"/>
      <c r="N131" s="116"/>
      <c r="O131" s="116"/>
      <c r="P131" s="116"/>
      <c r="Q131" s="116"/>
      <c r="R131" s="159">
        <f>SUM(R123:R130)</f>
        <v>4914</v>
      </c>
      <c r="S131" s="119"/>
      <c r="T131" s="2"/>
    </row>
    <row r="132" spans="1:21" ht="15.75" x14ac:dyDescent="0.25">
      <c r="A132" s="115"/>
      <c r="B132" s="138"/>
      <c r="C132" s="138"/>
      <c r="D132" s="138"/>
      <c r="E132" s="138"/>
      <c r="F132" s="138"/>
      <c r="G132" s="138"/>
      <c r="H132" s="138"/>
      <c r="I132" s="138"/>
      <c r="J132" s="138"/>
      <c r="K132" s="138"/>
      <c r="L132" s="138"/>
      <c r="M132" s="138"/>
      <c r="N132" s="138"/>
      <c r="O132" s="138"/>
      <c r="P132" s="138"/>
      <c r="Q132" s="138"/>
      <c r="R132" s="166"/>
      <c r="S132" s="142"/>
      <c r="T132" s="2"/>
    </row>
    <row r="133" spans="1:21" ht="15.75" x14ac:dyDescent="0.25">
      <c r="A133" s="115"/>
      <c r="B133" s="163" t="s">
        <v>198</v>
      </c>
      <c r="C133" s="138"/>
      <c r="D133" s="138"/>
      <c r="E133" s="138"/>
      <c r="F133" s="138"/>
      <c r="G133" s="138"/>
      <c r="H133" s="138"/>
      <c r="I133" s="138"/>
      <c r="J133" s="138"/>
      <c r="K133" s="138"/>
      <c r="L133" s="138"/>
      <c r="M133" s="138"/>
      <c r="N133" s="138"/>
      <c r="O133" s="138"/>
      <c r="P133" s="138"/>
      <c r="Q133" s="138"/>
      <c r="R133" s="166"/>
      <c r="S133" s="142"/>
      <c r="T133" s="2"/>
    </row>
    <row r="134" spans="1:21" ht="15.75" x14ac:dyDescent="0.25">
      <c r="A134" s="115"/>
      <c r="B134" s="116" t="s">
        <v>128</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140</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152</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38"/>
      <c r="C137" s="138"/>
      <c r="D137" s="138"/>
      <c r="E137" s="138"/>
      <c r="F137" s="138"/>
      <c r="G137" s="138"/>
      <c r="H137" s="138"/>
      <c r="I137" s="138"/>
      <c r="J137" s="138"/>
      <c r="K137" s="138"/>
      <c r="L137" s="138"/>
      <c r="M137" s="138"/>
      <c r="N137" s="138"/>
      <c r="O137" s="138"/>
      <c r="P137" s="138"/>
      <c r="Q137" s="138"/>
      <c r="R137" s="166"/>
      <c r="S137" s="142"/>
      <c r="T137" s="2"/>
    </row>
    <row r="138" spans="1:21" ht="15.75" x14ac:dyDescent="0.25">
      <c r="A138" s="12"/>
      <c r="B138" s="43"/>
      <c r="C138" s="43"/>
      <c r="D138" s="43"/>
      <c r="E138" s="43"/>
      <c r="F138" s="43"/>
      <c r="G138" s="43"/>
      <c r="H138" s="43"/>
      <c r="I138" s="43"/>
      <c r="J138" s="43"/>
      <c r="K138" s="43"/>
      <c r="L138" s="43"/>
      <c r="M138" s="43"/>
      <c r="N138" s="43"/>
      <c r="O138" s="43"/>
      <c r="P138" s="43"/>
      <c r="Q138" s="43"/>
      <c r="R138" s="165"/>
      <c r="S138" s="43"/>
      <c r="T138" s="2"/>
    </row>
    <row r="139" spans="1:21" ht="15.75" x14ac:dyDescent="0.25">
      <c r="A139" s="12"/>
      <c r="B139" s="41" t="s">
        <v>220</v>
      </c>
      <c r="C139" s="14"/>
      <c r="D139" s="14"/>
      <c r="E139" s="14"/>
      <c r="F139" s="14"/>
      <c r="G139" s="14"/>
      <c r="H139" s="14"/>
      <c r="I139" s="14"/>
      <c r="J139" s="14"/>
      <c r="K139" s="14"/>
      <c r="L139" s="14"/>
      <c r="M139" s="14"/>
      <c r="N139" s="14"/>
      <c r="O139" s="14"/>
      <c r="P139" s="14"/>
      <c r="Q139" s="14"/>
      <c r="R139" s="33"/>
      <c r="S139" s="14"/>
      <c r="T139" s="2"/>
    </row>
    <row r="140" spans="1:21" ht="15.75" x14ac:dyDescent="0.25">
      <c r="A140" s="115"/>
      <c r="B140" s="116" t="s">
        <v>210</v>
      </c>
      <c r="C140" s="116"/>
      <c r="D140" s="116"/>
      <c r="E140" s="116"/>
      <c r="F140" s="116"/>
      <c r="G140" s="116"/>
      <c r="H140" s="116"/>
      <c r="I140" s="116"/>
      <c r="J140" s="116"/>
      <c r="K140" s="116"/>
      <c r="L140" s="116"/>
      <c r="M140" s="116"/>
      <c r="N140" s="116"/>
      <c r="O140" s="116"/>
      <c r="P140" s="116"/>
      <c r="Q140" s="116"/>
      <c r="R140" s="159">
        <v>0</v>
      </c>
      <c r="S140" s="142"/>
      <c r="T140" s="2"/>
    </row>
    <row r="141" spans="1:21" ht="15.75" x14ac:dyDescent="0.25">
      <c r="A141" s="115"/>
      <c r="B141" s="116" t="s">
        <v>213</v>
      </c>
      <c r="C141" s="118"/>
      <c r="D141" s="118"/>
      <c r="E141" s="118"/>
      <c r="F141" s="118"/>
      <c r="G141" s="118"/>
      <c r="H141" s="118"/>
      <c r="I141" s="118"/>
      <c r="J141" s="118"/>
      <c r="K141" s="118"/>
      <c r="L141" s="118"/>
      <c r="M141" s="118"/>
      <c r="N141" s="118"/>
      <c r="O141" s="118"/>
      <c r="P141" s="118"/>
      <c r="Q141" s="118"/>
      <c r="R141" s="159">
        <f>J69</f>
        <v>0</v>
      </c>
      <c r="S141" s="142"/>
      <c r="T141" s="2"/>
    </row>
    <row r="142" spans="1:21" ht="15.75" x14ac:dyDescent="0.25">
      <c r="A142" s="115"/>
      <c r="B142" s="116" t="s">
        <v>214</v>
      </c>
      <c r="C142" s="116"/>
      <c r="D142" s="116"/>
      <c r="E142" s="116"/>
      <c r="F142" s="116"/>
      <c r="G142" s="116"/>
      <c r="H142" s="116"/>
      <c r="I142" s="116"/>
      <c r="J142" s="116"/>
      <c r="K142" s="116"/>
      <c r="L142" s="116"/>
      <c r="M142" s="116"/>
      <c r="N142" s="116"/>
      <c r="O142" s="116"/>
      <c r="P142" s="116"/>
      <c r="Q142" s="116"/>
      <c r="R142" s="159">
        <f>R140+R141</f>
        <v>0</v>
      </c>
      <c r="S142" s="142"/>
      <c r="T142" s="2"/>
    </row>
    <row r="143" spans="1:21" ht="15.75" x14ac:dyDescent="0.25">
      <c r="A143" s="12"/>
      <c r="B143" s="43"/>
      <c r="C143" s="43"/>
      <c r="D143" s="43"/>
      <c r="E143" s="43"/>
      <c r="F143" s="43"/>
      <c r="G143" s="43"/>
      <c r="H143" s="43"/>
      <c r="I143" s="43"/>
      <c r="J143" s="43"/>
      <c r="K143" s="43"/>
      <c r="L143" s="43"/>
      <c r="M143" s="43"/>
      <c r="N143" s="43"/>
      <c r="O143" s="43"/>
      <c r="P143" s="43"/>
      <c r="Q143" s="43"/>
      <c r="R143" s="165"/>
      <c r="S143" s="43"/>
      <c r="T143" s="2"/>
    </row>
    <row r="144" spans="1:21" ht="15.75" x14ac:dyDescent="0.25">
      <c r="A144" s="12"/>
      <c r="B144" s="41" t="s">
        <v>42</v>
      </c>
      <c r="C144" s="14"/>
      <c r="D144" s="14"/>
      <c r="E144" s="14"/>
      <c r="F144" s="14"/>
      <c r="G144" s="14"/>
      <c r="H144" s="14"/>
      <c r="I144" s="14"/>
      <c r="J144" s="14"/>
      <c r="K144" s="14"/>
      <c r="L144" s="14"/>
      <c r="M144" s="14"/>
      <c r="N144" s="14"/>
      <c r="O144" s="14"/>
      <c r="P144" s="14"/>
      <c r="Q144" s="14"/>
      <c r="R144" s="42"/>
      <c r="S144" s="14"/>
      <c r="T144" s="2"/>
    </row>
    <row r="145" spans="1:252" ht="15.75" x14ac:dyDescent="0.25">
      <c r="A145" s="115"/>
      <c r="B145" s="116" t="s">
        <v>43</v>
      </c>
      <c r="C145" s="116"/>
      <c r="D145" s="116"/>
      <c r="E145" s="116"/>
      <c r="F145" s="116"/>
      <c r="G145" s="116"/>
      <c r="H145" s="116"/>
      <c r="I145" s="116"/>
      <c r="J145" s="116"/>
      <c r="K145" s="116"/>
      <c r="L145" s="116"/>
      <c r="M145" s="116"/>
      <c r="N145" s="116"/>
      <c r="O145" s="116"/>
      <c r="P145" s="116"/>
      <c r="Q145" s="116"/>
      <c r="R145" s="159">
        <v>0</v>
      </c>
      <c r="S145" s="119"/>
      <c r="T145" s="2"/>
    </row>
    <row r="146" spans="1:252" ht="15.75" x14ac:dyDescent="0.25">
      <c r="A146" s="115"/>
      <c r="B146" s="116" t="s">
        <v>44</v>
      </c>
      <c r="C146" s="116"/>
      <c r="D146" s="116"/>
      <c r="E146" s="116"/>
      <c r="F146" s="116"/>
      <c r="G146" s="116"/>
      <c r="H146" s="116"/>
      <c r="I146" s="116"/>
      <c r="J146" s="116"/>
      <c r="K146" s="116"/>
      <c r="L146" s="116"/>
      <c r="M146" s="116"/>
      <c r="N146" s="116"/>
      <c r="O146" s="116"/>
      <c r="P146" s="116"/>
      <c r="Q146" s="116"/>
      <c r="R146" s="159">
        <v>0</v>
      </c>
      <c r="S146" s="119"/>
      <c r="T146" s="2"/>
    </row>
    <row r="147" spans="1:252" ht="15.75" x14ac:dyDescent="0.25">
      <c r="A147" s="115"/>
      <c r="B147" s="116" t="s">
        <v>45</v>
      </c>
      <c r="C147" s="116"/>
      <c r="D147" s="116"/>
      <c r="E147" s="116"/>
      <c r="F147" s="116"/>
      <c r="G147" s="116"/>
      <c r="H147" s="116"/>
      <c r="I147" s="116"/>
      <c r="J147" s="116"/>
      <c r="K147" s="116"/>
      <c r="L147" s="116"/>
      <c r="M147" s="116"/>
      <c r="N147" s="116"/>
      <c r="O147" s="116"/>
      <c r="P147" s="116"/>
      <c r="Q147" s="116"/>
      <c r="R147" s="159">
        <f>R146+R145</f>
        <v>0</v>
      </c>
      <c r="S147" s="119"/>
      <c r="T147" s="2"/>
    </row>
    <row r="148" spans="1:252" ht="15.75" x14ac:dyDescent="0.25">
      <c r="A148" s="115"/>
      <c r="B148" s="116" t="s">
        <v>224</v>
      </c>
      <c r="C148" s="116"/>
      <c r="D148" s="116"/>
      <c r="E148" s="116"/>
      <c r="F148" s="116"/>
      <c r="G148" s="116"/>
      <c r="H148" s="116"/>
      <c r="I148" s="116"/>
      <c r="J148" s="116"/>
      <c r="K148" s="116"/>
      <c r="L148" s="116"/>
      <c r="M148" s="116"/>
      <c r="N148" s="116"/>
      <c r="O148" s="116"/>
      <c r="P148" s="116"/>
      <c r="Q148" s="116"/>
      <c r="R148" s="159">
        <f>R99</f>
        <v>0</v>
      </c>
      <c r="S148" s="119"/>
      <c r="T148" s="2"/>
    </row>
    <row r="149" spans="1:252" ht="15.75" x14ac:dyDescent="0.25">
      <c r="A149" s="115"/>
      <c r="B149" s="116" t="s">
        <v>46</v>
      </c>
      <c r="C149" s="116"/>
      <c r="D149" s="116"/>
      <c r="E149" s="116"/>
      <c r="F149" s="116"/>
      <c r="G149" s="116"/>
      <c r="H149" s="116"/>
      <c r="I149" s="116"/>
      <c r="J149" s="116"/>
      <c r="K149" s="116"/>
      <c r="L149" s="116"/>
      <c r="M149" s="116"/>
      <c r="N149" s="116"/>
      <c r="O149" s="116"/>
      <c r="P149" s="116"/>
      <c r="Q149" s="116"/>
      <c r="R149" s="159">
        <f>R147+R148</f>
        <v>0</v>
      </c>
      <c r="S149" s="119"/>
      <c r="T149" s="2"/>
    </row>
    <row r="150" spans="1:252" ht="15.75" x14ac:dyDescent="0.25">
      <c r="A150" s="115"/>
      <c r="B150" s="116" t="s">
        <v>166</v>
      </c>
      <c r="C150" s="116"/>
      <c r="D150" s="116"/>
      <c r="E150" s="116"/>
      <c r="F150" s="116"/>
      <c r="G150" s="116"/>
      <c r="H150" s="116"/>
      <c r="I150" s="116"/>
      <c r="J150" s="116"/>
      <c r="K150" s="116"/>
      <c r="L150" s="116"/>
      <c r="M150" s="116"/>
      <c r="N150" s="116"/>
      <c r="O150" s="116"/>
      <c r="P150" s="116"/>
      <c r="Q150" s="116"/>
      <c r="R150" s="159">
        <f>-R90</f>
        <v>0</v>
      </c>
      <c r="S150" s="119"/>
      <c r="T150" s="2"/>
    </row>
    <row r="151" spans="1:252" ht="16.5" thickBot="1" x14ac:dyDescent="0.3">
      <c r="A151" s="12"/>
      <c r="B151" s="43"/>
      <c r="C151" s="43"/>
      <c r="D151" s="43"/>
      <c r="E151" s="43"/>
      <c r="F151" s="43"/>
      <c r="G151" s="43"/>
      <c r="H151" s="43"/>
      <c r="I151" s="43"/>
      <c r="J151" s="43"/>
      <c r="K151" s="43"/>
      <c r="L151" s="43"/>
      <c r="M151" s="43"/>
      <c r="N151" s="43"/>
      <c r="O151" s="43"/>
      <c r="P151" s="43"/>
      <c r="Q151" s="43"/>
      <c r="R151" s="165"/>
      <c r="S151" s="43"/>
      <c r="T151" s="2"/>
    </row>
    <row r="152" spans="1:252" ht="15.75" x14ac:dyDescent="0.25">
      <c r="A152" s="10"/>
      <c r="B152" s="11"/>
      <c r="C152" s="11"/>
      <c r="D152" s="11"/>
      <c r="E152" s="11"/>
      <c r="F152" s="11"/>
      <c r="G152" s="11"/>
      <c r="H152" s="11"/>
      <c r="I152" s="11"/>
      <c r="J152" s="11"/>
      <c r="K152" s="11"/>
      <c r="L152" s="11"/>
      <c r="M152" s="11"/>
      <c r="N152" s="11"/>
      <c r="O152" s="11"/>
      <c r="P152" s="11"/>
      <c r="Q152" s="11"/>
      <c r="R152" s="32"/>
      <c r="S152" s="11"/>
      <c r="T152" s="2"/>
    </row>
    <row r="153" spans="1:252" s="6" customFormat="1" ht="15.75" x14ac:dyDescent="0.25">
      <c r="A153" s="12"/>
      <c r="B153" s="41" t="s">
        <v>155</v>
      </c>
      <c r="C153" s="43"/>
      <c r="D153" s="43"/>
      <c r="E153" s="43"/>
      <c r="F153" s="43"/>
      <c r="G153" s="43"/>
      <c r="H153" s="43"/>
      <c r="I153" s="43"/>
      <c r="J153" s="43"/>
      <c r="K153" s="43"/>
      <c r="L153" s="43"/>
      <c r="M153" s="43"/>
      <c r="N153" s="43"/>
      <c r="O153" s="43"/>
      <c r="P153" s="43"/>
      <c r="Q153" s="43"/>
      <c r="R153" s="44"/>
      <c r="S153" s="43"/>
      <c r="T153" s="2"/>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row>
    <row r="154" spans="1:252" s="7" customFormat="1" ht="15.75" x14ac:dyDescent="0.25">
      <c r="A154" s="115"/>
      <c r="B154" s="116" t="s">
        <v>156</v>
      </c>
      <c r="C154" s="116"/>
      <c r="D154" s="116"/>
      <c r="E154" s="116"/>
      <c r="F154" s="116"/>
      <c r="G154" s="116"/>
      <c r="H154" s="116"/>
      <c r="I154" s="116"/>
      <c r="J154" s="116"/>
      <c r="K154" s="116"/>
      <c r="L154" s="116"/>
      <c r="M154" s="116"/>
      <c r="N154" s="116"/>
      <c r="O154" s="116"/>
      <c r="P154" s="116"/>
      <c r="Q154" s="116"/>
      <c r="R154" s="159">
        <v>0</v>
      </c>
      <c r="S154" s="119"/>
      <c r="T154" s="2"/>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row>
    <row r="155" spans="1:252" s="7" customFormat="1" ht="15.75" x14ac:dyDescent="0.25">
      <c r="A155" s="115"/>
      <c r="B155" s="116" t="s">
        <v>159</v>
      </c>
      <c r="C155" s="116"/>
      <c r="D155" s="116"/>
      <c r="E155" s="116"/>
      <c r="F155" s="116"/>
      <c r="G155" s="116"/>
      <c r="H155" s="116"/>
      <c r="I155" s="116"/>
      <c r="J155" s="116"/>
      <c r="K155" s="116"/>
      <c r="L155" s="116"/>
      <c r="M155" s="116"/>
      <c r="N155" s="116"/>
      <c r="O155" s="116"/>
      <c r="P155" s="116"/>
      <c r="Q155" s="116"/>
      <c r="R155" s="159">
        <f>+R83</f>
        <v>0</v>
      </c>
      <c r="S155" s="119"/>
      <c r="T155" s="2"/>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row>
    <row r="156" spans="1:252" s="7" customFormat="1" ht="15.75" x14ac:dyDescent="0.25">
      <c r="A156" s="115"/>
      <c r="B156" s="116" t="s">
        <v>157</v>
      </c>
      <c r="C156" s="116"/>
      <c r="D156" s="116"/>
      <c r="E156" s="116"/>
      <c r="F156" s="116"/>
      <c r="G156" s="116"/>
      <c r="H156" s="116"/>
      <c r="I156" s="116"/>
      <c r="J156" s="116"/>
      <c r="K156" s="116"/>
      <c r="L156" s="116"/>
      <c r="M156" s="116"/>
      <c r="N156" s="116"/>
      <c r="O156" s="116"/>
      <c r="P156" s="116"/>
      <c r="Q156" s="116"/>
      <c r="R156" s="159">
        <f>+R154-R155</f>
        <v>0</v>
      </c>
      <c r="S156" s="119"/>
      <c r="T156" s="2"/>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row>
    <row r="157" spans="1:252" s="8" customFormat="1" ht="16.5" thickBot="1" x14ac:dyDescent="0.3">
      <c r="A157" s="28"/>
      <c r="B157" s="43"/>
      <c r="C157" s="43"/>
      <c r="D157" s="43"/>
      <c r="E157" s="43"/>
      <c r="F157" s="43"/>
      <c r="G157" s="43"/>
      <c r="H157" s="43"/>
      <c r="I157" s="43"/>
      <c r="J157" s="43"/>
      <c r="K157" s="43"/>
      <c r="L157" s="43"/>
      <c r="M157" s="43"/>
      <c r="N157" s="43"/>
      <c r="O157" s="43"/>
      <c r="P157" s="43"/>
      <c r="Q157" s="43"/>
      <c r="R157" s="165"/>
      <c r="S157" s="43"/>
      <c r="T157" s="2"/>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row>
    <row r="158" spans="1:252" s="9" customFormat="1" ht="15.75" x14ac:dyDescent="0.25">
      <c r="A158" s="10"/>
      <c r="B158" s="11"/>
      <c r="C158" s="11"/>
      <c r="D158" s="11"/>
      <c r="E158" s="11"/>
      <c r="F158" s="11"/>
      <c r="G158" s="11"/>
      <c r="H158" s="11"/>
      <c r="I158" s="11"/>
      <c r="J158" s="11"/>
      <c r="K158" s="11"/>
      <c r="L158" s="11"/>
      <c r="M158" s="11"/>
      <c r="N158" s="11"/>
      <c r="O158" s="11"/>
      <c r="P158" s="11"/>
      <c r="Q158" s="11"/>
      <c r="R158" s="32"/>
      <c r="S158" s="11"/>
      <c r="T158" s="2"/>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row>
    <row r="159" spans="1:252" ht="15.75" x14ac:dyDescent="0.25">
      <c r="A159" s="12"/>
      <c r="B159" s="41" t="s">
        <v>47</v>
      </c>
      <c r="C159" s="14"/>
      <c r="D159" s="14"/>
      <c r="E159" s="14"/>
      <c r="F159" s="14"/>
      <c r="G159" s="14"/>
      <c r="H159" s="14"/>
      <c r="I159" s="14"/>
      <c r="J159" s="14"/>
      <c r="K159" s="14"/>
      <c r="L159" s="14"/>
      <c r="M159" s="14"/>
      <c r="N159" s="14"/>
      <c r="O159" s="14"/>
      <c r="P159" s="14"/>
      <c r="Q159" s="14"/>
      <c r="R159" s="33"/>
      <c r="S159" s="14"/>
      <c r="T159" s="2"/>
    </row>
    <row r="160" spans="1:252" ht="15.75" x14ac:dyDescent="0.25">
      <c r="A160" s="12"/>
      <c r="B160" s="22"/>
      <c r="C160" s="14"/>
      <c r="D160" s="14"/>
      <c r="E160" s="14"/>
      <c r="F160" s="14"/>
      <c r="G160" s="14"/>
      <c r="H160" s="14"/>
      <c r="I160" s="14"/>
      <c r="J160" s="14"/>
      <c r="K160" s="14"/>
      <c r="L160" s="14"/>
      <c r="M160" s="14"/>
      <c r="N160" s="14"/>
      <c r="O160" s="14"/>
      <c r="P160" s="14"/>
      <c r="Q160" s="14"/>
      <c r="R160" s="33"/>
      <c r="S160" s="14"/>
      <c r="T160" s="2"/>
    </row>
    <row r="161" spans="1:20" ht="15.75" x14ac:dyDescent="0.25">
      <c r="A161" s="115"/>
      <c r="B161" s="116" t="s">
        <v>221</v>
      </c>
      <c r="C161" s="116"/>
      <c r="D161" s="116"/>
      <c r="E161" s="116"/>
      <c r="F161" s="116"/>
      <c r="G161" s="116"/>
      <c r="H161" s="116"/>
      <c r="I161" s="116"/>
      <c r="J161" s="116"/>
      <c r="K161" s="116"/>
      <c r="L161" s="116"/>
      <c r="M161" s="116"/>
      <c r="N161" s="116"/>
      <c r="O161" s="116"/>
      <c r="P161" s="116"/>
      <c r="Q161" s="116"/>
      <c r="R161" s="159">
        <f>+R59</f>
        <v>128573</v>
      </c>
      <c r="S161" s="119"/>
      <c r="T161" s="2"/>
    </row>
    <row r="162" spans="1:20" ht="15.75" x14ac:dyDescent="0.25">
      <c r="A162" s="115"/>
      <c r="B162" s="116" t="s">
        <v>222</v>
      </c>
      <c r="C162" s="116"/>
      <c r="D162" s="116"/>
      <c r="E162" s="116"/>
      <c r="F162" s="116"/>
      <c r="G162" s="116"/>
      <c r="H162" s="116"/>
      <c r="I162" s="116"/>
      <c r="J162" s="116"/>
      <c r="K162" s="116"/>
      <c r="L162" s="116"/>
      <c r="M162" s="116"/>
      <c r="N162" s="116"/>
      <c r="O162" s="116"/>
      <c r="P162" s="116"/>
      <c r="Q162" s="116"/>
      <c r="R162" s="159">
        <f>+R69</f>
        <v>0</v>
      </c>
      <c r="S162" s="119"/>
      <c r="T162" s="2"/>
    </row>
    <row r="163" spans="1:20" ht="15.75" x14ac:dyDescent="0.25">
      <c r="A163" s="115"/>
      <c r="B163" s="217" t="s">
        <v>233</v>
      </c>
      <c r="C163" s="116"/>
      <c r="D163" s="116"/>
      <c r="E163" s="116"/>
      <c r="F163" s="116"/>
      <c r="G163" s="116"/>
      <c r="H163" s="116"/>
      <c r="I163" s="116"/>
      <c r="J163" s="116"/>
      <c r="K163" s="116"/>
      <c r="L163" s="116"/>
      <c r="M163" s="116"/>
      <c r="N163" s="116"/>
      <c r="O163" s="116"/>
      <c r="P163" s="116"/>
      <c r="Q163" s="116"/>
      <c r="R163" s="159">
        <f>+R70</f>
        <v>0</v>
      </c>
      <c r="S163" s="119"/>
      <c r="T163" s="2"/>
    </row>
    <row r="164" spans="1:20" ht="15.75" x14ac:dyDescent="0.25">
      <c r="A164" s="115"/>
      <c r="B164" s="116" t="s">
        <v>136</v>
      </c>
      <c r="C164" s="116"/>
      <c r="D164" s="116"/>
      <c r="E164" s="116"/>
      <c r="F164" s="116"/>
      <c r="G164" s="116"/>
      <c r="H164" s="116"/>
      <c r="I164" s="116"/>
      <c r="J164" s="116"/>
      <c r="K164" s="116"/>
      <c r="L164" s="116"/>
      <c r="M164" s="116"/>
      <c r="N164" s="116"/>
      <c r="O164" s="116"/>
      <c r="P164" s="116"/>
      <c r="Q164" s="116"/>
      <c r="R164" s="159">
        <f>+R161+R162+R163</f>
        <v>128573</v>
      </c>
      <c r="S164" s="119"/>
      <c r="T164" s="2"/>
    </row>
    <row r="165" spans="1:20" ht="15.75" x14ac:dyDescent="0.25">
      <c r="A165" s="115"/>
      <c r="B165" s="116" t="s">
        <v>48</v>
      </c>
      <c r="C165" s="116"/>
      <c r="D165" s="116"/>
      <c r="E165" s="116"/>
      <c r="F165" s="116"/>
      <c r="G165" s="116"/>
      <c r="H165" s="116"/>
      <c r="I165" s="116"/>
      <c r="J165" s="116"/>
      <c r="K165" s="116"/>
      <c r="L165" s="116"/>
      <c r="M165" s="116"/>
      <c r="N165" s="116"/>
      <c r="O165" s="116"/>
      <c r="P165" s="116"/>
      <c r="Q165" s="116"/>
      <c r="R165" s="159">
        <f>R72</f>
        <v>128573</v>
      </c>
      <c r="S165" s="119"/>
      <c r="T165" s="2"/>
    </row>
    <row r="166" spans="1:20" ht="16.5" thickBot="1" x14ac:dyDescent="0.3">
      <c r="A166" s="12"/>
      <c r="B166" s="43"/>
      <c r="C166" s="43"/>
      <c r="D166" s="43"/>
      <c r="E166" s="43"/>
      <c r="F166" s="43"/>
      <c r="G166" s="43"/>
      <c r="H166" s="43"/>
      <c r="I166" s="43"/>
      <c r="J166" s="43"/>
      <c r="K166" s="43"/>
      <c r="L166" s="43"/>
      <c r="M166" s="43"/>
      <c r="N166" s="43"/>
      <c r="O166" s="43"/>
      <c r="P166" s="43"/>
      <c r="Q166" s="43"/>
      <c r="R166" s="165"/>
      <c r="S166" s="43"/>
      <c r="T166" s="2"/>
    </row>
    <row r="167" spans="1:20" ht="15.75" x14ac:dyDescent="0.25">
      <c r="A167" s="10"/>
      <c r="B167" s="11"/>
      <c r="C167" s="11"/>
      <c r="D167" s="11"/>
      <c r="E167" s="11"/>
      <c r="F167" s="11"/>
      <c r="G167" s="11"/>
      <c r="H167" s="11"/>
      <c r="I167" s="11"/>
      <c r="J167" s="11"/>
      <c r="K167" s="11"/>
      <c r="L167" s="11"/>
      <c r="M167" s="11"/>
      <c r="N167" s="11"/>
      <c r="O167" s="11"/>
      <c r="P167" s="11"/>
      <c r="Q167" s="11"/>
      <c r="R167" s="32"/>
      <c r="S167" s="11"/>
      <c r="T167" s="2"/>
    </row>
    <row r="168" spans="1:20" ht="15.75" x14ac:dyDescent="0.25">
      <c r="A168" s="12"/>
      <c r="B168" s="41" t="s">
        <v>49</v>
      </c>
      <c r="C168" s="37"/>
      <c r="D168" s="45"/>
      <c r="E168" s="45"/>
      <c r="F168" s="45"/>
      <c r="G168" s="45"/>
      <c r="H168" s="45"/>
      <c r="I168" s="45"/>
      <c r="J168" s="45"/>
      <c r="K168" s="45"/>
      <c r="L168" s="45"/>
      <c r="M168" s="45"/>
      <c r="N168" s="45"/>
      <c r="O168" s="45" t="s">
        <v>88</v>
      </c>
      <c r="P168" s="45" t="s">
        <v>215</v>
      </c>
      <c r="Q168" s="16"/>
      <c r="R168" s="46" t="s">
        <v>100</v>
      </c>
      <c r="S168" s="47"/>
      <c r="T168" s="2"/>
    </row>
    <row r="169" spans="1:20" ht="15.75" x14ac:dyDescent="0.25">
      <c r="A169" s="115"/>
      <c r="B169" s="116" t="s">
        <v>50</v>
      </c>
      <c r="C169" s="116"/>
      <c r="D169" s="116"/>
      <c r="E169" s="116"/>
      <c r="F169" s="116"/>
      <c r="G169" s="116"/>
      <c r="H169" s="116"/>
      <c r="I169" s="116"/>
      <c r="J169" s="116"/>
      <c r="K169" s="116"/>
      <c r="L169" s="116"/>
      <c r="M169" s="116"/>
      <c r="N169" s="116"/>
      <c r="O169" s="159">
        <f>+R28*0.16</f>
        <v>26208</v>
      </c>
      <c r="P169" s="148"/>
      <c r="Q169" s="116"/>
      <c r="R169" s="159"/>
      <c r="S169" s="119"/>
      <c r="T169" s="2"/>
    </row>
    <row r="170" spans="1:20" ht="15.75" x14ac:dyDescent="0.25">
      <c r="A170" s="115"/>
      <c r="B170" s="116" t="s">
        <v>51</v>
      </c>
      <c r="C170" s="116"/>
      <c r="D170" s="116"/>
      <c r="E170" s="116"/>
      <c r="F170" s="116"/>
      <c r="G170" s="116"/>
      <c r="H170" s="116"/>
      <c r="I170" s="116"/>
      <c r="J170" s="116"/>
      <c r="K170" s="116"/>
      <c r="L170" s="116"/>
      <c r="M170" s="116"/>
      <c r="N170" s="116"/>
      <c r="O170" s="159">
        <f>+'Sept 13'!O172</f>
        <v>949</v>
      </c>
      <c r="P170" s="159">
        <f>+'Sept 13'!P172</f>
        <v>175</v>
      </c>
      <c r="Q170" s="116"/>
      <c r="R170" s="159">
        <f>O170+P170</f>
        <v>1124</v>
      </c>
      <c r="S170" s="119"/>
      <c r="T170" s="2"/>
    </row>
    <row r="171" spans="1:20" ht="15.75" x14ac:dyDescent="0.25">
      <c r="A171" s="115"/>
      <c r="B171" s="116" t="s">
        <v>52</v>
      </c>
      <c r="C171" s="116"/>
      <c r="D171" s="116"/>
      <c r="E171" s="116"/>
      <c r="F171" s="116"/>
      <c r="G171" s="116"/>
      <c r="H171" s="116"/>
      <c r="I171" s="116"/>
      <c r="J171" s="116"/>
      <c r="K171" s="116"/>
      <c r="L171" s="116"/>
      <c r="M171" s="116"/>
      <c r="N171" s="116"/>
      <c r="O171" s="158">
        <v>18</v>
      </c>
      <c r="P171" s="158">
        <v>0</v>
      </c>
      <c r="Q171" s="116"/>
      <c r="R171" s="159">
        <f>O171+P171</f>
        <v>18</v>
      </c>
      <c r="S171" s="119"/>
      <c r="T171" s="2"/>
    </row>
    <row r="172" spans="1:20" ht="15.75" x14ac:dyDescent="0.25">
      <c r="A172" s="115"/>
      <c r="B172" s="116" t="s">
        <v>53</v>
      </c>
      <c r="C172" s="116"/>
      <c r="D172" s="116"/>
      <c r="E172" s="116"/>
      <c r="F172" s="116"/>
      <c r="G172" s="116"/>
      <c r="H172" s="116"/>
      <c r="I172" s="116"/>
      <c r="J172" s="116"/>
      <c r="K172" s="116"/>
      <c r="L172" s="116"/>
      <c r="M172" s="116"/>
      <c r="N172" s="116"/>
      <c r="O172" s="159">
        <f>O170+O171</f>
        <v>967</v>
      </c>
      <c r="P172" s="159">
        <f>P171+P170</f>
        <v>175</v>
      </c>
      <c r="Q172" s="116"/>
      <c r="R172" s="159">
        <f>O172+P172</f>
        <v>1142</v>
      </c>
      <c r="S172" s="119"/>
      <c r="T172" s="2"/>
    </row>
    <row r="173" spans="1:20" ht="15.75" x14ac:dyDescent="0.25">
      <c r="A173" s="115"/>
      <c r="B173" s="116" t="s">
        <v>54</v>
      </c>
      <c r="C173" s="116"/>
      <c r="D173" s="116"/>
      <c r="E173" s="116"/>
      <c r="F173" s="116"/>
      <c r="G173" s="116"/>
      <c r="H173" s="116"/>
      <c r="I173" s="116"/>
      <c r="J173" s="116"/>
      <c r="K173" s="116"/>
      <c r="L173" s="116"/>
      <c r="M173" s="116"/>
      <c r="N173" s="116"/>
      <c r="O173" s="159">
        <f>O169-O172-P172</f>
        <v>25066</v>
      </c>
      <c r="P173" s="148"/>
      <c r="Q173" s="116"/>
      <c r="R173" s="159"/>
      <c r="S173" s="119"/>
      <c r="T173" s="2"/>
    </row>
    <row r="174" spans="1:20"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0"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0" ht="15.75" x14ac:dyDescent="0.25">
      <c r="A176" s="12"/>
      <c r="B176" s="41" t="s">
        <v>55</v>
      </c>
      <c r="C176" s="14"/>
      <c r="D176" s="14"/>
      <c r="E176" s="14"/>
      <c r="F176" s="14"/>
      <c r="G176" s="14"/>
      <c r="H176" s="14"/>
      <c r="I176" s="14"/>
      <c r="J176" s="14"/>
      <c r="K176" s="14"/>
      <c r="L176" s="14"/>
      <c r="M176" s="14"/>
      <c r="N176" s="14"/>
      <c r="O176" s="14"/>
      <c r="P176" s="14"/>
      <c r="Q176" s="14"/>
      <c r="R176" s="48"/>
      <c r="S176" s="14"/>
      <c r="T176" s="2"/>
    </row>
    <row r="177" spans="1:20" ht="15.75" x14ac:dyDescent="0.25">
      <c r="A177" s="115"/>
      <c r="B177" s="116" t="s">
        <v>56</v>
      </c>
      <c r="C177" s="116"/>
      <c r="D177" s="116"/>
      <c r="E177" s="116"/>
      <c r="F177" s="116"/>
      <c r="G177" s="116"/>
      <c r="H177" s="116"/>
      <c r="I177" s="116"/>
      <c r="J177" s="116"/>
      <c r="K177" s="116"/>
      <c r="L177" s="116"/>
      <c r="M177" s="116"/>
      <c r="N177" s="116"/>
      <c r="O177" s="116"/>
      <c r="P177" s="116"/>
      <c r="Q177" s="116"/>
      <c r="R177" s="164">
        <f>(R91+R93+R94+R95+R96)/-(R97)</f>
        <v>2.0421753607103219</v>
      </c>
      <c r="S177" s="119" t="s">
        <v>101</v>
      </c>
      <c r="T177" s="2"/>
    </row>
    <row r="178" spans="1:20" ht="15.75" x14ac:dyDescent="0.25">
      <c r="A178" s="115"/>
      <c r="B178" s="116" t="s">
        <v>57</v>
      </c>
      <c r="C178" s="116"/>
      <c r="D178" s="116"/>
      <c r="E178" s="116"/>
      <c r="F178" s="116"/>
      <c r="G178" s="116"/>
      <c r="H178" s="116"/>
      <c r="I178" s="116"/>
      <c r="J178" s="116"/>
      <c r="K178" s="116"/>
      <c r="L178" s="116"/>
      <c r="M178" s="116"/>
      <c r="N178" s="116"/>
      <c r="O178" s="116"/>
      <c r="P178" s="116"/>
      <c r="Q178" s="116"/>
      <c r="R178" s="168">
        <v>1.63</v>
      </c>
      <c r="S178" s="119" t="s">
        <v>101</v>
      </c>
      <c r="T178" s="2"/>
    </row>
    <row r="179" spans="1:20" ht="15.75" x14ac:dyDescent="0.25">
      <c r="A179" s="115"/>
      <c r="B179" s="116" t="s">
        <v>194</v>
      </c>
      <c r="C179" s="116"/>
      <c r="D179" s="116"/>
      <c r="E179" s="116"/>
      <c r="F179" s="116"/>
      <c r="G179" s="116"/>
      <c r="H179" s="116"/>
      <c r="I179" s="116"/>
      <c r="J179" s="116"/>
      <c r="K179" s="116"/>
      <c r="L179" s="116"/>
      <c r="M179" s="116"/>
      <c r="N179" s="116"/>
      <c r="O179" s="116"/>
      <c r="P179" s="116"/>
      <c r="Q179" s="116"/>
      <c r="R179" s="164">
        <f>(R91+R93+R94+R95+R96+R97+R98+R99+R100+R101+R102)/-(R103)</f>
        <v>3.0622950819672132</v>
      </c>
      <c r="S179" s="119" t="s">
        <v>101</v>
      </c>
      <c r="T179" s="2"/>
    </row>
    <row r="180" spans="1:20" ht="15.75" x14ac:dyDescent="0.25">
      <c r="A180" s="115"/>
      <c r="B180" s="116" t="s">
        <v>195</v>
      </c>
      <c r="C180" s="116"/>
      <c r="D180" s="116"/>
      <c r="E180" s="116"/>
      <c r="F180" s="116"/>
      <c r="G180" s="116"/>
      <c r="H180" s="116"/>
      <c r="I180" s="116"/>
      <c r="J180" s="116"/>
      <c r="K180" s="116"/>
      <c r="L180" s="116"/>
      <c r="M180" s="116"/>
      <c r="N180" s="116"/>
      <c r="O180" s="116"/>
      <c r="P180" s="116"/>
      <c r="Q180" s="116"/>
      <c r="R180" s="168">
        <v>2.14</v>
      </c>
      <c r="S180" s="119" t="s">
        <v>101</v>
      </c>
      <c r="T180" s="2"/>
    </row>
    <row r="181" spans="1:20" ht="15.75" x14ac:dyDescent="0.25">
      <c r="A181" s="115"/>
      <c r="B181" s="116"/>
      <c r="C181" s="116"/>
      <c r="D181" s="116"/>
      <c r="E181" s="116"/>
      <c r="F181" s="116"/>
      <c r="G181" s="116"/>
      <c r="H181" s="116"/>
      <c r="I181" s="116"/>
      <c r="J181" s="116"/>
      <c r="K181" s="116"/>
      <c r="L181" s="116"/>
      <c r="M181" s="116"/>
      <c r="N181" s="116"/>
      <c r="O181" s="116"/>
      <c r="P181" s="116"/>
      <c r="Q181" s="116"/>
      <c r="R181" s="116"/>
      <c r="S181" s="119"/>
      <c r="T181" s="2"/>
    </row>
    <row r="182" spans="1:20" ht="15.75" x14ac:dyDescent="0.25">
      <c r="A182" s="12"/>
      <c r="B182" s="167"/>
      <c r="C182" s="167"/>
      <c r="D182" s="167"/>
      <c r="E182" s="167"/>
      <c r="F182" s="167"/>
      <c r="G182" s="167"/>
      <c r="H182" s="167"/>
      <c r="I182" s="167"/>
      <c r="J182" s="167"/>
      <c r="K182" s="167"/>
      <c r="L182" s="167"/>
      <c r="M182" s="167"/>
      <c r="N182" s="167"/>
      <c r="O182" s="167"/>
      <c r="P182" s="167"/>
      <c r="Q182" s="167"/>
      <c r="R182" s="167"/>
      <c r="S182" s="167"/>
      <c r="T182" s="2"/>
    </row>
    <row r="183" spans="1:20" ht="15.75" x14ac:dyDescent="0.25">
      <c r="A183" s="12"/>
      <c r="B183" s="86"/>
      <c r="C183" s="86"/>
      <c r="D183" s="86"/>
      <c r="E183" s="86"/>
      <c r="F183" s="86"/>
      <c r="G183" s="86"/>
      <c r="H183" s="86"/>
      <c r="I183" s="86"/>
      <c r="J183" s="86"/>
      <c r="K183" s="86"/>
      <c r="L183" s="86"/>
      <c r="M183" s="86"/>
      <c r="N183" s="86"/>
      <c r="O183" s="86"/>
      <c r="P183" s="86"/>
      <c r="Q183" s="86"/>
      <c r="R183" s="86"/>
      <c r="S183" s="86"/>
      <c r="T183" s="2"/>
    </row>
    <row r="184" spans="1:20" ht="19.5" thickBot="1" x14ac:dyDescent="0.35">
      <c r="A184" s="28"/>
      <c r="B184" s="100" t="str">
        <f>B118</f>
        <v>PM16 INVESTOR REPORT QUARTER ENDING DECEMBER 2013</v>
      </c>
      <c r="C184" s="101"/>
      <c r="D184" s="101"/>
      <c r="E184" s="101"/>
      <c r="F184" s="101"/>
      <c r="G184" s="101"/>
      <c r="H184" s="101"/>
      <c r="I184" s="101"/>
      <c r="J184" s="101"/>
      <c r="K184" s="101"/>
      <c r="L184" s="101"/>
      <c r="M184" s="101"/>
      <c r="N184" s="101"/>
      <c r="O184" s="101"/>
      <c r="P184" s="101"/>
      <c r="Q184" s="101"/>
      <c r="R184" s="101"/>
      <c r="S184" s="102"/>
      <c r="T184" s="2"/>
    </row>
    <row r="185" spans="1:20" ht="15.75" x14ac:dyDescent="0.25">
      <c r="A185" s="67"/>
      <c r="B185" s="68" t="s">
        <v>58</v>
      </c>
      <c r="C185" s="71"/>
      <c r="D185" s="72"/>
      <c r="E185" s="72"/>
      <c r="F185" s="72"/>
      <c r="G185" s="72"/>
      <c r="H185" s="72"/>
      <c r="I185" s="72"/>
      <c r="J185" s="72"/>
      <c r="K185" s="72"/>
      <c r="L185" s="72"/>
      <c r="M185" s="72"/>
      <c r="N185" s="72"/>
      <c r="O185" s="72"/>
      <c r="P185" s="218">
        <v>41639</v>
      </c>
      <c r="Q185" s="69"/>
      <c r="R185" s="69"/>
      <c r="S185" s="69"/>
      <c r="T185" s="2"/>
    </row>
    <row r="186" spans="1:20" ht="15.75" x14ac:dyDescent="0.25">
      <c r="A186" s="49"/>
      <c r="B186" s="50"/>
      <c r="C186" s="51"/>
      <c r="D186" s="52"/>
      <c r="E186" s="52"/>
      <c r="F186" s="52"/>
      <c r="G186" s="52"/>
      <c r="H186" s="52"/>
      <c r="I186" s="52"/>
      <c r="J186" s="52"/>
      <c r="K186" s="52"/>
      <c r="L186" s="52"/>
      <c r="M186" s="52"/>
      <c r="N186" s="52"/>
      <c r="O186" s="52"/>
      <c r="P186" s="52"/>
      <c r="Q186" s="14"/>
      <c r="R186" s="14"/>
      <c r="S186" s="14"/>
      <c r="T186" s="2"/>
    </row>
    <row r="187" spans="1:20" ht="15.75" x14ac:dyDescent="0.25">
      <c r="A187" s="171"/>
      <c r="B187" s="116" t="s">
        <v>59</v>
      </c>
      <c r="C187" s="172"/>
      <c r="D187" s="151"/>
      <c r="E187" s="151"/>
      <c r="F187" s="151"/>
      <c r="G187" s="151"/>
      <c r="H187" s="151"/>
      <c r="I187" s="151"/>
      <c r="J187" s="151"/>
      <c r="K187" s="151"/>
      <c r="L187" s="151"/>
      <c r="M187" s="151"/>
      <c r="N187" s="151"/>
      <c r="O187" s="151"/>
      <c r="P187" s="145">
        <v>4.777E-2</v>
      </c>
      <c r="Q187" s="116"/>
      <c r="R187" s="116"/>
      <c r="S187" s="119"/>
      <c r="T187" s="2"/>
    </row>
    <row r="188" spans="1:20" ht="15.75" x14ac:dyDescent="0.25">
      <c r="A188" s="171"/>
      <c r="B188" s="116" t="s">
        <v>196</v>
      </c>
      <c r="C188" s="172"/>
      <c r="D188" s="151"/>
      <c r="E188" s="151"/>
      <c r="F188" s="151"/>
      <c r="G188" s="151"/>
      <c r="H188" s="151"/>
      <c r="I188" s="151"/>
      <c r="J188" s="151"/>
      <c r="K188" s="151"/>
      <c r="L188" s="151"/>
      <c r="M188" s="151"/>
      <c r="N188" s="151"/>
      <c r="O188" s="151"/>
      <c r="P188" s="145">
        <f>+R34</f>
        <v>3.3829532298569845E-2</v>
      </c>
      <c r="Q188" s="116"/>
      <c r="R188" s="116"/>
      <c r="S188" s="119"/>
      <c r="T188" s="2"/>
    </row>
    <row r="189" spans="1:20" ht="15.75" x14ac:dyDescent="0.25">
      <c r="A189" s="171"/>
      <c r="B189" s="116" t="s">
        <v>60</v>
      </c>
      <c r="C189" s="172"/>
      <c r="D189" s="151"/>
      <c r="E189" s="151"/>
      <c r="F189" s="151"/>
      <c r="G189" s="151"/>
      <c r="H189" s="151"/>
      <c r="I189" s="151"/>
      <c r="J189" s="151"/>
      <c r="K189" s="151"/>
      <c r="L189" s="151"/>
      <c r="M189" s="151"/>
      <c r="N189" s="151"/>
      <c r="O189" s="151"/>
      <c r="P189" s="145">
        <f>P187-P188</f>
        <v>1.3940467701430155E-2</v>
      </c>
      <c r="Q189" s="116"/>
      <c r="R189" s="116"/>
      <c r="S189" s="119"/>
      <c r="T189" s="2"/>
    </row>
    <row r="190" spans="1:20" ht="15.75" x14ac:dyDescent="0.25">
      <c r="A190" s="171"/>
      <c r="B190" s="116" t="s">
        <v>200</v>
      </c>
      <c r="C190" s="172"/>
      <c r="D190" s="151"/>
      <c r="E190" s="151"/>
      <c r="F190" s="151"/>
      <c r="G190" s="151"/>
      <c r="H190" s="151"/>
      <c r="I190" s="151"/>
      <c r="J190" s="151"/>
      <c r="K190" s="151"/>
      <c r="L190" s="151"/>
      <c r="M190" s="151"/>
      <c r="N190" s="151"/>
      <c r="O190" s="151"/>
      <c r="P190" s="145">
        <v>4.5194999999999999E-2</v>
      </c>
      <c r="Q190" s="116"/>
      <c r="R190" s="116"/>
      <c r="S190" s="119"/>
      <c r="T190" s="2"/>
    </row>
    <row r="191" spans="1:20" ht="15.75" x14ac:dyDescent="0.25">
      <c r="A191" s="171"/>
      <c r="B191" s="116" t="s">
        <v>61</v>
      </c>
      <c r="C191" s="172"/>
      <c r="D191" s="151"/>
      <c r="E191" s="151"/>
      <c r="F191" s="151"/>
      <c r="G191" s="151"/>
      <c r="H191" s="151"/>
      <c r="I191" s="151"/>
      <c r="J191" s="151"/>
      <c r="K191" s="151"/>
      <c r="L191" s="151"/>
      <c r="M191" s="151"/>
      <c r="N191" s="151"/>
      <c r="O191" s="151"/>
      <c r="P191" s="145">
        <v>5.2159999999999998E-2</v>
      </c>
      <c r="Q191" s="116"/>
      <c r="R191" s="116"/>
      <c r="S191" s="119"/>
      <c r="T191" s="2"/>
    </row>
    <row r="192" spans="1:20" ht="15.75" x14ac:dyDescent="0.25">
      <c r="A192" s="171"/>
      <c r="B192" s="116" t="s">
        <v>197</v>
      </c>
      <c r="C192" s="172"/>
      <c r="D192" s="151"/>
      <c r="E192" s="151"/>
      <c r="F192" s="151"/>
      <c r="G192" s="151"/>
      <c r="H192" s="151"/>
      <c r="I192" s="151"/>
      <c r="J192" s="151"/>
      <c r="K192" s="151"/>
      <c r="L192" s="151"/>
      <c r="M192" s="151"/>
      <c r="N192" s="151"/>
      <c r="O192" s="151"/>
      <c r="P192" s="145">
        <f>R34</f>
        <v>3.3829532298569845E-2</v>
      </c>
      <c r="Q192" s="116"/>
      <c r="R192" s="116"/>
      <c r="S192" s="119"/>
      <c r="T192" s="2"/>
    </row>
    <row r="193" spans="1:20" ht="15.75" x14ac:dyDescent="0.25">
      <c r="A193" s="171"/>
      <c r="B193" s="116" t="s">
        <v>62</v>
      </c>
      <c r="C193" s="172"/>
      <c r="D193" s="151"/>
      <c r="E193" s="151"/>
      <c r="F193" s="151"/>
      <c r="G193" s="151"/>
      <c r="H193" s="151"/>
      <c r="I193" s="151"/>
      <c r="J193" s="151"/>
      <c r="K193" s="151"/>
      <c r="L193" s="151"/>
      <c r="M193" s="151"/>
      <c r="N193" s="151"/>
      <c r="O193" s="151"/>
      <c r="P193" s="145">
        <f>P191-P192</f>
        <v>1.8330467701430153E-2</v>
      </c>
      <c r="Q193" s="116"/>
      <c r="R193" s="116"/>
      <c r="S193" s="119"/>
      <c r="T193" s="2"/>
    </row>
    <row r="194" spans="1:20" ht="15.75" x14ac:dyDescent="0.25">
      <c r="A194" s="171"/>
      <c r="B194" s="116" t="s">
        <v>153</v>
      </c>
      <c r="C194" s="172"/>
      <c r="D194" s="151"/>
      <c r="E194" s="151"/>
      <c r="F194" s="151"/>
      <c r="G194" s="151"/>
      <c r="H194" s="151"/>
      <c r="I194" s="151"/>
      <c r="J194" s="151"/>
      <c r="K194" s="151"/>
      <c r="L194" s="151"/>
      <c r="M194" s="151"/>
      <c r="N194" s="151"/>
      <c r="O194" s="151"/>
      <c r="P194" s="145">
        <f>+R91/H72</f>
        <v>1.3487149037238104E-2</v>
      </c>
      <c r="Q194" s="116"/>
      <c r="R194" s="116"/>
      <c r="S194" s="119"/>
      <c r="T194" s="2"/>
    </row>
    <row r="195" spans="1:20" ht="15.75" x14ac:dyDescent="0.25">
      <c r="A195" s="171"/>
      <c r="B195" s="116" t="s">
        <v>145</v>
      </c>
      <c r="C195" s="172"/>
      <c r="D195" s="151"/>
      <c r="E195" s="151"/>
      <c r="F195" s="151"/>
      <c r="G195" s="151"/>
      <c r="H195" s="151"/>
      <c r="I195" s="151"/>
      <c r="J195" s="151"/>
      <c r="K195" s="151"/>
      <c r="L195" s="151"/>
      <c r="M195" s="151"/>
      <c r="N195" s="151"/>
      <c r="O195" s="151"/>
      <c r="P195" s="173">
        <v>50861</v>
      </c>
      <c r="Q195" s="116"/>
      <c r="R195" s="116"/>
      <c r="S195" s="119"/>
      <c r="T195" s="2"/>
    </row>
    <row r="196" spans="1:20" ht="15.75" x14ac:dyDescent="0.25">
      <c r="A196" s="171"/>
      <c r="B196" s="116" t="s">
        <v>173</v>
      </c>
      <c r="C196" s="172"/>
      <c r="D196" s="151"/>
      <c r="E196" s="151"/>
      <c r="F196" s="151"/>
      <c r="G196" s="151"/>
      <c r="H196" s="151"/>
      <c r="I196" s="151"/>
      <c r="J196" s="151"/>
      <c r="K196" s="151"/>
      <c r="L196" s="151"/>
      <c r="M196" s="151"/>
      <c r="N196" s="151"/>
      <c r="O196" s="151"/>
      <c r="P196" s="173">
        <v>50861</v>
      </c>
      <c r="Q196" s="116"/>
      <c r="R196" s="116"/>
      <c r="S196" s="119"/>
      <c r="T196" s="2"/>
    </row>
    <row r="197" spans="1:20" ht="15.75" x14ac:dyDescent="0.25">
      <c r="A197" s="171"/>
      <c r="B197" s="116" t="s">
        <v>63</v>
      </c>
      <c r="C197" s="172"/>
      <c r="D197" s="151"/>
      <c r="E197" s="151"/>
      <c r="F197" s="151"/>
      <c r="G197" s="151"/>
      <c r="H197" s="151"/>
      <c r="I197" s="151"/>
      <c r="J197" s="151"/>
      <c r="K197" s="151"/>
      <c r="L197" s="151"/>
      <c r="M197" s="151"/>
      <c r="N197" s="151"/>
      <c r="O197" s="151"/>
      <c r="P197" s="149">
        <v>20.010000000000002</v>
      </c>
      <c r="Q197" s="116" t="s">
        <v>96</v>
      </c>
      <c r="R197" s="116"/>
      <c r="S197" s="119"/>
      <c r="T197" s="2"/>
    </row>
    <row r="198" spans="1:20" ht="15.75" x14ac:dyDescent="0.25">
      <c r="A198" s="171"/>
      <c r="B198" s="116" t="s">
        <v>64</v>
      </c>
      <c r="C198" s="172"/>
      <c r="D198" s="151"/>
      <c r="E198" s="151"/>
      <c r="F198" s="151"/>
      <c r="G198" s="151"/>
      <c r="H198" s="151"/>
      <c r="I198" s="151"/>
      <c r="J198" s="151"/>
      <c r="K198" s="151"/>
      <c r="L198" s="151"/>
      <c r="M198" s="151"/>
      <c r="N198" s="151"/>
      <c r="O198" s="151"/>
      <c r="P198" s="149">
        <v>17.809999999999999</v>
      </c>
      <c r="Q198" s="116" t="s">
        <v>96</v>
      </c>
      <c r="R198" s="116"/>
      <c r="S198" s="119"/>
      <c r="T198" s="2"/>
    </row>
    <row r="199" spans="1:20" ht="15.75" x14ac:dyDescent="0.25">
      <c r="A199" s="171"/>
      <c r="B199" s="116" t="s">
        <v>65</v>
      </c>
      <c r="C199" s="172"/>
      <c r="D199" s="151"/>
      <c r="E199" s="151"/>
      <c r="F199" s="151"/>
      <c r="G199" s="151"/>
      <c r="H199" s="151"/>
      <c r="I199" s="151"/>
      <c r="J199" s="151"/>
      <c r="K199" s="151"/>
      <c r="L199" s="151"/>
      <c r="M199" s="151"/>
      <c r="N199" s="151"/>
      <c r="O199" s="151"/>
      <c r="P199" s="145">
        <f>(+J56+L56)/H56</f>
        <v>9.0635787448361718E-2</v>
      </c>
      <c r="Q199" s="116"/>
      <c r="R199" s="116"/>
      <c r="S199" s="119"/>
      <c r="T199" s="2"/>
    </row>
    <row r="200" spans="1:20" ht="15.75" x14ac:dyDescent="0.25">
      <c r="A200" s="171"/>
      <c r="B200" s="116" t="s">
        <v>66</v>
      </c>
      <c r="C200" s="172"/>
      <c r="D200" s="151"/>
      <c r="E200" s="151"/>
      <c r="F200" s="151"/>
      <c r="G200" s="151"/>
      <c r="H200" s="151"/>
      <c r="I200" s="151"/>
      <c r="J200" s="151"/>
      <c r="K200" s="151"/>
      <c r="L200" s="151"/>
      <c r="M200" s="151"/>
      <c r="N200" s="151"/>
      <c r="O200" s="151"/>
      <c r="P200" s="145">
        <v>0.1085</v>
      </c>
      <c r="Q200" s="116"/>
      <c r="R200" s="116"/>
      <c r="S200" s="119"/>
      <c r="T200" s="2"/>
    </row>
    <row r="201" spans="1:20" ht="15.75" x14ac:dyDescent="0.25">
      <c r="A201" s="49"/>
      <c r="B201" s="169"/>
      <c r="C201" s="169"/>
      <c r="D201" s="43"/>
      <c r="E201" s="43"/>
      <c r="F201" s="43"/>
      <c r="G201" s="43"/>
      <c r="H201" s="43"/>
      <c r="I201" s="43"/>
      <c r="J201" s="43"/>
      <c r="K201" s="43"/>
      <c r="L201" s="43"/>
      <c r="M201" s="43"/>
      <c r="N201" s="43"/>
      <c r="O201" s="43"/>
      <c r="P201" s="165"/>
      <c r="Q201" s="43"/>
      <c r="R201" s="170"/>
      <c r="S201" s="43"/>
      <c r="T201" s="2"/>
    </row>
    <row r="202" spans="1:20" ht="15.75" x14ac:dyDescent="0.25">
      <c r="A202" s="73"/>
      <c r="B202" s="63" t="s">
        <v>67</v>
      </c>
      <c r="C202" s="64"/>
      <c r="D202" s="64"/>
      <c r="E202" s="64"/>
      <c r="F202" s="64"/>
      <c r="G202" s="64"/>
      <c r="H202" s="64"/>
      <c r="I202" s="64"/>
      <c r="J202" s="64"/>
      <c r="K202" s="64"/>
      <c r="L202" s="64"/>
      <c r="M202" s="64"/>
      <c r="N202" s="64"/>
      <c r="O202" s="64" t="s">
        <v>89</v>
      </c>
      <c r="P202" s="74" t="s">
        <v>94</v>
      </c>
      <c r="Q202" s="56"/>
      <c r="R202" s="56"/>
      <c r="S202" s="56"/>
      <c r="T202" s="2"/>
    </row>
    <row r="203" spans="1:20" ht="15.75" x14ac:dyDescent="0.25">
      <c r="A203" s="53"/>
      <c r="B203" s="81" t="s">
        <v>68</v>
      </c>
      <c r="C203" s="80"/>
      <c r="D203" s="98"/>
      <c r="E203" s="98"/>
      <c r="F203" s="98"/>
      <c r="G203" s="98"/>
      <c r="H203" s="98"/>
      <c r="I203" s="98"/>
      <c r="J203" s="98"/>
      <c r="K203" s="98"/>
      <c r="L203" s="98"/>
      <c r="M203" s="98"/>
      <c r="N203" s="98"/>
      <c r="O203" s="98">
        <v>0</v>
      </c>
      <c r="P203" s="99">
        <v>0</v>
      </c>
      <c r="Q203" s="81"/>
      <c r="R203" s="96"/>
      <c r="S203" s="54"/>
      <c r="T203" s="2"/>
    </row>
    <row r="204" spans="1:20" ht="15.75" x14ac:dyDescent="0.25">
      <c r="A204" s="178"/>
      <c r="B204" s="116" t="s">
        <v>121</v>
      </c>
      <c r="C204" s="158"/>
      <c r="D204" s="126"/>
      <c r="E204" s="126"/>
      <c r="F204" s="126"/>
      <c r="G204" s="126"/>
      <c r="H204" s="126"/>
      <c r="I204" s="126"/>
      <c r="J204" s="126"/>
      <c r="K204" s="126"/>
      <c r="L204" s="126"/>
      <c r="M204" s="126"/>
      <c r="N204" s="126"/>
      <c r="O204" s="179">
        <f>+N256</f>
        <v>0</v>
      </c>
      <c r="P204" s="180">
        <f>+P256</f>
        <v>0</v>
      </c>
      <c r="Q204" s="116"/>
      <c r="R204" s="181"/>
      <c r="S204" s="182"/>
      <c r="T204" s="2"/>
    </row>
    <row r="205" spans="1:20" ht="15.75" x14ac:dyDescent="0.25">
      <c r="A205" s="178"/>
      <c r="B205" s="116" t="s">
        <v>69</v>
      </c>
      <c r="C205" s="158"/>
      <c r="D205" s="126"/>
      <c r="E205" s="126"/>
      <c r="F205" s="126"/>
      <c r="G205" s="126"/>
      <c r="H205" s="126"/>
      <c r="I205" s="126"/>
      <c r="J205" s="126"/>
      <c r="K205" s="126"/>
      <c r="L205" s="126"/>
      <c r="M205" s="126"/>
      <c r="N205" s="126"/>
      <c r="O205" s="179">
        <f>+N268</f>
        <v>0</v>
      </c>
      <c r="P205" s="180">
        <f>+P268</f>
        <v>0</v>
      </c>
      <c r="Q205" s="116"/>
      <c r="R205" s="181"/>
      <c r="S205" s="182"/>
      <c r="T205" s="2"/>
    </row>
    <row r="206" spans="1:20" ht="15.75" x14ac:dyDescent="0.25">
      <c r="A206" s="178"/>
      <c r="B206" s="137" t="s">
        <v>70</v>
      </c>
      <c r="C206" s="183"/>
      <c r="D206" s="138"/>
      <c r="E206" s="138"/>
      <c r="F206" s="138"/>
      <c r="G206" s="138"/>
      <c r="H206" s="138"/>
      <c r="I206" s="138"/>
      <c r="J206" s="138"/>
      <c r="K206" s="138"/>
      <c r="L206" s="138"/>
      <c r="M206" s="138"/>
      <c r="N206" s="138"/>
      <c r="O206" s="116"/>
      <c r="P206" s="180">
        <v>0</v>
      </c>
      <c r="Q206" s="138"/>
      <c r="R206" s="184"/>
      <c r="S206" s="182"/>
      <c r="T206" s="2"/>
    </row>
    <row r="207" spans="1:20" ht="15.75" x14ac:dyDescent="0.25">
      <c r="A207" s="178"/>
      <c r="B207" s="137" t="s">
        <v>154</v>
      </c>
      <c r="C207" s="183"/>
      <c r="D207" s="138"/>
      <c r="E207" s="138"/>
      <c r="F207" s="138"/>
      <c r="G207" s="138"/>
      <c r="H207" s="138"/>
      <c r="I207" s="138"/>
      <c r="J207" s="138"/>
      <c r="K207" s="138"/>
      <c r="L207" s="138"/>
      <c r="M207" s="138"/>
      <c r="N207" s="138"/>
      <c r="O207" s="116"/>
      <c r="P207" s="180">
        <f>H69</f>
        <v>0</v>
      </c>
      <c r="Q207" s="138"/>
      <c r="R207" s="184"/>
      <c r="S207" s="182"/>
      <c r="T207" s="2"/>
    </row>
    <row r="208" spans="1:20" ht="15.75" x14ac:dyDescent="0.25">
      <c r="A208" s="185"/>
      <c r="B208" s="137" t="s">
        <v>71</v>
      </c>
      <c r="C208" s="186"/>
      <c r="D208" s="138"/>
      <c r="E208" s="138"/>
      <c r="F208" s="138"/>
      <c r="G208" s="138"/>
      <c r="H208" s="138"/>
      <c r="I208" s="138"/>
      <c r="J208" s="138"/>
      <c r="K208" s="138"/>
      <c r="L208" s="138"/>
      <c r="M208" s="138"/>
      <c r="N208" s="138"/>
      <c r="O208" s="116"/>
      <c r="P208" s="180"/>
      <c r="Q208" s="138"/>
      <c r="R208" s="184"/>
      <c r="S208" s="187"/>
      <c r="T208" s="2"/>
    </row>
    <row r="209" spans="1:20" ht="15.75" x14ac:dyDescent="0.25">
      <c r="A209" s="185"/>
      <c r="B209" s="121" t="s">
        <v>72</v>
      </c>
      <c r="C209" s="186"/>
      <c r="D209" s="138"/>
      <c r="E209" s="138"/>
      <c r="F209" s="138"/>
      <c r="G209" s="138"/>
      <c r="H209" s="138"/>
      <c r="I209" s="138"/>
      <c r="J209" s="138"/>
      <c r="K209" s="138"/>
      <c r="L209" s="138"/>
      <c r="M209" s="138"/>
      <c r="N209" s="138"/>
      <c r="O209" s="126"/>
      <c r="P209" s="180">
        <f>R146</f>
        <v>0</v>
      </c>
      <c r="Q209" s="138"/>
      <c r="R209" s="184"/>
      <c r="S209" s="187"/>
      <c r="T209" s="2"/>
    </row>
    <row r="210" spans="1:20" ht="15.75" x14ac:dyDescent="0.25">
      <c r="A210" s="178"/>
      <c r="B210" s="116" t="s">
        <v>73</v>
      </c>
      <c r="C210" s="183"/>
      <c r="D210" s="138"/>
      <c r="E210" s="138"/>
      <c r="F210" s="138"/>
      <c r="G210" s="138"/>
      <c r="H210" s="138"/>
      <c r="I210" s="138"/>
      <c r="J210" s="138"/>
      <c r="K210" s="138"/>
      <c r="L210" s="138"/>
      <c r="M210" s="138"/>
      <c r="N210" s="138"/>
      <c r="O210" s="126"/>
      <c r="P210" s="180">
        <f>'Sept 13'!P210+P209</f>
        <v>0</v>
      </c>
      <c r="Q210" s="138"/>
      <c r="R210" s="184"/>
      <c r="S210" s="187"/>
      <c r="T210" s="2"/>
    </row>
    <row r="211" spans="1:20" ht="15.75" x14ac:dyDescent="0.25">
      <c r="A211" s="185"/>
      <c r="B211" s="137" t="s">
        <v>167</v>
      </c>
      <c r="C211" s="186"/>
      <c r="D211" s="138"/>
      <c r="E211" s="138"/>
      <c r="F211" s="138"/>
      <c r="G211" s="138"/>
      <c r="H211" s="138"/>
      <c r="I211" s="138"/>
      <c r="J211" s="138"/>
      <c r="K211" s="138"/>
      <c r="L211" s="138"/>
      <c r="M211" s="138"/>
      <c r="N211" s="138"/>
      <c r="O211" s="126"/>
      <c r="P211" s="180"/>
      <c r="Q211" s="138"/>
      <c r="R211" s="184"/>
      <c r="S211" s="187"/>
      <c r="T211" s="2"/>
    </row>
    <row r="212" spans="1:20" ht="15.75" x14ac:dyDescent="0.25">
      <c r="A212" s="185"/>
      <c r="B212" s="116" t="s">
        <v>199</v>
      </c>
      <c r="C212" s="186"/>
      <c r="D212" s="138"/>
      <c r="E212" s="138"/>
      <c r="F212" s="138"/>
      <c r="G212" s="138"/>
      <c r="H212" s="138"/>
      <c r="I212" s="138"/>
      <c r="J212" s="138"/>
      <c r="K212" s="138"/>
      <c r="L212" s="138"/>
      <c r="M212" s="138"/>
      <c r="N212" s="138"/>
      <c r="O212" s="126">
        <v>0</v>
      </c>
      <c r="P212" s="180">
        <v>0</v>
      </c>
      <c r="Q212" s="138"/>
      <c r="R212" s="184"/>
      <c r="S212" s="187"/>
      <c r="T212" s="2"/>
    </row>
    <row r="213" spans="1:20" ht="15.75" x14ac:dyDescent="0.25">
      <c r="A213" s="178"/>
      <c r="B213" s="116" t="s">
        <v>74</v>
      </c>
      <c r="C213" s="188"/>
      <c r="D213" s="138"/>
      <c r="E213" s="138"/>
      <c r="F213" s="138"/>
      <c r="G213" s="138"/>
      <c r="H213" s="138"/>
      <c r="I213" s="138"/>
      <c r="J213" s="138"/>
      <c r="K213" s="138"/>
      <c r="L213" s="138"/>
      <c r="M213" s="138"/>
      <c r="N213" s="138"/>
      <c r="O213" s="116"/>
      <c r="P213" s="189">
        <v>0</v>
      </c>
      <c r="Q213" s="138"/>
      <c r="R213" s="184"/>
      <c r="S213" s="187"/>
      <c r="T213" s="2"/>
    </row>
    <row r="214" spans="1:20" ht="15.75" x14ac:dyDescent="0.25">
      <c r="A214" s="178"/>
      <c r="B214" s="116" t="s">
        <v>75</v>
      </c>
      <c r="C214" s="188"/>
      <c r="D214" s="138"/>
      <c r="E214" s="138"/>
      <c r="F214" s="138"/>
      <c r="G214" s="138"/>
      <c r="H214" s="138"/>
      <c r="I214" s="138"/>
      <c r="J214" s="138"/>
      <c r="K214" s="138"/>
      <c r="L214" s="138"/>
      <c r="M214" s="138"/>
      <c r="N214" s="138"/>
      <c r="O214" s="116"/>
      <c r="P214" s="189">
        <v>0</v>
      </c>
      <c r="Q214" s="138"/>
      <c r="R214" s="184"/>
      <c r="S214" s="187"/>
      <c r="T214" s="2"/>
    </row>
    <row r="215" spans="1:20" ht="15.75" x14ac:dyDescent="0.25">
      <c r="A215" s="178"/>
      <c r="B215" s="137" t="s">
        <v>149</v>
      </c>
      <c r="C215" s="188"/>
      <c r="D215" s="138"/>
      <c r="E215" s="138"/>
      <c r="F215" s="138"/>
      <c r="G215" s="138"/>
      <c r="H215" s="138"/>
      <c r="I215" s="138"/>
      <c r="J215" s="138"/>
      <c r="K215" s="138"/>
      <c r="L215" s="138"/>
      <c r="M215" s="138"/>
      <c r="N215" s="138"/>
      <c r="O215" s="116"/>
      <c r="P215" s="190"/>
      <c r="Q215" s="138"/>
      <c r="R215" s="184"/>
      <c r="S215" s="187"/>
      <c r="T215" s="2"/>
    </row>
    <row r="216" spans="1:20" ht="15.75" x14ac:dyDescent="0.25">
      <c r="A216" s="178"/>
      <c r="B216" s="116" t="s">
        <v>199</v>
      </c>
      <c r="C216" s="188"/>
      <c r="D216" s="138"/>
      <c r="E216" s="138"/>
      <c r="F216" s="138"/>
      <c r="G216" s="138"/>
      <c r="H216" s="138"/>
      <c r="I216" s="138"/>
      <c r="J216" s="138"/>
      <c r="K216" s="138"/>
      <c r="L216" s="138"/>
      <c r="M216" s="138"/>
      <c r="N216" s="138"/>
      <c r="O216" s="126">
        <v>0</v>
      </c>
      <c r="P216" s="180">
        <v>0</v>
      </c>
      <c r="Q216" s="138"/>
      <c r="R216" s="184"/>
      <c r="S216" s="187"/>
      <c r="T216" s="2"/>
    </row>
    <row r="217" spans="1:20" ht="15.75" x14ac:dyDescent="0.25">
      <c r="A217" s="178"/>
      <c r="B217" s="116" t="s">
        <v>150</v>
      </c>
      <c r="C217" s="188"/>
      <c r="D217" s="138"/>
      <c r="E217" s="138"/>
      <c r="F217" s="138"/>
      <c r="G217" s="138"/>
      <c r="H217" s="138"/>
      <c r="I217" s="138"/>
      <c r="J217" s="138"/>
      <c r="K217" s="138"/>
      <c r="L217" s="138"/>
      <c r="M217" s="138"/>
      <c r="N217" s="138"/>
      <c r="O217" s="116"/>
      <c r="P217" s="189">
        <v>0</v>
      </c>
      <c r="Q217" s="138"/>
      <c r="R217" s="184"/>
      <c r="S217" s="187"/>
      <c r="T217" s="2"/>
    </row>
    <row r="218" spans="1:20" ht="15.75" x14ac:dyDescent="0.25">
      <c r="A218" s="178"/>
      <c r="B218" s="186"/>
      <c r="C218" s="188"/>
      <c r="D218" s="138"/>
      <c r="E218" s="138"/>
      <c r="F218" s="138"/>
      <c r="G218" s="138"/>
      <c r="H218" s="138"/>
      <c r="I218" s="138"/>
      <c r="J218" s="138"/>
      <c r="K218" s="138"/>
      <c r="L218" s="138"/>
      <c r="M218" s="138"/>
      <c r="N218" s="138"/>
      <c r="O218" s="116"/>
      <c r="P218" s="190"/>
      <c r="Q218" s="138"/>
      <c r="R218" s="184"/>
      <c r="S218" s="187"/>
      <c r="T218" s="2"/>
    </row>
    <row r="219" spans="1:20" ht="15.75" x14ac:dyDescent="0.25">
      <c r="A219" s="178"/>
      <c r="B219" s="186"/>
      <c r="C219" s="188"/>
      <c r="D219" s="138"/>
      <c r="E219" s="138"/>
      <c r="F219" s="138"/>
      <c r="G219" s="138"/>
      <c r="H219" s="138"/>
      <c r="I219" s="138"/>
      <c r="J219" s="138"/>
      <c r="K219" s="138"/>
      <c r="L219" s="138"/>
      <c r="M219" s="138"/>
      <c r="N219" s="138"/>
      <c r="O219" s="138"/>
      <c r="P219" s="191"/>
      <c r="Q219" s="138"/>
      <c r="R219" s="184"/>
      <c r="S219" s="187"/>
      <c r="T219" s="2"/>
    </row>
    <row r="220" spans="1:20" ht="18.75" x14ac:dyDescent="0.3">
      <c r="A220" s="178"/>
      <c r="B220" s="192" t="s">
        <v>139</v>
      </c>
      <c r="C220" s="188"/>
      <c r="D220" s="138"/>
      <c r="E220" s="138"/>
      <c r="F220" s="138"/>
      <c r="G220" s="138"/>
      <c r="H220" s="138"/>
      <c r="I220" s="138"/>
      <c r="J220" s="138"/>
      <c r="K220" s="138"/>
      <c r="L220" s="193"/>
      <c r="M220" s="138"/>
      <c r="N220" s="193" t="s">
        <v>138</v>
      </c>
      <c r="O220" s="193"/>
      <c r="P220" s="191"/>
      <c r="Q220" s="138"/>
      <c r="R220" s="184"/>
      <c r="S220" s="187"/>
      <c r="T220" s="2"/>
    </row>
    <row r="221" spans="1:20" ht="18.75" x14ac:dyDescent="0.3">
      <c r="A221" s="174"/>
      <c r="B221" s="206"/>
      <c r="C221" s="175"/>
      <c r="D221" s="43"/>
      <c r="E221" s="43"/>
      <c r="F221" s="43"/>
      <c r="G221" s="43"/>
      <c r="H221" s="43"/>
      <c r="I221" s="43"/>
      <c r="J221" s="43"/>
      <c r="K221" s="43"/>
      <c r="L221" s="207"/>
      <c r="M221" s="43"/>
      <c r="N221" s="43"/>
      <c r="O221" s="43"/>
      <c r="P221" s="176"/>
      <c r="Q221" s="43"/>
      <c r="R221" s="170"/>
      <c r="S221" s="177"/>
      <c r="T221" s="2"/>
    </row>
    <row r="222" spans="1:20" ht="15.75" x14ac:dyDescent="0.25">
      <c r="A222" s="55"/>
      <c r="B222" s="63" t="s">
        <v>174</v>
      </c>
      <c r="C222" s="64"/>
      <c r="D222" s="64"/>
      <c r="E222" s="64"/>
      <c r="F222" s="64"/>
      <c r="G222" s="64"/>
      <c r="H222" s="64"/>
      <c r="I222" s="64"/>
      <c r="J222" s="64"/>
      <c r="K222" s="64"/>
      <c r="L222" s="64"/>
      <c r="M222" s="64"/>
      <c r="N222" s="74" t="s">
        <v>89</v>
      </c>
      <c r="O222" s="64" t="s">
        <v>90</v>
      </c>
      <c r="P222" s="74" t="s">
        <v>95</v>
      </c>
      <c r="Q222" s="64" t="s">
        <v>90</v>
      </c>
      <c r="R222" s="56"/>
      <c r="S222" s="63"/>
      <c r="T222" s="2"/>
    </row>
    <row r="223" spans="1:20" ht="15.75" x14ac:dyDescent="0.25">
      <c r="A223" s="24"/>
      <c r="B223" s="80" t="s">
        <v>76</v>
      </c>
      <c r="C223" s="95"/>
      <c r="D223" s="95"/>
      <c r="E223" s="95"/>
      <c r="F223" s="95"/>
      <c r="G223" s="95"/>
      <c r="H223" s="95"/>
      <c r="I223" s="95"/>
      <c r="J223" s="95"/>
      <c r="K223" s="95"/>
      <c r="L223" s="95"/>
      <c r="M223" s="95"/>
      <c r="N223" s="80">
        <f t="shared" ref="N223:N230" si="0">+N235+N247+N259</f>
        <v>827</v>
      </c>
      <c r="O223" s="83">
        <f t="shared" ref="O223:O230" si="1">N223/$N$232</f>
        <v>1</v>
      </c>
      <c r="P223" s="84">
        <f t="shared" ref="P223:P230" si="2">+P235+P247+P259</f>
        <v>128573</v>
      </c>
      <c r="Q223" s="83">
        <f t="shared" ref="Q223:Q230" si="3">P223/$P$232</f>
        <v>1</v>
      </c>
      <c r="R223" s="96"/>
      <c r="S223" s="97"/>
      <c r="T223" s="2"/>
    </row>
    <row r="224" spans="1:20" ht="15.75" x14ac:dyDescent="0.25">
      <c r="A224" s="115"/>
      <c r="B224" s="158" t="s">
        <v>77</v>
      </c>
      <c r="C224" s="197"/>
      <c r="D224" s="197"/>
      <c r="E224" s="197"/>
      <c r="F224" s="197"/>
      <c r="G224" s="197"/>
      <c r="H224" s="197"/>
      <c r="I224" s="197"/>
      <c r="J224" s="197"/>
      <c r="K224" s="197"/>
      <c r="L224" s="197"/>
      <c r="M224" s="197"/>
      <c r="N224" s="158">
        <f t="shared" si="0"/>
        <v>0</v>
      </c>
      <c r="O224" s="198">
        <f t="shared" si="1"/>
        <v>0</v>
      </c>
      <c r="P224" s="159">
        <f t="shared" si="2"/>
        <v>0</v>
      </c>
      <c r="Q224" s="198">
        <f t="shared" si="3"/>
        <v>0</v>
      </c>
      <c r="R224" s="181"/>
      <c r="S224" s="199"/>
      <c r="T224" s="2"/>
    </row>
    <row r="225" spans="1:21" ht="15.75" x14ac:dyDescent="0.25">
      <c r="A225" s="115"/>
      <c r="B225" s="158" t="s">
        <v>78</v>
      </c>
      <c r="C225" s="197"/>
      <c r="D225" s="197"/>
      <c r="E225" s="197"/>
      <c r="F225" s="197"/>
      <c r="G225" s="197"/>
      <c r="H225" s="197"/>
      <c r="I225" s="197"/>
      <c r="J225" s="197"/>
      <c r="K225" s="197"/>
      <c r="L225" s="197"/>
      <c r="M225" s="197"/>
      <c r="N225" s="158">
        <f t="shared" si="0"/>
        <v>0</v>
      </c>
      <c r="O225" s="198">
        <f t="shared" si="1"/>
        <v>0</v>
      </c>
      <c r="P225" s="159">
        <f t="shared" si="2"/>
        <v>0</v>
      </c>
      <c r="Q225" s="198">
        <f t="shared" si="3"/>
        <v>0</v>
      </c>
      <c r="R225" s="181"/>
      <c r="S225" s="199"/>
      <c r="T225" s="2"/>
    </row>
    <row r="226" spans="1:21" ht="15.75" x14ac:dyDescent="0.25">
      <c r="A226" s="115"/>
      <c r="B226" s="158" t="s">
        <v>129</v>
      </c>
      <c r="C226" s="197"/>
      <c r="D226" s="197"/>
      <c r="E226" s="197"/>
      <c r="F226" s="197"/>
      <c r="G226" s="197"/>
      <c r="H226" s="197"/>
      <c r="I226" s="197"/>
      <c r="J226" s="197"/>
      <c r="K226" s="197"/>
      <c r="L226" s="197"/>
      <c r="M226" s="197"/>
      <c r="N226" s="158">
        <f t="shared" si="0"/>
        <v>0</v>
      </c>
      <c r="O226" s="198">
        <f t="shared" si="1"/>
        <v>0</v>
      </c>
      <c r="P226" s="159">
        <f t="shared" si="2"/>
        <v>0</v>
      </c>
      <c r="Q226" s="198">
        <f t="shared" si="3"/>
        <v>0</v>
      </c>
      <c r="R226" s="181"/>
      <c r="S226" s="199"/>
      <c r="T226" s="2"/>
    </row>
    <row r="227" spans="1:21" ht="15.75" x14ac:dyDescent="0.25">
      <c r="A227" s="115"/>
      <c r="B227" s="158" t="s">
        <v>130</v>
      </c>
      <c r="C227" s="197"/>
      <c r="D227" s="197"/>
      <c r="E227" s="197"/>
      <c r="F227" s="197"/>
      <c r="G227" s="197"/>
      <c r="H227" s="197"/>
      <c r="I227" s="197"/>
      <c r="J227" s="197"/>
      <c r="K227" s="197"/>
      <c r="L227" s="197"/>
      <c r="M227" s="197"/>
      <c r="N227" s="158">
        <f t="shared" si="0"/>
        <v>0</v>
      </c>
      <c r="O227" s="198">
        <f t="shared" si="1"/>
        <v>0</v>
      </c>
      <c r="P227" s="159">
        <f t="shared" si="2"/>
        <v>0</v>
      </c>
      <c r="Q227" s="198">
        <f t="shared" si="3"/>
        <v>0</v>
      </c>
      <c r="R227" s="181"/>
      <c r="S227" s="199"/>
      <c r="T227" s="2"/>
    </row>
    <row r="228" spans="1:21" ht="15.75" x14ac:dyDescent="0.25">
      <c r="A228" s="115"/>
      <c r="B228" s="158" t="s">
        <v>131</v>
      </c>
      <c r="C228" s="197"/>
      <c r="D228" s="197"/>
      <c r="E228" s="197"/>
      <c r="F228" s="197"/>
      <c r="G228" s="197"/>
      <c r="H228" s="197"/>
      <c r="I228" s="197"/>
      <c r="J228" s="197"/>
      <c r="K228" s="197"/>
      <c r="L228" s="197"/>
      <c r="M228" s="197"/>
      <c r="N228" s="158">
        <f t="shared" si="0"/>
        <v>0</v>
      </c>
      <c r="O228" s="198">
        <f t="shared" si="1"/>
        <v>0</v>
      </c>
      <c r="P228" s="159">
        <f t="shared" si="2"/>
        <v>0</v>
      </c>
      <c r="Q228" s="198">
        <f t="shared" si="3"/>
        <v>0</v>
      </c>
      <c r="R228" s="181"/>
      <c r="S228" s="199"/>
      <c r="T228" s="2"/>
    </row>
    <row r="229" spans="1:21" ht="15.75" x14ac:dyDescent="0.25">
      <c r="A229" s="115"/>
      <c r="B229" s="158" t="s">
        <v>132</v>
      </c>
      <c r="C229" s="197"/>
      <c r="D229" s="197"/>
      <c r="E229" s="197"/>
      <c r="F229" s="197"/>
      <c r="G229" s="197"/>
      <c r="H229" s="197"/>
      <c r="I229" s="197"/>
      <c r="J229" s="197"/>
      <c r="K229" s="197"/>
      <c r="L229" s="197"/>
      <c r="M229" s="197"/>
      <c r="N229" s="158">
        <f t="shared" si="0"/>
        <v>0</v>
      </c>
      <c r="O229" s="198">
        <f t="shared" si="1"/>
        <v>0</v>
      </c>
      <c r="P229" s="159">
        <f t="shared" si="2"/>
        <v>0</v>
      </c>
      <c r="Q229" s="198">
        <f t="shared" si="3"/>
        <v>0</v>
      </c>
      <c r="R229" s="181"/>
      <c r="S229" s="199"/>
      <c r="T229" s="2"/>
    </row>
    <row r="230" spans="1:21" ht="15.75" x14ac:dyDescent="0.25">
      <c r="A230" s="115"/>
      <c r="B230" s="158" t="s">
        <v>133</v>
      </c>
      <c r="C230" s="197"/>
      <c r="D230" s="197"/>
      <c r="E230" s="197"/>
      <c r="F230" s="197"/>
      <c r="G230" s="197"/>
      <c r="H230" s="197"/>
      <c r="I230" s="197"/>
      <c r="J230" s="197"/>
      <c r="K230" s="197"/>
      <c r="L230" s="197"/>
      <c r="M230" s="197"/>
      <c r="N230" s="204">
        <f t="shared" si="0"/>
        <v>0</v>
      </c>
      <c r="O230" s="198">
        <f t="shared" si="1"/>
        <v>0</v>
      </c>
      <c r="P230" s="201">
        <f t="shared" si="2"/>
        <v>0</v>
      </c>
      <c r="Q230" s="198">
        <f t="shared" si="3"/>
        <v>0</v>
      </c>
      <c r="R230" s="181"/>
      <c r="S230" s="199"/>
      <c r="T230" s="2"/>
    </row>
    <row r="231" spans="1:21" ht="15.75" x14ac:dyDescent="0.25">
      <c r="A231" s="115"/>
      <c r="B231" s="158"/>
      <c r="C231" s="197"/>
      <c r="D231" s="197"/>
      <c r="E231" s="197"/>
      <c r="F231" s="197"/>
      <c r="G231" s="197"/>
      <c r="H231" s="197"/>
      <c r="I231" s="197"/>
      <c r="J231" s="197"/>
      <c r="K231" s="197"/>
      <c r="L231" s="197"/>
      <c r="M231" s="197"/>
      <c r="N231" s="158"/>
      <c r="O231" s="198"/>
      <c r="P231" s="159"/>
      <c r="Q231" s="198"/>
      <c r="R231" s="181"/>
      <c r="S231" s="199"/>
      <c r="T231" s="2"/>
    </row>
    <row r="232" spans="1:21" ht="15.75" x14ac:dyDescent="0.25">
      <c r="A232" s="115"/>
      <c r="B232" s="116" t="s">
        <v>100</v>
      </c>
      <c r="C232" s="116"/>
      <c r="D232" s="200"/>
      <c r="E232" s="200"/>
      <c r="F232" s="200"/>
      <c r="G232" s="200"/>
      <c r="H232" s="200"/>
      <c r="I232" s="200"/>
      <c r="J232" s="200"/>
      <c r="K232" s="200"/>
      <c r="L232" s="200"/>
      <c r="M232" s="200"/>
      <c r="N232" s="158">
        <f>SUM(N223:N231)</f>
        <v>827</v>
      </c>
      <c r="O232" s="198">
        <f>SUM(O223:O231)</f>
        <v>1</v>
      </c>
      <c r="P232" s="159">
        <f>SUM(P223:P231)</f>
        <v>128573</v>
      </c>
      <c r="Q232" s="198">
        <f>SUM(Q223:Q231)</f>
        <v>1</v>
      </c>
      <c r="R232" s="116"/>
      <c r="S232" s="119"/>
      <c r="T232" s="2"/>
    </row>
    <row r="233" spans="1:21" ht="15.75" x14ac:dyDescent="0.25">
      <c r="A233" s="12"/>
      <c r="B233" s="169"/>
      <c r="C233" s="175"/>
      <c r="D233" s="43"/>
      <c r="E233" s="43"/>
      <c r="F233" s="43"/>
      <c r="G233" s="43"/>
      <c r="H233" s="43"/>
      <c r="I233" s="43"/>
      <c r="J233" s="43"/>
      <c r="K233" s="43"/>
      <c r="L233" s="43"/>
      <c r="M233" s="43"/>
      <c r="N233" s="43"/>
      <c r="O233" s="43"/>
      <c r="P233" s="176"/>
      <c r="Q233" s="43"/>
      <c r="R233" s="43"/>
      <c r="S233" s="43"/>
      <c r="T233" s="2"/>
    </row>
    <row r="234" spans="1:21" ht="15.75" x14ac:dyDescent="0.25">
      <c r="A234" s="55"/>
      <c r="B234" s="63" t="s">
        <v>134</v>
      </c>
      <c r="C234" s="64"/>
      <c r="D234" s="64"/>
      <c r="E234" s="64"/>
      <c r="F234" s="64"/>
      <c r="G234" s="64"/>
      <c r="H234" s="64"/>
      <c r="I234" s="64"/>
      <c r="J234" s="64"/>
      <c r="K234" s="64"/>
      <c r="L234" s="64"/>
      <c r="M234" s="64"/>
      <c r="N234" s="74" t="s">
        <v>89</v>
      </c>
      <c r="O234" s="64" t="s">
        <v>90</v>
      </c>
      <c r="P234" s="74" t="s">
        <v>95</v>
      </c>
      <c r="Q234" s="64" t="s">
        <v>90</v>
      </c>
      <c r="R234" s="56"/>
      <c r="S234" s="63"/>
      <c r="T234" s="2"/>
    </row>
    <row r="235" spans="1:21" ht="15.75" x14ac:dyDescent="0.25">
      <c r="A235" s="24"/>
      <c r="B235" s="80" t="s">
        <v>76</v>
      </c>
      <c r="C235" s="95"/>
      <c r="D235" s="95"/>
      <c r="E235" s="95"/>
      <c r="F235" s="95"/>
      <c r="G235" s="95"/>
      <c r="H235" s="95"/>
      <c r="I235" s="95"/>
      <c r="J235" s="95"/>
      <c r="K235" s="95"/>
      <c r="L235" s="95"/>
      <c r="M235" s="95"/>
      <c r="N235" s="80">
        <v>827</v>
      </c>
      <c r="O235" s="83">
        <f>N235/$N$244</f>
        <v>1</v>
      </c>
      <c r="P235" s="84">
        <v>128573</v>
      </c>
      <c r="Q235" s="83">
        <f t="shared" ref="Q235:Q242" si="4">P235/$P$244</f>
        <v>1</v>
      </c>
      <c r="R235" s="96"/>
      <c r="S235" s="97"/>
      <c r="T235" s="2"/>
    </row>
    <row r="236" spans="1:21" ht="15.75" x14ac:dyDescent="0.25">
      <c r="A236" s="115"/>
      <c r="B236" s="158" t="s">
        <v>77</v>
      </c>
      <c r="C236" s="197"/>
      <c r="D236" s="197"/>
      <c r="E236" s="197"/>
      <c r="F236" s="197"/>
      <c r="G236" s="197"/>
      <c r="H236" s="197"/>
      <c r="I236" s="197"/>
      <c r="J236" s="197"/>
      <c r="K236" s="197"/>
      <c r="L236" s="197"/>
      <c r="M236" s="197"/>
      <c r="N236" s="158">
        <v>0</v>
      </c>
      <c r="O236" s="198">
        <f t="shared" ref="O236:O242" si="5">N236/$N$244</f>
        <v>0</v>
      </c>
      <c r="P236" s="159">
        <v>0</v>
      </c>
      <c r="Q236" s="198">
        <f t="shared" si="4"/>
        <v>0</v>
      </c>
      <c r="R236" s="181"/>
      <c r="S236" s="199"/>
      <c r="T236" s="2"/>
      <c r="U236" s="4"/>
    </row>
    <row r="237" spans="1:21" ht="15.75" x14ac:dyDescent="0.25">
      <c r="A237" s="115"/>
      <c r="B237" s="158" t="s">
        <v>78</v>
      </c>
      <c r="C237" s="197"/>
      <c r="D237" s="197"/>
      <c r="E237" s="197"/>
      <c r="F237" s="197"/>
      <c r="G237" s="197"/>
      <c r="H237" s="197"/>
      <c r="I237" s="197"/>
      <c r="J237" s="197"/>
      <c r="K237" s="197"/>
      <c r="L237" s="197"/>
      <c r="M237" s="197"/>
      <c r="N237" s="158">
        <v>0</v>
      </c>
      <c r="O237" s="198">
        <f t="shared" si="5"/>
        <v>0</v>
      </c>
      <c r="P237" s="159">
        <v>0</v>
      </c>
      <c r="Q237" s="198">
        <f t="shared" si="4"/>
        <v>0</v>
      </c>
      <c r="R237" s="181"/>
      <c r="S237" s="199"/>
      <c r="T237" s="2"/>
    </row>
    <row r="238" spans="1:21" ht="15.75" x14ac:dyDescent="0.25">
      <c r="A238" s="115"/>
      <c r="B238" s="158" t="s">
        <v>129</v>
      </c>
      <c r="C238" s="197"/>
      <c r="D238" s="197"/>
      <c r="E238" s="197"/>
      <c r="F238" s="197"/>
      <c r="G238" s="197"/>
      <c r="H238" s="197"/>
      <c r="I238" s="197"/>
      <c r="J238" s="197"/>
      <c r="K238" s="197"/>
      <c r="L238" s="197"/>
      <c r="M238" s="197"/>
      <c r="N238" s="158">
        <v>0</v>
      </c>
      <c r="O238" s="198">
        <f t="shared" si="5"/>
        <v>0</v>
      </c>
      <c r="P238" s="159">
        <v>0</v>
      </c>
      <c r="Q238" s="198">
        <f t="shared" si="4"/>
        <v>0</v>
      </c>
      <c r="R238" s="181"/>
      <c r="S238" s="199"/>
      <c r="T238" s="2"/>
      <c r="U238" s="4"/>
    </row>
    <row r="239" spans="1:21" ht="15.75" x14ac:dyDescent="0.25">
      <c r="A239" s="115"/>
      <c r="B239" s="158" t="s">
        <v>130</v>
      </c>
      <c r="C239" s="197"/>
      <c r="D239" s="197"/>
      <c r="E239" s="197"/>
      <c r="F239" s="197"/>
      <c r="G239" s="197"/>
      <c r="H239" s="197"/>
      <c r="I239" s="197"/>
      <c r="J239" s="197"/>
      <c r="K239" s="197"/>
      <c r="L239" s="197"/>
      <c r="M239" s="197"/>
      <c r="N239" s="158">
        <v>0</v>
      </c>
      <c r="O239" s="198">
        <f t="shared" si="5"/>
        <v>0</v>
      </c>
      <c r="P239" s="159">
        <v>0</v>
      </c>
      <c r="Q239" s="198">
        <f t="shared" si="4"/>
        <v>0</v>
      </c>
      <c r="R239" s="181"/>
      <c r="S239" s="199"/>
      <c r="T239" s="2"/>
    </row>
    <row r="240" spans="1:21" ht="15.75" x14ac:dyDescent="0.25">
      <c r="A240" s="115"/>
      <c r="B240" s="158" t="s">
        <v>131</v>
      </c>
      <c r="C240" s="197"/>
      <c r="D240" s="197"/>
      <c r="E240" s="197"/>
      <c r="F240" s="197"/>
      <c r="G240" s="197"/>
      <c r="H240" s="197"/>
      <c r="I240" s="197"/>
      <c r="J240" s="197"/>
      <c r="K240" s="197"/>
      <c r="L240" s="197"/>
      <c r="M240" s="197"/>
      <c r="N240" s="158">
        <v>0</v>
      </c>
      <c r="O240" s="198">
        <f t="shared" si="5"/>
        <v>0</v>
      </c>
      <c r="P240" s="159">
        <v>0</v>
      </c>
      <c r="Q240" s="198">
        <f t="shared" si="4"/>
        <v>0</v>
      </c>
      <c r="R240" s="181"/>
      <c r="S240" s="199"/>
      <c r="T240" s="2"/>
      <c r="U240" s="4"/>
    </row>
    <row r="241" spans="1:21" ht="15.75" x14ac:dyDescent="0.25">
      <c r="A241" s="115"/>
      <c r="B241" s="158" t="s">
        <v>132</v>
      </c>
      <c r="C241" s="197"/>
      <c r="D241" s="197"/>
      <c r="E241" s="197"/>
      <c r="F241" s="197"/>
      <c r="G241" s="197"/>
      <c r="H241" s="197"/>
      <c r="I241" s="197"/>
      <c r="J241" s="197"/>
      <c r="K241" s="197"/>
      <c r="L241" s="197"/>
      <c r="M241" s="197"/>
      <c r="N241" s="158">
        <v>0</v>
      </c>
      <c r="O241" s="198">
        <f t="shared" si="5"/>
        <v>0</v>
      </c>
      <c r="P241" s="159">
        <v>0</v>
      </c>
      <c r="Q241" s="198">
        <f t="shared" si="4"/>
        <v>0</v>
      </c>
      <c r="R241" s="181"/>
      <c r="S241" s="199"/>
      <c r="T241" s="2"/>
    </row>
    <row r="242" spans="1:21" ht="15.75" x14ac:dyDescent="0.25">
      <c r="A242" s="115"/>
      <c r="B242" s="158" t="s">
        <v>133</v>
      </c>
      <c r="C242" s="197"/>
      <c r="D242" s="197"/>
      <c r="E242" s="197"/>
      <c r="F242" s="197"/>
      <c r="G242" s="197"/>
      <c r="H242" s="197"/>
      <c r="I242" s="197"/>
      <c r="J242" s="197"/>
      <c r="K242" s="197"/>
      <c r="L242" s="197"/>
      <c r="M242" s="197"/>
      <c r="N242" s="158">
        <v>0</v>
      </c>
      <c r="O242" s="198">
        <f t="shared" si="5"/>
        <v>0</v>
      </c>
      <c r="P242" s="159">
        <v>0</v>
      </c>
      <c r="Q242" s="198">
        <f t="shared" si="4"/>
        <v>0</v>
      </c>
      <c r="R242" s="181"/>
      <c r="S242" s="199"/>
      <c r="T242" s="2"/>
      <c r="U242" s="4"/>
    </row>
    <row r="243" spans="1:21" ht="15.75" x14ac:dyDescent="0.25">
      <c r="A243" s="115"/>
      <c r="B243" s="158"/>
      <c r="C243" s="197"/>
      <c r="D243" s="197"/>
      <c r="E243" s="197"/>
      <c r="F243" s="197"/>
      <c r="G243" s="197"/>
      <c r="H243" s="197"/>
      <c r="I243" s="197"/>
      <c r="J243" s="197"/>
      <c r="K243" s="197"/>
      <c r="L243" s="197"/>
      <c r="M243" s="197"/>
      <c r="N243" s="158"/>
      <c r="O243" s="198"/>
      <c r="P243" s="159"/>
      <c r="Q243" s="198"/>
      <c r="R243" s="181"/>
      <c r="S243" s="199"/>
      <c r="T243" s="2"/>
    </row>
    <row r="244" spans="1:21" ht="15.75" x14ac:dyDescent="0.25">
      <c r="A244" s="115"/>
      <c r="B244" s="116" t="s">
        <v>100</v>
      </c>
      <c r="C244" s="116"/>
      <c r="D244" s="200"/>
      <c r="E244" s="200"/>
      <c r="F244" s="200"/>
      <c r="G244" s="200"/>
      <c r="H244" s="200"/>
      <c r="I244" s="200"/>
      <c r="J244" s="200"/>
      <c r="K244" s="200"/>
      <c r="L244" s="200"/>
      <c r="M244" s="200"/>
      <c r="N244" s="158">
        <f>SUM(N235:N243)</f>
        <v>827</v>
      </c>
      <c r="O244" s="198">
        <f>SUM(O235:O243)</f>
        <v>1</v>
      </c>
      <c r="P244" s="159">
        <f>SUM(P235:P243)</f>
        <v>128573</v>
      </c>
      <c r="Q244" s="198">
        <f>SUM(Q235:Q243)</f>
        <v>1</v>
      </c>
      <c r="R244" s="116"/>
      <c r="S244" s="119"/>
      <c r="T244" s="2"/>
    </row>
    <row r="245" spans="1:21" ht="15.75" x14ac:dyDescent="0.25">
      <c r="A245" s="12"/>
      <c r="B245" s="43"/>
      <c r="C245" s="43"/>
      <c r="D245" s="194"/>
      <c r="E245" s="194"/>
      <c r="F245" s="194"/>
      <c r="G245" s="194"/>
      <c r="H245" s="194"/>
      <c r="I245" s="194"/>
      <c r="J245" s="194"/>
      <c r="K245" s="194"/>
      <c r="L245" s="194"/>
      <c r="M245" s="194"/>
      <c r="N245" s="156"/>
      <c r="O245" s="195"/>
      <c r="P245" s="196"/>
      <c r="Q245" s="195"/>
      <c r="R245" s="43"/>
      <c r="S245" s="43"/>
      <c r="T245" s="2"/>
    </row>
    <row r="246" spans="1:21" ht="15.75" x14ac:dyDescent="0.25">
      <c r="A246" s="75"/>
      <c r="B246" s="63" t="s">
        <v>161</v>
      </c>
      <c r="C246" s="64"/>
      <c r="D246" s="64"/>
      <c r="E246" s="64"/>
      <c r="F246" s="64"/>
      <c r="G246" s="64"/>
      <c r="H246" s="64"/>
      <c r="I246" s="64"/>
      <c r="J246" s="64"/>
      <c r="K246" s="64"/>
      <c r="L246" s="64"/>
      <c r="M246" s="64"/>
      <c r="N246" s="74" t="s">
        <v>89</v>
      </c>
      <c r="O246" s="64" t="s">
        <v>90</v>
      </c>
      <c r="P246" s="74" t="s">
        <v>95</v>
      </c>
      <c r="Q246" s="64" t="s">
        <v>90</v>
      </c>
      <c r="R246" s="76"/>
      <c r="S246" s="77"/>
      <c r="T246" s="2"/>
    </row>
    <row r="247" spans="1:21" ht="15.75" x14ac:dyDescent="0.25">
      <c r="A247" s="24"/>
      <c r="B247" s="80" t="s">
        <v>76</v>
      </c>
      <c r="C247" s="95"/>
      <c r="D247" s="95"/>
      <c r="E247" s="95"/>
      <c r="F247" s="95"/>
      <c r="G247" s="95"/>
      <c r="H247" s="95"/>
      <c r="I247" s="95"/>
      <c r="J247" s="95"/>
      <c r="K247" s="95"/>
      <c r="L247" s="95"/>
      <c r="M247" s="95"/>
      <c r="N247" s="80">
        <v>0</v>
      </c>
      <c r="O247" s="83">
        <v>0</v>
      </c>
      <c r="P247" s="84">
        <v>0</v>
      </c>
      <c r="Q247" s="83">
        <v>0</v>
      </c>
      <c r="R247" s="81"/>
      <c r="S247" s="81"/>
      <c r="T247" s="2"/>
    </row>
    <row r="248" spans="1:21" ht="15.75" x14ac:dyDescent="0.25">
      <c r="A248" s="115"/>
      <c r="B248" s="158" t="s">
        <v>77</v>
      </c>
      <c r="C248" s="197"/>
      <c r="D248" s="197"/>
      <c r="E248" s="197"/>
      <c r="F248" s="197"/>
      <c r="G248" s="197"/>
      <c r="H248" s="197"/>
      <c r="I248" s="197"/>
      <c r="J248" s="197"/>
      <c r="K248" s="197"/>
      <c r="L248" s="197"/>
      <c r="M248" s="197"/>
      <c r="N248" s="158">
        <v>0</v>
      </c>
      <c r="O248" s="198">
        <v>0</v>
      </c>
      <c r="P248" s="159">
        <v>0</v>
      </c>
      <c r="Q248" s="198">
        <v>0</v>
      </c>
      <c r="R248" s="116"/>
      <c r="S248" s="119"/>
      <c r="T248" s="2"/>
    </row>
    <row r="249" spans="1:21" ht="15.75" x14ac:dyDescent="0.25">
      <c r="A249" s="115"/>
      <c r="B249" s="158" t="s">
        <v>78</v>
      </c>
      <c r="C249" s="197"/>
      <c r="D249" s="197"/>
      <c r="E249" s="197"/>
      <c r="F249" s="197"/>
      <c r="G249" s="197"/>
      <c r="H249" s="197"/>
      <c r="I249" s="197"/>
      <c r="J249" s="197"/>
      <c r="K249" s="197"/>
      <c r="L249" s="197"/>
      <c r="M249" s="197"/>
      <c r="N249" s="158">
        <v>0</v>
      </c>
      <c r="O249" s="198">
        <v>0</v>
      </c>
      <c r="P249" s="159">
        <v>0</v>
      </c>
      <c r="Q249" s="198">
        <v>0</v>
      </c>
      <c r="R249" s="116"/>
      <c r="S249" s="119"/>
      <c r="T249" s="2"/>
    </row>
    <row r="250" spans="1:21" ht="15.75" x14ac:dyDescent="0.25">
      <c r="A250" s="115"/>
      <c r="B250" s="158" t="s">
        <v>129</v>
      </c>
      <c r="C250" s="197"/>
      <c r="D250" s="197"/>
      <c r="E250" s="197"/>
      <c r="F250" s="197"/>
      <c r="G250" s="197"/>
      <c r="H250" s="197"/>
      <c r="I250" s="197"/>
      <c r="J250" s="197"/>
      <c r="K250" s="197"/>
      <c r="L250" s="197"/>
      <c r="M250" s="197"/>
      <c r="N250" s="158">
        <v>0</v>
      </c>
      <c r="O250" s="198">
        <v>0</v>
      </c>
      <c r="P250" s="159">
        <v>0</v>
      </c>
      <c r="Q250" s="198">
        <v>0</v>
      </c>
      <c r="R250" s="116"/>
      <c r="S250" s="119"/>
      <c r="T250" s="2"/>
    </row>
    <row r="251" spans="1:21" ht="15.75" x14ac:dyDescent="0.25">
      <c r="A251" s="115"/>
      <c r="B251" s="158" t="s">
        <v>130</v>
      </c>
      <c r="C251" s="197"/>
      <c r="D251" s="197"/>
      <c r="E251" s="197"/>
      <c r="F251" s="197"/>
      <c r="G251" s="197"/>
      <c r="H251" s="197"/>
      <c r="I251" s="197"/>
      <c r="J251" s="197"/>
      <c r="K251" s="197"/>
      <c r="L251" s="197"/>
      <c r="M251" s="197"/>
      <c r="N251" s="158">
        <v>0</v>
      </c>
      <c r="O251" s="198">
        <v>0</v>
      </c>
      <c r="P251" s="159">
        <v>0</v>
      </c>
      <c r="Q251" s="198">
        <v>0</v>
      </c>
      <c r="R251" s="116"/>
      <c r="S251" s="119"/>
      <c r="T251" s="2"/>
    </row>
    <row r="252" spans="1:21" ht="15.75" x14ac:dyDescent="0.25">
      <c r="A252" s="115"/>
      <c r="B252" s="158" t="s">
        <v>131</v>
      </c>
      <c r="C252" s="197"/>
      <c r="D252" s="197"/>
      <c r="E252" s="197"/>
      <c r="F252" s="197"/>
      <c r="G252" s="197"/>
      <c r="H252" s="197"/>
      <c r="I252" s="197"/>
      <c r="J252" s="197"/>
      <c r="K252" s="197"/>
      <c r="L252" s="197"/>
      <c r="M252" s="197"/>
      <c r="N252" s="158">
        <v>0</v>
      </c>
      <c r="O252" s="198">
        <v>0</v>
      </c>
      <c r="P252" s="159">
        <v>0</v>
      </c>
      <c r="Q252" s="198">
        <v>0</v>
      </c>
      <c r="R252" s="116"/>
      <c r="S252" s="119"/>
      <c r="T252" s="2"/>
    </row>
    <row r="253" spans="1:21" ht="15.75" x14ac:dyDescent="0.25">
      <c r="A253" s="115"/>
      <c r="B253" s="158" t="s">
        <v>132</v>
      </c>
      <c r="C253" s="197"/>
      <c r="D253" s="197"/>
      <c r="E253" s="197"/>
      <c r="F253" s="197"/>
      <c r="G253" s="197"/>
      <c r="H253" s="197"/>
      <c r="I253" s="197"/>
      <c r="J253" s="197"/>
      <c r="K253" s="197"/>
      <c r="L253" s="197"/>
      <c r="M253" s="197"/>
      <c r="N253" s="158">
        <v>0</v>
      </c>
      <c r="O253" s="198">
        <v>0</v>
      </c>
      <c r="P253" s="159">
        <v>0</v>
      </c>
      <c r="Q253" s="198">
        <v>0</v>
      </c>
      <c r="R253" s="116"/>
      <c r="S253" s="119"/>
      <c r="T253" s="2"/>
    </row>
    <row r="254" spans="1:21" ht="15.75" x14ac:dyDescent="0.25">
      <c r="A254" s="115"/>
      <c r="B254" s="158" t="s">
        <v>133</v>
      </c>
      <c r="C254" s="197"/>
      <c r="D254" s="197"/>
      <c r="E254" s="197"/>
      <c r="F254" s="197"/>
      <c r="G254" s="197"/>
      <c r="H254" s="197"/>
      <c r="I254" s="197"/>
      <c r="J254" s="197"/>
      <c r="K254" s="197"/>
      <c r="L254" s="197"/>
      <c r="M254" s="197"/>
      <c r="N254" s="158">
        <v>0</v>
      </c>
      <c r="O254" s="198">
        <v>0</v>
      </c>
      <c r="P254" s="159">
        <v>0</v>
      </c>
      <c r="Q254" s="198">
        <v>0</v>
      </c>
      <c r="R254" s="116"/>
      <c r="S254" s="119"/>
      <c r="T254" s="2"/>
    </row>
    <row r="255" spans="1:21" ht="15.75" x14ac:dyDescent="0.25">
      <c r="A255" s="115"/>
      <c r="B255" s="158"/>
      <c r="C255" s="197"/>
      <c r="D255" s="197"/>
      <c r="E255" s="197"/>
      <c r="F255" s="197"/>
      <c r="G255" s="197"/>
      <c r="H255" s="197"/>
      <c r="I255" s="197"/>
      <c r="J255" s="197"/>
      <c r="K255" s="197"/>
      <c r="L255" s="197"/>
      <c r="M255" s="197"/>
      <c r="N255" s="158"/>
      <c r="O255" s="198"/>
      <c r="P255" s="159"/>
      <c r="Q255" s="198"/>
      <c r="R255" s="116"/>
      <c r="S255" s="119"/>
      <c r="T255" s="2"/>
    </row>
    <row r="256" spans="1:21" ht="15.75" x14ac:dyDescent="0.25">
      <c r="A256" s="115"/>
      <c r="B256" s="116" t="s">
        <v>100</v>
      </c>
      <c r="C256" s="116"/>
      <c r="D256" s="200"/>
      <c r="E256" s="200"/>
      <c r="F256" s="200"/>
      <c r="G256" s="200"/>
      <c r="H256" s="200"/>
      <c r="I256" s="200"/>
      <c r="J256" s="200"/>
      <c r="K256" s="200"/>
      <c r="L256" s="200"/>
      <c r="M256" s="200"/>
      <c r="N256" s="158">
        <f>SUM(N247:N255)</f>
        <v>0</v>
      </c>
      <c r="O256" s="198">
        <f>SUM(O247:O255)</f>
        <v>0</v>
      </c>
      <c r="P256" s="159">
        <f>SUM(P247:P255)</f>
        <v>0</v>
      </c>
      <c r="Q256" s="198">
        <f>SUM(Q247:Q255)</f>
        <v>0</v>
      </c>
      <c r="R256" s="116"/>
      <c r="S256" s="119"/>
      <c r="T256" s="2"/>
    </row>
    <row r="257" spans="1:20" ht="15.75" x14ac:dyDescent="0.25">
      <c r="A257" s="12"/>
      <c r="B257" s="43"/>
      <c r="C257" s="43"/>
      <c r="D257" s="194"/>
      <c r="E257" s="194"/>
      <c r="F257" s="194"/>
      <c r="G257" s="194"/>
      <c r="H257" s="194"/>
      <c r="I257" s="194"/>
      <c r="J257" s="194"/>
      <c r="K257" s="194"/>
      <c r="L257" s="194"/>
      <c r="M257" s="194"/>
      <c r="N257" s="156"/>
      <c r="O257" s="195"/>
      <c r="P257" s="196"/>
      <c r="Q257" s="195"/>
      <c r="R257" s="43"/>
      <c r="S257" s="43"/>
      <c r="T257" s="2"/>
    </row>
    <row r="258" spans="1:20" ht="15.75" x14ac:dyDescent="0.25">
      <c r="A258" s="75"/>
      <c r="B258" s="63" t="s">
        <v>135</v>
      </c>
      <c r="C258" s="76"/>
      <c r="D258" s="78"/>
      <c r="E258" s="78"/>
      <c r="F258" s="78"/>
      <c r="G258" s="78"/>
      <c r="H258" s="78"/>
      <c r="I258" s="78"/>
      <c r="J258" s="78"/>
      <c r="K258" s="78"/>
      <c r="L258" s="78"/>
      <c r="M258" s="78"/>
      <c r="N258" s="74" t="s">
        <v>89</v>
      </c>
      <c r="O258" s="64" t="s">
        <v>90</v>
      </c>
      <c r="P258" s="74" t="s">
        <v>95</v>
      </c>
      <c r="Q258" s="64" t="s">
        <v>90</v>
      </c>
      <c r="R258" s="76"/>
      <c r="S258" s="77"/>
      <c r="T258" s="2"/>
    </row>
    <row r="259" spans="1:20" ht="15.75" x14ac:dyDescent="0.25">
      <c r="A259" s="79"/>
      <c r="B259" s="80" t="s">
        <v>76</v>
      </c>
      <c r="C259" s="81"/>
      <c r="D259" s="82"/>
      <c r="E259" s="82"/>
      <c r="F259" s="82"/>
      <c r="G259" s="82"/>
      <c r="H259" s="82"/>
      <c r="I259" s="82"/>
      <c r="J259" s="82"/>
      <c r="K259" s="82"/>
      <c r="L259" s="82"/>
      <c r="M259" s="82"/>
      <c r="N259" s="80">
        <v>0</v>
      </c>
      <c r="O259" s="83">
        <v>0</v>
      </c>
      <c r="P259" s="84">
        <v>0</v>
      </c>
      <c r="Q259" s="83">
        <v>0</v>
      </c>
      <c r="R259" s="81"/>
      <c r="S259" s="81"/>
      <c r="T259" s="2"/>
    </row>
    <row r="260" spans="1:20" ht="15.75" x14ac:dyDescent="0.25">
      <c r="A260" s="125"/>
      <c r="B260" s="158" t="s">
        <v>77</v>
      </c>
      <c r="C260" s="116"/>
      <c r="D260" s="200"/>
      <c r="E260" s="200"/>
      <c r="F260" s="200"/>
      <c r="G260" s="200"/>
      <c r="H260" s="200"/>
      <c r="I260" s="200"/>
      <c r="J260" s="200"/>
      <c r="K260" s="200"/>
      <c r="L260" s="200"/>
      <c r="M260" s="200"/>
      <c r="N260" s="158">
        <v>0</v>
      </c>
      <c r="O260" s="198">
        <v>0</v>
      </c>
      <c r="P260" s="159">
        <v>0</v>
      </c>
      <c r="Q260" s="198">
        <v>0</v>
      </c>
      <c r="R260" s="116"/>
      <c r="S260" s="119"/>
      <c r="T260" s="2"/>
    </row>
    <row r="261" spans="1:20" ht="15.75" x14ac:dyDescent="0.25">
      <c r="A261" s="125"/>
      <c r="B261" s="158" t="s">
        <v>78</v>
      </c>
      <c r="C261" s="116"/>
      <c r="D261" s="200"/>
      <c r="E261" s="200"/>
      <c r="F261" s="200"/>
      <c r="G261" s="200"/>
      <c r="H261" s="200"/>
      <c r="I261" s="200"/>
      <c r="J261" s="200"/>
      <c r="K261" s="200"/>
      <c r="L261" s="200"/>
      <c r="M261" s="200"/>
      <c r="N261" s="158">
        <v>0</v>
      </c>
      <c r="O261" s="198">
        <v>0</v>
      </c>
      <c r="P261" s="159">
        <v>0</v>
      </c>
      <c r="Q261" s="198">
        <v>0</v>
      </c>
      <c r="R261" s="116"/>
      <c r="S261" s="119"/>
      <c r="T261" s="2"/>
    </row>
    <row r="262" spans="1:20" ht="15.75" x14ac:dyDescent="0.25">
      <c r="A262" s="125"/>
      <c r="B262" s="158" t="s">
        <v>129</v>
      </c>
      <c r="C262" s="116"/>
      <c r="D262" s="200"/>
      <c r="E262" s="200"/>
      <c r="F262" s="200"/>
      <c r="G262" s="200"/>
      <c r="H262" s="200"/>
      <c r="I262" s="200"/>
      <c r="J262" s="200"/>
      <c r="K262" s="200"/>
      <c r="L262" s="200"/>
      <c r="M262" s="200"/>
      <c r="N262" s="158">
        <v>0</v>
      </c>
      <c r="O262" s="198">
        <v>0</v>
      </c>
      <c r="P262" s="159">
        <v>0</v>
      </c>
      <c r="Q262" s="198">
        <v>0</v>
      </c>
      <c r="R262" s="116"/>
      <c r="S262" s="119"/>
      <c r="T262" s="2"/>
    </row>
    <row r="263" spans="1:20" ht="15.75" x14ac:dyDescent="0.25">
      <c r="A263" s="125"/>
      <c r="B263" s="158" t="s">
        <v>130</v>
      </c>
      <c r="C263" s="116"/>
      <c r="D263" s="200"/>
      <c r="E263" s="200"/>
      <c r="F263" s="200"/>
      <c r="G263" s="200"/>
      <c r="H263" s="200"/>
      <c r="I263" s="200"/>
      <c r="J263" s="200"/>
      <c r="K263" s="200"/>
      <c r="L263" s="200"/>
      <c r="M263" s="200"/>
      <c r="N263" s="158">
        <v>0</v>
      </c>
      <c r="O263" s="198">
        <v>0</v>
      </c>
      <c r="P263" s="159">
        <v>0</v>
      </c>
      <c r="Q263" s="198">
        <v>0</v>
      </c>
      <c r="R263" s="116"/>
      <c r="S263" s="119"/>
      <c r="T263" s="2"/>
    </row>
    <row r="264" spans="1:20" ht="15.75" x14ac:dyDescent="0.25">
      <c r="A264" s="125"/>
      <c r="B264" s="158" t="s">
        <v>131</v>
      </c>
      <c r="C264" s="116"/>
      <c r="D264" s="200"/>
      <c r="E264" s="200"/>
      <c r="F264" s="200"/>
      <c r="G264" s="200"/>
      <c r="H264" s="200"/>
      <c r="I264" s="200"/>
      <c r="J264" s="200"/>
      <c r="K264" s="200"/>
      <c r="L264" s="200"/>
      <c r="M264" s="200"/>
      <c r="N264" s="158">
        <v>0</v>
      </c>
      <c r="O264" s="198">
        <v>0</v>
      </c>
      <c r="P264" s="159">
        <v>0</v>
      </c>
      <c r="Q264" s="198">
        <v>0</v>
      </c>
      <c r="R264" s="116"/>
      <c r="S264" s="119"/>
      <c r="T264" s="2"/>
    </row>
    <row r="265" spans="1:20" ht="15.75" x14ac:dyDescent="0.25">
      <c r="A265" s="125"/>
      <c r="B265" s="158" t="s">
        <v>132</v>
      </c>
      <c r="C265" s="116"/>
      <c r="D265" s="200"/>
      <c r="E265" s="200"/>
      <c r="F265" s="200"/>
      <c r="G265" s="200"/>
      <c r="H265" s="200"/>
      <c r="I265" s="200"/>
      <c r="J265" s="200"/>
      <c r="K265" s="200"/>
      <c r="L265" s="200"/>
      <c r="M265" s="200"/>
      <c r="N265" s="158">
        <v>0</v>
      </c>
      <c r="O265" s="198">
        <v>0</v>
      </c>
      <c r="P265" s="159">
        <v>0</v>
      </c>
      <c r="Q265" s="198">
        <v>0</v>
      </c>
      <c r="R265" s="116"/>
      <c r="S265" s="119"/>
      <c r="T265" s="2"/>
    </row>
    <row r="266" spans="1:20" ht="15.75" x14ac:dyDescent="0.25">
      <c r="A266" s="125"/>
      <c r="B266" s="158" t="s">
        <v>133</v>
      </c>
      <c r="C266" s="116"/>
      <c r="D266" s="200"/>
      <c r="E266" s="200"/>
      <c r="F266" s="200"/>
      <c r="G266" s="200"/>
      <c r="H266" s="200"/>
      <c r="I266" s="200"/>
      <c r="J266" s="200"/>
      <c r="K266" s="200"/>
      <c r="L266" s="200"/>
      <c r="M266" s="200"/>
      <c r="N266" s="158">
        <v>0</v>
      </c>
      <c r="O266" s="198">
        <v>0</v>
      </c>
      <c r="P266" s="159">
        <v>0</v>
      </c>
      <c r="Q266" s="198">
        <v>0</v>
      </c>
      <c r="R266" s="116"/>
      <c r="S266" s="119"/>
      <c r="T266" s="2"/>
    </row>
    <row r="267" spans="1:20" ht="15.75" x14ac:dyDescent="0.25">
      <c r="A267" s="125"/>
      <c r="B267" s="158"/>
      <c r="C267" s="116"/>
      <c r="D267" s="200"/>
      <c r="E267" s="200"/>
      <c r="F267" s="200"/>
      <c r="G267" s="200"/>
      <c r="H267" s="200"/>
      <c r="I267" s="200"/>
      <c r="J267" s="200"/>
      <c r="K267" s="200"/>
      <c r="L267" s="200"/>
      <c r="M267" s="200"/>
      <c r="N267" s="158"/>
      <c r="O267" s="198"/>
      <c r="P267" s="159"/>
      <c r="Q267" s="198"/>
      <c r="R267" s="116"/>
      <c r="S267" s="119"/>
      <c r="T267" s="2"/>
    </row>
    <row r="268" spans="1:20" ht="15.75" x14ac:dyDescent="0.25">
      <c r="A268" s="125"/>
      <c r="B268" s="116" t="s">
        <v>100</v>
      </c>
      <c r="C268" s="116"/>
      <c r="D268" s="200"/>
      <c r="E268" s="200"/>
      <c r="F268" s="200"/>
      <c r="G268" s="200"/>
      <c r="H268" s="200"/>
      <c r="I268" s="200"/>
      <c r="J268" s="200"/>
      <c r="K268" s="200"/>
      <c r="L268" s="200"/>
      <c r="M268" s="200"/>
      <c r="N268" s="158">
        <f>SUM(N259:N266)</f>
        <v>0</v>
      </c>
      <c r="O268" s="198">
        <f>SUM(O259:O266)</f>
        <v>0</v>
      </c>
      <c r="P268" s="159">
        <f>SUM(P259:P266)</f>
        <v>0</v>
      </c>
      <c r="Q268" s="198">
        <f>SUM(Q259:Q266)</f>
        <v>0</v>
      </c>
      <c r="R268" s="116"/>
      <c r="S268" s="119"/>
      <c r="T268" s="2"/>
    </row>
    <row r="269" spans="1:20" ht="15.75" x14ac:dyDescent="0.25">
      <c r="A269" s="125"/>
      <c r="B269" s="116"/>
      <c r="C269" s="116"/>
      <c r="D269" s="200"/>
      <c r="E269" s="200"/>
      <c r="F269" s="200"/>
      <c r="G269" s="200"/>
      <c r="H269" s="200"/>
      <c r="I269" s="200"/>
      <c r="J269" s="200"/>
      <c r="K269" s="200"/>
      <c r="L269" s="200"/>
      <c r="M269" s="200"/>
      <c r="N269" s="158"/>
      <c r="O269" s="198"/>
      <c r="P269" s="159"/>
      <c r="Q269" s="198"/>
      <c r="R269" s="116"/>
      <c r="S269" s="119"/>
      <c r="T269" s="2"/>
    </row>
    <row r="270" spans="1:20" ht="15.75" x14ac:dyDescent="0.25">
      <c r="A270" s="125"/>
      <c r="B270" s="127" t="s">
        <v>229</v>
      </c>
      <c r="C270" s="116"/>
      <c r="D270" s="200"/>
      <c r="E270" s="200"/>
      <c r="F270" s="200"/>
      <c r="G270" s="200"/>
      <c r="H270" s="200"/>
      <c r="I270" s="200"/>
      <c r="J270" s="200"/>
      <c r="K270" s="200"/>
      <c r="L270" s="200"/>
      <c r="M270" s="200"/>
      <c r="N270" s="202">
        <f>N268+N256+N244</f>
        <v>827</v>
      </c>
      <c r="O270" s="198"/>
      <c r="P270" s="203">
        <f>+P268+P256+P244</f>
        <v>128573</v>
      </c>
      <c r="Q270" s="198"/>
      <c r="R270" s="116"/>
      <c r="S270" s="119"/>
      <c r="T270" s="2"/>
    </row>
    <row r="271" spans="1:20" ht="15.75" x14ac:dyDescent="0.25">
      <c r="A271" s="125"/>
      <c r="B271" s="216" t="s">
        <v>233</v>
      </c>
      <c r="C271" s="127"/>
      <c r="D271" s="213"/>
      <c r="E271" s="213"/>
      <c r="F271" s="213"/>
      <c r="G271" s="213"/>
      <c r="H271" s="213"/>
      <c r="I271" s="213"/>
      <c r="J271" s="213"/>
      <c r="K271" s="213"/>
      <c r="L271" s="213"/>
      <c r="M271" s="213"/>
      <c r="N271" s="202"/>
      <c r="O271" s="214"/>
      <c r="P271" s="215">
        <f>+R70</f>
        <v>0</v>
      </c>
      <c r="Q271" s="198"/>
      <c r="R271" s="116"/>
      <c r="S271" s="119"/>
      <c r="T271" s="2"/>
    </row>
    <row r="272" spans="1:20" ht="15.75" x14ac:dyDescent="0.25">
      <c r="A272" s="125"/>
      <c r="B272" s="127" t="s">
        <v>136</v>
      </c>
      <c r="C272" s="127"/>
      <c r="D272" s="213"/>
      <c r="E272" s="213"/>
      <c r="F272" s="213"/>
      <c r="G272" s="213"/>
      <c r="H272" s="213"/>
      <c r="I272" s="213"/>
      <c r="J272" s="213"/>
      <c r="K272" s="213"/>
      <c r="L272" s="213"/>
      <c r="M272" s="213"/>
      <c r="N272" s="202"/>
      <c r="O272" s="214"/>
      <c r="P272" s="215">
        <f>+P270+P271</f>
        <v>128573</v>
      </c>
      <c r="Q272" s="198"/>
      <c r="R272" s="116"/>
      <c r="S272" s="119"/>
      <c r="T272" s="2"/>
    </row>
    <row r="273" spans="1:20" ht="15.75" x14ac:dyDescent="0.25">
      <c r="A273" s="125"/>
      <c r="B273" s="127" t="s">
        <v>226</v>
      </c>
      <c r="C273" s="116"/>
      <c r="D273" s="200"/>
      <c r="E273" s="200"/>
      <c r="F273" s="200"/>
      <c r="G273" s="200"/>
      <c r="H273" s="200"/>
      <c r="I273" s="200"/>
      <c r="J273" s="200"/>
      <c r="K273" s="200"/>
      <c r="L273" s="200"/>
      <c r="M273" s="200"/>
      <c r="N273" s="202"/>
      <c r="O273" s="198"/>
      <c r="P273" s="203">
        <f>+R72</f>
        <v>128573</v>
      </c>
      <c r="Q273" s="198"/>
      <c r="R273" s="116"/>
      <c r="S273" s="119"/>
      <c r="T273" s="2"/>
    </row>
    <row r="274" spans="1:20" ht="15.75" x14ac:dyDescent="0.25">
      <c r="A274" s="125"/>
      <c r="B274" s="127"/>
      <c r="C274" s="116"/>
      <c r="D274" s="200"/>
      <c r="E274" s="200"/>
      <c r="F274" s="200"/>
      <c r="G274" s="200"/>
      <c r="H274" s="200"/>
      <c r="I274" s="200"/>
      <c r="J274" s="200"/>
      <c r="K274" s="200"/>
      <c r="L274" s="200"/>
      <c r="M274" s="200"/>
      <c r="N274" s="202"/>
      <c r="O274" s="198"/>
      <c r="P274" s="203"/>
      <c r="Q274" s="198"/>
      <c r="R274" s="116"/>
      <c r="S274" s="119"/>
      <c r="T274" s="2"/>
    </row>
    <row r="275" spans="1:20" ht="15.75" x14ac:dyDescent="0.25">
      <c r="A275" s="125"/>
      <c r="B275" s="127" t="s">
        <v>223</v>
      </c>
      <c r="C275" s="116"/>
      <c r="D275" s="200"/>
      <c r="E275" s="200"/>
      <c r="F275" s="200"/>
      <c r="G275" s="200"/>
      <c r="H275" s="200"/>
      <c r="I275" s="200"/>
      <c r="J275" s="200"/>
      <c r="K275" s="200"/>
      <c r="L275" s="200"/>
      <c r="M275" s="200"/>
      <c r="N275" s="202"/>
      <c r="O275" s="198"/>
      <c r="P275" s="211">
        <f>H30/R30</f>
        <v>0.24966437751895562</v>
      </c>
      <c r="Q275" s="198"/>
      <c r="R275" s="116"/>
      <c r="S275" s="119"/>
      <c r="T275" s="2"/>
    </row>
    <row r="276" spans="1:20" ht="15.75" x14ac:dyDescent="0.25">
      <c r="A276" s="85"/>
      <c r="B276" s="86"/>
      <c r="C276" s="86"/>
      <c r="D276" s="87"/>
      <c r="E276" s="87"/>
      <c r="F276" s="87"/>
      <c r="G276" s="87"/>
      <c r="H276" s="87"/>
      <c r="I276" s="87"/>
      <c r="J276" s="87"/>
      <c r="K276" s="87"/>
      <c r="L276" s="87"/>
      <c r="M276" s="87"/>
      <c r="N276" s="87"/>
      <c r="O276" s="87"/>
      <c r="P276" s="88"/>
      <c r="Q276" s="87"/>
      <c r="R276" s="86"/>
      <c r="S276" s="86"/>
      <c r="T276" s="2"/>
    </row>
    <row r="277" spans="1:20" ht="15.75" x14ac:dyDescent="0.25">
      <c r="A277" s="89"/>
      <c r="B277" s="90" t="s">
        <v>79</v>
      </c>
      <c r="C277" s="86"/>
      <c r="D277" s="91" t="s">
        <v>85</v>
      </c>
      <c r="E277" s="90"/>
      <c r="F277" s="90" t="s">
        <v>86</v>
      </c>
      <c r="G277" s="86"/>
      <c r="H277" s="90"/>
      <c r="I277" s="92"/>
      <c r="J277" s="92"/>
      <c r="K277" s="92"/>
      <c r="L277" s="92"/>
      <c r="M277" s="92"/>
      <c r="N277" s="92"/>
      <c r="O277" s="92"/>
      <c r="P277" s="92"/>
      <c r="Q277" s="92"/>
      <c r="R277" s="92"/>
      <c r="S277" s="92"/>
      <c r="T277" s="2"/>
    </row>
    <row r="278" spans="1:20" ht="15.75" x14ac:dyDescent="0.25">
      <c r="A278" s="89"/>
      <c r="B278" s="92"/>
      <c r="C278" s="86"/>
      <c r="D278" s="86"/>
      <c r="E278" s="86"/>
      <c r="F278" s="86"/>
      <c r="G278" s="86"/>
      <c r="H278" s="86"/>
      <c r="I278" s="92"/>
      <c r="J278" s="92"/>
      <c r="K278" s="92"/>
      <c r="L278" s="92"/>
      <c r="M278" s="92"/>
      <c r="N278" s="92"/>
      <c r="O278" s="92"/>
      <c r="P278" s="92"/>
      <c r="Q278" s="92"/>
      <c r="R278" s="92"/>
      <c r="S278" s="92"/>
      <c r="T278" s="2"/>
    </row>
    <row r="279" spans="1:20" ht="15.75" x14ac:dyDescent="0.25">
      <c r="A279" s="89"/>
      <c r="B279" s="219" t="s">
        <v>239</v>
      </c>
      <c r="C279" s="90"/>
      <c r="D279" s="93" t="s">
        <v>124</v>
      </c>
      <c r="E279" s="90"/>
      <c r="F279" s="90" t="s">
        <v>125</v>
      </c>
      <c r="G279" s="90"/>
      <c r="H279" s="90"/>
      <c r="I279" s="92"/>
      <c r="J279" s="92"/>
      <c r="K279" s="92"/>
      <c r="L279" s="92"/>
      <c r="M279" s="92"/>
      <c r="N279" s="92"/>
      <c r="O279" s="92"/>
      <c r="P279" s="92"/>
      <c r="Q279" s="92"/>
      <c r="R279" s="92"/>
      <c r="S279" s="92"/>
      <c r="T279" s="2"/>
    </row>
    <row r="280" spans="1:20" ht="15.75" x14ac:dyDescent="0.25">
      <c r="A280" s="89"/>
      <c r="B280" s="219" t="s">
        <v>240</v>
      </c>
      <c r="C280" s="90"/>
      <c r="D280" s="93" t="s">
        <v>163</v>
      </c>
      <c r="E280" s="90"/>
      <c r="F280" s="90" t="s">
        <v>164</v>
      </c>
      <c r="G280" s="90"/>
      <c r="H280" s="90"/>
      <c r="I280" s="92"/>
      <c r="J280" s="92"/>
      <c r="K280" s="92"/>
      <c r="L280" s="92"/>
      <c r="M280" s="92"/>
      <c r="N280" s="92"/>
      <c r="O280" s="92"/>
      <c r="P280" s="92"/>
      <c r="Q280" s="92"/>
      <c r="R280" s="92"/>
      <c r="S280" s="92"/>
      <c r="T280" s="2"/>
    </row>
    <row r="281" spans="1:20" ht="15.75" x14ac:dyDescent="0.25">
      <c r="A281" s="89"/>
      <c r="B281" s="219" t="s">
        <v>241</v>
      </c>
      <c r="C281" s="90"/>
      <c r="D281" s="93" t="s">
        <v>123</v>
      </c>
      <c r="E281" s="90"/>
      <c r="F281" s="90" t="s">
        <v>126</v>
      </c>
      <c r="G281" s="90"/>
      <c r="H281" s="90"/>
      <c r="I281" s="92"/>
      <c r="J281" s="92"/>
      <c r="K281" s="92"/>
      <c r="L281" s="92"/>
      <c r="M281" s="92"/>
      <c r="N281" s="92"/>
      <c r="O281" s="92"/>
      <c r="P281" s="92"/>
      <c r="Q281" s="92"/>
      <c r="R281" s="92"/>
      <c r="S281" s="92"/>
      <c r="T281" s="2"/>
    </row>
    <row r="282" spans="1:20" ht="15.75" x14ac:dyDescent="0.25">
      <c r="A282" s="89"/>
      <c r="B282" s="90"/>
      <c r="C282" s="90"/>
      <c r="D282" s="92"/>
      <c r="E282" s="92"/>
      <c r="F282" s="92"/>
      <c r="G282" s="92"/>
      <c r="H282" s="92"/>
      <c r="I282" s="92"/>
      <c r="J282" s="92"/>
      <c r="K282" s="92"/>
      <c r="L282" s="92"/>
      <c r="M282" s="92"/>
      <c r="N282" s="92"/>
      <c r="O282" s="92"/>
      <c r="P282" s="92"/>
      <c r="Q282" s="92"/>
      <c r="R282" s="92"/>
      <c r="S282" s="92"/>
      <c r="T282" s="2"/>
    </row>
    <row r="283" spans="1:20" ht="15.75" x14ac:dyDescent="0.25">
      <c r="A283" s="89"/>
      <c r="B283" s="90"/>
      <c r="C283" s="90"/>
      <c r="D283" s="92"/>
      <c r="E283" s="92"/>
      <c r="F283" s="92"/>
      <c r="G283" s="92"/>
      <c r="H283" s="92"/>
      <c r="I283" s="92"/>
      <c r="J283" s="92"/>
      <c r="K283" s="92"/>
      <c r="L283" s="92"/>
      <c r="M283" s="92"/>
      <c r="N283" s="92"/>
      <c r="O283" s="92"/>
      <c r="P283" s="92"/>
      <c r="Q283" s="92"/>
      <c r="R283" s="92"/>
      <c r="S283" s="92"/>
      <c r="T283" s="2"/>
    </row>
    <row r="284" spans="1:20" ht="19.5" thickBot="1" x14ac:dyDescent="0.35">
      <c r="A284" s="89"/>
      <c r="B284" s="94" t="str">
        <f>B184</f>
        <v>PM16 INVESTOR REPORT QUARTER ENDING DECEMBER 2013</v>
      </c>
      <c r="C284" s="90"/>
      <c r="D284" s="92"/>
      <c r="E284" s="92"/>
      <c r="F284" s="92"/>
      <c r="G284" s="92"/>
      <c r="H284" s="92"/>
      <c r="I284" s="92"/>
      <c r="J284" s="92"/>
      <c r="K284" s="92"/>
      <c r="L284" s="92"/>
      <c r="M284" s="92"/>
      <c r="N284" s="92"/>
      <c r="O284" s="92"/>
      <c r="P284" s="92"/>
      <c r="Q284" s="92"/>
      <c r="R284" s="92"/>
      <c r="S284" s="92"/>
      <c r="T284" s="2"/>
    </row>
    <row r="285" spans="1:20" x14ac:dyDescent="0.2">
      <c r="A285" s="3"/>
      <c r="B285" s="3"/>
      <c r="C285" s="3"/>
      <c r="D285" s="3"/>
      <c r="E285" s="3"/>
      <c r="F285" s="3"/>
      <c r="G285" s="3"/>
      <c r="H285" s="3"/>
      <c r="I285" s="3"/>
      <c r="J285" s="3"/>
      <c r="K285" s="3"/>
      <c r="L285" s="3"/>
      <c r="M285" s="3"/>
      <c r="N285" s="3"/>
      <c r="O285" s="3"/>
      <c r="P285" s="3"/>
      <c r="Q285" s="3"/>
      <c r="R285" s="3"/>
      <c r="S285" s="3"/>
    </row>
  </sheetData>
  <hyperlinks>
    <hyperlink ref="N220"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18" max="18" man="1"/>
    <brk id="184" max="18"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60</vt:i4>
      </vt:variant>
    </vt:vector>
  </HeadingPairs>
  <TitlesOfParts>
    <vt:vector size="72" baseType="lpstr">
      <vt:lpstr>Dec 11</vt:lpstr>
      <vt:lpstr>March 12</vt:lpstr>
      <vt:lpstr>June 12</vt:lpstr>
      <vt:lpstr>Sept 12</vt:lpstr>
      <vt:lpstr>Dec 12</vt:lpstr>
      <vt:lpstr>March 13</vt:lpstr>
      <vt:lpstr>June 13</vt:lpstr>
      <vt:lpstr>Sept 13</vt:lpstr>
      <vt:lpstr>Dec 13</vt:lpstr>
      <vt:lpstr>March 14</vt:lpstr>
      <vt:lpstr>June 14</vt:lpstr>
      <vt:lpstr>Sept 14 </vt:lpstr>
      <vt:lpstr>'Dec 11'!_11PAGE_2</vt:lpstr>
      <vt:lpstr>'Dec 12'!_12PAGE_2</vt:lpstr>
      <vt:lpstr>'Dec 13'!_13PAGE_2</vt:lpstr>
      <vt:lpstr>'June 14'!_13PAGE_2</vt:lpstr>
      <vt:lpstr>'March 14'!_13PAGE_2</vt:lpstr>
      <vt:lpstr>'Sept 14 '!_13PAGE_2</vt:lpstr>
      <vt:lpstr>'June 12'!_14PAGE_2</vt:lpstr>
      <vt:lpstr>'June 13'!_15PAGE_2</vt:lpstr>
      <vt:lpstr>'March 12'!_16PAGE_2</vt:lpstr>
      <vt:lpstr>'March 13'!_17PAGE_2</vt:lpstr>
      <vt:lpstr>'Sept 12'!_18PAGE_2</vt:lpstr>
      <vt:lpstr>'Sept 13'!_19PAGE_2</vt:lpstr>
      <vt:lpstr>'Dec 11'!_1PAGE_1</vt:lpstr>
      <vt:lpstr>'Dec 11'!_21PAGE_3</vt:lpstr>
      <vt:lpstr>'Dec 12'!_22PAGE_3</vt:lpstr>
      <vt:lpstr>'Dec 13'!_23PAGE_3</vt:lpstr>
      <vt:lpstr>'June 14'!_23PAGE_3</vt:lpstr>
      <vt:lpstr>'March 14'!_23PAGE_3</vt:lpstr>
      <vt:lpstr>'Sept 14 '!_23PAGE_3</vt:lpstr>
      <vt:lpstr>'June 12'!_24PAGE_3</vt:lpstr>
      <vt:lpstr>'June 13'!_25PAGE_3</vt:lpstr>
      <vt:lpstr>'March 12'!_26PAGE_3</vt:lpstr>
      <vt:lpstr>'March 13'!_27PAGE_3</vt:lpstr>
      <vt:lpstr>'Sept 12'!_28PAGE_3</vt:lpstr>
      <vt:lpstr>'Sept 13'!_29PAGE_3</vt:lpstr>
      <vt:lpstr>'Dec 12'!_2PAGE_1</vt:lpstr>
      <vt:lpstr>'Dec 11'!_31PAGE_4</vt:lpstr>
      <vt:lpstr>'Dec 12'!_32PAGE_4</vt:lpstr>
      <vt:lpstr>'Dec 13'!_33PAGE_4</vt:lpstr>
      <vt:lpstr>'June 14'!_33PAGE_4</vt:lpstr>
      <vt:lpstr>'March 14'!_33PAGE_4</vt:lpstr>
      <vt:lpstr>'Sept 14 '!_33PAGE_4</vt:lpstr>
      <vt:lpstr>'June 12'!_34PAGE_4</vt:lpstr>
      <vt:lpstr>'June 13'!_35PAGE_4</vt:lpstr>
      <vt:lpstr>'March 12'!_36PAGE_4</vt:lpstr>
      <vt:lpstr>'March 13'!_37PAGE_4</vt:lpstr>
      <vt:lpstr>'Sept 12'!_38PAGE_4</vt:lpstr>
      <vt:lpstr>'Sept 13'!_39PAGE_4</vt:lpstr>
      <vt:lpstr>'Dec 13'!_3PAGE_1</vt:lpstr>
      <vt:lpstr>'June 14'!_3PAGE_1</vt:lpstr>
      <vt:lpstr>'March 14'!_3PAGE_1</vt:lpstr>
      <vt:lpstr>'Sept 14 '!_3PAGE_1</vt:lpstr>
      <vt:lpstr>'June 12'!_4PAGE_1</vt:lpstr>
      <vt:lpstr>'June 13'!_5PAGE_1</vt:lpstr>
      <vt:lpstr>'March 12'!_6PAGE_1</vt:lpstr>
      <vt:lpstr>'March 13'!_7PAGE_1</vt:lpstr>
      <vt:lpstr>'Sept 12'!_8PAGE_1</vt:lpstr>
      <vt:lpstr>'Sept 13'!_9PAGE_1</vt:lpstr>
      <vt:lpstr>'Dec 11'!Print_Area</vt:lpstr>
      <vt:lpstr>'Dec 12'!Print_Area</vt:lpstr>
      <vt:lpstr>'Dec 13'!Print_Area</vt:lpstr>
      <vt:lpstr>'June 12'!Print_Area</vt:lpstr>
      <vt:lpstr>'June 13'!Print_Area</vt:lpstr>
      <vt:lpstr>'June 14'!Print_Area</vt:lpstr>
      <vt:lpstr>'March 12'!Print_Area</vt:lpstr>
      <vt:lpstr>'March 13'!Print_Area</vt:lpstr>
      <vt:lpstr>'March 14'!Print_Area</vt:lpstr>
      <vt:lpstr>'Sept 12'!Print_Area</vt:lpstr>
      <vt:lpstr>'Sept 13'!Print_Area</vt:lpstr>
      <vt:lpstr>'Sept 14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2014-10-21T09:06:05Z</cp:lastPrinted>
  <dcterms:created xsi:type="dcterms:W3CDTF">2003-11-18T07:58:35Z</dcterms:created>
  <dcterms:modified xsi:type="dcterms:W3CDTF">2014-10-21T11:02:14Z</dcterms:modified>
</cp:coreProperties>
</file>