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2120" windowHeight="9000" firstSheet="12" activeTab="18"/>
  </bookViews>
  <sheets>
    <sheet name="Sept 99" sheetId="1" r:id="rId1"/>
    <sheet name="Dec 99" sheetId="2" r:id="rId2"/>
    <sheet name="Mar 00" sheetId="3" r:id="rId3"/>
    <sheet name="Jun 00" sheetId="4" r:id="rId4"/>
    <sheet name="Sept 00" sheetId="5" r:id="rId5"/>
    <sheet name="Dec 00" sheetId="6" r:id="rId6"/>
    <sheet name="March 01" sheetId="7" r:id="rId7"/>
    <sheet name="Jun 01" sheetId="8" r:id="rId8"/>
    <sheet name="Sept 01" sheetId="9" r:id="rId9"/>
    <sheet name="Dec01" sheetId="10" r:id="rId10"/>
    <sheet name="March 02" sheetId="11" r:id="rId11"/>
    <sheet name="June 02" sheetId="12" r:id="rId12"/>
    <sheet name="Sept 02" sheetId="13" r:id="rId13"/>
    <sheet name="Dec 02" sheetId="14" r:id="rId14"/>
    <sheet name="Mar03" sheetId="15" r:id="rId15"/>
    <sheet name="June 03" sheetId="16" r:id="rId16"/>
    <sheet name="Sept 03" sheetId="17" r:id="rId17"/>
    <sheet name="Dec 03" sheetId="18" r:id="rId18"/>
    <sheet name="Mar04" sheetId="19" r:id="rId19"/>
  </sheets>
  <definedNames>
    <definedName name="PAGE1" localSheetId="17">'Dec 03'!$A$1:$M$51</definedName>
    <definedName name="PAGE1" localSheetId="15">'June 03'!$A$1:$M$51</definedName>
    <definedName name="PAGE1" localSheetId="18">'Mar04'!$A$1:$M$51</definedName>
    <definedName name="PAGE1" localSheetId="16">'Sept 03'!$A$1:$M$51</definedName>
    <definedName name="PAGE1">'Mar03'!$A$1:$M$51</definedName>
    <definedName name="PAGE2" localSheetId="17">'Dec 03'!$A$52:$M$105</definedName>
    <definedName name="PAGE2" localSheetId="15">'June 03'!$A$52:$M$105</definedName>
    <definedName name="PAGE2" localSheetId="18">'Mar04'!$A$52:$M$106</definedName>
    <definedName name="PAGE2" localSheetId="16">'Sept 03'!$A$52:$M$105</definedName>
    <definedName name="PAGE2">'Mar03'!$A$52:$M$105</definedName>
    <definedName name="PAGE3" localSheetId="17">'Dec 03'!$A$106:$M$156</definedName>
    <definedName name="PAGE3" localSheetId="15">'June 03'!$A$106:$M$156</definedName>
    <definedName name="PAGE3" localSheetId="18">'Mar04'!$A$107:$M$157</definedName>
    <definedName name="PAGE3" localSheetId="16">'Sept 03'!$A$106:$M$156</definedName>
    <definedName name="PAGE3">'Mar03'!$A$106:$M$156</definedName>
    <definedName name="PAGE4" localSheetId="17">'Dec 03'!$A$157:$M$203</definedName>
    <definedName name="PAGE4" localSheetId="15">'June 03'!$A$157:$M$203</definedName>
    <definedName name="PAGE4" localSheetId="18">'Mar04'!$A$158:$M$204</definedName>
    <definedName name="PAGE4" localSheetId="16">'Sept 03'!$A$157:$M$203</definedName>
    <definedName name="PAGE4">'Mar03'!$A$157:$M$203</definedName>
    <definedName name="_xlnm.Print_Area" localSheetId="5">'Dec 00'!$A$1:$N$203</definedName>
    <definedName name="_xlnm.Print_Area" localSheetId="13">'Dec 02'!$A$1:$N$204</definedName>
    <definedName name="_xlnm.Print_Area" localSheetId="17">'Dec 03'!$A$1:$N$204</definedName>
    <definedName name="_xlnm.Print_Area" localSheetId="1">'Dec 99'!$A$1:$N$200</definedName>
    <definedName name="_xlnm.Print_Area" localSheetId="9">'Dec01'!$A$1:$N$203</definedName>
    <definedName name="_xlnm.Print_Area" localSheetId="3">'Jun 00'!$A$1:$N$201</definedName>
    <definedName name="_xlnm.Print_Area" localSheetId="7">'Jun 01'!$A$1:$N$204</definedName>
    <definedName name="_xlnm.Print_Area" localSheetId="11">'June 02'!$A$1:$N$204</definedName>
    <definedName name="_xlnm.Print_Area" localSheetId="15">'June 03'!$A$1:$N$204</definedName>
    <definedName name="_xlnm.Print_Area" localSheetId="2">'Mar 00'!$A$1:$N$201</definedName>
    <definedName name="_xlnm.Print_Area" localSheetId="14">'Mar03'!$A$1:$N$204</definedName>
    <definedName name="_xlnm.Print_Area" localSheetId="18">'Mar04'!$A$1:$N$205</definedName>
    <definedName name="_xlnm.Print_Area" localSheetId="6">'March 01'!$A$1:$N$204</definedName>
    <definedName name="_xlnm.Print_Area" localSheetId="10">'March 02'!$A$1:$N$204</definedName>
    <definedName name="_xlnm.Print_Area" localSheetId="4">'Sept 00'!$A$1:$N$201</definedName>
    <definedName name="_xlnm.Print_Area" localSheetId="8">'Sept 01'!$A$1:$N$204</definedName>
    <definedName name="_xlnm.Print_Area" localSheetId="12">'Sept 02'!$A$1:$N$204</definedName>
    <definedName name="_xlnm.Print_Area" localSheetId="16">'Sept 03'!$A$1:$N$204</definedName>
    <definedName name="_xlnm.Print_Area" localSheetId="0">'Sept 99'!$A$1:$N$202</definedName>
    <definedName name="_xlnm.Print_Area">'Dec 02'!$A$1:$M$51</definedName>
  </definedNames>
  <calcPr fullCalcOnLoad="1"/>
</workbook>
</file>

<file path=xl/sharedStrings.xml><?xml version="1.0" encoding="utf-8"?>
<sst xmlns="http://schemas.openxmlformats.org/spreadsheetml/2006/main" count="4143" uniqueCount="222">
  <si>
    <t>Paragon Mortgages (No. 1) PLC</t>
  </si>
  <si>
    <t>This performance report is issued by Paragon Finance PLC for and on behalf of Paragon Mortgages (No.1) PLC</t>
  </si>
  <si>
    <t>N.B. This data fact sheet and its notes can only be a summary of certain features of the bonds and their structure. No representation can be made that the information herein is accurate or complete and no liability is</t>
  </si>
  <si>
    <t xml:space="preserve"> accepted therefor. Reference should be made to the issuer  documentation for a full description of the bonds and their structure. This data fact sheet and its notes are for information purposes only and are not intended as  </t>
  </si>
  <si>
    <t xml:space="preserve">an offer or invitation with respect to the purchase or sale of any security. Reliance should not be placedon the information herein when making any decision whether to buy, hold or sell bonds (or other securities) or for any </t>
  </si>
  <si>
    <t>other purpose.</t>
  </si>
  <si>
    <t>Summary Transaction  Features</t>
  </si>
  <si>
    <t>Name of Issuer</t>
  </si>
  <si>
    <t>Date of Issue</t>
  </si>
  <si>
    <t>Date of Production</t>
  </si>
  <si>
    <t>Security Level Data</t>
  </si>
  <si>
    <t>Moody's Rating at Closing</t>
  </si>
  <si>
    <t>Standard &amp; Poor's Rating at Closing</t>
  </si>
  <si>
    <t>Current Moody's Rating</t>
  </si>
  <si>
    <t>Current Standard &amp; Poor's Rating</t>
  </si>
  <si>
    <t>ISIN</t>
  </si>
  <si>
    <t>Original Issue Amount (£'000)</t>
  </si>
  <si>
    <t>Previous Outstanding Note Principal (1)</t>
  </si>
  <si>
    <t>Outstanding Note Principal (1)</t>
  </si>
  <si>
    <t xml:space="preserve">Note Interest Margins: </t>
  </si>
  <si>
    <t>Current Note Interest Rates:</t>
  </si>
  <si>
    <t>Previous Note Interest Rates:</t>
  </si>
  <si>
    <t>Optional Redemption (Call) Dates</t>
  </si>
  <si>
    <t>Step-up Dates</t>
  </si>
  <si>
    <t>Step-up Margins</t>
  </si>
  <si>
    <t>Class B Notes as a percentage Class A Notes at issue</t>
  </si>
  <si>
    <t>Outstanding Class B Notes as a percentage of Outstanding Class A Notes</t>
  </si>
  <si>
    <t>Determination Event for Paying Class B Notes</t>
  </si>
  <si>
    <t>Interest Payment Cycle</t>
  </si>
  <si>
    <t>Interest Payment Date</t>
  </si>
  <si>
    <t>Previous Interest Period (No. of Days)</t>
  </si>
  <si>
    <t>Current Interest Period (No. of Days)</t>
  </si>
  <si>
    <t>Interest Calculated on</t>
  </si>
  <si>
    <t>Record Date</t>
  </si>
  <si>
    <t>PM1 INVESTOR REPORT QUARTER ENDING SEPTEMBER 1999</t>
  </si>
  <si>
    <t>Asset Movements</t>
  </si>
  <si>
    <t>Mortgages</t>
  </si>
  <si>
    <t>Current Principal Balance (£'000)</t>
  </si>
  <si>
    <t>Accrued Arrears and Interest Sold to Issuer (£'000)</t>
  </si>
  <si>
    <t>Total (£'000)</t>
  </si>
  <si>
    <t>Consumer Loans</t>
  </si>
  <si>
    <t>Credit Enhancement</t>
  </si>
  <si>
    <t>Pre-Funding Reserve</t>
  </si>
  <si>
    <t>Unreplenished Losses on Mortgages</t>
  </si>
  <si>
    <t>Outstanding Note Principal</t>
  </si>
  <si>
    <t>Principal/Revenue Analysis</t>
  </si>
  <si>
    <t>Opening cash balance</t>
  </si>
  <si>
    <t xml:space="preserve">Total principal cash received this period from assets </t>
  </si>
  <si>
    <t>Total revenue cash received this period from assets</t>
  </si>
  <si>
    <t>Drawing on Sub Loan for Interest Shortfalls</t>
  </si>
  <si>
    <t>Initial income for distribution this period</t>
  </si>
  <si>
    <t>Revenue adjustment for payment of Accrued Arrears and Interest Sold at closing</t>
  </si>
  <si>
    <t>Final income for distribution this period</t>
  </si>
  <si>
    <t>Revenue payments made or accrued from Revenue Income:</t>
  </si>
  <si>
    <t>Accrued Arrears and Interest not Sold to Issuer</t>
  </si>
  <si>
    <t>Trustee Fee</t>
  </si>
  <si>
    <t>Administrator Fee/Substitute Administrators Commitment Fee</t>
  </si>
  <si>
    <t>Payments to swap counterparty</t>
  </si>
  <si>
    <t>A Note Interest</t>
  </si>
  <si>
    <t>B Note Interest</t>
  </si>
  <si>
    <t>Third Party payments for Corporation Tax and VAT</t>
  </si>
  <si>
    <t>First Loss Fund  replenishments</t>
  </si>
  <si>
    <t>PDL replenishment</t>
  </si>
  <si>
    <t>Termination Fees to Swap Provider</t>
  </si>
  <si>
    <t>Cap/Swap Retention fund</t>
  </si>
  <si>
    <t>Fee Letter to PFPLC/PML</t>
  </si>
  <si>
    <t>Surplus income</t>
  </si>
  <si>
    <t>Principal payments made from Principal Income:</t>
  </si>
  <si>
    <t>Mandatory Further Advances</t>
  </si>
  <si>
    <t>Discretionary Further Advances</t>
  </si>
  <si>
    <t>A Note repayments</t>
  </si>
  <si>
    <t>B Note repayments</t>
  </si>
  <si>
    <t>Total payments to be made this quarter</t>
  </si>
  <si>
    <t>Total closing cash balance</t>
  </si>
  <si>
    <t>Available Credit Enhancement</t>
  </si>
  <si>
    <t>First Loss Fund Analysis</t>
  </si>
  <si>
    <t>First Loss Fund at Closing</t>
  </si>
  <si>
    <t>Last Quarter closing First Loss Fund balance</t>
  </si>
  <si>
    <t>Replenishments</t>
  </si>
  <si>
    <t>Drawing this quarter</t>
  </si>
  <si>
    <t>Drawing used to pay</t>
  </si>
  <si>
    <t>Closing First Loss Fund Balance</t>
  </si>
  <si>
    <t>Spread Trap</t>
  </si>
  <si>
    <t>Requirement</t>
  </si>
  <si>
    <t>Build up - prior periods</t>
  </si>
  <si>
    <t>Build up - this period</t>
  </si>
  <si>
    <t>Requirement Outstanding</t>
  </si>
  <si>
    <t>Principal Deficiency Ledger (PDL)</t>
  </si>
  <si>
    <t>Opening PDL Balance</t>
  </si>
  <si>
    <t>Losses this quarter</t>
  </si>
  <si>
    <t>Total PDL balance</t>
  </si>
  <si>
    <t>PDL top up from Revenue income</t>
  </si>
  <si>
    <t>Closing PDL Balance</t>
  </si>
  <si>
    <t>Over Collateralisation</t>
  </si>
  <si>
    <t>Current Principal Balance Outstanding and Accrued Arrears (£'000)</t>
  </si>
  <si>
    <t>Outstanding Note Principal (£'000)</t>
  </si>
  <si>
    <t>Mandatory and Discretionary Further Advances (FA's)</t>
  </si>
  <si>
    <t>Total FA's permitted</t>
  </si>
  <si>
    <t>FA's made to last quarter</t>
  </si>
  <si>
    <t>FA's made this quarter</t>
  </si>
  <si>
    <t>Total FA's made to date</t>
  </si>
  <si>
    <t>Remaining permitted FA's</t>
  </si>
  <si>
    <t xml:space="preserve">Cash Flow Interest Coverage </t>
  </si>
  <si>
    <t>Cover Ratio for Class A Notes (at last Interest Payment Date)</t>
  </si>
  <si>
    <t xml:space="preserve">Cover Ratio for Class A Notes (cumulative) </t>
  </si>
  <si>
    <t>Cover Ratio for Class B Notes (at last Interest Payment Date)</t>
  </si>
  <si>
    <t xml:space="preserve">Cover Ratio for Class B Notes (cumulative) </t>
  </si>
  <si>
    <t>Collateral Level Data</t>
  </si>
  <si>
    <t>Original Weighted Average Yield</t>
  </si>
  <si>
    <t>Original Weighted Average Note Coupon</t>
  </si>
  <si>
    <t>Original Spread</t>
  </si>
  <si>
    <t>Current Weighted Average Yield</t>
  </si>
  <si>
    <t>Current Weighted Average Note Coupon</t>
  </si>
  <si>
    <t>Current Spread</t>
  </si>
  <si>
    <t>Stated Maturity - Class A Notes</t>
  </si>
  <si>
    <t>Stated Maturity - Class B Notes</t>
  </si>
  <si>
    <t>Original Weighted Average Maturity</t>
  </si>
  <si>
    <t>Current Weighted Average Maturity</t>
  </si>
  <si>
    <t>Quarterly Prepayment Rate</t>
  </si>
  <si>
    <t>Life Time Prepayment Rate</t>
  </si>
  <si>
    <t>Delinquency Status</t>
  </si>
  <si>
    <t>Enforcements in Progress</t>
  </si>
  <si>
    <t>Enforcements Completed</t>
  </si>
  <si>
    <t>Aggregate Principal Balance of Repurchased Loans</t>
  </si>
  <si>
    <t>Aggregate Balance of Substituted Loans</t>
  </si>
  <si>
    <t>Principal Losses</t>
  </si>
  <si>
    <t>Agg Loan Principal Losses (during related Collection Period)</t>
  </si>
  <si>
    <t>Cumulative Principal Losses (since closing date)</t>
  </si>
  <si>
    <t>Properties Sold</t>
  </si>
  <si>
    <t>Properties Sold by Mortgagee</t>
  </si>
  <si>
    <t>Average Number of months in Arrears @ Redemption date</t>
  </si>
  <si>
    <t>Average months between Possession &amp; Redemption</t>
  </si>
  <si>
    <t>Average Sale Price/Orig Loan Valuation</t>
  </si>
  <si>
    <t>Delinquency Summary</t>
  </si>
  <si>
    <t>Performing</t>
  </si>
  <si>
    <t>&gt;1&lt;=2 Months</t>
  </si>
  <si>
    <t>&gt;2&lt;=3 Months</t>
  </si>
  <si>
    <t>&gt;3 Months</t>
  </si>
  <si>
    <t>Outstanding Accrued Arrears and Interest Sold to Issuer</t>
  </si>
  <si>
    <t>Contact Name/Address</t>
  </si>
  <si>
    <t>John Harvey, St. Catherines Court, Herbert Road, Solihull, West Midlands, B91 3QE</t>
  </si>
  <si>
    <t>Jimmy Giles, St. Catherines Court, Herbert Road, Solihull, West Midlands, B91 3QE</t>
  </si>
  <si>
    <t>Include note re. Determination Event</t>
  </si>
  <si>
    <t>Pool</t>
  </si>
  <si>
    <t>Factor</t>
  </si>
  <si>
    <t>As at Closing</t>
  </si>
  <si>
    <t>PDD =</t>
  </si>
  <si>
    <t>Last Quarter Balance</t>
  </si>
  <si>
    <t>Tel.</t>
  </si>
  <si>
    <t>0121 712 3894</t>
  </si>
  <si>
    <t>0121 712 2315</t>
  </si>
  <si>
    <t>Class A Notes</t>
  </si>
  <si>
    <t>Aaa</t>
  </si>
  <si>
    <t>AAA</t>
  </si>
  <si>
    <t>XS0098588147</t>
  </si>
  <si>
    <t>28 bp</t>
  </si>
  <si>
    <t>n/a</t>
  </si>
  <si>
    <t>July 2003</t>
  </si>
  <si>
    <t>15 July 2004</t>
  </si>
  <si>
    <t>56 bp</t>
  </si>
  <si>
    <t>This Quarter Redemptions and Repayments</t>
  </si>
  <si>
    <t>E-mail</t>
  </si>
  <si>
    <t>jharvey@paragon-group.co.uk</t>
  </si>
  <si>
    <t>jgiles@paragon-group.co.uk</t>
  </si>
  <si>
    <t>Class B Notes</t>
  </si>
  <si>
    <t>A1</t>
  </si>
  <si>
    <t>A</t>
  </si>
  <si>
    <t>XS0098588220</t>
  </si>
  <si>
    <t>80 bp</t>
  </si>
  <si>
    <t>160 bp</t>
  </si>
  <si>
    <t>Additions this quarter</t>
  </si>
  <si>
    <t>DFA's</t>
  </si>
  <si>
    <t>No.</t>
  </si>
  <si>
    <t>%</t>
  </si>
  <si>
    <t>Senior/Subordinate</t>
  </si>
  <si>
    <t xml:space="preserve">or the IPD falling  in July 2004, whichever is the later </t>
  </si>
  <si>
    <t>Repurchases this quarter</t>
  </si>
  <si>
    <t>Principal (£'000)</t>
  </si>
  <si>
    <t>MFA's</t>
  </si>
  <si>
    <t>Oct 2030</t>
  </si>
  <si>
    <t>Oct 2041</t>
  </si>
  <si>
    <t>£'000 Value</t>
  </si>
  <si>
    <t>£'000 Principal</t>
  </si>
  <si>
    <t>=</t>
  </si>
  <si>
    <t>years</t>
  </si>
  <si>
    <t>PM1  PLC</t>
  </si>
  <si>
    <t>11 June 1999</t>
  </si>
  <si>
    <t>Quarterly</t>
  </si>
  <si>
    <t>ACTUAL/365</t>
  </si>
  <si>
    <t>Current Principal Outstanding</t>
  </si>
  <si>
    <t>Revenue (£'000)</t>
  </si>
  <si>
    <t>Total</t>
  </si>
  <si>
    <t>x</t>
  </si>
  <si>
    <t>PM1 INVESTOR REPORT QUARTER ENDING DECEMBER 1999</t>
  </si>
  <si>
    <t>ACTUAL/366</t>
  </si>
  <si>
    <t>PM1 INVESTOR REPORT QUARTER ENDING MARCH 2000</t>
  </si>
  <si>
    <t>PM1 INVESTOR REPORT QUARTER ENDING JUNE 2000</t>
  </si>
  <si>
    <t>0121 712 2459</t>
  </si>
  <si>
    <t>PM1 INVESTOR REPORT QUARTER ENDING SEPTEMBER 2000</t>
  </si>
  <si>
    <t>Originator % at Closing</t>
  </si>
  <si>
    <t xml:space="preserve">Originator % at the Quarter End </t>
  </si>
  <si>
    <t>PM1 INVESTOR REPORT QUARTER ENDING DECEMBER 2000</t>
  </si>
  <si>
    <t>PML</t>
  </si>
  <si>
    <t>PM1 INVESTOR REPORT QUARTER ENDING MARCH 2001</t>
  </si>
  <si>
    <t>Recoveries (Cumulative)</t>
  </si>
  <si>
    <t>PM1 INVESTOR REPORT QUARTER ENDING JUNE 2001</t>
  </si>
  <si>
    <t>PM1 INVESTOR REPORT QUARTER ENDING SEPTEMBER 2001</t>
  </si>
  <si>
    <t>Aa1</t>
  </si>
  <si>
    <t>A+</t>
  </si>
  <si>
    <t>PM1 INVESTOR REPORT QUARTER ENDING DECEMBER 2001</t>
  </si>
  <si>
    <t>PM1 INVESTOR REPORT QUARTER ENDING MARCH 2002</t>
  </si>
  <si>
    <t>PM1 INVESTOR REPORT QUARTER ENDING JUNE 2002</t>
  </si>
  <si>
    <t>PM1 INVESTOR REPORT QUARTER ENDING SEPTEMBER 2002</t>
  </si>
  <si>
    <t>PM1 INVESTOR REPORT QUARTER ENDING DECEMBER 2002</t>
  </si>
  <si>
    <t>PM1 INVESTOR REPORT QUARTER ENDING MARCH 2003</t>
  </si>
  <si>
    <t>AA+</t>
  </si>
  <si>
    <t>PM1 INVESTOR REPORT QUARTER ENDING JUNE 2003</t>
  </si>
  <si>
    <t>PM1 INVESTOR REPORT QUARTER ENDING SEPTEMBER 2003</t>
  </si>
  <si>
    <t>PM1 INVESTOR REPORT QUARTER ENDING DECEMBER 2003</t>
  </si>
  <si>
    <t>PM1 INVESTOR REPORT QUARTER ENDING MARCH 2004</t>
  </si>
  <si>
    <t>Repayment</t>
  </si>
  <si>
    <t>Release of the First Fund following repayment of the Notes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</si>
</sst>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0"/>
    <numFmt numFmtId="173" formatCode="#,##0.000000"/>
    <numFmt numFmtId="174" formatCode="0.00000%"/>
    <numFmt numFmtId="175" formatCode="#,##0.0"/>
    <numFmt numFmtId="176" formatCode="0.0%"/>
  </numFmts>
  <fonts count="30">
    <font>
      <sz val="12"/>
      <name val="Arial"/>
      <family val="0"/>
    </font>
    <font>
      <b/>
      <sz val="10"/>
      <name val="Arial"/>
      <family val="0"/>
    </font>
    <font>
      <i/>
      <sz val="10"/>
      <name val="Arial"/>
      <family val="0"/>
    </font>
    <font>
      <b/>
      <i/>
      <sz val="10"/>
      <name val="Arial"/>
      <family val="0"/>
    </font>
    <font>
      <sz val="12"/>
      <name val="Times New Roman"/>
      <family val="0"/>
    </font>
    <font>
      <b/>
      <u val="single"/>
      <sz val="16"/>
      <color indexed="12"/>
      <name val="Times New Roman"/>
      <family val="0"/>
    </font>
    <font>
      <b/>
      <u val="single"/>
      <sz val="12"/>
      <name val="Times New Roman"/>
      <family val="0"/>
    </font>
    <font>
      <u val="single"/>
      <sz val="12"/>
      <name val="Times New Roman"/>
      <family val="0"/>
    </font>
    <font>
      <b/>
      <sz val="12"/>
      <color indexed="29"/>
      <name val="Times New Roman"/>
      <family val="0"/>
    </font>
    <font>
      <b/>
      <i/>
      <sz val="10"/>
      <name val="Times New Roman"/>
      <family val="0"/>
    </font>
    <font>
      <b/>
      <i/>
      <sz val="12"/>
      <name val="Times New Roman"/>
      <family val="0"/>
    </font>
    <font>
      <b/>
      <sz val="12"/>
      <name val="Times New Roman"/>
      <family val="0"/>
    </font>
    <font>
      <b/>
      <sz val="12"/>
      <color indexed="12"/>
      <name val="Times New Roman"/>
      <family val="0"/>
    </font>
    <font>
      <sz val="12"/>
      <color indexed="12"/>
      <name val="Times New Roman"/>
      <family val="0"/>
    </font>
    <font>
      <b/>
      <u val="single"/>
      <sz val="12"/>
      <color indexed="12"/>
      <name val="Times New Roman"/>
      <family val="0"/>
    </font>
    <font>
      <b/>
      <sz val="12"/>
      <color indexed="12"/>
      <name val="Arial"/>
      <family val="0"/>
    </font>
    <font>
      <sz val="12"/>
      <color indexed="8"/>
      <name val="Times New Roman"/>
      <family val="0"/>
    </font>
    <font>
      <b/>
      <sz val="14"/>
      <name val="Times New Roman"/>
      <family val="0"/>
    </font>
    <font>
      <b/>
      <sz val="12"/>
      <color indexed="8"/>
      <name val="Times New Roman"/>
      <family val="0"/>
    </font>
    <font>
      <b/>
      <u val="single"/>
      <sz val="12"/>
      <color indexed="8"/>
      <name val="Times New Roman"/>
      <family val="0"/>
    </font>
    <font>
      <sz val="10"/>
      <name val="Times New Roman"/>
      <family val="0"/>
    </font>
    <font>
      <b/>
      <sz val="12"/>
      <color indexed="12"/>
      <name val="Arial MT"/>
      <family val="0"/>
    </font>
    <font>
      <sz val="12"/>
      <color indexed="12"/>
      <name val="Arial"/>
      <family val="0"/>
    </font>
    <font>
      <b/>
      <sz val="12"/>
      <name val="Arial"/>
      <family val="0"/>
    </font>
    <font>
      <sz val="8"/>
      <name val="Times New Roman"/>
      <family val="0"/>
    </font>
    <font>
      <b/>
      <sz val="12"/>
      <color indexed="29"/>
      <name val="Arial"/>
      <family val="0"/>
    </font>
    <font>
      <sz val="12"/>
      <color indexed="53"/>
      <name val="Times New Roman"/>
      <family val="1"/>
    </font>
    <font>
      <b/>
      <sz val="12"/>
      <color indexed="53"/>
      <name val="Times New Roman"/>
      <family val="1"/>
    </font>
    <font>
      <sz val="12"/>
      <color indexed="53"/>
      <name val="Arial"/>
      <family val="0"/>
    </font>
    <font>
      <b/>
      <u val="single"/>
      <sz val="12"/>
      <color indexed="53"/>
      <name val="Times New Roman"/>
      <family val="1"/>
    </font>
  </fonts>
  <fills count="4">
    <fill>
      <patternFill/>
    </fill>
    <fill>
      <patternFill patternType="gray125"/>
    </fill>
    <fill>
      <patternFill patternType="solid">
        <fgColor indexed="26"/>
        <bgColor indexed="64"/>
      </patternFill>
    </fill>
    <fill>
      <patternFill patternType="solid">
        <fgColor indexed="9"/>
        <bgColor indexed="64"/>
      </patternFill>
    </fill>
  </fills>
  <borders count="9">
    <border>
      <left/>
      <right/>
      <top/>
      <bottom/>
      <diagonal/>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174">
    <xf numFmtId="0" fontId="0" fillId="0" borderId="0" xfId="0" applyAlignment="1">
      <alignment/>
    </xf>
    <xf numFmtId="0" fontId="0" fillId="0" borderId="0" xfId="0" applyNumberFormat="1" applyFont="1" applyAlignment="1">
      <alignment/>
    </xf>
    <xf numFmtId="0" fontId="4" fillId="2" borderId="1" xfId="0" applyNumberFormat="1" applyFont="1" applyFill="1" applyAlignment="1">
      <alignment/>
    </xf>
    <xf numFmtId="0" fontId="5" fillId="2" borderId="2" xfId="0" applyNumberFormat="1" applyFont="1" applyFill="1" applyAlignment="1">
      <alignment/>
    </xf>
    <xf numFmtId="0" fontId="6" fillId="2" borderId="2" xfId="0" applyNumberFormat="1" applyFont="1" applyFill="1" applyAlignment="1">
      <alignment/>
    </xf>
    <xf numFmtId="0" fontId="4" fillId="2" borderId="2" xfId="0" applyNumberFormat="1" applyFont="1" applyFill="1" applyAlignment="1">
      <alignment/>
    </xf>
    <xf numFmtId="0" fontId="0" fillId="0" borderId="3" xfId="0" applyNumberFormat="1" applyFont="1" applyAlignment="1">
      <alignment/>
    </xf>
    <xf numFmtId="0" fontId="0" fillId="0" borderId="0" xfId="0" applyNumberFormat="1" applyFont="1" applyAlignment="1">
      <alignment/>
    </xf>
    <xf numFmtId="0" fontId="4" fillId="2" borderId="3" xfId="0" applyNumberFormat="1" applyFont="1" applyFill="1" applyAlignment="1">
      <alignment/>
    </xf>
    <xf numFmtId="0" fontId="7" fillId="2" borderId="0" xfId="0" applyNumberFormat="1" applyFont="1" applyFill="1" applyAlignment="1">
      <alignment/>
    </xf>
    <xf numFmtId="0" fontId="4" fillId="2" borderId="0" xfId="0" applyNumberFormat="1" applyFont="1" applyFill="1" applyAlignment="1">
      <alignment/>
    </xf>
    <xf numFmtId="0" fontId="4" fillId="2" borderId="3" xfId="0" applyNumberFormat="1" applyFont="1" applyFill="1" applyAlignment="1">
      <alignment horizontal="center"/>
    </xf>
    <xf numFmtId="0" fontId="8" fillId="2" borderId="0" xfId="0" applyNumberFormat="1" applyFont="1" applyFill="1" applyAlignment="1">
      <alignment/>
    </xf>
    <xf numFmtId="0" fontId="9" fillId="2" borderId="0" xfId="0" applyNumberFormat="1" applyFont="1" applyFill="1" applyAlignment="1">
      <alignment/>
    </xf>
    <xf numFmtId="0" fontId="10" fillId="2" borderId="0" xfId="0" applyNumberFormat="1" applyFont="1" applyFill="1" applyAlignment="1">
      <alignment/>
    </xf>
    <xf numFmtId="0" fontId="0" fillId="2" borderId="0" xfId="0" applyNumberFormat="1" applyFont="1" applyFill="1" applyAlignment="1">
      <alignment/>
    </xf>
    <xf numFmtId="0" fontId="11" fillId="2" borderId="0" xfId="0" applyNumberFormat="1" applyFont="1" applyFill="1" applyAlignment="1">
      <alignment/>
    </xf>
    <xf numFmtId="0" fontId="12" fillId="2" borderId="0" xfId="0" applyNumberFormat="1" applyFont="1" applyFill="1" applyAlignment="1">
      <alignment/>
    </xf>
    <xf numFmtId="0" fontId="13" fillId="2" borderId="0" xfId="0" applyNumberFormat="1" applyFont="1" applyFill="1" applyAlignment="1">
      <alignment/>
    </xf>
    <xf numFmtId="0" fontId="14" fillId="2" borderId="0" xfId="0" applyNumberFormat="1" applyFont="1" applyFill="1" applyAlignment="1">
      <alignment horizontal="center" wrapText="1"/>
    </xf>
    <xf numFmtId="0" fontId="12" fillId="2" borderId="0" xfId="0" applyNumberFormat="1" applyFont="1" applyFill="1" applyAlignment="1">
      <alignment horizontal="center"/>
    </xf>
    <xf numFmtId="15" fontId="12" fillId="2" borderId="0" xfId="0" applyNumberFormat="1" applyFont="1" applyFill="1" applyAlignment="1">
      <alignment horizontal="center"/>
    </xf>
    <xf numFmtId="0" fontId="4" fillId="2" borderId="0" xfId="0" applyNumberFormat="1" applyFont="1" applyFill="1" applyAlignment="1">
      <alignment horizontal="center"/>
    </xf>
    <xf numFmtId="0" fontId="6" fillId="2" borderId="0" xfId="0" applyNumberFormat="1" applyFont="1" applyFill="1" applyAlignment="1">
      <alignment/>
    </xf>
    <xf numFmtId="0" fontId="4" fillId="2" borderId="0" xfId="0" applyNumberFormat="1" applyFont="1" applyFill="1" applyAlignment="1">
      <alignment horizontal="right"/>
    </xf>
    <xf numFmtId="0" fontId="4" fillId="2" borderId="0" xfId="0" applyNumberFormat="1" applyFont="1" applyFill="1" applyAlignment="1">
      <alignment horizontal="center" wrapText="1"/>
    </xf>
    <xf numFmtId="0" fontId="8" fillId="2" borderId="0" xfId="0" applyNumberFormat="1" applyFont="1" applyFill="1" applyAlignment="1">
      <alignment horizontal="center" wrapText="1"/>
    </xf>
    <xf numFmtId="0" fontId="4" fillId="2" borderId="4" xfId="0" applyNumberFormat="1" applyFont="1" applyFill="1" applyAlignment="1">
      <alignment/>
    </xf>
    <xf numFmtId="0" fontId="4" fillId="2" borderId="5" xfId="0" applyNumberFormat="1" applyFont="1" applyFill="1" applyAlignment="1">
      <alignment/>
    </xf>
    <xf numFmtId="0" fontId="4" fillId="2" borderId="5" xfId="0" applyNumberFormat="1" applyFont="1" applyFill="1" applyAlignment="1">
      <alignment horizontal="center" wrapText="1"/>
    </xf>
    <xf numFmtId="0" fontId="0" fillId="2" borderId="5" xfId="0" applyNumberFormat="1" applyFont="1" applyFill="1" applyAlignment="1">
      <alignment/>
    </xf>
    <xf numFmtId="0" fontId="4" fillId="2" borderId="5" xfId="0" applyNumberFormat="1" applyFont="1" applyFill="1" applyAlignment="1">
      <alignment horizontal="center"/>
    </xf>
    <xf numFmtId="0" fontId="12" fillId="2" borderId="4" xfId="0" applyNumberFormat="1" applyFont="1" applyFill="1" applyAlignment="1">
      <alignment/>
    </xf>
    <xf numFmtId="0" fontId="12" fillId="2" borderId="5" xfId="0" applyNumberFormat="1" applyFont="1" applyFill="1" applyAlignment="1">
      <alignment/>
    </xf>
    <xf numFmtId="0" fontId="12" fillId="2" borderId="5" xfId="0" applyNumberFormat="1" applyFont="1" applyFill="1" applyAlignment="1">
      <alignment horizontal="center" wrapText="1"/>
    </xf>
    <xf numFmtId="172" fontId="4" fillId="2" borderId="5" xfId="0" applyNumberFormat="1" applyFont="1" applyFill="1" applyAlignment="1">
      <alignment horizontal="center"/>
    </xf>
    <xf numFmtId="172" fontId="4" fillId="2" borderId="5" xfId="0" applyNumberFormat="1" applyFont="1" applyFill="1" applyAlignment="1">
      <alignment/>
    </xf>
    <xf numFmtId="172" fontId="0" fillId="2" borderId="5" xfId="0" applyNumberFormat="1" applyFont="1" applyFill="1" applyAlignment="1">
      <alignment/>
    </xf>
    <xf numFmtId="3" fontId="4" fillId="2" borderId="5" xfId="0" applyNumberFormat="1" applyFont="1" applyFill="1" applyAlignment="1">
      <alignment/>
    </xf>
    <xf numFmtId="173" fontId="4" fillId="2" borderId="5" xfId="0" applyNumberFormat="1" applyFont="1" applyFill="1" applyAlignment="1">
      <alignment vertical="top"/>
    </xf>
    <xf numFmtId="173" fontId="12" fillId="2" borderId="5" xfId="0" applyNumberFormat="1" applyFont="1" applyFill="1" applyAlignment="1">
      <alignment/>
    </xf>
    <xf numFmtId="172" fontId="12" fillId="2" borderId="5" xfId="0" applyNumberFormat="1" applyFont="1" applyFill="1" applyAlignment="1">
      <alignment horizontal="center"/>
    </xf>
    <xf numFmtId="172" fontId="12" fillId="2" borderId="5" xfId="0" applyNumberFormat="1" applyFont="1" applyFill="1" applyAlignment="1">
      <alignment/>
    </xf>
    <xf numFmtId="172" fontId="15" fillId="2" borderId="5" xfId="0" applyNumberFormat="1" applyFont="1" applyFill="1" applyAlignment="1">
      <alignment/>
    </xf>
    <xf numFmtId="0" fontId="4" fillId="2" borderId="5" xfId="0" applyNumberFormat="1" applyFont="1" applyFill="1" applyAlignment="1">
      <alignment vertical="top"/>
    </xf>
    <xf numFmtId="174" fontId="4" fillId="2" borderId="5" xfId="0" applyNumberFormat="1" applyFont="1" applyFill="1" applyAlignment="1">
      <alignment horizontal="center"/>
    </xf>
    <xf numFmtId="10" fontId="4" fillId="2" borderId="5" xfId="0" applyNumberFormat="1" applyFont="1" applyFill="1" applyAlignment="1">
      <alignment horizontal="center"/>
    </xf>
    <xf numFmtId="0" fontId="4" fillId="2" borderId="5" xfId="0" applyNumberFormat="1" applyFont="1" applyFill="1" applyAlignment="1">
      <alignment horizontal="right"/>
    </xf>
    <xf numFmtId="4" fontId="4" fillId="2" borderId="5" xfId="0" applyNumberFormat="1" applyFont="1" applyFill="1" applyAlignment="1">
      <alignment horizontal="center"/>
    </xf>
    <xf numFmtId="15" fontId="12" fillId="2" borderId="5" xfId="0" applyNumberFormat="1" applyFont="1" applyFill="1" applyAlignment="1">
      <alignment horizontal="center"/>
    </xf>
    <xf numFmtId="15" fontId="12" fillId="2" borderId="5" xfId="0" applyNumberFormat="1" applyFont="1" applyFill="1" applyAlignment="1">
      <alignment horizontal="center"/>
    </xf>
    <xf numFmtId="15" fontId="16" fillId="2" borderId="5" xfId="0" applyNumberFormat="1" applyFont="1" applyFill="1" applyAlignment="1">
      <alignment horizontal="center"/>
    </xf>
    <xf numFmtId="15" fontId="16" fillId="2" borderId="5" xfId="0" applyNumberFormat="1" applyFont="1" applyFill="1" applyAlignment="1">
      <alignment horizontal="center"/>
    </xf>
    <xf numFmtId="15" fontId="16" fillId="2" borderId="0" xfId="0" applyNumberFormat="1" applyFont="1" applyFill="1" applyAlignment="1">
      <alignment horizontal="center"/>
    </xf>
    <xf numFmtId="15" fontId="16" fillId="2" borderId="0" xfId="0" applyNumberFormat="1" applyFont="1" applyFill="1" applyAlignment="1">
      <alignment horizontal="center"/>
    </xf>
    <xf numFmtId="0" fontId="17" fillId="2" borderId="0" xfId="0" applyNumberFormat="1" applyFont="1" applyFill="1" applyAlignment="1">
      <alignment/>
    </xf>
    <xf numFmtId="0" fontId="4" fillId="2" borderId="0" xfId="0" applyNumberFormat="1" applyFont="1" applyFill="1" applyAlignment="1">
      <alignment horizontal="right"/>
    </xf>
    <xf numFmtId="4" fontId="4" fillId="2" borderId="2" xfId="0" applyNumberFormat="1" applyFont="1" applyFill="1" applyAlignment="1">
      <alignment horizontal="right"/>
    </xf>
    <xf numFmtId="0" fontId="14" fillId="2" borderId="0" xfId="0" applyNumberFormat="1" applyFont="1" applyFill="1" applyAlignment="1">
      <alignment/>
    </xf>
    <xf numFmtId="4" fontId="4" fillId="2" borderId="0" xfId="0" applyNumberFormat="1" applyFont="1" applyFill="1" applyAlignment="1">
      <alignment horizontal="right"/>
    </xf>
    <xf numFmtId="3" fontId="16" fillId="2" borderId="5" xfId="0" applyNumberFormat="1" applyFont="1" applyFill="1" applyAlignment="1">
      <alignment horizontal="right"/>
    </xf>
    <xf numFmtId="3" fontId="16" fillId="2" borderId="5" xfId="0" applyNumberFormat="1" applyFont="1" applyFill="1" applyAlignment="1">
      <alignment/>
    </xf>
    <xf numFmtId="3" fontId="4" fillId="2" borderId="0" xfId="0" applyNumberFormat="1" applyFont="1" applyFill="1" applyAlignment="1">
      <alignment/>
    </xf>
    <xf numFmtId="3" fontId="16" fillId="2" borderId="0" xfId="0" applyNumberFormat="1" applyFont="1" applyFill="1" applyAlignment="1">
      <alignment/>
    </xf>
    <xf numFmtId="10" fontId="0" fillId="0" borderId="3" xfId="0" applyNumberFormat="1" applyFont="1" applyAlignment="1">
      <alignment/>
    </xf>
    <xf numFmtId="15" fontId="4" fillId="2" borderId="5" xfId="0" applyNumberFormat="1" applyFont="1" applyFill="1" applyAlignment="1">
      <alignment/>
    </xf>
    <xf numFmtId="0" fontId="6" fillId="2" borderId="5" xfId="0" applyNumberFormat="1" applyFont="1" applyFill="1" applyAlignment="1">
      <alignment/>
    </xf>
    <xf numFmtId="4" fontId="16" fillId="2" borderId="5" xfId="0" applyNumberFormat="1" applyFont="1" applyFill="1" applyAlignment="1">
      <alignment horizontal="right"/>
    </xf>
    <xf numFmtId="4" fontId="4" fillId="2" borderId="5" xfId="0" applyNumberFormat="1" applyFont="1" applyFill="1" applyAlignment="1">
      <alignment horizontal="right"/>
    </xf>
    <xf numFmtId="4" fontId="4" fillId="2" borderId="5" xfId="0" applyNumberFormat="1" applyFont="1" applyFill="1" applyAlignment="1">
      <alignment/>
    </xf>
    <xf numFmtId="4" fontId="16" fillId="2" borderId="5" xfId="0" applyNumberFormat="1" applyFont="1" applyFill="1" applyAlignment="1">
      <alignment horizontal="center"/>
    </xf>
    <xf numFmtId="4" fontId="16" fillId="2" borderId="0" xfId="0" applyNumberFormat="1" applyFont="1" applyFill="1" applyAlignment="1">
      <alignment horizontal="right"/>
    </xf>
    <xf numFmtId="15" fontId="18" fillId="2" borderId="5" xfId="0" applyNumberFormat="1" applyFont="1" applyFill="1" applyAlignment="1">
      <alignment horizontal="center"/>
    </xf>
    <xf numFmtId="0" fontId="11" fillId="2" borderId="5" xfId="0" applyNumberFormat="1" applyFont="1" applyFill="1" applyAlignment="1">
      <alignment/>
    </xf>
    <xf numFmtId="0" fontId="4" fillId="2" borderId="0" xfId="0" applyNumberFormat="1" applyFont="1" applyFill="1" applyAlignment="1">
      <alignment/>
    </xf>
    <xf numFmtId="2" fontId="16" fillId="2" borderId="5" xfId="0" applyNumberFormat="1" applyFont="1" applyFill="1" applyAlignment="1">
      <alignment horizontal="right"/>
    </xf>
    <xf numFmtId="0" fontId="13" fillId="2" borderId="1" xfId="0" applyNumberFormat="1" applyFont="1" applyFill="1" applyAlignment="1">
      <alignment/>
    </xf>
    <xf numFmtId="0" fontId="14" fillId="2" borderId="2" xfId="0" applyNumberFormat="1" applyFont="1" applyFill="1" applyAlignment="1">
      <alignment/>
    </xf>
    <xf numFmtId="15" fontId="12" fillId="2" borderId="2" xfId="0" applyNumberFormat="1" applyFont="1" applyFill="1" applyAlignment="1">
      <alignment horizontal="centerContinuous"/>
    </xf>
    <xf numFmtId="15" fontId="12" fillId="2" borderId="2" xfId="0" applyNumberFormat="1" applyFont="1" applyFill="1" applyAlignment="1">
      <alignment horizontal="center"/>
    </xf>
    <xf numFmtId="0" fontId="13" fillId="2" borderId="2" xfId="0" applyNumberFormat="1" applyFont="1" applyFill="1" applyAlignment="1">
      <alignment/>
    </xf>
    <xf numFmtId="0" fontId="4" fillId="0" borderId="3" xfId="0" applyNumberFormat="1" applyFont="1" applyAlignment="1">
      <alignment/>
    </xf>
    <xf numFmtId="0" fontId="16" fillId="2" borderId="3" xfId="0" applyNumberFormat="1" applyFont="1" applyFill="1" applyAlignment="1">
      <alignment/>
    </xf>
    <xf numFmtId="0" fontId="19" fillId="2" borderId="0" xfId="0" applyNumberFormat="1" applyFont="1" applyFill="1" applyAlignment="1">
      <alignment/>
    </xf>
    <xf numFmtId="15" fontId="18" fillId="2" borderId="0" xfId="0" applyNumberFormat="1" applyFont="1" applyFill="1" applyAlignment="1">
      <alignment horizontal="centerContinuous"/>
    </xf>
    <xf numFmtId="15" fontId="18" fillId="2" borderId="0" xfId="0" applyNumberFormat="1" applyFont="1" applyFill="1" applyAlignment="1">
      <alignment horizontal="center"/>
    </xf>
    <xf numFmtId="0" fontId="16" fillId="2" borderId="4" xfId="0" applyNumberFormat="1" applyFont="1" applyFill="1" applyAlignment="1">
      <alignment/>
    </xf>
    <xf numFmtId="0" fontId="16" fillId="2" borderId="5" xfId="0" applyNumberFormat="1" applyFont="1" applyFill="1" applyAlignment="1">
      <alignment/>
    </xf>
    <xf numFmtId="15" fontId="18" fillId="2" borderId="5" xfId="0" applyNumberFormat="1" applyFont="1" applyFill="1" applyAlignment="1">
      <alignment horizontal="centerContinuous"/>
    </xf>
    <xf numFmtId="10" fontId="16" fillId="2" borderId="5" xfId="0" applyNumberFormat="1" applyFont="1" applyFill="1" applyAlignment="1">
      <alignment horizontal="center"/>
    </xf>
    <xf numFmtId="3" fontId="16" fillId="2" borderId="5" xfId="0" applyNumberFormat="1" applyFont="1" applyFill="1" applyAlignment="1">
      <alignment horizontal="center"/>
    </xf>
    <xf numFmtId="175" fontId="16" fillId="2" borderId="5" xfId="0" applyNumberFormat="1" applyFont="1" applyFill="1" applyAlignment="1">
      <alignment horizontal="center"/>
    </xf>
    <xf numFmtId="0" fontId="4" fillId="2" borderId="5" xfId="0" applyNumberFormat="1" applyFont="1" applyFill="1" applyAlignment="1">
      <alignment/>
    </xf>
    <xf numFmtId="0" fontId="16" fillId="2" borderId="3" xfId="0" applyNumberFormat="1" applyFont="1" applyFill="1" applyAlignment="1">
      <alignment horizontal="right"/>
    </xf>
    <xf numFmtId="3" fontId="12" fillId="2" borderId="0" xfId="0" applyNumberFormat="1" applyFont="1" applyFill="1" applyAlignment="1">
      <alignment horizontal="center"/>
    </xf>
    <xf numFmtId="0" fontId="16" fillId="2" borderId="4" xfId="0" applyNumberFormat="1" applyFont="1" applyFill="1" applyAlignment="1">
      <alignment horizontal="right"/>
    </xf>
    <xf numFmtId="3" fontId="16" fillId="2" borderId="5" xfId="0" applyNumberFormat="1" applyFont="1" applyFill="1" applyAlignment="1">
      <alignment horizontal="center"/>
    </xf>
    <xf numFmtId="3" fontId="18" fillId="2" borderId="5" xfId="0" applyNumberFormat="1" applyFont="1" applyFill="1" applyAlignment="1">
      <alignment/>
    </xf>
    <xf numFmtId="0" fontId="16" fillId="2" borderId="4" xfId="0" applyNumberFormat="1" applyFont="1" applyFill="1" applyAlignment="1">
      <alignment horizontal="center"/>
    </xf>
    <xf numFmtId="0" fontId="18" fillId="2" borderId="5" xfId="0" applyNumberFormat="1" applyFont="1" applyFill="1" applyAlignment="1">
      <alignment/>
    </xf>
    <xf numFmtId="0" fontId="16" fillId="2" borderId="5" xfId="0" applyNumberFormat="1" applyFont="1" applyFill="1" applyAlignment="1">
      <alignment horizontal="right"/>
    </xf>
    <xf numFmtId="4" fontId="16" fillId="2" borderId="5" xfId="0" applyNumberFormat="1" applyFont="1" applyFill="1" applyAlignment="1">
      <alignment horizontal="right"/>
    </xf>
    <xf numFmtId="9" fontId="16" fillId="2" borderId="5" xfId="0" applyNumberFormat="1" applyFont="1" applyFill="1" applyAlignment="1">
      <alignment horizontal="right"/>
    </xf>
    <xf numFmtId="10" fontId="16" fillId="2" borderId="5" xfId="0" applyNumberFormat="1" applyFont="1" applyFill="1" applyAlignment="1">
      <alignment horizontal="center"/>
    </xf>
    <xf numFmtId="0" fontId="18" fillId="2" borderId="0" xfId="0" applyNumberFormat="1" applyFont="1" applyFill="1" applyAlignment="1">
      <alignment/>
    </xf>
    <xf numFmtId="176" fontId="16" fillId="2" borderId="5" xfId="0" applyNumberFormat="1" applyFont="1" applyFill="1" applyAlignment="1">
      <alignment/>
    </xf>
    <xf numFmtId="176" fontId="4" fillId="2" borderId="5" xfId="0" applyNumberFormat="1" applyFont="1" applyFill="1" applyAlignment="1">
      <alignment/>
    </xf>
    <xf numFmtId="10" fontId="16" fillId="2" borderId="5" xfId="0" applyNumberFormat="1" applyFont="1" applyFill="1" applyAlignment="1">
      <alignment/>
    </xf>
    <xf numFmtId="10" fontId="18" fillId="2" borderId="5" xfId="0" applyNumberFormat="1" applyFont="1" applyFill="1" applyAlignment="1">
      <alignment/>
    </xf>
    <xf numFmtId="9" fontId="4" fillId="2" borderId="5" xfId="0" applyNumberFormat="1" applyFont="1" applyFill="1" applyAlignment="1">
      <alignment/>
    </xf>
    <xf numFmtId="0" fontId="20" fillId="0" borderId="3" xfId="0" applyNumberFormat="1" applyFont="1" applyAlignment="1">
      <alignment/>
    </xf>
    <xf numFmtId="0" fontId="20" fillId="0" borderId="0" xfId="0" applyNumberFormat="1" applyFont="1" applyAlignment="1">
      <alignment/>
    </xf>
    <xf numFmtId="9" fontId="4" fillId="2" borderId="0" xfId="0" applyNumberFormat="1" applyFont="1" applyFill="1" applyAlignment="1">
      <alignment/>
    </xf>
    <xf numFmtId="3" fontId="16" fillId="2" borderId="0" xfId="0" applyNumberFormat="1" applyFont="1" applyFill="1" applyAlignment="1">
      <alignment horizontal="right"/>
    </xf>
    <xf numFmtId="0" fontId="0" fillId="2" borderId="3" xfId="0" applyNumberFormat="1" applyFont="1" applyFill="1" applyAlignment="1">
      <alignment/>
    </xf>
    <xf numFmtId="0" fontId="21" fillId="2" borderId="0" xfId="0" applyNumberFormat="1" applyFont="1" applyFill="1" applyAlignment="1">
      <alignment horizontal="center"/>
    </xf>
    <xf numFmtId="0" fontId="22" fillId="2" borderId="0" xfId="0" applyNumberFormat="1" applyFont="1" applyFill="1" applyAlignment="1">
      <alignment/>
    </xf>
    <xf numFmtId="0" fontId="23" fillId="2" borderId="0" xfId="0" applyNumberFormat="1" applyFont="1" applyFill="1" applyAlignment="1">
      <alignment/>
    </xf>
    <xf numFmtId="0" fontId="11" fillId="2" borderId="0" xfId="0" applyNumberFormat="1" applyFont="1" applyFill="1" applyAlignment="1">
      <alignment horizontal="center"/>
    </xf>
    <xf numFmtId="0" fontId="0" fillId="3" borderId="2" xfId="0" applyNumberFormat="1" applyFont="1" applyFill="1" applyAlignment="1">
      <alignment/>
    </xf>
    <xf numFmtId="0" fontId="24" fillId="0" borderId="0" xfId="0" applyNumberFormat="1" applyFont="1" applyAlignment="1">
      <alignment horizontal="right"/>
    </xf>
    <xf numFmtId="0" fontId="0" fillId="3" borderId="0" xfId="0" applyNumberFormat="1" applyFont="1" applyFill="1" applyAlignment="1">
      <alignment/>
    </xf>
    <xf numFmtId="0" fontId="4" fillId="3" borderId="0" xfId="0" applyNumberFormat="1" applyFont="1" applyFill="1" applyAlignment="1">
      <alignment horizontal="right"/>
    </xf>
    <xf numFmtId="0" fontId="0" fillId="3" borderId="0" xfId="0" applyNumberFormat="1" applyFont="1" applyFill="1" applyAlignment="1">
      <alignment/>
    </xf>
    <xf numFmtId="0" fontId="13" fillId="2" borderId="0" xfId="0" applyNumberFormat="1" applyFont="1" applyFill="1" applyAlignment="1">
      <alignment horizontal="center"/>
    </xf>
    <xf numFmtId="0" fontId="25" fillId="2" borderId="0" xfId="0" applyNumberFormat="1" applyFont="1" applyFill="1" applyAlignment="1">
      <alignment/>
    </xf>
    <xf numFmtId="173" fontId="4" fillId="2" borderId="5" xfId="0" applyNumberFormat="1" applyFont="1" applyFill="1" applyAlignment="1">
      <alignment/>
    </xf>
    <xf numFmtId="9" fontId="16" fillId="2" borderId="5" xfId="0" applyNumberFormat="1" applyFont="1" applyFill="1" applyAlignment="1">
      <alignment horizontal="right"/>
    </xf>
    <xf numFmtId="9" fontId="16" fillId="2" borderId="0" xfId="0" applyNumberFormat="1" applyFont="1" applyFill="1" applyAlignment="1">
      <alignment horizontal="right"/>
    </xf>
    <xf numFmtId="0" fontId="22" fillId="2" borderId="3" xfId="0" applyNumberFormat="1" applyFont="1" applyFill="1" applyAlignment="1">
      <alignment/>
    </xf>
    <xf numFmtId="0" fontId="0" fillId="0" borderId="2" xfId="0" applyNumberFormat="1" applyAlignment="1">
      <alignment/>
    </xf>
    <xf numFmtId="0" fontId="0" fillId="0" borderId="3" xfId="0" applyNumberFormat="1" applyAlignment="1">
      <alignment/>
    </xf>
    <xf numFmtId="0" fontId="8" fillId="2" borderId="3" xfId="0" applyNumberFormat="1" applyFont="1" applyFill="1" applyAlignment="1">
      <alignment/>
    </xf>
    <xf numFmtId="0" fontId="16" fillId="2" borderId="1" xfId="0" applyNumberFormat="1" applyFont="1" applyFill="1" applyAlignment="1">
      <alignment/>
    </xf>
    <xf numFmtId="0" fontId="4" fillId="2" borderId="5" xfId="0" applyNumberFormat="1" applyFont="1" applyFill="1" applyAlignment="1">
      <alignment horizontal="right"/>
    </xf>
    <xf numFmtId="9" fontId="12" fillId="2" borderId="0" xfId="0" applyNumberFormat="1" applyFont="1" applyFill="1" applyAlignment="1">
      <alignment horizontal="center"/>
    </xf>
    <xf numFmtId="174" fontId="4" fillId="2" borderId="5" xfId="0" applyNumberFormat="1" applyFont="1" applyFill="1" applyAlignment="1">
      <alignment/>
    </xf>
    <xf numFmtId="3" fontId="0" fillId="0" borderId="0" xfId="0" applyNumberFormat="1" applyAlignment="1">
      <alignment/>
    </xf>
    <xf numFmtId="0" fontId="4" fillId="2" borderId="6" xfId="0" applyNumberFormat="1" applyFont="1" applyFill="1" applyBorder="1" applyAlignment="1">
      <alignment/>
    </xf>
    <xf numFmtId="0" fontId="17" fillId="2" borderId="7" xfId="0" applyNumberFormat="1" applyFont="1" applyFill="1" applyBorder="1" applyAlignment="1">
      <alignment/>
    </xf>
    <xf numFmtId="0" fontId="4" fillId="2" borderId="7" xfId="0" applyNumberFormat="1" applyFont="1" applyFill="1" applyBorder="1" applyAlignment="1">
      <alignment/>
    </xf>
    <xf numFmtId="0" fontId="4" fillId="2" borderId="7" xfId="0" applyNumberFormat="1" applyFont="1" applyFill="1" applyBorder="1" applyAlignment="1">
      <alignment horizontal="right"/>
    </xf>
    <xf numFmtId="0" fontId="4" fillId="2" borderId="8" xfId="0" applyNumberFormat="1" applyFont="1" applyFill="1" applyBorder="1" applyAlignment="1">
      <alignment/>
    </xf>
    <xf numFmtId="3" fontId="4" fillId="2" borderId="7" xfId="0" applyNumberFormat="1" applyFont="1" applyFill="1" applyBorder="1" applyAlignment="1">
      <alignment/>
    </xf>
    <xf numFmtId="0" fontId="0" fillId="2" borderId="7" xfId="0" applyNumberFormat="1" applyFont="1" applyFill="1" applyBorder="1" applyAlignment="1">
      <alignment/>
    </xf>
    <xf numFmtId="0" fontId="0" fillId="2" borderId="8" xfId="0" applyNumberFormat="1" applyFont="1" applyFill="1" applyBorder="1" applyAlignment="1">
      <alignment/>
    </xf>
    <xf numFmtId="0" fontId="0" fillId="2" borderId="0" xfId="0" applyNumberFormat="1" applyFont="1" applyFill="1" applyAlignment="1">
      <alignment/>
    </xf>
    <xf numFmtId="0" fontId="0" fillId="2" borderId="5" xfId="0" applyNumberFormat="1" applyFont="1" applyFill="1" applyAlignment="1">
      <alignment/>
    </xf>
    <xf numFmtId="172" fontId="0" fillId="2" borderId="5" xfId="0" applyNumberFormat="1" applyFont="1" applyFill="1" applyAlignment="1">
      <alignment/>
    </xf>
    <xf numFmtId="0" fontId="0" fillId="2" borderId="3" xfId="0" applyNumberFormat="1" applyFont="1" applyFill="1" applyAlignment="1">
      <alignment/>
    </xf>
    <xf numFmtId="0" fontId="0" fillId="2" borderId="7" xfId="0" applyNumberFormat="1" applyFont="1" applyFill="1" applyBorder="1" applyAlignment="1">
      <alignment/>
    </xf>
    <xf numFmtId="0" fontId="0" fillId="2" borderId="8" xfId="0" applyNumberFormat="1" applyFont="1" applyFill="1" applyBorder="1" applyAlignment="1">
      <alignment/>
    </xf>
    <xf numFmtId="174" fontId="4" fillId="2" borderId="5" xfId="0" applyNumberFormat="1" applyFont="1" applyFill="1" applyAlignment="1">
      <alignment horizontal="right"/>
    </xf>
    <xf numFmtId="0" fontId="26" fillId="2" borderId="1" xfId="0" applyNumberFormat="1" applyFont="1" applyFill="1" applyAlignment="1">
      <alignment/>
    </xf>
    <xf numFmtId="0" fontId="27" fillId="2" borderId="0" xfId="0" applyNumberFormat="1" applyFont="1" applyFill="1" applyAlignment="1">
      <alignment/>
    </xf>
    <xf numFmtId="0" fontId="27" fillId="2" borderId="0" xfId="0" applyNumberFormat="1" applyFont="1" applyFill="1" applyAlignment="1">
      <alignment horizontal="center"/>
    </xf>
    <xf numFmtId="0" fontId="27" fillId="2" borderId="5" xfId="0" applyNumberFormat="1" applyFont="1" applyFill="1" applyAlignment="1">
      <alignment horizontal="center"/>
    </xf>
    <xf numFmtId="0" fontId="27" fillId="2" borderId="0" xfId="0" applyNumberFormat="1" applyFont="1" applyFill="1" applyAlignment="1">
      <alignment horizontal="center" wrapText="1"/>
    </xf>
    <xf numFmtId="0" fontId="26" fillId="2" borderId="0" xfId="0" applyNumberFormat="1" applyFont="1" applyFill="1" applyAlignment="1">
      <alignment horizontal="center" wrapText="1"/>
    </xf>
    <xf numFmtId="0" fontId="26" fillId="2" borderId="3" xfId="0" applyNumberFormat="1" applyFont="1" applyFill="1" applyAlignment="1">
      <alignment/>
    </xf>
    <xf numFmtId="0" fontId="27" fillId="2" borderId="0" xfId="0" applyNumberFormat="1" applyFont="1" applyFill="1" applyAlignment="1">
      <alignment horizontal="left" vertical="top" wrapText="1"/>
    </xf>
    <xf numFmtId="0" fontId="27" fillId="2" borderId="0" xfId="0" applyNumberFormat="1" applyFont="1" applyFill="1" applyAlignment="1">
      <alignment horizontal="center" vertical="top" wrapText="1"/>
    </xf>
    <xf numFmtId="4" fontId="27" fillId="2" borderId="0" xfId="0" applyNumberFormat="1" applyFont="1" applyFill="1" applyAlignment="1">
      <alignment horizontal="center" vertical="top" wrapText="1"/>
    </xf>
    <xf numFmtId="0" fontId="26" fillId="2" borderId="0" xfId="0" applyNumberFormat="1" applyFont="1" applyFill="1" applyAlignment="1">
      <alignment/>
    </xf>
    <xf numFmtId="0" fontId="28" fillId="0" borderId="3" xfId="0" applyNumberFormat="1" applyFont="1" applyAlignment="1">
      <alignment/>
    </xf>
    <xf numFmtId="0" fontId="28" fillId="0" borderId="0" xfId="0" applyNumberFormat="1" applyFont="1" applyAlignment="1">
      <alignment/>
    </xf>
    <xf numFmtId="0" fontId="29" fillId="2" borderId="5" xfId="0" applyNumberFormat="1" applyFont="1" applyFill="1" applyAlignment="1">
      <alignment/>
    </xf>
    <xf numFmtId="0" fontId="29" fillId="2" borderId="0" xfId="0" applyNumberFormat="1" applyFont="1" applyFill="1" applyAlignment="1">
      <alignment/>
    </xf>
    <xf numFmtId="0" fontId="27" fillId="2" borderId="0" xfId="0" applyNumberFormat="1" applyFont="1" applyFill="1" applyAlignment="1">
      <alignment horizontal="right"/>
    </xf>
    <xf numFmtId="4" fontId="27" fillId="2" borderId="0" xfId="0" applyNumberFormat="1" applyFont="1" applyFill="1" applyAlignment="1">
      <alignment horizontal="right"/>
    </xf>
    <xf numFmtId="0" fontId="27" fillId="2" borderId="5" xfId="0" applyNumberFormat="1" applyFont="1" applyFill="1" applyAlignment="1">
      <alignment/>
    </xf>
    <xf numFmtId="0" fontId="28" fillId="0" borderId="3" xfId="0" applyNumberFormat="1" applyFont="1" applyAlignment="1">
      <alignment/>
    </xf>
    <xf numFmtId="0" fontId="26" fillId="2" borderId="5" xfId="0" applyNumberFormat="1" applyFont="1" applyFill="1" applyAlignment="1">
      <alignment horizontal="center"/>
    </xf>
    <xf numFmtId="0" fontId="26" fillId="2" borderId="2" xfId="0" applyNumberFormat="1" applyFont="1" applyFill="1" applyAlignment="1">
      <alignment/>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file://C:\WINDOWS\TEMP\Symbol.gif" TargetMode="External" /><Relationship Id="rId2" Type="http://schemas.openxmlformats.org/officeDocument/2006/relationships/image" Target="file://C:\WINDOWS\TEMP\~0003946.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46</xdr:row>
      <xdr:rowOff>180975</xdr:rowOff>
    </xdr:from>
    <xdr:to>
      <xdr:col>1</xdr:col>
      <xdr:colOff>28575</xdr:colOff>
      <xdr:row>47</xdr:row>
      <xdr:rowOff>219075</xdr:rowOff>
    </xdr:to>
    <xdr:pic>
      <xdr:nvPicPr>
        <xdr:cNvPr id="1" name="Picture 1"/>
        <xdr:cNvPicPr preferRelativeResize="1">
          <a:picLocks noChangeAspect="1"/>
        </xdr:cNvPicPr>
      </xdr:nvPicPr>
      <xdr:blipFill>
        <a:blip r:link="rId1"/>
        <a:stretch>
          <a:fillRect/>
        </a:stretch>
      </xdr:blipFill>
      <xdr:spPr>
        <a:xfrm>
          <a:off x="28575" y="9163050"/>
          <a:ext cx="314325" cy="238125"/>
        </a:xfrm>
        <a:prstGeom prst="rect">
          <a:avLst/>
        </a:prstGeom>
        <a:noFill/>
        <a:ln w="9525" cmpd="sng">
          <a:noFill/>
        </a:ln>
      </xdr:spPr>
    </xdr:pic>
    <xdr:clientData/>
  </xdr:twoCellAnchor>
  <xdr:twoCellAnchor>
    <xdr:from>
      <xdr:col>0</xdr:col>
      <xdr:colOff>9525</xdr:colOff>
      <xdr:row>100</xdr:row>
      <xdr:rowOff>85725</xdr:rowOff>
    </xdr:from>
    <xdr:to>
      <xdr:col>1</xdr:col>
      <xdr:colOff>9525</xdr:colOff>
      <xdr:row>101</xdr:row>
      <xdr:rowOff>123825</xdr:rowOff>
    </xdr:to>
    <xdr:pic>
      <xdr:nvPicPr>
        <xdr:cNvPr id="2" name="Picture 2"/>
        <xdr:cNvPicPr preferRelativeResize="1">
          <a:picLocks noChangeAspect="1"/>
        </xdr:cNvPicPr>
      </xdr:nvPicPr>
      <xdr:blipFill>
        <a:blip r:link="rId1"/>
        <a:stretch>
          <a:fillRect/>
        </a:stretch>
      </xdr:blipFill>
      <xdr:spPr>
        <a:xfrm>
          <a:off x="9525" y="20516850"/>
          <a:ext cx="314325" cy="238125"/>
        </a:xfrm>
        <a:prstGeom prst="rect">
          <a:avLst/>
        </a:prstGeom>
        <a:noFill/>
        <a:ln w="9525" cmpd="sng">
          <a:noFill/>
        </a:ln>
      </xdr:spPr>
    </xdr:pic>
    <xdr:clientData/>
  </xdr:twoCellAnchor>
  <xdr:twoCellAnchor>
    <xdr:from>
      <xdr:col>0</xdr:col>
      <xdr:colOff>9525</xdr:colOff>
      <xdr:row>151</xdr:row>
      <xdr:rowOff>133350</xdr:rowOff>
    </xdr:from>
    <xdr:to>
      <xdr:col>1</xdr:col>
      <xdr:colOff>9525</xdr:colOff>
      <xdr:row>152</xdr:row>
      <xdr:rowOff>171450</xdr:rowOff>
    </xdr:to>
    <xdr:pic>
      <xdr:nvPicPr>
        <xdr:cNvPr id="3" name="Picture 3"/>
        <xdr:cNvPicPr preferRelativeResize="1">
          <a:picLocks noChangeAspect="1"/>
        </xdr:cNvPicPr>
      </xdr:nvPicPr>
      <xdr:blipFill>
        <a:blip r:link="rId1"/>
        <a:stretch>
          <a:fillRect/>
        </a:stretch>
      </xdr:blipFill>
      <xdr:spPr>
        <a:xfrm>
          <a:off x="9525" y="30089475"/>
          <a:ext cx="314325" cy="238125"/>
        </a:xfrm>
        <a:prstGeom prst="rect">
          <a:avLst/>
        </a:prstGeom>
        <a:noFill/>
        <a:ln w="9525" cmpd="sng">
          <a:noFill/>
        </a:ln>
      </xdr:spPr>
    </xdr:pic>
    <xdr:clientData/>
  </xdr:twoCellAnchor>
  <xdr:twoCellAnchor>
    <xdr:from>
      <xdr:col>0</xdr:col>
      <xdr:colOff>0</xdr:colOff>
      <xdr:row>199</xdr:row>
      <xdr:rowOff>123825</xdr:rowOff>
    </xdr:from>
    <xdr:to>
      <xdr:col>1</xdr:col>
      <xdr:colOff>0</xdr:colOff>
      <xdr:row>200</xdr:row>
      <xdr:rowOff>161925</xdr:rowOff>
    </xdr:to>
    <xdr:pic>
      <xdr:nvPicPr>
        <xdr:cNvPr id="4" name="Picture 4"/>
        <xdr:cNvPicPr preferRelativeResize="1">
          <a:picLocks noChangeAspect="1"/>
        </xdr:cNvPicPr>
      </xdr:nvPicPr>
      <xdr:blipFill>
        <a:blip r:link="rId1"/>
        <a:stretch>
          <a:fillRect/>
        </a:stretch>
      </xdr:blipFill>
      <xdr:spPr>
        <a:xfrm>
          <a:off x="0" y="39719250"/>
          <a:ext cx="314325" cy="238125"/>
        </a:xfrm>
        <a:prstGeom prst="rect">
          <a:avLst/>
        </a:prstGeom>
        <a:noFill/>
        <a:ln w="9525" cmpd="sng">
          <a:noFill/>
        </a:ln>
      </xdr:spPr>
    </xdr:pic>
    <xdr:clientData/>
  </xdr:twoCellAnchor>
  <xdr:twoCellAnchor>
    <xdr:from>
      <xdr:col>12</xdr:col>
      <xdr:colOff>2095500</xdr:colOff>
      <xdr:row>199</xdr:row>
      <xdr:rowOff>57150</xdr:rowOff>
    </xdr:from>
    <xdr:to>
      <xdr:col>12</xdr:col>
      <xdr:colOff>2895600</xdr:colOff>
      <xdr:row>200</xdr:row>
      <xdr:rowOff>85725</xdr:rowOff>
    </xdr:to>
    <xdr:pic>
      <xdr:nvPicPr>
        <xdr:cNvPr id="5" name="Picture 5"/>
        <xdr:cNvPicPr preferRelativeResize="1">
          <a:picLocks noChangeAspect="1"/>
        </xdr:cNvPicPr>
      </xdr:nvPicPr>
      <xdr:blipFill>
        <a:blip r:link="rId2"/>
        <a:stretch>
          <a:fillRect/>
        </a:stretch>
      </xdr:blipFill>
      <xdr:spPr>
        <a:xfrm>
          <a:off x="16154400" y="39652575"/>
          <a:ext cx="800100" cy="228600"/>
        </a:xfrm>
        <a:prstGeom prst="rect">
          <a:avLst/>
        </a:prstGeom>
        <a:noFill/>
        <a:ln w="9525" cmpd="sng">
          <a:noFill/>
        </a:ln>
      </xdr:spPr>
    </xdr:pic>
    <xdr:clientData/>
  </xdr:twoCellAnchor>
  <xdr:twoCellAnchor>
    <xdr:from>
      <xdr:col>12</xdr:col>
      <xdr:colOff>2124075</xdr:colOff>
      <xdr:row>151</xdr:row>
      <xdr:rowOff>152400</xdr:rowOff>
    </xdr:from>
    <xdr:to>
      <xdr:col>12</xdr:col>
      <xdr:colOff>2924175</xdr:colOff>
      <xdr:row>152</xdr:row>
      <xdr:rowOff>180975</xdr:rowOff>
    </xdr:to>
    <xdr:pic>
      <xdr:nvPicPr>
        <xdr:cNvPr id="6" name="Picture 6"/>
        <xdr:cNvPicPr preferRelativeResize="1">
          <a:picLocks noChangeAspect="1"/>
        </xdr:cNvPicPr>
      </xdr:nvPicPr>
      <xdr:blipFill>
        <a:blip r:link="rId2"/>
        <a:stretch>
          <a:fillRect/>
        </a:stretch>
      </xdr:blipFill>
      <xdr:spPr>
        <a:xfrm>
          <a:off x="16182975" y="30108525"/>
          <a:ext cx="800100" cy="228600"/>
        </a:xfrm>
        <a:prstGeom prst="rect">
          <a:avLst/>
        </a:prstGeom>
        <a:noFill/>
        <a:ln w="9525" cmpd="sng">
          <a:noFill/>
        </a:ln>
      </xdr:spPr>
    </xdr:pic>
    <xdr:clientData/>
  </xdr:twoCellAnchor>
  <xdr:twoCellAnchor>
    <xdr:from>
      <xdr:col>12</xdr:col>
      <xdr:colOff>2085975</xdr:colOff>
      <xdr:row>100</xdr:row>
      <xdr:rowOff>85725</xdr:rowOff>
    </xdr:from>
    <xdr:to>
      <xdr:col>12</xdr:col>
      <xdr:colOff>2886075</xdr:colOff>
      <xdr:row>101</xdr:row>
      <xdr:rowOff>114300</xdr:rowOff>
    </xdr:to>
    <xdr:pic>
      <xdr:nvPicPr>
        <xdr:cNvPr id="7" name="Picture 7"/>
        <xdr:cNvPicPr preferRelativeResize="1">
          <a:picLocks noChangeAspect="1"/>
        </xdr:cNvPicPr>
      </xdr:nvPicPr>
      <xdr:blipFill>
        <a:blip r:link="rId2"/>
        <a:stretch>
          <a:fillRect/>
        </a:stretch>
      </xdr:blipFill>
      <xdr:spPr>
        <a:xfrm>
          <a:off x="16144875" y="20516850"/>
          <a:ext cx="800100" cy="228600"/>
        </a:xfrm>
        <a:prstGeom prst="rect">
          <a:avLst/>
        </a:prstGeom>
        <a:noFill/>
        <a:ln w="9525" cmpd="sng">
          <a:noFill/>
        </a:ln>
      </xdr:spPr>
    </xdr:pic>
    <xdr:clientData/>
  </xdr:twoCellAnchor>
  <xdr:twoCellAnchor>
    <xdr:from>
      <xdr:col>12</xdr:col>
      <xdr:colOff>2105025</xdr:colOff>
      <xdr:row>46</xdr:row>
      <xdr:rowOff>104775</xdr:rowOff>
    </xdr:from>
    <xdr:to>
      <xdr:col>12</xdr:col>
      <xdr:colOff>2905125</xdr:colOff>
      <xdr:row>47</xdr:row>
      <xdr:rowOff>133350</xdr:rowOff>
    </xdr:to>
    <xdr:pic>
      <xdr:nvPicPr>
        <xdr:cNvPr id="8" name="Picture 8"/>
        <xdr:cNvPicPr preferRelativeResize="1">
          <a:picLocks noChangeAspect="1"/>
        </xdr:cNvPicPr>
      </xdr:nvPicPr>
      <xdr:blipFill>
        <a:blip r:link="rId2"/>
        <a:stretch>
          <a:fillRect/>
        </a:stretch>
      </xdr:blipFill>
      <xdr:spPr>
        <a:xfrm>
          <a:off x="16163925" y="9086850"/>
          <a:ext cx="800100" cy="2286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152400</xdr:rowOff>
    </xdr:from>
    <xdr:to>
      <xdr:col>1</xdr:col>
      <xdr:colOff>0</xdr:colOff>
      <xdr:row>50</xdr:row>
      <xdr:rowOff>190500</xdr:rowOff>
    </xdr:to>
    <xdr:pic>
      <xdr:nvPicPr>
        <xdr:cNvPr id="1" name="Picture 2"/>
        <xdr:cNvPicPr preferRelativeResize="1">
          <a:picLocks noChangeAspect="1"/>
        </xdr:cNvPicPr>
      </xdr:nvPicPr>
      <xdr:blipFill>
        <a:blip r:link="rId1"/>
        <a:stretch>
          <a:fillRect/>
        </a:stretch>
      </xdr:blipFill>
      <xdr:spPr>
        <a:xfrm>
          <a:off x="0" y="9744075"/>
          <a:ext cx="314325" cy="238125"/>
        </a:xfrm>
        <a:prstGeom prst="rect">
          <a:avLst/>
        </a:prstGeom>
        <a:noFill/>
        <a:ln w="9525" cmpd="sng">
          <a:noFill/>
        </a:ln>
      </xdr:spPr>
    </xdr:pic>
    <xdr:clientData/>
  </xdr:twoCellAnchor>
  <xdr:twoCellAnchor>
    <xdr:from>
      <xdr:col>0</xdr:col>
      <xdr:colOff>66675</xdr:colOff>
      <xdr:row>103</xdr:row>
      <xdr:rowOff>104775</xdr:rowOff>
    </xdr:from>
    <xdr:to>
      <xdr:col>1</xdr:col>
      <xdr:colOff>66675</xdr:colOff>
      <xdr:row>104</xdr:row>
      <xdr:rowOff>142875</xdr:rowOff>
    </xdr:to>
    <xdr:pic>
      <xdr:nvPicPr>
        <xdr:cNvPr id="2" name="Picture 3"/>
        <xdr:cNvPicPr preferRelativeResize="1">
          <a:picLocks noChangeAspect="1"/>
        </xdr:cNvPicPr>
      </xdr:nvPicPr>
      <xdr:blipFill>
        <a:blip r:link="rId1"/>
        <a:stretch>
          <a:fillRect/>
        </a:stretch>
      </xdr:blipFill>
      <xdr:spPr>
        <a:xfrm>
          <a:off x="66675" y="21145500"/>
          <a:ext cx="314325" cy="238125"/>
        </a:xfrm>
        <a:prstGeom prst="rect">
          <a:avLst/>
        </a:prstGeom>
        <a:noFill/>
        <a:ln w="9525" cmpd="sng">
          <a:noFill/>
        </a:ln>
      </xdr:spPr>
    </xdr:pic>
    <xdr:clientData/>
  </xdr:twoCellAnchor>
  <xdr:twoCellAnchor>
    <xdr:from>
      <xdr:col>0</xdr:col>
      <xdr:colOff>0</xdr:colOff>
      <xdr:row>153</xdr:row>
      <xdr:rowOff>104775</xdr:rowOff>
    </xdr:from>
    <xdr:to>
      <xdr:col>1</xdr:col>
      <xdr:colOff>0</xdr:colOff>
      <xdr:row>154</xdr:row>
      <xdr:rowOff>142875</xdr:rowOff>
    </xdr:to>
    <xdr:pic>
      <xdr:nvPicPr>
        <xdr:cNvPr id="3" name="Picture 4"/>
        <xdr:cNvPicPr preferRelativeResize="1">
          <a:picLocks noChangeAspect="1"/>
        </xdr:cNvPicPr>
      </xdr:nvPicPr>
      <xdr:blipFill>
        <a:blip r:link="rId1"/>
        <a:stretch>
          <a:fillRect/>
        </a:stretch>
      </xdr:blipFill>
      <xdr:spPr>
        <a:xfrm>
          <a:off x="0" y="30470475"/>
          <a:ext cx="314325" cy="238125"/>
        </a:xfrm>
        <a:prstGeom prst="rect">
          <a:avLst/>
        </a:prstGeom>
        <a:noFill/>
        <a:ln w="9525" cmpd="sng">
          <a:noFill/>
        </a:ln>
      </xdr:spPr>
    </xdr:pic>
    <xdr:clientData/>
  </xdr:twoCellAnchor>
  <xdr:twoCellAnchor>
    <xdr:from>
      <xdr:col>0</xdr:col>
      <xdr:colOff>57150</xdr:colOff>
      <xdr:row>200</xdr:row>
      <xdr:rowOff>104775</xdr:rowOff>
    </xdr:from>
    <xdr:to>
      <xdr:col>1</xdr:col>
      <xdr:colOff>57150</xdr:colOff>
      <xdr:row>201</xdr:row>
      <xdr:rowOff>142875</xdr:rowOff>
    </xdr:to>
    <xdr:pic>
      <xdr:nvPicPr>
        <xdr:cNvPr id="4" name="Picture 5"/>
        <xdr:cNvPicPr preferRelativeResize="1">
          <a:picLocks noChangeAspect="1"/>
        </xdr:cNvPicPr>
      </xdr:nvPicPr>
      <xdr:blipFill>
        <a:blip r:link="rId1"/>
        <a:stretch>
          <a:fillRect/>
        </a:stretch>
      </xdr:blipFill>
      <xdr:spPr>
        <a:xfrm>
          <a:off x="57150" y="39919275"/>
          <a:ext cx="314325" cy="238125"/>
        </a:xfrm>
        <a:prstGeom prst="rect">
          <a:avLst/>
        </a:prstGeom>
        <a:noFill/>
        <a:ln w="9525" cmpd="sng">
          <a:noFill/>
        </a:ln>
      </xdr:spPr>
    </xdr:pic>
    <xdr:clientData/>
  </xdr:twoCellAnchor>
  <xdr:twoCellAnchor>
    <xdr:from>
      <xdr:col>12</xdr:col>
      <xdr:colOff>2438400</xdr:colOff>
      <xdr:row>200</xdr:row>
      <xdr:rowOff>133350</xdr:rowOff>
    </xdr:from>
    <xdr:to>
      <xdr:col>12</xdr:col>
      <xdr:colOff>3238500</xdr:colOff>
      <xdr:row>201</xdr:row>
      <xdr:rowOff>161925</xdr:rowOff>
    </xdr:to>
    <xdr:pic>
      <xdr:nvPicPr>
        <xdr:cNvPr id="5" name="Picture 6"/>
        <xdr:cNvPicPr preferRelativeResize="1">
          <a:picLocks noChangeAspect="1"/>
        </xdr:cNvPicPr>
      </xdr:nvPicPr>
      <xdr:blipFill>
        <a:blip r:link="rId2"/>
        <a:stretch>
          <a:fillRect/>
        </a:stretch>
      </xdr:blipFill>
      <xdr:spPr>
        <a:xfrm>
          <a:off x="16497300" y="39947850"/>
          <a:ext cx="800100" cy="228600"/>
        </a:xfrm>
        <a:prstGeom prst="rect">
          <a:avLst/>
        </a:prstGeom>
        <a:noFill/>
        <a:ln w="9525" cmpd="sng">
          <a:noFill/>
        </a:ln>
      </xdr:spPr>
    </xdr:pic>
    <xdr:clientData/>
  </xdr:twoCellAnchor>
  <xdr:twoCellAnchor>
    <xdr:from>
      <xdr:col>12</xdr:col>
      <xdr:colOff>2390775</xdr:colOff>
      <xdr:row>153</xdr:row>
      <xdr:rowOff>152400</xdr:rowOff>
    </xdr:from>
    <xdr:to>
      <xdr:col>12</xdr:col>
      <xdr:colOff>3190875</xdr:colOff>
      <xdr:row>154</xdr:row>
      <xdr:rowOff>180975</xdr:rowOff>
    </xdr:to>
    <xdr:pic>
      <xdr:nvPicPr>
        <xdr:cNvPr id="6" name="Picture 7"/>
        <xdr:cNvPicPr preferRelativeResize="1">
          <a:picLocks noChangeAspect="1"/>
        </xdr:cNvPicPr>
      </xdr:nvPicPr>
      <xdr:blipFill>
        <a:blip r:link="rId2"/>
        <a:stretch>
          <a:fillRect/>
        </a:stretch>
      </xdr:blipFill>
      <xdr:spPr>
        <a:xfrm>
          <a:off x="16449675" y="30518100"/>
          <a:ext cx="800100" cy="228600"/>
        </a:xfrm>
        <a:prstGeom prst="rect">
          <a:avLst/>
        </a:prstGeom>
        <a:noFill/>
        <a:ln w="9525" cmpd="sng">
          <a:noFill/>
        </a:ln>
      </xdr:spPr>
    </xdr:pic>
    <xdr:clientData/>
  </xdr:twoCellAnchor>
  <xdr:twoCellAnchor>
    <xdr:from>
      <xdr:col>12</xdr:col>
      <xdr:colOff>2419350</xdr:colOff>
      <xdr:row>103</xdr:row>
      <xdr:rowOff>85725</xdr:rowOff>
    </xdr:from>
    <xdr:to>
      <xdr:col>12</xdr:col>
      <xdr:colOff>3219450</xdr:colOff>
      <xdr:row>104</xdr:row>
      <xdr:rowOff>114300</xdr:rowOff>
    </xdr:to>
    <xdr:pic>
      <xdr:nvPicPr>
        <xdr:cNvPr id="7" name="Picture 8"/>
        <xdr:cNvPicPr preferRelativeResize="1">
          <a:picLocks noChangeAspect="1"/>
        </xdr:cNvPicPr>
      </xdr:nvPicPr>
      <xdr:blipFill>
        <a:blip r:link="rId2"/>
        <a:stretch>
          <a:fillRect/>
        </a:stretch>
      </xdr:blipFill>
      <xdr:spPr>
        <a:xfrm>
          <a:off x="16478250" y="21126450"/>
          <a:ext cx="800100" cy="228600"/>
        </a:xfrm>
        <a:prstGeom prst="rect">
          <a:avLst/>
        </a:prstGeom>
        <a:noFill/>
        <a:ln w="9525" cmpd="sng">
          <a:noFill/>
        </a:ln>
      </xdr:spPr>
    </xdr:pic>
    <xdr:clientData/>
  </xdr:twoCellAnchor>
  <xdr:twoCellAnchor>
    <xdr:from>
      <xdr:col>12</xdr:col>
      <xdr:colOff>2390775</xdr:colOff>
      <xdr:row>49</xdr:row>
      <xdr:rowOff>104775</xdr:rowOff>
    </xdr:from>
    <xdr:to>
      <xdr:col>12</xdr:col>
      <xdr:colOff>3190875</xdr:colOff>
      <xdr:row>50</xdr:row>
      <xdr:rowOff>133350</xdr:rowOff>
    </xdr:to>
    <xdr:pic>
      <xdr:nvPicPr>
        <xdr:cNvPr id="8" name="Picture 9"/>
        <xdr:cNvPicPr preferRelativeResize="1">
          <a:picLocks noChangeAspect="1"/>
        </xdr:cNvPicPr>
      </xdr:nvPicPr>
      <xdr:blipFill>
        <a:blip r:link="rId2"/>
        <a:stretch>
          <a:fillRect/>
        </a:stretch>
      </xdr:blipFill>
      <xdr:spPr>
        <a:xfrm>
          <a:off x="16449675" y="9696450"/>
          <a:ext cx="800100" cy="2286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49</xdr:row>
      <xdr:rowOff>123825</xdr:rowOff>
    </xdr:from>
    <xdr:to>
      <xdr:col>1</xdr:col>
      <xdr:colOff>57150</xdr:colOff>
      <xdr:row>50</xdr:row>
      <xdr:rowOff>161925</xdr:rowOff>
    </xdr:to>
    <xdr:pic>
      <xdr:nvPicPr>
        <xdr:cNvPr id="1" name="Picture 1"/>
        <xdr:cNvPicPr preferRelativeResize="1">
          <a:picLocks noChangeAspect="1"/>
        </xdr:cNvPicPr>
      </xdr:nvPicPr>
      <xdr:blipFill>
        <a:blip r:link="rId1"/>
        <a:stretch>
          <a:fillRect/>
        </a:stretch>
      </xdr:blipFill>
      <xdr:spPr>
        <a:xfrm>
          <a:off x="57150" y="9715500"/>
          <a:ext cx="314325" cy="238125"/>
        </a:xfrm>
        <a:prstGeom prst="rect">
          <a:avLst/>
        </a:prstGeom>
        <a:noFill/>
        <a:ln w="9525" cmpd="sng">
          <a:noFill/>
        </a:ln>
      </xdr:spPr>
    </xdr:pic>
    <xdr:clientData/>
  </xdr:twoCellAnchor>
  <xdr:twoCellAnchor>
    <xdr:from>
      <xdr:col>0</xdr:col>
      <xdr:colOff>0</xdr:colOff>
      <xdr:row>103</xdr:row>
      <xdr:rowOff>161925</xdr:rowOff>
    </xdr:from>
    <xdr:to>
      <xdr:col>1</xdr:col>
      <xdr:colOff>0</xdr:colOff>
      <xdr:row>104</xdr:row>
      <xdr:rowOff>200025</xdr:rowOff>
    </xdr:to>
    <xdr:pic>
      <xdr:nvPicPr>
        <xdr:cNvPr id="2" name="Picture 2"/>
        <xdr:cNvPicPr preferRelativeResize="1">
          <a:picLocks noChangeAspect="1"/>
        </xdr:cNvPicPr>
      </xdr:nvPicPr>
      <xdr:blipFill>
        <a:blip r:link="rId1"/>
        <a:stretch>
          <a:fillRect/>
        </a:stretch>
      </xdr:blipFill>
      <xdr:spPr>
        <a:xfrm>
          <a:off x="0" y="21202650"/>
          <a:ext cx="314325" cy="238125"/>
        </a:xfrm>
        <a:prstGeom prst="rect">
          <a:avLst/>
        </a:prstGeom>
        <a:noFill/>
        <a:ln w="9525" cmpd="sng">
          <a:noFill/>
        </a:ln>
      </xdr:spPr>
    </xdr:pic>
    <xdr:clientData/>
  </xdr:twoCellAnchor>
  <xdr:twoCellAnchor>
    <xdr:from>
      <xdr:col>0</xdr:col>
      <xdr:colOff>57150</xdr:colOff>
      <xdr:row>154</xdr:row>
      <xdr:rowOff>133350</xdr:rowOff>
    </xdr:from>
    <xdr:to>
      <xdr:col>1</xdr:col>
      <xdr:colOff>57150</xdr:colOff>
      <xdr:row>155</xdr:row>
      <xdr:rowOff>171450</xdr:rowOff>
    </xdr:to>
    <xdr:pic>
      <xdr:nvPicPr>
        <xdr:cNvPr id="3" name="Picture 3"/>
        <xdr:cNvPicPr preferRelativeResize="1">
          <a:picLocks noChangeAspect="1"/>
        </xdr:cNvPicPr>
      </xdr:nvPicPr>
      <xdr:blipFill>
        <a:blip r:link="rId1"/>
        <a:stretch>
          <a:fillRect/>
        </a:stretch>
      </xdr:blipFill>
      <xdr:spPr>
        <a:xfrm>
          <a:off x="57150" y="30699075"/>
          <a:ext cx="314325" cy="238125"/>
        </a:xfrm>
        <a:prstGeom prst="rect">
          <a:avLst/>
        </a:prstGeom>
        <a:noFill/>
        <a:ln w="9525" cmpd="sng">
          <a:noFill/>
        </a:ln>
      </xdr:spPr>
    </xdr:pic>
    <xdr:clientData/>
  </xdr:twoCellAnchor>
  <xdr:twoCellAnchor>
    <xdr:from>
      <xdr:col>0</xdr:col>
      <xdr:colOff>38100</xdr:colOff>
      <xdr:row>201</xdr:row>
      <xdr:rowOff>152400</xdr:rowOff>
    </xdr:from>
    <xdr:to>
      <xdr:col>1</xdr:col>
      <xdr:colOff>38100</xdr:colOff>
      <xdr:row>202</xdr:row>
      <xdr:rowOff>190500</xdr:rowOff>
    </xdr:to>
    <xdr:pic>
      <xdr:nvPicPr>
        <xdr:cNvPr id="4" name="Picture 4"/>
        <xdr:cNvPicPr preferRelativeResize="1">
          <a:picLocks noChangeAspect="1"/>
        </xdr:cNvPicPr>
      </xdr:nvPicPr>
      <xdr:blipFill>
        <a:blip r:link="rId1"/>
        <a:stretch>
          <a:fillRect/>
        </a:stretch>
      </xdr:blipFill>
      <xdr:spPr>
        <a:xfrm>
          <a:off x="38100" y="40166925"/>
          <a:ext cx="314325" cy="238125"/>
        </a:xfrm>
        <a:prstGeom prst="rect">
          <a:avLst/>
        </a:prstGeom>
        <a:noFill/>
        <a:ln w="9525" cmpd="sng">
          <a:noFill/>
        </a:ln>
      </xdr:spPr>
    </xdr:pic>
    <xdr:clientData/>
  </xdr:twoCellAnchor>
  <xdr:twoCellAnchor>
    <xdr:from>
      <xdr:col>12</xdr:col>
      <xdr:colOff>1771650</xdr:colOff>
      <xdr:row>201</xdr:row>
      <xdr:rowOff>104775</xdr:rowOff>
    </xdr:from>
    <xdr:to>
      <xdr:col>12</xdr:col>
      <xdr:colOff>2571750</xdr:colOff>
      <xdr:row>202</xdr:row>
      <xdr:rowOff>133350</xdr:rowOff>
    </xdr:to>
    <xdr:pic>
      <xdr:nvPicPr>
        <xdr:cNvPr id="5" name="Picture 5"/>
        <xdr:cNvPicPr preferRelativeResize="1">
          <a:picLocks noChangeAspect="1"/>
        </xdr:cNvPicPr>
      </xdr:nvPicPr>
      <xdr:blipFill>
        <a:blip r:link="rId2"/>
        <a:stretch>
          <a:fillRect/>
        </a:stretch>
      </xdr:blipFill>
      <xdr:spPr>
        <a:xfrm>
          <a:off x="15830550" y="40119300"/>
          <a:ext cx="800100" cy="228600"/>
        </a:xfrm>
        <a:prstGeom prst="rect">
          <a:avLst/>
        </a:prstGeom>
        <a:noFill/>
        <a:ln w="9525" cmpd="sng">
          <a:noFill/>
        </a:ln>
      </xdr:spPr>
    </xdr:pic>
    <xdr:clientData/>
  </xdr:twoCellAnchor>
  <xdr:twoCellAnchor>
    <xdr:from>
      <xdr:col>12</xdr:col>
      <xdr:colOff>1771650</xdr:colOff>
      <xdr:row>154</xdr:row>
      <xdr:rowOff>180975</xdr:rowOff>
    </xdr:from>
    <xdr:to>
      <xdr:col>12</xdr:col>
      <xdr:colOff>2571750</xdr:colOff>
      <xdr:row>155</xdr:row>
      <xdr:rowOff>209550</xdr:rowOff>
    </xdr:to>
    <xdr:pic>
      <xdr:nvPicPr>
        <xdr:cNvPr id="6" name="Picture 6"/>
        <xdr:cNvPicPr preferRelativeResize="1">
          <a:picLocks noChangeAspect="1"/>
        </xdr:cNvPicPr>
      </xdr:nvPicPr>
      <xdr:blipFill>
        <a:blip r:link="rId2"/>
        <a:stretch>
          <a:fillRect/>
        </a:stretch>
      </xdr:blipFill>
      <xdr:spPr>
        <a:xfrm>
          <a:off x="15830550" y="30746700"/>
          <a:ext cx="800100" cy="228600"/>
        </a:xfrm>
        <a:prstGeom prst="rect">
          <a:avLst/>
        </a:prstGeom>
        <a:noFill/>
        <a:ln w="9525" cmpd="sng">
          <a:noFill/>
        </a:ln>
      </xdr:spPr>
    </xdr:pic>
    <xdr:clientData/>
  </xdr:twoCellAnchor>
  <xdr:twoCellAnchor>
    <xdr:from>
      <xdr:col>12</xdr:col>
      <xdr:colOff>1704975</xdr:colOff>
      <xdr:row>103</xdr:row>
      <xdr:rowOff>85725</xdr:rowOff>
    </xdr:from>
    <xdr:to>
      <xdr:col>12</xdr:col>
      <xdr:colOff>2505075</xdr:colOff>
      <xdr:row>104</xdr:row>
      <xdr:rowOff>114300</xdr:rowOff>
    </xdr:to>
    <xdr:pic>
      <xdr:nvPicPr>
        <xdr:cNvPr id="7" name="Picture 7"/>
        <xdr:cNvPicPr preferRelativeResize="1">
          <a:picLocks noChangeAspect="1"/>
        </xdr:cNvPicPr>
      </xdr:nvPicPr>
      <xdr:blipFill>
        <a:blip r:link="rId2"/>
        <a:stretch>
          <a:fillRect/>
        </a:stretch>
      </xdr:blipFill>
      <xdr:spPr>
        <a:xfrm>
          <a:off x="15763875" y="21126450"/>
          <a:ext cx="800100" cy="228600"/>
        </a:xfrm>
        <a:prstGeom prst="rect">
          <a:avLst/>
        </a:prstGeom>
        <a:noFill/>
        <a:ln w="9525" cmpd="sng">
          <a:noFill/>
        </a:ln>
      </xdr:spPr>
    </xdr:pic>
    <xdr:clientData/>
  </xdr:twoCellAnchor>
  <xdr:twoCellAnchor>
    <xdr:from>
      <xdr:col>12</xdr:col>
      <xdr:colOff>1724025</xdr:colOff>
      <xdr:row>49</xdr:row>
      <xdr:rowOff>85725</xdr:rowOff>
    </xdr:from>
    <xdr:to>
      <xdr:col>12</xdr:col>
      <xdr:colOff>2524125</xdr:colOff>
      <xdr:row>50</xdr:row>
      <xdr:rowOff>114300</xdr:rowOff>
    </xdr:to>
    <xdr:pic>
      <xdr:nvPicPr>
        <xdr:cNvPr id="8" name="Picture 8"/>
        <xdr:cNvPicPr preferRelativeResize="1">
          <a:picLocks noChangeAspect="1"/>
        </xdr:cNvPicPr>
      </xdr:nvPicPr>
      <xdr:blipFill>
        <a:blip r:link="rId2"/>
        <a:stretch>
          <a:fillRect/>
        </a:stretch>
      </xdr:blipFill>
      <xdr:spPr>
        <a:xfrm>
          <a:off x="15782925" y="9677400"/>
          <a:ext cx="800100" cy="2286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133350</xdr:rowOff>
    </xdr:from>
    <xdr:to>
      <xdr:col>1</xdr:col>
      <xdr:colOff>0</xdr:colOff>
      <xdr:row>50</xdr:row>
      <xdr:rowOff>171450</xdr:rowOff>
    </xdr:to>
    <xdr:pic>
      <xdr:nvPicPr>
        <xdr:cNvPr id="1" name="Picture 1"/>
        <xdr:cNvPicPr preferRelativeResize="1">
          <a:picLocks noChangeAspect="1"/>
        </xdr:cNvPicPr>
      </xdr:nvPicPr>
      <xdr:blipFill>
        <a:blip r:link="rId1"/>
        <a:stretch>
          <a:fillRect/>
        </a:stretch>
      </xdr:blipFill>
      <xdr:spPr>
        <a:xfrm>
          <a:off x="0" y="9725025"/>
          <a:ext cx="314325" cy="238125"/>
        </a:xfrm>
        <a:prstGeom prst="rect">
          <a:avLst/>
        </a:prstGeom>
        <a:noFill/>
        <a:ln w="9525" cmpd="sng">
          <a:noFill/>
        </a:ln>
      </xdr:spPr>
    </xdr:pic>
    <xdr:clientData/>
  </xdr:twoCellAnchor>
  <xdr:twoCellAnchor>
    <xdr:from>
      <xdr:col>0</xdr:col>
      <xdr:colOff>0</xdr:colOff>
      <xdr:row>103</xdr:row>
      <xdr:rowOff>133350</xdr:rowOff>
    </xdr:from>
    <xdr:to>
      <xdr:col>1</xdr:col>
      <xdr:colOff>0</xdr:colOff>
      <xdr:row>104</xdr:row>
      <xdr:rowOff>171450</xdr:rowOff>
    </xdr:to>
    <xdr:pic>
      <xdr:nvPicPr>
        <xdr:cNvPr id="2" name="Picture 2"/>
        <xdr:cNvPicPr preferRelativeResize="1">
          <a:picLocks noChangeAspect="1"/>
        </xdr:cNvPicPr>
      </xdr:nvPicPr>
      <xdr:blipFill>
        <a:blip r:link="rId1"/>
        <a:stretch>
          <a:fillRect/>
        </a:stretch>
      </xdr:blipFill>
      <xdr:spPr>
        <a:xfrm>
          <a:off x="0" y="21174075"/>
          <a:ext cx="314325" cy="238125"/>
        </a:xfrm>
        <a:prstGeom prst="rect">
          <a:avLst/>
        </a:prstGeom>
        <a:noFill/>
        <a:ln w="9525" cmpd="sng">
          <a:noFill/>
        </a:ln>
      </xdr:spPr>
    </xdr:pic>
    <xdr:clientData/>
  </xdr:twoCellAnchor>
  <xdr:twoCellAnchor>
    <xdr:from>
      <xdr:col>0</xdr:col>
      <xdr:colOff>57150</xdr:colOff>
      <xdr:row>154</xdr:row>
      <xdr:rowOff>152400</xdr:rowOff>
    </xdr:from>
    <xdr:to>
      <xdr:col>1</xdr:col>
      <xdr:colOff>57150</xdr:colOff>
      <xdr:row>155</xdr:row>
      <xdr:rowOff>190500</xdr:rowOff>
    </xdr:to>
    <xdr:pic>
      <xdr:nvPicPr>
        <xdr:cNvPr id="3" name="Picture 3"/>
        <xdr:cNvPicPr preferRelativeResize="1">
          <a:picLocks noChangeAspect="1"/>
        </xdr:cNvPicPr>
      </xdr:nvPicPr>
      <xdr:blipFill>
        <a:blip r:link="rId1"/>
        <a:stretch>
          <a:fillRect/>
        </a:stretch>
      </xdr:blipFill>
      <xdr:spPr>
        <a:xfrm>
          <a:off x="57150" y="30718125"/>
          <a:ext cx="314325" cy="238125"/>
        </a:xfrm>
        <a:prstGeom prst="rect">
          <a:avLst/>
        </a:prstGeom>
        <a:noFill/>
        <a:ln w="9525" cmpd="sng">
          <a:noFill/>
        </a:ln>
      </xdr:spPr>
    </xdr:pic>
    <xdr:clientData/>
  </xdr:twoCellAnchor>
  <xdr:twoCellAnchor>
    <xdr:from>
      <xdr:col>0</xdr:col>
      <xdr:colOff>38100</xdr:colOff>
      <xdr:row>201</xdr:row>
      <xdr:rowOff>152400</xdr:rowOff>
    </xdr:from>
    <xdr:to>
      <xdr:col>1</xdr:col>
      <xdr:colOff>38100</xdr:colOff>
      <xdr:row>202</xdr:row>
      <xdr:rowOff>190500</xdr:rowOff>
    </xdr:to>
    <xdr:pic>
      <xdr:nvPicPr>
        <xdr:cNvPr id="4" name="Picture 4"/>
        <xdr:cNvPicPr preferRelativeResize="1">
          <a:picLocks noChangeAspect="1"/>
        </xdr:cNvPicPr>
      </xdr:nvPicPr>
      <xdr:blipFill>
        <a:blip r:link="rId1"/>
        <a:stretch>
          <a:fillRect/>
        </a:stretch>
      </xdr:blipFill>
      <xdr:spPr>
        <a:xfrm>
          <a:off x="38100" y="40166925"/>
          <a:ext cx="314325" cy="238125"/>
        </a:xfrm>
        <a:prstGeom prst="rect">
          <a:avLst/>
        </a:prstGeom>
        <a:noFill/>
        <a:ln w="9525" cmpd="sng">
          <a:noFill/>
        </a:ln>
      </xdr:spPr>
    </xdr:pic>
    <xdr:clientData/>
  </xdr:twoCellAnchor>
  <xdr:twoCellAnchor>
    <xdr:from>
      <xdr:col>12</xdr:col>
      <xdr:colOff>1676400</xdr:colOff>
      <xdr:row>201</xdr:row>
      <xdr:rowOff>66675</xdr:rowOff>
    </xdr:from>
    <xdr:to>
      <xdr:col>12</xdr:col>
      <xdr:colOff>2476500</xdr:colOff>
      <xdr:row>202</xdr:row>
      <xdr:rowOff>95250</xdr:rowOff>
    </xdr:to>
    <xdr:pic>
      <xdr:nvPicPr>
        <xdr:cNvPr id="5" name="Picture 5"/>
        <xdr:cNvPicPr preferRelativeResize="1">
          <a:picLocks noChangeAspect="1"/>
        </xdr:cNvPicPr>
      </xdr:nvPicPr>
      <xdr:blipFill>
        <a:blip r:link="rId2"/>
        <a:stretch>
          <a:fillRect/>
        </a:stretch>
      </xdr:blipFill>
      <xdr:spPr>
        <a:xfrm>
          <a:off x="15735300" y="40081200"/>
          <a:ext cx="800100" cy="228600"/>
        </a:xfrm>
        <a:prstGeom prst="rect">
          <a:avLst/>
        </a:prstGeom>
        <a:noFill/>
        <a:ln w="9525" cmpd="sng">
          <a:noFill/>
        </a:ln>
      </xdr:spPr>
    </xdr:pic>
    <xdr:clientData/>
  </xdr:twoCellAnchor>
  <xdr:twoCellAnchor>
    <xdr:from>
      <xdr:col>12</xdr:col>
      <xdr:colOff>1714500</xdr:colOff>
      <xdr:row>154</xdr:row>
      <xdr:rowOff>104775</xdr:rowOff>
    </xdr:from>
    <xdr:to>
      <xdr:col>12</xdr:col>
      <xdr:colOff>2514600</xdr:colOff>
      <xdr:row>155</xdr:row>
      <xdr:rowOff>133350</xdr:rowOff>
    </xdr:to>
    <xdr:pic>
      <xdr:nvPicPr>
        <xdr:cNvPr id="6" name="Picture 6"/>
        <xdr:cNvPicPr preferRelativeResize="1">
          <a:picLocks noChangeAspect="1"/>
        </xdr:cNvPicPr>
      </xdr:nvPicPr>
      <xdr:blipFill>
        <a:blip r:link="rId2"/>
        <a:stretch>
          <a:fillRect/>
        </a:stretch>
      </xdr:blipFill>
      <xdr:spPr>
        <a:xfrm>
          <a:off x="15773400" y="30670500"/>
          <a:ext cx="800100" cy="228600"/>
        </a:xfrm>
        <a:prstGeom prst="rect">
          <a:avLst/>
        </a:prstGeom>
        <a:noFill/>
        <a:ln w="9525" cmpd="sng">
          <a:noFill/>
        </a:ln>
      </xdr:spPr>
    </xdr:pic>
    <xdr:clientData/>
  </xdr:twoCellAnchor>
  <xdr:twoCellAnchor>
    <xdr:from>
      <xdr:col>12</xdr:col>
      <xdr:colOff>1724025</xdr:colOff>
      <xdr:row>103</xdr:row>
      <xdr:rowOff>104775</xdr:rowOff>
    </xdr:from>
    <xdr:to>
      <xdr:col>12</xdr:col>
      <xdr:colOff>2524125</xdr:colOff>
      <xdr:row>104</xdr:row>
      <xdr:rowOff>133350</xdr:rowOff>
    </xdr:to>
    <xdr:pic>
      <xdr:nvPicPr>
        <xdr:cNvPr id="7" name="Picture 7"/>
        <xdr:cNvPicPr preferRelativeResize="1">
          <a:picLocks noChangeAspect="1"/>
        </xdr:cNvPicPr>
      </xdr:nvPicPr>
      <xdr:blipFill>
        <a:blip r:link="rId2"/>
        <a:stretch>
          <a:fillRect/>
        </a:stretch>
      </xdr:blipFill>
      <xdr:spPr>
        <a:xfrm>
          <a:off x="15782925" y="21145500"/>
          <a:ext cx="800100" cy="228600"/>
        </a:xfrm>
        <a:prstGeom prst="rect">
          <a:avLst/>
        </a:prstGeom>
        <a:noFill/>
        <a:ln w="9525" cmpd="sng">
          <a:noFill/>
        </a:ln>
      </xdr:spPr>
    </xdr:pic>
    <xdr:clientData/>
  </xdr:twoCellAnchor>
  <xdr:twoCellAnchor>
    <xdr:from>
      <xdr:col>12</xdr:col>
      <xdr:colOff>1752600</xdr:colOff>
      <xdr:row>49</xdr:row>
      <xdr:rowOff>104775</xdr:rowOff>
    </xdr:from>
    <xdr:to>
      <xdr:col>12</xdr:col>
      <xdr:colOff>2552700</xdr:colOff>
      <xdr:row>50</xdr:row>
      <xdr:rowOff>133350</xdr:rowOff>
    </xdr:to>
    <xdr:pic>
      <xdr:nvPicPr>
        <xdr:cNvPr id="8" name="Picture 8"/>
        <xdr:cNvPicPr preferRelativeResize="1">
          <a:picLocks noChangeAspect="1"/>
        </xdr:cNvPicPr>
      </xdr:nvPicPr>
      <xdr:blipFill>
        <a:blip r:link="rId2"/>
        <a:stretch>
          <a:fillRect/>
        </a:stretch>
      </xdr:blipFill>
      <xdr:spPr>
        <a:xfrm>
          <a:off x="15811500" y="9696450"/>
          <a:ext cx="800100" cy="2286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49</xdr:row>
      <xdr:rowOff>85725</xdr:rowOff>
    </xdr:from>
    <xdr:to>
      <xdr:col>1</xdr:col>
      <xdr:colOff>28575</xdr:colOff>
      <xdr:row>50</xdr:row>
      <xdr:rowOff>123825</xdr:rowOff>
    </xdr:to>
    <xdr:pic>
      <xdr:nvPicPr>
        <xdr:cNvPr id="1" name="Picture 1"/>
        <xdr:cNvPicPr preferRelativeResize="1">
          <a:picLocks noChangeAspect="1"/>
        </xdr:cNvPicPr>
      </xdr:nvPicPr>
      <xdr:blipFill>
        <a:blip r:link="rId1"/>
        <a:stretch>
          <a:fillRect/>
        </a:stretch>
      </xdr:blipFill>
      <xdr:spPr>
        <a:xfrm>
          <a:off x="28575" y="9677400"/>
          <a:ext cx="314325" cy="238125"/>
        </a:xfrm>
        <a:prstGeom prst="rect">
          <a:avLst/>
        </a:prstGeom>
        <a:noFill/>
        <a:ln w="9525" cmpd="sng">
          <a:noFill/>
        </a:ln>
      </xdr:spPr>
    </xdr:pic>
    <xdr:clientData/>
  </xdr:twoCellAnchor>
  <xdr:twoCellAnchor>
    <xdr:from>
      <xdr:col>0</xdr:col>
      <xdr:colOff>0</xdr:colOff>
      <xdr:row>103</xdr:row>
      <xdr:rowOff>104775</xdr:rowOff>
    </xdr:from>
    <xdr:to>
      <xdr:col>1</xdr:col>
      <xdr:colOff>0</xdr:colOff>
      <xdr:row>104</xdr:row>
      <xdr:rowOff>142875</xdr:rowOff>
    </xdr:to>
    <xdr:pic>
      <xdr:nvPicPr>
        <xdr:cNvPr id="2" name="Picture 2"/>
        <xdr:cNvPicPr preferRelativeResize="1">
          <a:picLocks noChangeAspect="1"/>
        </xdr:cNvPicPr>
      </xdr:nvPicPr>
      <xdr:blipFill>
        <a:blip r:link="rId1"/>
        <a:stretch>
          <a:fillRect/>
        </a:stretch>
      </xdr:blipFill>
      <xdr:spPr>
        <a:xfrm>
          <a:off x="0" y="21145500"/>
          <a:ext cx="314325" cy="238125"/>
        </a:xfrm>
        <a:prstGeom prst="rect">
          <a:avLst/>
        </a:prstGeom>
        <a:noFill/>
        <a:ln w="9525" cmpd="sng">
          <a:noFill/>
        </a:ln>
      </xdr:spPr>
    </xdr:pic>
    <xdr:clientData/>
  </xdr:twoCellAnchor>
  <xdr:twoCellAnchor>
    <xdr:from>
      <xdr:col>0</xdr:col>
      <xdr:colOff>9525</xdr:colOff>
      <xdr:row>154</xdr:row>
      <xdr:rowOff>161925</xdr:rowOff>
    </xdr:from>
    <xdr:to>
      <xdr:col>1</xdr:col>
      <xdr:colOff>9525</xdr:colOff>
      <xdr:row>155</xdr:row>
      <xdr:rowOff>200025</xdr:rowOff>
    </xdr:to>
    <xdr:pic>
      <xdr:nvPicPr>
        <xdr:cNvPr id="3" name="Picture 3"/>
        <xdr:cNvPicPr preferRelativeResize="1">
          <a:picLocks noChangeAspect="1"/>
        </xdr:cNvPicPr>
      </xdr:nvPicPr>
      <xdr:blipFill>
        <a:blip r:link="rId1"/>
        <a:stretch>
          <a:fillRect/>
        </a:stretch>
      </xdr:blipFill>
      <xdr:spPr>
        <a:xfrm>
          <a:off x="9525" y="30727650"/>
          <a:ext cx="314325" cy="238125"/>
        </a:xfrm>
        <a:prstGeom prst="rect">
          <a:avLst/>
        </a:prstGeom>
        <a:noFill/>
        <a:ln w="9525" cmpd="sng">
          <a:noFill/>
        </a:ln>
      </xdr:spPr>
    </xdr:pic>
    <xdr:clientData/>
  </xdr:twoCellAnchor>
  <xdr:twoCellAnchor>
    <xdr:from>
      <xdr:col>0</xdr:col>
      <xdr:colOff>38100</xdr:colOff>
      <xdr:row>201</xdr:row>
      <xdr:rowOff>104775</xdr:rowOff>
    </xdr:from>
    <xdr:to>
      <xdr:col>1</xdr:col>
      <xdr:colOff>38100</xdr:colOff>
      <xdr:row>202</xdr:row>
      <xdr:rowOff>142875</xdr:rowOff>
    </xdr:to>
    <xdr:pic>
      <xdr:nvPicPr>
        <xdr:cNvPr id="4" name="Picture 4"/>
        <xdr:cNvPicPr preferRelativeResize="1">
          <a:picLocks noChangeAspect="1"/>
        </xdr:cNvPicPr>
      </xdr:nvPicPr>
      <xdr:blipFill>
        <a:blip r:link="rId1"/>
        <a:stretch>
          <a:fillRect/>
        </a:stretch>
      </xdr:blipFill>
      <xdr:spPr>
        <a:xfrm>
          <a:off x="38100" y="40119300"/>
          <a:ext cx="314325" cy="238125"/>
        </a:xfrm>
        <a:prstGeom prst="rect">
          <a:avLst/>
        </a:prstGeom>
        <a:noFill/>
        <a:ln w="9525" cmpd="sng">
          <a:noFill/>
        </a:ln>
      </xdr:spPr>
    </xdr:pic>
    <xdr:clientData/>
  </xdr:twoCellAnchor>
  <xdr:twoCellAnchor>
    <xdr:from>
      <xdr:col>12</xdr:col>
      <xdr:colOff>1895475</xdr:colOff>
      <xdr:row>201</xdr:row>
      <xdr:rowOff>133350</xdr:rowOff>
    </xdr:from>
    <xdr:to>
      <xdr:col>12</xdr:col>
      <xdr:colOff>2695575</xdr:colOff>
      <xdr:row>202</xdr:row>
      <xdr:rowOff>161925</xdr:rowOff>
    </xdr:to>
    <xdr:pic>
      <xdr:nvPicPr>
        <xdr:cNvPr id="5" name="Picture 5"/>
        <xdr:cNvPicPr preferRelativeResize="1">
          <a:picLocks noChangeAspect="1"/>
        </xdr:cNvPicPr>
      </xdr:nvPicPr>
      <xdr:blipFill>
        <a:blip r:link="rId2"/>
        <a:stretch>
          <a:fillRect/>
        </a:stretch>
      </xdr:blipFill>
      <xdr:spPr>
        <a:xfrm>
          <a:off x="15954375" y="40147875"/>
          <a:ext cx="800100" cy="228600"/>
        </a:xfrm>
        <a:prstGeom prst="rect">
          <a:avLst/>
        </a:prstGeom>
        <a:noFill/>
        <a:ln w="9525" cmpd="sng">
          <a:noFill/>
        </a:ln>
      </xdr:spPr>
    </xdr:pic>
    <xdr:clientData/>
  </xdr:twoCellAnchor>
  <xdr:twoCellAnchor>
    <xdr:from>
      <xdr:col>12</xdr:col>
      <xdr:colOff>1914525</xdr:colOff>
      <xdr:row>154</xdr:row>
      <xdr:rowOff>104775</xdr:rowOff>
    </xdr:from>
    <xdr:to>
      <xdr:col>12</xdr:col>
      <xdr:colOff>2714625</xdr:colOff>
      <xdr:row>155</xdr:row>
      <xdr:rowOff>133350</xdr:rowOff>
    </xdr:to>
    <xdr:pic>
      <xdr:nvPicPr>
        <xdr:cNvPr id="6" name="Picture 6"/>
        <xdr:cNvPicPr preferRelativeResize="1">
          <a:picLocks noChangeAspect="1"/>
        </xdr:cNvPicPr>
      </xdr:nvPicPr>
      <xdr:blipFill>
        <a:blip r:link="rId2"/>
        <a:stretch>
          <a:fillRect/>
        </a:stretch>
      </xdr:blipFill>
      <xdr:spPr>
        <a:xfrm>
          <a:off x="15973425" y="30670500"/>
          <a:ext cx="800100" cy="228600"/>
        </a:xfrm>
        <a:prstGeom prst="rect">
          <a:avLst/>
        </a:prstGeom>
        <a:noFill/>
        <a:ln w="9525" cmpd="sng">
          <a:noFill/>
        </a:ln>
      </xdr:spPr>
    </xdr:pic>
    <xdr:clientData/>
  </xdr:twoCellAnchor>
  <xdr:twoCellAnchor>
    <xdr:from>
      <xdr:col>12</xdr:col>
      <xdr:colOff>1962150</xdr:colOff>
      <xdr:row>103</xdr:row>
      <xdr:rowOff>123825</xdr:rowOff>
    </xdr:from>
    <xdr:to>
      <xdr:col>12</xdr:col>
      <xdr:colOff>2762250</xdr:colOff>
      <xdr:row>104</xdr:row>
      <xdr:rowOff>152400</xdr:rowOff>
    </xdr:to>
    <xdr:pic>
      <xdr:nvPicPr>
        <xdr:cNvPr id="7" name="Picture 7"/>
        <xdr:cNvPicPr preferRelativeResize="1">
          <a:picLocks noChangeAspect="1"/>
        </xdr:cNvPicPr>
      </xdr:nvPicPr>
      <xdr:blipFill>
        <a:blip r:link="rId2"/>
        <a:stretch>
          <a:fillRect/>
        </a:stretch>
      </xdr:blipFill>
      <xdr:spPr>
        <a:xfrm>
          <a:off x="16021050" y="21164550"/>
          <a:ext cx="800100" cy="228600"/>
        </a:xfrm>
        <a:prstGeom prst="rect">
          <a:avLst/>
        </a:prstGeom>
        <a:noFill/>
        <a:ln w="9525" cmpd="sng">
          <a:noFill/>
        </a:ln>
      </xdr:spPr>
    </xdr:pic>
    <xdr:clientData/>
  </xdr:twoCellAnchor>
  <xdr:twoCellAnchor>
    <xdr:from>
      <xdr:col>12</xdr:col>
      <xdr:colOff>1914525</xdr:colOff>
      <xdr:row>49</xdr:row>
      <xdr:rowOff>104775</xdr:rowOff>
    </xdr:from>
    <xdr:to>
      <xdr:col>12</xdr:col>
      <xdr:colOff>2714625</xdr:colOff>
      <xdr:row>50</xdr:row>
      <xdr:rowOff>133350</xdr:rowOff>
    </xdr:to>
    <xdr:pic>
      <xdr:nvPicPr>
        <xdr:cNvPr id="8" name="Picture 8"/>
        <xdr:cNvPicPr preferRelativeResize="1">
          <a:picLocks noChangeAspect="1"/>
        </xdr:cNvPicPr>
      </xdr:nvPicPr>
      <xdr:blipFill>
        <a:blip r:link="rId2"/>
        <a:stretch>
          <a:fillRect/>
        </a:stretch>
      </xdr:blipFill>
      <xdr:spPr>
        <a:xfrm>
          <a:off x="15973425" y="9696450"/>
          <a:ext cx="800100" cy="2286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49</xdr:row>
      <xdr:rowOff>152400</xdr:rowOff>
    </xdr:from>
    <xdr:to>
      <xdr:col>1</xdr:col>
      <xdr:colOff>57150</xdr:colOff>
      <xdr:row>50</xdr:row>
      <xdr:rowOff>190500</xdr:rowOff>
    </xdr:to>
    <xdr:pic>
      <xdr:nvPicPr>
        <xdr:cNvPr id="1" name="Picture 1"/>
        <xdr:cNvPicPr preferRelativeResize="1">
          <a:picLocks noChangeAspect="1"/>
        </xdr:cNvPicPr>
      </xdr:nvPicPr>
      <xdr:blipFill>
        <a:blip r:link="rId1"/>
        <a:stretch>
          <a:fillRect/>
        </a:stretch>
      </xdr:blipFill>
      <xdr:spPr>
        <a:xfrm>
          <a:off x="57150" y="9744075"/>
          <a:ext cx="314325" cy="238125"/>
        </a:xfrm>
        <a:prstGeom prst="rect">
          <a:avLst/>
        </a:prstGeom>
        <a:noFill/>
        <a:ln w="9525" cmpd="sng">
          <a:noFill/>
        </a:ln>
      </xdr:spPr>
    </xdr:pic>
    <xdr:clientData/>
  </xdr:twoCellAnchor>
  <xdr:twoCellAnchor>
    <xdr:from>
      <xdr:col>0</xdr:col>
      <xdr:colOff>0</xdr:colOff>
      <xdr:row>103</xdr:row>
      <xdr:rowOff>133350</xdr:rowOff>
    </xdr:from>
    <xdr:to>
      <xdr:col>1</xdr:col>
      <xdr:colOff>0</xdr:colOff>
      <xdr:row>104</xdr:row>
      <xdr:rowOff>171450</xdr:rowOff>
    </xdr:to>
    <xdr:pic>
      <xdr:nvPicPr>
        <xdr:cNvPr id="2" name="Picture 2"/>
        <xdr:cNvPicPr preferRelativeResize="1">
          <a:picLocks noChangeAspect="1"/>
        </xdr:cNvPicPr>
      </xdr:nvPicPr>
      <xdr:blipFill>
        <a:blip r:link="rId1"/>
        <a:stretch>
          <a:fillRect/>
        </a:stretch>
      </xdr:blipFill>
      <xdr:spPr>
        <a:xfrm>
          <a:off x="0" y="21174075"/>
          <a:ext cx="314325" cy="238125"/>
        </a:xfrm>
        <a:prstGeom prst="rect">
          <a:avLst/>
        </a:prstGeom>
        <a:noFill/>
        <a:ln w="9525" cmpd="sng">
          <a:noFill/>
        </a:ln>
      </xdr:spPr>
    </xdr:pic>
    <xdr:clientData/>
  </xdr:twoCellAnchor>
  <xdr:twoCellAnchor>
    <xdr:from>
      <xdr:col>0</xdr:col>
      <xdr:colOff>0</xdr:colOff>
      <xdr:row>154</xdr:row>
      <xdr:rowOff>104775</xdr:rowOff>
    </xdr:from>
    <xdr:to>
      <xdr:col>1</xdr:col>
      <xdr:colOff>0</xdr:colOff>
      <xdr:row>155</xdr:row>
      <xdr:rowOff>142875</xdr:rowOff>
    </xdr:to>
    <xdr:pic>
      <xdr:nvPicPr>
        <xdr:cNvPr id="3" name="Picture 3"/>
        <xdr:cNvPicPr preferRelativeResize="1">
          <a:picLocks noChangeAspect="1"/>
        </xdr:cNvPicPr>
      </xdr:nvPicPr>
      <xdr:blipFill>
        <a:blip r:link="rId1"/>
        <a:stretch>
          <a:fillRect/>
        </a:stretch>
      </xdr:blipFill>
      <xdr:spPr>
        <a:xfrm>
          <a:off x="0" y="30670500"/>
          <a:ext cx="314325" cy="238125"/>
        </a:xfrm>
        <a:prstGeom prst="rect">
          <a:avLst/>
        </a:prstGeom>
        <a:noFill/>
        <a:ln w="9525" cmpd="sng">
          <a:noFill/>
        </a:ln>
      </xdr:spPr>
    </xdr:pic>
    <xdr:clientData/>
  </xdr:twoCellAnchor>
  <xdr:twoCellAnchor>
    <xdr:from>
      <xdr:col>0</xdr:col>
      <xdr:colOff>28575</xdr:colOff>
      <xdr:row>201</xdr:row>
      <xdr:rowOff>95250</xdr:rowOff>
    </xdr:from>
    <xdr:to>
      <xdr:col>1</xdr:col>
      <xdr:colOff>28575</xdr:colOff>
      <xdr:row>202</xdr:row>
      <xdr:rowOff>133350</xdr:rowOff>
    </xdr:to>
    <xdr:pic>
      <xdr:nvPicPr>
        <xdr:cNvPr id="4" name="Picture 4"/>
        <xdr:cNvPicPr preferRelativeResize="1">
          <a:picLocks noChangeAspect="1"/>
        </xdr:cNvPicPr>
      </xdr:nvPicPr>
      <xdr:blipFill>
        <a:blip r:link="rId1"/>
        <a:stretch>
          <a:fillRect/>
        </a:stretch>
      </xdr:blipFill>
      <xdr:spPr>
        <a:xfrm>
          <a:off x="28575" y="40109775"/>
          <a:ext cx="314325" cy="238125"/>
        </a:xfrm>
        <a:prstGeom prst="rect">
          <a:avLst/>
        </a:prstGeom>
        <a:noFill/>
        <a:ln w="9525" cmpd="sng">
          <a:noFill/>
        </a:ln>
      </xdr:spPr>
    </xdr:pic>
    <xdr:clientData/>
  </xdr:twoCellAnchor>
  <xdr:twoCellAnchor>
    <xdr:from>
      <xdr:col>12</xdr:col>
      <xdr:colOff>1609725</xdr:colOff>
      <xdr:row>201</xdr:row>
      <xdr:rowOff>85725</xdr:rowOff>
    </xdr:from>
    <xdr:to>
      <xdr:col>12</xdr:col>
      <xdr:colOff>2409825</xdr:colOff>
      <xdr:row>202</xdr:row>
      <xdr:rowOff>114300</xdr:rowOff>
    </xdr:to>
    <xdr:pic>
      <xdr:nvPicPr>
        <xdr:cNvPr id="5" name="Picture 5"/>
        <xdr:cNvPicPr preferRelativeResize="1">
          <a:picLocks noChangeAspect="1"/>
        </xdr:cNvPicPr>
      </xdr:nvPicPr>
      <xdr:blipFill>
        <a:blip r:link="rId2"/>
        <a:stretch>
          <a:fillRect/>
        </a:stretch>
      </xdr:blipFill>
      <xdr:spPr>
        <a:xfrm>
          <a:off x="15668625" y="40100250"/>
          <a:ext cx="800100" cy="228600"/>
        </a:xfrm>
        <a:prstGeom prst="rect">
          <a:avLst/>
        </a:prstGeom>
        <a:noFill/>
        <a:ln w="9525" cmpd="sng">
          <a:noFill/>
        </a:ln>
      </xdr:spPr>
    </xdr:pic>
    <xdr:clientData/>
  </xdr:twoCellAnchor>
  <xdr:twoCellAnchor>
    <xdr:from>
      <xdr:col>12</xdr:col>
      <xdr:colOff>1628775</xdr:colOff>
      <xdr:row>154</xdr:row>
      <xdr:rowOff>95250</xdr:rowOff>
    </xdr:from>
    <xdr:to>
      <xdr:col>12</xdr:col>
      <xdr:colOff>2428875</xdr:colOff>
      <xdr:row>155</xdr:row>
      <xdr:rowOff>123825</xdr:rowOff>
    </xdr:to>
    <xdr:pic>
      <xdr:nvPicPr>
        <xdr:cNvPr id="6" name="Picture 6"/>
        <xdr:cNvPicPr preferRelativeResize="1">
          <a:picLocks noChangeAspect="1"/>
        </xdr:cNvPicPr>
      </xdr:nvPicPr>
      <xdr:blipFill>
        <a:blip r:link="rId2"/>
        <a:stretch>
          <a:fillRect/>
        </a:stretch>
      </xdr:blipFill>
      <xdr:spPr>
        <a:xfrm>
          <a:off x="15687675" y="30660975"/>
          <a:ext cx="800100" cy="228600"/>
        </a:xfrm>
        <a:prstGeom prst="rect">
          <a:avLst/>
        </a:prstGeom>
        <a:noFill/>
        <a:ln w="9525" cmpd="sng">
          <a:noFill/>
        </a:ln>
      </xdr:spPr>
    </xdr:pic>
    <xdr:clientData/>
  </xdr:twoCellAnchor>
  <xdr:twoCellAnchor>
    <xdr:from>
      <xdr:col>12</xdr:col>
      <xdr:colOff>1628775</xdr:colOff>
      <xdr:row>103</xdr:row>
      <xdr:rowOff>95250</xdr:rowOff>
    </xdr:from>
    <xdr:to>
      <xdr:col>12</xdr:col>
      <xdr:colOff>2428875</xdr:colOff>
      <xdr:row>104</xdr:row>
      <xdr:rowOff>123825</xdr:rowOff>
    </xdr:to>
    <xdr:pic>
      <xdr:nvPicPr>
        <xdr:cNvPr id="7" name="Picture 7"/>
        <xdr:cNvPicPr preferRelativeResize="1">
          <a:picLocks noChangeAspect="1"/>
        </xdr:cNvPicPr>
      </xdr:nvPicPr>
      <xdr:blipFill>
        <a:blip r:link="rId2"/>
        <a:stretch>
          <a:fillRect/>
        </a:stretch>
      </xdr:blipFill>
      <xdr:spPr>
        <a:xfrm>
          <a:off x="15687675" y="21135975"/>
          <a:ext cx="800100" cy="228600"/>
        </a:xfrm>
        <a:prstGeom prst="rect">
          <a:avLst/>
        </a:prstGeom>
        <a:noFill/>
        <a:ln w="9525" cmpd="sng">
          <a:noFill/>
        </a:ln>
      </xdr:spPr>
    </xdr:pic>
    <xdr:clientData/>
  </xdr:twoCellAnchor>
  <xdr:twoCellAnchor>
    <xdr:from>
      <xdr:col>12</xdr:col>
      <xdr:colOff>1714500</xdr:colOff>
      <xdr:row>49</xdr:row>
      <xdr:rowOff>95250</xdr:rowOff>
    </xdr:from>
    <xdr:to>
      <xdr:col>12</xdr:col>
      <xdr:colOff>2514600</xdr:colOff>
      <xdr:row>50</xdr:row>
      <xdr:rowOff>123825</xdr:rowOff>
    </xdr:to>
    <xdr:pic>
      <xdr:nvPicPr>
        <xdr:cNvPr id="8" name="Picture 8"/>
        <xdr:cNvPicPr preferRelativeResize="1">
          <a:picLocks noChangeAspect="1"/>
        </xdr:cNvPicPr>
      </xdr:nvPicPr>
      <xdr:blipFill>
        <a:blip r:link="rId2"/>
        <a:stretch>
          <a:fillRect/>
        </a:stretch>
      </xdr:blipFill>
      <xdr:spPr>
        <a:xfrm>
          <a:off x="15773400" y="9686925"/>
          <a:ext cx="800100" cy="2286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85725</xdr:rowOff>
    </xdr:from>
    <xdr:to>
      <xdr:col>1</xdr:col>
      <xdr:colOff>0</xdr:colOff>
      <xdr:row>50</xdr:row>
      <xdr:rowOff>123825</xdr:rowOff>
    </xdr:to>
    <xdr:pic>
      <xdr:nvPicPr>
        <xdr:cNvPr id="1" name="Picture 1"/>
        <xdr:cNvPicPr preferRelativeResize="1">
          <a:picLocks noChangeAspect="1"/>
        </xdr:cNvPicPr>
      </xdr:nvPicPr>
      <xdr:blipFill>
        <a:blip r:link="rId1"/>
        <a:stretch>
          <a:fillRect/>
        </a:stretch>
      </xdr:blipFill>
      <xdr:spPr>
        <a:xfrm>
          <a:off x="0" y="9677400"/>
          <a:ext cx="314325" cy="238125"/>
        </a:xfrm>
        <a:prstGeom prst="rect">
          <a:avLst/>
        </a:prstGeom>
        <a:noFill/>
        <a:ln w="9525" cmpd="sng">
          <a:noFill/>
        </a:ln>
      </xdr:spPr>
    </xdr:pic>
    <xdr:clientData/>
  </xdr:twoCellAnchor>
  <xdr:twoCellAnchor>
    <xdr:from>
      <xdr:col>0</xdr:col>
      <xdr:colOff>0</xdr:colOff>
      <xdr:row>103</xdr:row>
      <xdr:rowOff>104775</xdr:rowOff>
    </xdr:from>
    <xdr:to>
      <xdr:col>1</xdr:col>
      <xdr:colOff>0</xdr:colOff>
      <xdr:row>104</xdr:row>
      <xdr:rowOff>142875</xdr:rowOff>
    </xdr:to>
    <xdr:pic>
      <xdr:nvPicPr>
        <xdr:cNvPr id="2" name="Picture 2"/>
        <xdr:cNvPicPr preferRelativeResize="1">
          <a:picLocks noChangeAspect="1"/>
        </xdr:cNvPicPr>
      </xdr:nvPicPr>
      <xdr:blipFill>
        <a:blip r:link="rId1"/>
        <a:stretch>
          <a:fillRect/>
        </a:stretch>
      </xdr:blipFill>
      <xdr:spPr>
        <a:xfrm>
          <a:off x="0" y="21145500"/>
          <a:ext cx="314325" cy="238125"/>
        </a:xfrm>
        <a:prstGeom prst="rect">
          <a:avLst/>
        </a:prstGeom>
        <a:noFill/>
        <a:ln w="9525" cmpd="sng">
          <a:noFill/>
        </a:ln>
      </xdr:spPr>
    </xdr:pic>
    <xdr:clientData/>
  </xdr:twoCellAnchor>
  <xdr:twoCellAnchor>
    <xdr:from>
      <xdr:col>0</xdr:col>
      <xdr:colOff>85725</xdr:colOff>
      <xdr:row>154</xdr:row>
      <xdr:rowOff>133350</xdr:rowOff>
    </xdr:from>
    <xdr:to>
      <xdr:col>1</xdr:col>
      <xdr:colOff>85725</xdr:colOff>
      <xdr:row>155</xdr:row>
      <xdr:rowOff>171450</xdr:rowOff>
    </xdr:to>
    <xdr:pic>
      <xdr:nvPicPr>
        <xdr:cNvPr id="3" name="Picture 3"/>
        <xdr:cNvPicPr preferRelativeResize="1">
          <a:picLocks noChangeAspect="1"/>
        </xdr:cNvPicPr>
      </xdr:nvPicPr>
      <xdr:blipFill>
        <a:blip r:link="rId1"/>
        <a:stretch>
          <a:fillRect/>
        </a:stretch>
      </xdr:blipFill>
      <xdr:spPr>
        <a:xfrm>
          <a:off x="85725" y="30699075"/>
          <a:ext cx="314325" cy="238125"/>
        </a:xfrm>
        <a:prstGeom prst="rect">
          <a:avLst/>
        </a:prstGeom>
        <a:noFill/>
        <a:ln w="9525" cmpd="sng">
          <a:noFill/>
        </a:ln>
      </xdr:spPr>
    </xdr:pic>
    <xdr:clientData/>
  </xdr:twoCellAnchor>
  <xdr:twoCellAnchor>
    <xdr:from>
      <xdr:col>0</xdr:col>
      <xdr:colOff>9525</xdr:colOff>
      <xdr:row>201</xdr:row>
      <xdr:rowOff>104775</xdr:rowOff>
    </xdr:from>
    <xdr:to>
      <xdr:col>1</xdr:col>
      <xdr:colOff>9525</xdr:colOff>
      <xdr:row>202</xdr:row>
      <xdr:rowOff>142875</xdr:rowOff>
    </xdr:to>
    <xdr:pic>
      <xdr:nvPicPr>
        <xdr:cNvPr id="4" name="Picture 4"/>
        <xdr:cNvPicPr preferRelativeResize="1">
          <a:picLocks noChangeAspect="1"/>
        </xdr:cNvPicPr>
      </xdr:nvPicPr>
      <xdr:blipFill>
        <a:blip r:link="rId1"/>
        <a:stretch>
          <a:fillRect/>
        </a:stretch>
      </xdr:blipFill>
      <xdr:spPr>
        <a:xfrm>
          <a:off x="9525" y="40119300"/>
          <a:ext cx="314325" cy="238125"/>
        </a:xfrm>
        <a:prstGeom prst="rect">
          <a:avLst/>
        </a:prstGeom>
        <a:noFill/>
        <a:ln w="9525" cmpd="sng">
          <a:noFill/>
        </a:ln>
      </xdr:spPr>
    </xdr:pic>
    <xdr:clientData/>
  </xdr:twoCellAnchor>
  <xdr:twoCellAnchor>
    <xdr:from>
      <xdr:col>12</xdr:col>
      <xdr:colOff>1676400</xdr:colOff>
      <xdr:row>201</xdr:row>
      <xdr:rowOff>95250</xdr:rowOff>
    </xdr:from>
    <xdr:to>
      <xdr:col>12</xdr:col>
      <xdr:colOff>2476500</xdr:colOff>
      <xdr:row>202</xdr:row>
      <xdr:rowOff>123825</xdr:rowOff>
    </xdr:to>
    <xdr:pic>
      <xdr:nvPicPr>
        <xdr:cNvPr id="5" name="Picture 5"/>
        <xdr:cNvPicPr preferRelativeResize="1">
          <a:picLocks noChangeAspect="1"/>
        </xdr:cNvPicPr>
      </xdr:nvPicPr>
      <xdr:blipFill>
        <a:blip r:link="rId2"/>
        <a:stretch>
          <a:fillRect/>
        </a:stretch>
      </xdr:blipFill>
      <xdr:spPr>
        <a:xfrm>
          <a:off x="15735300" y="40109775"/>
          <a:ext cx="800100" cy="228600"/>
        </a:xfrm>
        <a:prstGeom prst="rect">
          <a:avLst/>
        </a:prstGeom>
        <a:noFill/>
        <a:ln w="9525" cmpd="sng">
          <a:noFill/>
        </a:ln>
      </xdr:spPr>
    </xdr:pic>
    <xdr:clientData/>
  </xdr:twoCellAnchor>
  <xdr:twoCellAnchor>
    <xdr:from>
      <xdr:col>12</xdr:col>
      <xdr:colOff>1676400</xdr:colOff>
      <xdr:row>154</xdr:row>
      <xdr:rowOff>95250</xdr:rowOff>
    </xdr:from>
    <xdr:to>
      <xdr:col>12</xdr:col>
      <xdr:colOff>2476500</xdr:colOff>
      <xdr:row>155</xdr:row>
      <xdr:rowOff>123825</xdr:rowOff>
    </xdr:to>
    <xdr:pic>
      <xdr:nvPicPr>
        <xdr:cNvPr id="6" name="Picture 6"/>
        <xdr:cNvPicPr preferRelativeResize="1">
          <a:picLocks noChangeAspect="1"/>
        </xdr:cNvPicPr>
      </xdr:nvPicPr>
      <xdr:blipFill>
        <a:blip r:link="rId2"/>
        <a:stretch>
          <a:fillRect/>
        </a:stretch>
      </xdr:blipFill>
      <xdr:spPr>
        <a:xfrm>
          <a:off x="15735300" y="30660975"/>
          <a:ext cx="800100" cy="228600"/>
        </a:xfrm>
        <a:prstGeom prst="rect">
          <a:avLst/>
        </a:prstGeom>
        <a:noFill/>
        <a:ln w="9525" cmpd="sng">
          <a:noFill/>
        </a:ln>
      </xdr:spPr>
    </xdr:pic>
    <xdr:clientData/>
  </xdr:twoCellAnchor>
  <xdr:twoCellAnchor>
    <xdr:from>
      <xdr:col>12</xdr:col>
      <xdr:colOff>1685925</xdr:colOff>
      <xdr:row>103</xdr:row>
      <xdr:rowOff>104775</xdr:rowOff>
    </xdr:from>
    <xdr:to>
      <xdr:col>12</xdr:col>
      <xdr:colOff>2486025</xdr:colOff>
      <xdr:row>104</xdr:row>
      <xdr:rowOff>133350</xdr:rowOff>
    </xdr:to>
    <xdr:pic>
      <xdr:nvPicPr>
        <xdr:cNvPr id="7" name="Picture 7"/>
        <xdr:cNvPicPr preferRelativeResize="1">
          <a:picLocks noChangeAspect="1"/>
        </xdr:cNvPicPr>
      </xdr:nvPicPr>
      <xdr:blipFill>
        <a:blip r:link="rId2"/>
        <a:stretch>
          <a:fillRect/>
        </a:stretch>
      </xdr:blipFill>
      <xdr:spPr>
        <a:xfrm>
          <a:off x="15744825" y="21145500"/>
          <a:ext cx="800100" cy="228600"/>
        </a:xfrm>
        <a:prstGeom prst="rect">
          <a:avLst/>
        </a:prstGeom>
        <a:noFill/>
        <a:ln w="9525" cmpd="sng">
          <a:noFill/>
        </a:ln>
      </xdr:spPr>
    </xdr:pic>
    <xdr:clientData/>
  </xdr:twoCellAnchor>
  <xdr:twoCellAnchor>
    <xdr:from>
      <xdr:col>12</xdr:col>
      <xdr:colOff>1685925</xdr:colOff>
      <xdr:row>49</xdr:row>
      <xdr:rowOff>133350</xdr:rowOff>
    </xdr:from>
    <xdr:to>
      <xdr:col>12</xdr:col>
      <xdr:colOff>2486025</xdr:colOff>
      <xdr:row>50</xdr:row>
      <xdr:rowOff>161925</xdr:rowOff>
    </xdr:to>
    <xdr:pic>
      <xdr:nvPicPr>
        <xdr:cNvPr id="8" name="Picture 8"/>
        <xdr:cNvPicPr preferRelativeResize="1">
          <a:picLocks noChangeAspect="1"/>
        </xdr:cNvPicPr>
      </xdr:nvPicPr>
      <xdr:blipFill>
        <a:blip r:link="rId2"/>
        <a:stretch>
          <a:fillRect/>
        </a:stretch>
      </xdr:blipFill>
      <xdr:spPr>
        <a:xfrm>
          <a:off x="15744825" y="9725025"/>
          <a:ext cx="800100" cy="2286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123825</xdr:rowOff>
    </xdr:from>
    <xdr:to>
      <xdr:col>1</xdr:col>
      <xdr:colOff>0</xdr:colOff>
      <xdr:row>50</xdr:row>
      <xdr:rowOff>161925</xdr:rowOff>
    </xdr:to>
    <xdr:pic>
      <xdr:nvPicPr>
        <xdr:cNvPr id="1" name="Picture 1"/>
        <xdr:cNvPicPr preferRelativeResize="1">
          <a:picLocks noChangeAspect="1"/>
        </xdr:cNvPicPr>
      </xdr:nvPicPr>
      <xdr:blipFill>
        <a:blip r:link="rId1"/>
        <a:stretch>
          <a:fillRect/>
        </a:stretch>
      </xdr:blipFill>
      <xdr:spPr>
        <a:xfrm>
          <a:off x="0" y="9715500"/>
          <a:ext cx="314325" cy="238125"/>
        </a:xfrm>
        <a:prstGeom prst="rect">
          <a:avLst/>
        </a:prstGeom>
        <a:noFill/>
        <a:ln w="9525" cmpd="sng">
          <a:noFill/>
        </a:ln>
      </xdr:spPr>
    </xdr:pic>
    <xdr:clientData/>
  </xdr:twoCellAnchor>
  <xdr:twoCellAnchor>
    <xdr:from>
      <xdr:col>0</xdr:col>
      <xdr:colOff>0</xdr:colOff>
      <xdr:row>103</xdr:row>
      <xdr:rowOff>85725</xdr:rowOff>
    </xdr:from>
    <xdr:to>
      <xdr:col>1</xdr:col>
      <xdr:colOff>0</xdr:colOff>
      <xdr:row>104</xdr:row>
      <xdr:rowOff>123825</xdr:rowOff>
    </xdr:to>
    <xdr:pic>
      <xdr:nvPicPr>
        <xdr:cNvPr id="2" name="Picture 3"/>
        <xdr:cNvPicPr preferRelativeResize="1">
          <a:picLocks noChangeAspect="1"/>
        </xdr:cNvPicPr>
      </xdr:nvPicPr>
      <xdr:blipFill>
        <a:blip r:link="rId1"/>
        <a:stretch>
          <a:fillRect/>
        </a:stretch>
      </xdr:blipFill>
      <xdr:spPr>
        <a:xfrm>
          <a:off x="0" y="21126450"/>
          <a:ext cx="314325" cy="238125"/>
        </a:xfrm>
        <a:prstGeom prst="rect">
          <a:avLst/>
        </a:prstGeom>
        <a:noFill/>
        <a:ln w="9525" cmpd="sng">
          <a:noFill/>
        </a:ln>
      </xdr:spPr>
    </xdr:pic>
    <xdr:clientData/>
  </xdr:twoCellAnchor>
  <xdr:twoCellAnchor>
    <xdr:from>
      <xdr:col>0</xdr:col>
      <xdr:colOff>38100</xdr:colOff>
      <xdr:row>154</xdr:row>
      <xdr:rowOff>104775</xdr:rowOff>
    </xdr:from>
    <xdr:to>
      <xdr:col>1</xdr:col>
      <xdr:colOff>38100</xdr:colOff>
      <xdr:row>155</xdr:row>
      <xdr:rowOff>142875</xdr:rowOff>
    </xdr:to>
    <xdr:pic>
      <xdr:nvPicPr>
        <xdr:cNvPr id="3" name="Picture 4"/>
        <xdr:cNvPicPr preferRelativeResize="1">
          <a:picLocks noChangeAspect="1"/>
        </xdr:cNvPicPr>
      </xdr:nvPicPr>
      <xdr:blipFill>
        <a:blip r:link="rId1"/>
        <a:stretch>
          <a:fillRect/>
        </a:stretch>
      </xdr:blipFill>
      <xdr:spPr>
        <a:xfrm>
          <a:off x="38100" y="30670500"/>
          <a:ext cx="314325" cy="238125"/>
        </a:xfrm>
        <a:prstGeom prst="rect">
          <a:avLst/>
        </a:prstGeom>
        <a:noFill/>
        <a:ln w="9525" cmpd="sng">
          <a:noFill/>
        </a:ln>
      </xdr:spPr>
    </xdr:pic>
    <xdr:clientData/>
  </xdr:twoCellAnchor>
  <xdr:twoCellAnchor>
    <xdr:from>
      <xdr:col>0</xdr:col>
      <xdr:colOff>9525</xdr:colOff>
      <xdr:row>201</xdr:row>
      <xdr:rowOff>95250</xdr:rowOff>
    </xdr:from>
    <xdr:to>
      <xdr:col>1</xdr:col>
      <xdr:colOff>9525</xdr:colOff>
      <xdr:row>202</xdr:row>
      <xdr:rowOff>133350</xdr:rowOff>
    </xdr:to>
    <xdr:pic>
      <xdr:nvPicPr>
        <xdr:cNvPr id="4" name="Picture 5"/>
        <xdr:cNvPicPr preferRelativeResize="1">
          <a:picLocks noChangeAspect="1"/>
        </xdr:cNvPicPr>
      </xdr:nvPicPr>
      <xdr:blipFill>
        <a:blip r:link="rId1"/>
        <a:stretch>
          <a:fillRect/>
        </a:stretch>
      </xdr:blipFill>
      <xdr:spPr>
        <a:xfrm>
          <a:off x="9525" y="40109775"/>
          <a:ext cx="314325" cy="238125"/>
        </a:xfrm>
        <a:prstGeom prst="rect">
          <a:avLst/>
        </a:prstGeom>
        <a:noFill/>
        <a:ln w="9525" cmpd="sng">
          <a:noFill/>
        </a:ln>
      </xdr:spPr>
    </xdr:pic>
    <xdr:clientData/>
  </xdr:twoCellAnchor>
  <xdr:twoCellAnchor>
    <xdr:from>
      <xdr:col>12</xdr:col>
      <xdr:colOff>990600</xdr:colOff>
      <xdr:row>201</xdr:row>
      <xdr:rowOff>104775</xdr:rowOff>
    </xdr:from>
    <xdr:to>
      <xdr:col>12</xdr:col>
      <xdr:colOff>1790700</xdr:colOff>
      <xdr:row>202</xdr:row>
      <xdr:rowOff>133350</xdr:rowOff>
    </xdr:to>
    <xdr:pic>
      <xdr:nvPicPr>
        <xdr:cNvPr id="5" name="Picture 6"/>
        <xdr:cNvPicPr preferRelativeResize="1">
          <a:picLocks noChangeAspect="1"/>
        </xdr:cNvPicPr>
      </xdr:nvPicPr>
      <xdr:blipFill>
        <a:blip r:link="rId2"/>
        <a:stretch>
          <a:fillRect/>
        </a:stretch>
      </xdr:blipFill>
      <xdr:spPr>
        <a:xfrm>
          <a:off x="15049500" y="40119300"/>
          <a:ext cx="800100" cy="228600"/>
        </a:xfrm>
        <a:prstGeom prst="rect">
          <a:avLst/>
        </a:prstGeom>
        <a:noFill/>
        <a:ln w="9525" cmpd="sng">
          <a:noFill/>
        </a:ln>
      </xdr:spPr>
    </xdr:pic>
    <xdr:clientData/>
  </xdr:twoCellAnchor>
  <xdr:twoCellAnchor>
    <xdr:from>
      <xdr:col>12</xdr:col>
      <xdr:colOff>952500</xdr:colOff>
      <xdr:row>154</xdr:row>
      <xdr:rowOff>66675</xdr:rowOff>
    </xdr:from>
    <xdr:to>
      <xdr:col>12</xdr:col>
      <xdr:colOff>1752600</xdr:colOff>
      <xdr:row>155</xdr:row>
      <xdr:rowOff>95250</xdr:rowOff>
    </xdr:to>
    <xdr:pic>
      <xdr:nvPicPr>
        <xdr:cNvPr id="6" name="Picture 7"/>
        <xdr:cNvPicPr preferRelativeResize="1">
          <a:picLocks noChangeAspect="1"/>
        </xdr:cNvPicPr>
      </xdr:nvPicPr>
      <xdr:blipFill>
        <a:blip r:link="rId2"/>
        <a:stretch>
          <a:fillRect/>
        </a:stretch>
      </xdr:blipFill>
      <xdr:spPr>
        <a:xfrm>
          <a:off x="15011400" y="30632400"/>
          <a:ext cx="800100" cy="228600"/>
        </a:xfrm>
        <a:prstGeom prst="rect">
          <a:avLst/>
        </a:prstGeom>
        <a:noFill/>
        <a:ln w="9525" cmpd="sng">
          <a:noFill/>
        </a:ln>
      </xdr:spPr>
    </xdr:pic>
    <xdr:clientData/>
  </xdr:twoCellAnchor>
  <xdr:twoCellAnchor>
    <xdr:from>
      <xdr:col>12</xdr:col>
      <xdr:colOff>942975</xdr:colOff>
      <xdr:row>103</xdr:row>
      <xdr:rowOff>85725</xdr:rowOff>
    </xdr:from>
    <xdr:to>
      <xdr:col>12</xdr:col>
      <xdr:colOff>1743075</xdr:colOff>
      <xdr:row>104</xdr:row>
      <xdr:rowOff>114300</xdr:rowOff>
    </xdr:to>
    <xdr:pic>
      <xdr:nvPicPr>
        <xdr:cNvPr id="7" name="Picture 8"/>
        <xdr:cNvPicPr preferRelativeResize="1">
          <a:picLocks noChangeAspect="1"/>
        </xdr:cNvPicPr>
      </xdr:nvPicPr>
      <xdr:blipFill>
        <a:blip r:link="rId2"/>
        <a:stretch>
          <a:fillRect/>
        </a:stretch>
      </xdr:blipFill>
      <xdr:spPr>
        <a:xfrm>
          <a:off x="15001875" y="21126450"/>
          <a:ext cx="800100" cy="228600"/>
        </a:xfrm>
        <a:prstGeom prst="rect">
          <a:avLst/>
        </a:prstGeom>
        <a:noFill/>
        <a:ln w="9525" cmpd="sng">
          <a:noFill/>
        </a:ln>
      </xdr:spPr>
    </xdr:pic>
    <xdr:clientData/>
  </xdr:twoCellAnchor>
  <xdr:twoCellAnchor>
    <xdr:from>
      <xdr:col>12</xdr:col>
      <xdr:colOff>942975</xdr:colOff>
      <xdr:row>49</xdr:row>
      <xdr:rowOff>104775</xdr:rowOff>
    </xdr:from>
    <xdr:to>
      <xdr:col>12</xdr:col>
      <xdr:colOff>1743075</xdr:colOff>
      <xdr:row>50</xdr:row>
      <xdr:rowOff>133350</xdr:rowOff>
    </xdr:to>
    <xdr:pic>
      <xdr:nvPicPr>
        <xdr:cNvPr id="8" name="Picture 9"/>
        <xdr:cNvPicPr preferRelativeResize="1">
          <a:picLocks noChangeAspect="1"/>
        </xdr:cNvPicPr>
      </xdr:nvPicPr>
      <xdr:blipFill>
        <a:blip r:link="rId2"/>
        <a:stretch>
          <a:fillRect/>
        </a:stretch>
      </xdr:blipFill>
      <xdr:spPr>
        <a:xfrm>
          <a:off x="15001875" y="9696450"/>
          <a:ext cx="800100" cy="2286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123825</xdr:rowOff>
    </xdr:from>
    <xdr:to>
      <xdr:col>1</xdr:col>
      <xdr:colOff>0</xdr:colOff>
      <xdr:row>50</xdr:row>
      <xdr:rowOff>161925</xdr:rowOff>
    </xdr:to>
    <xdr:pic>
      <xdr:nvPicPr>
        <xdr:cNvPr id="1" name="Picture 1"/>
        <xdr:cNvPicPr preferRelativeResize="1">
          <a:picLocks noChangeAspect="1"/>
        </xdr:cNvPicPr>
      </xdr:nvPicPr>
      <xdr:blipFill>
        <a:blip r:link="rId1"/>
        <a:stretch>
          <a:fillRect/>
        </a:stretch>
      </xdr:blipFill>
      <xdr:spPr>
        <a:xfrm>
          <a:off x="0" y="9715500"/>
          <a:ext cx="314325" cy="238125"/>
        </a:xfrm>
        <a:prstGeom prst="rect">
          <a:avLst/>
        </a:prstGeom>
        <a:noFill/>
        <a:ln w="9525" cmpd="sng">
          <a:noFill/>
        </a:ln>
      </xdr:spPr>
    </xdr:pic>
    <xdr:clientData/>
  </xdr:twoCellAnchor>
  <xdr:twoCellAnchor>
    <xdr:from>
      <xdr:col>0</xdr:col>
      <xdr:colOff>0</xdr:colOff>
      <xdr:row>103</xdr:row>
      <xdr:rowOff>85725</xdr:rowOff>
    </xdr:from>
    <xdr:to>
      <xdr:col>1</xdr:col>
      <xdr:colOff>0</xdr:colOff>
      <xdr:row>104</xdr:row>
      <xdr:rowOff>123825</xdr:rowOff>
    </xdr:to>
    <xdr:pic>
      <xdr:nvPicPr>
        <xdr:cNvPr id="2" name="Picture 2"/>
        <xdr:cNvPicPr preferRelativeResize="1">
          <a:picLocks noChangeAspect="1"/>
        </xdr:cNvPicPr>
      </xdr:nvPicPr>
      <xdr:blipFill>
        <a:blip r:link="rId1"/>
        <a:stretch>
          <a:fillRect/>
        </a:stretch>
      </xdr:blipFill>
      <xdr:spPr>
        <a:xfrm>
          <a:off x="0" y="21126450"/>
          <a:ext cx="314325" cy="238125"/>
        </a:xfrm>
        <a:prstGeom prst="rect">
          <a:avLst/>
        </a:prstGeom>
        <a:noFill/>
        <a:ln w="9525" cmpd="sng">
          <a:noFill/>
        </a:ln>
      </xdr:spPr>
    </xdr:pic>
    <xdr:clientData/>
  </xdr:twoCellAnchor>
  <xdr:twoCellAnchor>
    <xdr:from>
      <xdr:col>0</xdr:col>
      <xdr:colOff>38100</xdr:colOff>
      <xdr:row>154</xdr:row>
      <xdr:rowOff>104775</xdr:rowOff>
    </xdr:from>
    <xdr:to>
      <xdr:col>1</xdr:col>
      <xdr:colOff>38100</xdr:colOff>
      <xdr:row>155</xdr:row>
      <xdr:rowOff>142875</xdr:rowOff>
    </xdr:to>
    <xdr:pic>
      <xdr:nvPicPr>
        <xdr:cNvPr id="3" name="Picture 3"/>
        <xdr:cNvPicPr preferRelativeResize="1">
          <a:picLocks noChangeAspect="1"/>
        </xdr:cNvPicPr>
      </xdr:nvPicPr>
      <xdr:blipFill>
        <a:blip r:link="rId1"/>
        <a:stretch>
          <a:fillRect/>
        </a:stretch>
      </xdr:blipFill>
      <xdr:spPr>
        <a:xfrm>
          <a:off x="38100" y="30670500"/>
          <a:ext cx="314325" cy="238125"/>
        </a:xfrm>
        <a:prstGeom prst="rect">
          <a:avLst/>
        </a:prstGeom>
        <a:noFill/>
        <a:ln w="9525" cmpd="sng">
          <a:noFill/>
        </a:ln>
      </xdr:spPr>
    </xdr:pic>
    <xdr:clientData/>
  </xdr:twoCellAnchor>
  <xdr:twoCellAnchor>
    <xdr:from>
      <xdr:col>0</xdr:col>
      <xdr:colOff>9525</xdr:colOff>
      <xdr:row>201</xdr:row>
      <xdr:rowOff>95250</xdr:rowOff>
    </xdr:from>
    <xdr:to>
      <xdr:col>1</xdr:col>
      <xdr:colOff>9525</xdr:colOff>
      <xdr:row>202</xdr:row>
      <xdr:rowOff>133350</xdr:rowOff>
    </xdr:to>
    <xdr:pic>
      <xdr:nvPicPr>
        <xdr:cNvPr id="4" name="Picture 4"/>
        <xdr:cNvPicPr preferRelativeResize="1">
          <a:picLocks noChangeAspect="1"/>
        </xdr:cNvPicPr>
      </xdr:nvPicPr>
      <xdr:blipFill>
        <a:blip r:link="rId1"/>
        <a:stretch>
          <a:fillRect/>
        </a:stretch>
      </xdr:blipFill>
      <xdr:spPr>
        <a:xfrm>
          <a:off x="9525" y="40109775"/>
          <a:ext cx="314325" cy="238125"/>
        </a:xfrm>
        <a:prstGeom prst="rect">
          <a:avLst/>
        </a:prstGeom>
        <a:noFill/>
        <a:ln w="9525" cmpd="sng">
          <a:noFill/>
        </a:ln>
      </xdr:spPr>
    </xdr:pic>
    <xdr:clientData/>
  </xdr:twoCellAnchor>
  <xdr:twoCellAnchor>
    <xdr:from>
      <xdr:col>12</xdr:col>
      <xdr:colOff>990600</xdr:colOff>
      <xdr:row>201</xdr:row>
      <xdr:rowOff>104775</xdr:rowOff>
    </xdr:from>
    <xdr:to>
      <xdr:col>12</xdr:col>
      <xdr:colOff>1790700</xdr:colOff>
      <xdr:row>202</xdr:row>
      <xdr:rowOff>133350</xdr:rowOff>
    </xdr:to>
    <xdr:pic>
      <xdr:nvPicPr>
        <xdr:cNvPr id="5" name="Picture 5"/>
        <xdr:cNvPicPr preferRelativeResize="1">
          <a:picLocks noChangeAspect="1"/>
        </xdr:cNvPicPr>
      </xdr:nvPicPr>
      <xdr:blipFill>
        <a:blip r:link="rId2"/>
        <a:stretch>
          <a:fillRect/>
        </a:stretch>
      </xdr:blipFill>
      <xdr:spPr>
        <a:xfrm>
          <a:off x="15049500" y="40119300"/>
          <a:ext cx="800100" cy="228600"/>
        </a:xfrm>
        <a:prstGeom prst="rect">
          <a:avLst/>
        </a:prstGeom>
        <a:noFill/>
        <a:ln w="9525" cmpd="sng">
          <a:noFill/>
        </a:ln>
      </xdr:spPr>
    </xdr:pic>
    <xdr:clientData/>
  </xdr:twoCellAnchor>
  <xdr:twoCellAnchor>
    <xdr:from>
      <xdr:col>12</xdr:col>
      <xdr:colOff>952500</xdr:colOff>
      <xdr:row>154</xdr:row>
      <xdr:rowOff>66675</xdr:rowOff>
    </xdr:from>
    <xdr:to>
      <xdr:col>12</xdr:col>
      <xdr:colOff>1752600</xdr:colOff>
      <xdr:row>155</xdr:row>
      <xdr:rowOff>95250</xdr:rowOff>
    </xdr:to>
    <xdr:pic>
      <xdr:nvPicPr>
        <xdr:cNvPr id="6" name="Picture 6"/>
        <xdr:cNvPicPr preferRelativeResize="1">
          <a:picLocks noChangeAspect="1"/>
        </xdr:cNvPicPr>
      </xdr:nvPicPr>
      <xdr:blipFill>
        <a:blip r:link="rId2"/>
        <a:stretch>
          <a:fillRect/>
        </a:stretch>
      </xdr:blipFill>
      <xdr:spPr>
        <a:xfrm>
          <a:off x="15011400" y="30632400"/>
          <a:ext cx="800100" cy="228600"/>
        </a:xfrm>
        <a:prstGeom prst="rect">
          <a:avLst/>
        </a:prstGeom>
        <a:noFill/>
        <a:ln w="9525" cmpd="sng">
          <a:noFill/>
        </a:ln>
      </xdr:spPr>
    </xdr:pic>
    <xdr:clientData/>
  </xdr:twoCellAnchor>
  <xdr:twoCellAnchor>
    <xdr:from>
      <xdr:col>12</xdr:col>
      <xdr:colOff>942975</xdr:colOff>
      <xdr:row>103</xdr:row>
      <xdr:rowOff>85725</xdr:rowOff>
    </xdr:from>
    <xdr:to>
      <xdr:col>12</xdr:col>
      <xdr:colOff>1743075</xdr:colOff>
      <xdr:row>104</xdr:row>
      <xdr:rowOff>114300</xdr:rowOff>
    </xdr:to>
    <xdr:pic>
      <xdr:nvPicPr>
        <xdr:cNvPr id="7" name="Picture 7"/>
        <xdr:cNvPicPr preferRelativeResize="1">
          <a:picLocks noChangeAspect="1"/>
        </xdr:cNvPicPr>
      </xdr:nvPicPr>
      <xdr:blipFill>
        <a:blip r:link="rId2"/>
        <a:stretch>
          <a:fillRect/>
        </a:stretch>
      </xdr:blipFill>
      <xdr:spPr>
        <a:xfrm>
          <a:off x="15001875" y="21126450"/>
          <a:ext cx="800100" cy="228600"/>
        </a:xfrm>
        <a:prstGeom prst="rect">
          <a:avLst/>
        </a:prstGeom>
        <a:noFill/>
        <a:ln w="9525" cmpd="sng">
          <a:noFill/>
        </a:ln>
      </xdr:spPr>
    </xdr:pic>
    <xdr:clientData/>
  </xdr:twoCellAnchor>
  <xdr:twoCellAnchor>
    <xdr:from>
      <xdr:col>12</xdr:col>
      <xdr:colOff>942975</xdr:colOff>
      <xdr:row>49</xdr:row>
      <xdr:rowOff>104775</xdr:rowOff>
    </xdr:from>
    <xdr:to>
      <xdr:col>12</xdr:col>
      <xdr:colOff>1743075</xdr:colOff>
      <xdr:row>50</xdr:row>
      <xdr:rowOff>133350</xdr:rowOff>
    </xdr:to>
    <xdr:pic>
      <xdr:nvPicPr>
        <xdr:cNvPr id="8" name="Picture 8"/>
        <xdr:cNvPicPr preferRelativeResize="1">
          <a:picLocks noChangeAspect="1"/>
        </xdr:cNvPicPr>
      </xdr:nvPicPr>
      <xdr:blipFill>
        <a:blip r:link="rId2"/>
        <a:stretch>
          <a:fillRect/>
        </a:stretch>
      </xdr:blipFill>
      <xdr:spPr>
        <a:xfrm>
          <a:off x="15001875" y="9696450"/>
          <a:ext cx="800100" cy="2286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123825</xdr:rowOff>
    </xdr:from>
    <xdr:to>
      <xdr:col>1</xdr:col>
      <xdr:colOff>0</xdr:colOff>
      <xdr:row>50</xdr:row>
      <xdr:rowOff>161925</xdr:rowOff>
    </xdr:to>
    <xdr:pic>
      <xdr:nvPicPr>
        <xdr:cNvPr id="1" name="Picture 1"/>
        <xdr:cNvPicPr preferRelativeResize="1">
          <a:picLocks noChangeAspect="1"/>
        </xdr:cNvPicPr>
      </xdr:nvPicPr>
      <xdr:blipFill>
        <a:blip r:link="rId1"/>
        <a:stretch>
          <a:fillRect/>
        </a:stretch>
      </xdr:blipFill>
      <xdr:spPr>
        <a:xfrm>
          <a:off x="0" y="9715500"/>
          <a:ext cx="314325" cy="238125"/>
        </a:xfrm>
        <a:prstGeom prst="rect">
          <a:avLst/>
        </a:prstGeom>
        <a:noFill/>
        <a:ln w="9525" cmpd="sng">
          <a:noFill/>
        </a:ln>
      </xdr:spPr>
    </xdr:pic>
    <xdr:clientData/>
  </xdr:twoCellAnchor>
  <xdr:twoCellAnchor>
    <xdr:from>
      <xdr:col>0</xdr:col>
      <xdr:colOff>0</xdr:colOff>
      <xdr:row>103</xdr:row>
      <xdr:rowOff>85725</xdr:rowOff>
    </xdr:from>
    <xdr:to>
      <xdr:col>1</xdr:col>
      <xdr:colOff>0</xdr:colOff>
      <xdr:row>104</xdr:row>
      <xdr:rowOff>123825</xdr:rowOff>
    </xdr:to>
    <xdr:pic>
      <xdr:nvPicPr>
        <xdr:cNvPr id="2" name="Picture 2"/>
        <xdr:cNvPicPr preferRelativeResize="1">
          <a:picLocks noChangeAspect="1"/>
        </xdr:cNvPicPr>
      </xdr:nvPicPr>
      <xdr:blipFill>
        <a:blip r:link="rId1"/>
        <a:stretch>
          <a:fillRect/>
        </a:stretch>
      </xdr:blipFill>
      <xdr:spPr>
        <a:xfrm>
          <a:off x="0" y="21126450"/>
          <a:ext cx="314325" cy="238125"/>
        </a:xfrm>
        <a:prstGeom prst="rect">
          <a:avLst/>
        </a:prstGeom>
        <a:noFill/>
        <a:ln w="9525" cmpd="sng">
          <a:noFill/>
        </a:ln>
      </xdr:spPr>
    </xdr:pic>
    <xdr:clientData/>
  </xdr:twoCellAnchor>
  <xdr:twoCellAnchor>
    <xdr:from>
      <xdr:col>0</xdr:col>
      <xdr:colOff>38100</xdr:colOff>
      <xdr:row>154</xdr:row>
      <xdr:rowOff>104775</xdr:rowOff>
    </xdr:from>
    <xdr:to>
      <xdr:col>1</xdr:col>
      <xdr:colOff>38100</xdr:colOff>
      <xdr:row>155</xdr:row>
      <xdr:rowOff>142875</xdr:rowOff>
    </xdr:to>
    <xdr:pic>
      <xdr:nvPicPr>
        <xdr:cNvPr id="3" name="Picture 3"/>
        <xdr:cNvPicPr preferRelativeResize="1">
          <a:picLocks noChangeAspect="1"/>
        </xdr:cNvPicPr>
      </xdr:nvPicPr>
      <xdr:blipFill>
        <a:blip r:link="rId1"/>
        <a:stretch>
          <a:fillRect/>
        </a:stretch>
      </xdr:blipFill>
      <xdr:spPr>
        <a:xfrm>
          <a:off x="38100" y="30670500"/>
          <a:ext cx="314325" cy="238125"/>
        </a:xfrm>
        <a:prstGeom prst="rect">
          <a:avLst/>
        </a:prstGeom>
        <a:noFill/>
        <a:ln w="9525" cmpd="sng">
          <a:noFill/>
        </a:ln>
      </xdr:spPr>
    </xdr:pic>
    <xdr:clientData/>
  </xdr:twoCellAnchor>
  <xdr:twoCellAnchor>
    <xdr:from>
      <xdr:col>0</xdr:col>
      <xdr:colOff>9525</xdr:colOff>
      <xdr:row>201</xdr:row>
      <xdr:rowOff>95250</xdr:rowOff>
    </xdr:from>
    <xdr:to>
      <xdr:col>1</xdr:col>
      <xdr:colOff>9525</xdr:colOff>
      <xdr:row>202</xdr:row>
      <xdr:rowOff>133350</xdr:rowOff>
    </xdr:to>
    <xdr:pic>
      <xdr:nvPicPr>
        <xdr:cNvPr id="4" name="Picture 4"/>
        <xdr:cNvPicPr preferRelativeResize="1">
          <a:picLocks noChangeAspect="1"/>
        </xdr:cNvPicPr>
      </xdr:nvPicPr>
      <xdr:blipFill>
        <a:blip r:link="rId1"/>
        <a:stretch>
          <a:fillRect/>
        </a:stretch>
      </xdr:blipFill>
      <xdr:spPr>
        <a:xfrm>
          <a:off x="9525" y="40109775"/>
          <a:ext cx="314325" cy="238125"/>
        </a:xfrm>
        <a:prstGeom prst="rect">
          <a:avLst/>
        </a:prstGeom>
        <a:noFill/>
        <a:ln w="9525" cmpd="sng">
          <a:noFill/>
        </a:ln>
      </xdr:spPr>
    </xdr:pic>
    <xdr:clientData/>
  </xdr:twoCellAnchor>
  <xdr:twoCellAnchor>
    <xdr:from>
      <xdr:col>12</xdr:col>
      <xdr:colOff>990600</xdr:colOff>
      <xdr:row>201</xdr:row>
      <xdr:rowOff>104775</xdr:rowOff>
    </xdr:from>
    <xdr:to>
      <xdr:col>12</xdr:col>
      <xdr:colOff>1790700</xdr:colOff>
      <xdr:row>202</xdr:row>
      <xdr:rowOff>133350</xdr:rowOff>
    </xdr:to>
    <xdr:pic>
      <xdr:nvPicPr>
        <xdr:cNvPr id="5" name="Picture 5"/>
        <xdr:cNvPicPr preferRelativeResize="1">
          <a:picLocks noChangeAspect="1"/>
        </xdr:cNvPicPr>
      </xdr:nvPicPr>
      <xdr:blipFill>
        <a:blip r:link="rId2"/>
        <a:stretch>
          <a:fillRect/>
        </a:stretch>
      </xdr:blipFill>
      <xdr:spPr>
        <a:xfrm>
          <a:off x="15049500" y="40119300"/>
          <a:ext cx="800100" cy="228600"/>
        </a:xfrm>
        <a:prstGeom prst="rect">
          <a:avLst/>
        </a:prstGeom>
        <a:noFill/>
        <a:ln w="9525" cmpd="sng">
          <a:noFill/>
        </a:ln>
      </xdr:spPr>
    </xdr:pic>
    <xdr:clientData/>
  </xdr:twoCellAnchor>
  <xdr:twoCellAnchor>
    <xdr:from>
      <xdr:col>12</xdr:col>
      <xdr:colOff>952500</xdr:colOff>
      <xdr:row>154</xdr:row>
      <xdr:rowOff>66675</xdr:rowOff>
    </xdr:from>
    <xdr:to>
      <xdr:col>12</xdr:col>
      <xdr:colOff>1752600</xdr:colOff>
      <xdr:row>155</xdr:row>
      <xdr:rowOff>95250</xdr:rowOff>
    </xdr:to>
    <xdr:pic>
      <xdr:nvPicPr>
        <xdr:cNvPr id="6" name="Picture 6"/>
        <xdr:cNvPicPr preferRelativeResize="1">
          <a:picLocks noChangeAspect="1"/>
        </xdr:cNvPicPr>
      </xdr:nvPicPr>
      <xdr:blipFill>
        <a:blip r:link="rId2"/>
        <a:stretch>
          <a:fillRect/>
        </a:stretch>
      </xdr:blipFill>
      <xdr:spPr>
        <a:xfrm>
          <a:off x="15011400" y="30632400"/>
          <a:ext cx="800100" cy="228600"/>
        </a:xfrm>
        <a:prstGeom prst="rect">
          <a:avLst/>
        </a:prstGeom>
        <a:noFill/>
        <a:ln w="9525" cmpd="sng">
          <a:noFill/>
        </a:ln>
      </xdr:spPr>
    </xdr:pic>
    <xdr:clientData/>
  </xdr:twoCellAnchor>
  <xdr:twoCellAnchor>
    <xdr:from>
      <xdr:col>12</xdr:col>
      <xdr:colOff>942975</xdr:colOff>
      <xdr:row>103</xdr:row>
      <xdr:rowOff>85725</xdr:rowOff>
    </xdr:from>
    <xdr:to>
      <xdr:col>12</xdr:col>
      <xdr:colOff>1743075</xdr:colOff>
      <xdr:row>104</xdr:row>
      <xdr:rowOff>114300</xdr:rowOff>
    </xdr:to>
    <xdr:pic>
      <xdr:nvPicPr>
        <xdr:cNvPr id="7" name="Picture 7"/>
        <xdr:cNvPicPr preferRelativeResize="1">
          <a:picLocks noChangeAspect="1"/>
        </xdr:cNvPicPr>
      </xdr:nvPicPr>
      <xdr:blipFill>
        <a:blip r:link="rId2"/>
        <a:stretch>
          <a:fillRect/>
        </a:stretch>
      </xdr:blipFill>
      <xdr:spPr>
        <a:xfrm>
          <a:off x="15001875" y="21126450"/>
          <a:ext cx="800100" cy="228600"/>
        </a:xfrm>
        <a:prstGeom prst="rect">
          <a:avLst/>
        </a:prstGeom>
        <a:noFill/>
        <a:ln w="9525" cmpd="sng">
          <a:noFill/>
        </a:ln>
      </xdr:spPr>
    </xdr:pic>
    <xdr:clientData/>
  </xdr:twoCellAnchor>
  <xdr:twoCellAnchor>
    <xdr:from>
      <xdr:col>12</xdr:col>
      <xdr:colOff>942975</xdr:colOff>
      <xdr:row>49</xdr:row>
      <xdr:rowOff>104775</xdr:rowOff>
    </xdr:from>
    <xdr:to>
      <xdr:col>12</xdr:col>
      <xdr:colOff>1743075</xdr:colOff>
      <xdr:row>50</xdr:row>
      <xdr:rowOff>133350</xdr:rowOff>
    </xdr:to>
    <xdr:pic>
      <xdr:nvPicPr>
        <xdr:cNvPr id="8" name="Picture 8"/>
        <xdr:cNvPicPr preferRelativeResize="1">
          <a:picLocks noChangeAspect="1"/>
        </xdr:cNvPicPr>
      </xdr:nvPicPr>
      <xdr:blipFill>
        <a:blip r:link="rId2"/>
        <a:stretch>
          <a:fillRect/>
        </a:stretch>
      </xdr:blipFill>
      <xdr:spPr>
        <a:xfrm>
          <a:off x="15001875" y="9696450"/>
          <a:ext cx="800100" cy="2286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123825</xdr:rowOff>
    </xdr:from>
    <xdr:to>
      <xdr:col>1</xdr:col>
      <xdr:colOff>0</xdr:colOff>
      <xdr:row>50</xdr:row>
      <xdr:rowOff>161925</xdr:rowOff>
    </xdr:to>
    <xdr:pic>
      <xdr:nvPicPr>
        <xdr:cNvPr id="1" name="Picture 1"/>
        <xdr:cNvPicPr preferRelativeResize="1">
          <a:picLocks noChangeAspect="1"/>
        </xdr:cNvPicPr>
      </xdr:nvPicPr>
      <xdr:blipFill>
        <a:blip r:link="rId1"/>
        <a:stretch>
          <a:fillRect/>
        </a:stretch>
      </xdr:blipFill>
      <xdr:spPr>
        <a:xfrm>
          <a:off x="0" y="9715500"/>
          <a:ext cx="314325" cy="238125"/>
        </a:xfrm>
        <a:prstGeom prst="rect">
          <a:avLst/>
        </a:prstGeom>
        <a:noFill/>
        <a:ln w="9525" cmpd="sng">
          <a:noFill/>
        </a:ln>
      </xdr:spPr>
    </xdr:pic>
    <xdr:clientData/>
  </xdr:twoCellAnchor>
  <xdr:twoCellAnchor>
    <xdr:from>
      <xdr:col>0</xdr:col>
      <xdr:colOff>0</xdr:colOff>
      <xdr:row>104</xdr:row>
      <xdr:rowOff>85725</xdr:rowOff>
    </xdr:from>
    <xdr:to>
      <xdr:col>1</xdr:col>
      <xdr:colOff>0</xdr:colOff>
      <xdr:row>105</xdr:row>
      <xdr:rowOff>123825</xdr:rowOff>
    </xdr:to>
    <xdr:pic>
      <xdr:nvPicPr>
        <xdr:cNvPr id="2" name="Picture 2"/>
        <xdr:cNvPicPr preferRelativeResize="1">
          <a:picLocks noChangeAspect="1"/>
        </xdr:cNvPicPr>
      </xdr:nvPicPr>
      <xdr:blipFill>
        <a:blip r:link="rId1"/>
        <a:stretch>
          <a:fillRect/>
        </a:stretch>
      </xdr:blipFill>
      <xdr:spPr>
        <a:xfrm>
          <a:off x="0" y="21326475"/>
          <a:ext cx="314325" cy="238125"/>
        </a:xfrm>
        <a:prstGeom prst="rect">
          <a:avLst/>
        </a:prstGeom>
        <a:noFill/>
        <a:ln w="9525" cmpd="sng">
          <a:noFill/>
        </a:ln>
      </xdr:spPr>
    </xdr:pic>
    <xdr:clientData/>
  </xdr:twoCellAnchor>
  <xdr:twoCellAnchor>
    <xdr:from>
      <xdr:col>0</xdr:col>
      <xdr:colOff>38100</xdr:colOff>
      <xdr:row>155</xdr:row>
      <xdr:rowOff>104775</xdr:rowOff>
    </xdr:from>
    <xdr:to>
      <xdr:col>1</xdr:col>
      <xdr:colOff>38100</xdr:colOff>
      <xdr:row>156</xdr:row>
      <xdr:rowOff>142875</xdr:rowOff>
    </xdr:to>
    <xdr:pic>
      <xdr:nvPicPr>
        <xdr:cNvPr id="3" name="Picture 3"/>
        <xdr:cNvPicPr preferRelativeResize="1">
          <a:picLocks noChangeAspect="1"/>
        </xdr:cNvPicPr>
      </xdr:nvPicPr>
      <xdr:blipFill>
        <a:blip r:link="rId1"/>
        <a:stretch>
          <a:fillRect/>
        </a:stretch>
      </xdr:blipFill>
      <xdr:spPr>
        <a:xfrm>
          <a:off x="38100" y="30870525"/>
          <a:ext cx="314325" cy="238125"/>
        </a:xfrm>
        <a:prstGeom prst="rect">
          <a:avLst/>
        </a:prstGeom>
        <a:noFill/>
        <a:ln w="9525" cmpd="sng">
          <a:noFill/>
        </a:ln>
      </xdr:spPr>
    </xdr:pic>
    <xdr:clientData/>
  </xdr:twoCellAnchor>
  <xdr:twoCellAnchor>
    <xdr:from>
      <xdr:col>0</xdr:col>
      <xdr:colOff>9525</xdr:colOff>
      <xdr:row>202</xdr:row>
      <xdr:rowOff>95250</xdr:rowOff>
    </xdr:from>
    <xdr:to>
      <xdr:col>1</xdr:col>
      <xdr:colOff>9525</xdr:colOff>
      <xdr:row>203</xdr:row>
      <xdr:rowOff>133350</xdr:rowOff>
    </xdr:to>
    <xdr:pic>
      <xdr:nvPicPr>
        <xdr:cNvPr id="4" name="Picture 4"/>
        <xdr:cNvPicPr preferRelativeResize="1">
          <a:picLocks noChangeAspect="1"/>
        </xdr:cNvPicPr>
      </xdr:nvPicPr>
      <xdr:blipFill>
        <a:blip r:link="rId1"/>
        <a:stretch>
          <a:fillRect/>
        </a:stretch>
      </xdr:blipFill>
      <xdr:spPr>
        <a:xfrm>
          <a:off x="9525" y="40309800"/>
          <a:ext cx="314325" cy="238125"/>
        </a:xfrm>
        <a:prstGeom prst="rect">
          <a:avLst/>
        </a:prstGeom>
        <a:noFill/>
        <a:ln w="9525" cmpd="sng">
          <a:noFill/>
        </a:ln>
      </xdr:spPr>
    </xdr:pic>
    <xdr:clientData/>
  </xdr:twoCellAnchor>
  <xdr:twoCellAnchor>
    <xdr:from>
      <xdr:col>12</xdr:col>
      <xdr:colOff>990600</xdr:colOff>
      <xdr:row>202</xdr:row>
      <xdr:rowOff>104775</xdr:rowOff>
    </xdr:from>
    <xdr:to>
      <xdr:col>12</xdr:col>
      <xdr:colOff>1790700</xdr:colOff>
      <xdr:row>203</xdr:row>
      <xdr:rowOff>133350</xdr:rowOff>
    </xdr:to>
    <xdr:pic>
      <xdr:nvPicPr>
        <xdr:cNvPr id="5" name="Picture 5"/>
        <xdr:cNvPicPr preferRelativeResize="1">
          <a:picLocks noChangeAspect="1"/>
        </xdr:cNvPicPr>
      </xdr:nvPicPr>
      <xdr:blipFill>
        <a:blip r:link="rId2"/>
        <a:stretch>
          <a:fillRect/>
        </a:stretch>
      </xdr:blipFill>
      <xdr:spPr>
        <a:xfrm>
          <a:off x="15049500" y="40319325"/>
          <a:ext cx="800100" cy="228600"/>
        </a:xfrm>
        <a:prstGeom prst="rect">
          <a:avLst/>
        </a:prstGeom>
        <a:noFill/>
        <a:ln w="9525" cmpd="sng">
          <a:noFill/>
        </a:ln>
      </xdr:spPr>
    </xdr:pic>
    <xdr:clientData/>
  </xdr:twoCellAnchor>
  <xdr:twoCellAnchor>
    <xdr:from>
      <xdr:col>12</xdr:col>
      <xdr:colOff>952500</xdr:colOff>
      <xdr:row>155</xdr:row>
      <xdr:rowOff>66675</xdr:rowOff>
    </xdr:from>
    <xdr:to>
      <xdr:col>12</xdr:col>
      <xdr:colOff>1752600</xdr:colOff>
      <xdr:row>156</xdr:row>
      <xdr:rowOff>95250</xdr:rowOff>
    </xdr:to>
    <xdr:pic>
      <xdr:nvPicPr>
        <xdr:cNvPr id="6" name="Picture 6"/>
        <xdr:cNvPicPr preferRelativeResize="1">
          <a:picLocks noChangeAspect="1"/>
        </xdr:cNvPicPr>
      </xdr:nvPicPr>
      <xdr:blipFill>
        <a:blip r:link="rId2"/>
        <a:stretch>
          <a:fillRect/>
        </a:stretch>
      </xdr:blipFill>
      <xdr:spPr>
        <a:xfrm>
          <a:off x="15011400" y="30832425"/>
          <a:ext cx="800100" cy="228600"/>
        </a:xfrm>
        <a:prstGeom prst="rect">
          <a:avLst/>
        </a:prstGeom>
        <a:noFill/>
        <a:ln w="9525" cmpd="sng">
          <a:noFill/>
        </a:ln>
      </xdr:spPr>
    </xdr:pic>
    <xdr:clientData/>
  </xdr:twoCellAnchor>
  <xdr:twoCellAnchor>
    <xdr:from>
      <xdr:col>12</xdr:col>
      <xdr:colOff>942975</xdr:colOff>
      <xdr:row>104</xdr:row>
      <xdr:rowOff>85725</xdr:rowOff>
    </xdr:from>
    <xdr:to>
      <xdr:col>12</xdr:col>
      <xdr:colOff>1743075</xdr:colOff>
      <xdr:row>105</xdr:row>
      <xdr:rowOff>114300</xdr:rowOff>
    </xdr:to>
    <xdr:pic>
      <xdr:nvPicPr>
        <xdr:cNvPr id="7" name="Picture 7"/>
        <xdr:cNvPicPr preferRelativeResize="1">
          <a:picLocks noChangeAspect="1"/>
        </xdr:cNvPicPr>
      </xdr:nvPicPr>
      <xdr:blipFill>
        <a:blip r:link="rId2"/>
        <a:stretch>
          <a:fillRect/>
        </a:stretch>
      </xdr:blipFill>
      <xdr:spPr>
        <a:xfrm>
          <a:off x="15001875" y="21326475"/>
          <a:ext cx="800100" cy="228600"/>
        </a:xfrm>
        <a:prstGeom prst="rect">
          <a:avLst/>
        </a:prstGeom>
        <a:noFill/>
        <a:ln w="9525" cmpd="sng">
          <a:noFill/>
        </a:ln>
      </xdr:spPr>
    </xdr:pic>
    <xdr:clientData/>
  </xdr:twoCellAnchor>
  <xdr:twoCellAnchor>
    <xdr:from>
      <xdr:col>12</xdr:col>
      <xdr:colOff>942975</xdr:colOff>
      <xdr:row>49</xdr:row>
      <xdr:rowOff>104775</xdr:rowOff>
    </xdr:from>
    <xdr:to>
      <xdr:col>12</xdr:col>
      <xdr:colOff>1743075</xdr:colOff>
      <xdr:row>50</xdr:row>
      <xdr:rowOff>133350</xdr:rowOff>
    </xdr:to>
    <xdr:pic>
      <xdr:nvPicPr>
        <xdr:cNvPr id="8" name="Picture 8"/>
        <xdr:cNvPicPr preferRelativeResize="1">
          <a:picLocks noChangeAspect="1"/>
        </xdr:cNvPicPr>
      </xdr:nvPicPr>
      <xdr:blipFill>
        <a:blip r:link="rId2"/>
        <a:stretch>
          <a:fillRect/>
        </a:stretch>
      </xdr:blipFill>
      <xdr:spPr>
        <a:xfrm>
          <a:off x="15001875" y="9696450"/>
          <a:ext cx="800100"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46</xdr:row>
      <xdr:rowOff>152400</xdr:rowOff>
    </xdr:from>
    <xdr:to>
      <xdr:col>1</xdr:col>
      <xdr:colOff>57150</xdr:colOff>
      <xdr:row>47</xdr:row>
      <xdr:rowOff>190500</xdr:rowOff>
    </xdr:to>
    <xdr:pic>
      <xdr:nvPicPr>
        <xdr:cNvPr id="1" name="Picture 1"/>
        <xdr:cNvPicPr preferRelativeResize="1">
          <a:picLocks noChangeAspect="1"/>
        </xdr:cNvPicPr>
      </xdr:nvPicPr>
      <xdr:blipFill>
        <a:blip r:link="rId1"/>
        <a:stretch>
          <a:fillRect/>
        </a:stretch>
      </xdr:blipFill>
      <xdr:spPr>
        <a:xfrm>
          <a:off x="57150" y="9144000"/>
          <a:ext cx="314325" cy="238125"/>
        </a:xfrm>
        <a:prstGeom prst="rect">
          <a:avLst/>
        </a:prstGeom>
        <a:noFill/>
        <a:ln w="9525" cmpd="sng">
          <a:noFill/>
        </a:ln>
      </xdr:spPr>
    </xdr:pic>
    <xdr:clientData/>
  </xdr:twoCellAnchor>
  <xdr:twoCellAnchor>
    <xdr:from>
      <xdr:col>0</xdr:col>
      <xdr:colOff>9525</xdr:colOff>
      <xdr:row>100</xdr:row>
      <xdr:rowOff>133350</xdr:rowOff>
    </xdr:from>
    <xdr:to>
      <xdr:col>1</xdr:col>
      <xdr:colOff>9525</xdr:colOff>
      <xdr:row>101</xdr:row>
      <xdr:rowOff>171450</xdr:rowOff>
    </xdr:to>
    <xdr:pic>
      <xdr:nvPicPr>
        <xdr:cNvPr id="2" name="Picture 2"/>
        <xdr:cNvPicPr preferRelativeResize="1">
          <a:picLocks noChangeAspect="1"/>
        </xdr:cNvPicPr>
      </xdr:nvPicPr>
      <xdr:blipFill>
        <a:blip r:link="rId1"/>
        <a:stretch>
          <a:fillRect/>
        </a:stretch>
      </xdr:blipFill>
      <xdr:spPr>
        <a:xfrm>
          <a:off x="9525" y="20574000"/>
          <a:ext cx="314325" cy="238125"/>
        </a:xfrm>
        <a:prstGeom prst="rect">
          <a:avLst/>
        </a:prstGeom>
        <a:noFill/>
        <a:ln w="9525" cmpd="sng">
          <a:noFill/>
        </a:ln>
      </xdr:spPr>
    </xdr:pic>
    <xdr:clientData/>
  </xdr:twoCellAnchor>
  <xdr:twoCellAnchor>
    <xdr:from>
      <xdr:col>0</xdr:col>
      <xdr:colOff>38100</xdr:colOff>
      <xdr:row>151</xdr:row>
      <xdr:rowOff>104775</xdr:rowOff>
    </xdr:from>
    <xdr:to>
      <xdr:col>1</xdr:col>
      <xdr:colOff>38100</xdr:colOff>
      <xdr:row>152</xdr:row>
      <xdr:rowOff>142875</xdr:rowOff>
    </xdr:to>
    <xdr:pic>
      <xdr:nvPicPr>
        <xdr:cNvPr id="3" name="Picture 3"/>
        <xdr:cNvPicPr preferRelativeResize="1">
          <a:picLocks noChangeAspect="1"/>
        </xdr:cNvPicPr>
      </xdr:nvPicPr>
      <xdr:blipFill>
        <a:blip r:link="rId1"/>
        <a:stretch>
          <a:fillRect/>
        </a:stretch>
      </xdr:blipFill>
      <xdr:spPr>
        <a:xfrm>
          <a:off x="38100" y="30070425"/>
          <a:ext cx="314325" cy="238125"/>
        </a:xfrm>
        <a:prstGeom prst="rect">
          <a:avLst/>
        </a:prstGeom>
        <a:noFill/>
        <a:ln w="9525" cmpd="sng">
          <a:noFill/>
        </a:ln>
      </xdr:spPr>
    </xdr:pic>
    <xdr:clientData/>
  </xdr:twoCellAnchor>
  <xdr:twoCellAnchor>
    <xdr:from>
      <xdr:col>0</xdr:col>
      <xdr:colOff>0</xdr:colOff>
      <xdr:row>197</xdr:row>
      <xdr:rowOff>123825</xdr:rowOff>
    </xdr:from>
    <xdr:to>
      <xdr:col>1</xdr:col>
      <xdr:colOff>0</xdr:colOff>
      <xdr:row>198</xdr:row>
      <xdr:rowOff>161925</xdr:rowOff>
    </xdr:to>
    <xdr:pic>
      <xdr:nvPicPr>
        <xdr:cNvPr id="4" name="Picture 4"/>
        <xdr:cNvPicPr preferRelativeResize="1">
          <a:picLocks noChangeAspect="1"/>
        </xdr:cNvPicPr>
      </xdr:nvPicPr>
      <xdr:blipFill>
        <a:blip r:link="rId1"/>
        <a:stretch>
          <a:fillRect/>
        </a:stretch>
      </xdr:blipFill>
      <xdr:spPr>
        <a:xfrm>
          <a:off x="0" y="39338250"/>
          <a:ext cx="314325" cy="238125"/>
        </a:xfrm>
        <a:prstGeom prst="rect">
          <a:avLst/>
        </a:prstGeom>
        <a:noFill/>
        <a:ln w="9525" cmpd="sng">
          <a:noFill/>
        </a:ln>
      </xdr:spPr>
    </xdr:pic>
    <xdr:clientData/>
  </xdr:twoCellAnchor>
  <xdr:twoCellAnchor>
    <xdr:from>
      <xdr:col>12</xdr:col>
      <xdr:colOff>1781175</xdr:colOff>
      <xdr:row>197</xdr:row>
      <xdr:rowOff>85725</xdr:rowOff>
    </xdr:from>
    <xdr:to>
      <xdr:col>12</xdr:col>
      <xdr:colOff>2581275</xdr:colOff>
      <xdr:row>198</xdr:row>
      <xdr:rowOff>114300</xdr:rowOff>
    </xdr:to>
    <xdr:pic>
      <xdr:nvPicPr>
        <xdr:cNvPr id="5" name="Picture 5"/>
        <xdr:cNvPicPr preferRelativeResize="1">
          <a:picLocks noChangeAspect="1"/>
        </xdr:cNvPicPr>
      </xdr:nvPicPr>
      <xdr:blipFill>
        <a:blip r:link="rId2"/>
        <a:stretch>
          <a:fillRect/>
        </a:stretch>
      </xdr:blipFill>
      <xdr:spPr>
        <a:xfrm>
          <a:off x="15840075" y="39300150"/>
          <a:ext cx="800100" cy="228600"/>
        </a:xfrm>
        <a:prstGeom prst="rect">
          <a:avLst/>
        </a:prstGeom>
        <a:noFill/>
        <a:ln w="9525" cmpd="sng">
          <a:noFill/>
        </a:ln>
      </xdr:spPr>
    </xdr:pic>
    <xdr:clientData/>
  </xdr:twoCellAnchor>
  <xdr:twoCellAnchor>
    <xdr:from>
      <xdr:col>12</xdr:col>
      <xdr:colOff>1771650</xdr:colOff>
      <xdr:row>151</xdr:row>
      <xdr:rowOff>85725</xdr:rowOff>
    </xdr:from>
    <xdr:to>
      <xdr:col>12</xdr:col>
      <xdr:colOff>2571750</xdr:colOff>
      <xdr:row>152</xdr:row>
      <xdr:rowOff>114300</xdr:rowOff>
    </xdr:to>
    <xdr:pic>
      <xdr:nvPicPr>
        <xdr:cNvPr id="6" name="Picture 6"/>
        <xdr:cNvPicPr preferRelativeResize="1">
          <a:picLocks noChangeAspect="1"/>
        </xdr:cNvPicPr>
      </xdr:nvPicPr>
      <xdr:blipFill>
        <a:blip r:link="rId2"/>
        <a:stretch>
          <a:fillRect/>
        </a:stretch>
      </xdr:blipFill>
      <xdr:spPr>
        <a:xfrm>
          <a:off x="15830550" y="30051375"/>
          <a:ext cx="800100" cy="228600"/>
        </a:xfrm>
        <a:prstGeom prst="rect">
          <a:avLst/>
        </a:prstGeom>
        <a:noFill/>
        <a:ln w="9525" cmpd="sng">
          <a:noFill/>
        </a:ln>
      </xdr:spPr>
    </xdr:pic>
    <xdr:clientData/>
  </xdr:twoCellAnchor>
  <xdr:twoCellAnchor>
    <xdr:from>
      <xdr:col>12</xdr:col>
      <xdr:colOff>1743075</xdr:colOff>
      <xdr:row>100</xdr:row>
      <xdr:rowOff>85725</xdr:rowOff>
    </xdr:from>
    <xdr:to>
      <xdr:col>12</xdr:col>
      <xdr:colOff>2543175</xdr:colOff>
      <xdr:row>101</xdr:row>
      <xdr:rowOff>114300</xdr:rowOff>
    </xdr:to>
    <xdr:pic>
      <xdr:nvPicPr>
        <xdr:cNvPr id="7" name="Picture 7"/>
        <xdr:cNvPicPr preferRelativeResize="1">
          <a:picLocks noChangeAspect="1"/>
        </xdr:cNvPicPr>
      </xdr:nvPicPr>
      <xdr:blipFill>
        <a:blip r:link="rId2"/>
        <a:stretch>
          <a:fillRect/>
        </a:stretch>
      </xdr:blipFill>
      <xdr:spPr>
        <a:xfrm>
          <a:off x="15801975" y="20526375"/>
          <a:ext cx="800100" cy="228600"/>
        </a:xfrm>
        <a:prstGeom prst="rect">
          <a:avLst/>
        </a:prstGeom>
        <a:noFill/>
        <a:ln w="9525" cmpd="sng">
          <a:noFill/>
        </a:ln>
      </xdr:spPr>
    </xdr:pic>
    <xdr:clientData/>
  </xdr:twoCellAnchor>
  <xdr:twoCellAnchor>
    <xdr:from>
      <xdr:col>12</xdr:col>
      <xdr:colOff>1866900</xdr:colOff>
      <xdr:row>46</xdr:row>
      <xdr:rowOff>104775</xdr:rowOff>
    </xdr:from>
    <xdr:to>
      <xdr:col>12</xdr:col>
      <xdr:colOff>2667000</xdr:colOff>
      <xdr:row>47</xdr:row>
      <xdr:rowOff>133350</xdr:rowOff>
    </xdr:to>
    <xdr:pic>
      <xdr:nvPicPr>
        <xdr:cNvPr id="8" name="Picture 8"/>
        <xdr:cNvPicPr preferRelativeResize="1">
          <a:picLocks noChangeAspect="1"/>
        </xdr:cNvPicPr>
      </xdr:nvPicPr>
      <xdr:blipFill>
        <a:blip r:link="rId2"/>
        <a:stretch>
          <a:fillRect/>
        </a:stretch>
      </xdr:blipFill>
      <xdr:spPr>
        <a:xfrm>
          <a:off x="15925800" y="9096375"/>
          <a:ext cx="800100" cy="22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47</xdr:row>
      <xdr:rowOff>152400</xdr:rowOff>
    </xdr:from>
    <xdr:to>
      <xdr:col>1</xdr:col>
      <xdr:colOff>9525</xdr:colOff>
      <xdr:row>48</xdr:row>
      <xdr:rowOff>190500</xdr:rowOff>
    </xdr:to>
    <xdr:pic>
      <xdr:nvPicPr>
        <xdr:cNvPr id="1" name="Picture 1"/>
        <xdr:cNvPicPr preferRelativeResize="1">
          <a:picLocks noChangeAspect="1"/>
        </xdr:cNvPicPr>
      </xdr:nvPicPr>
      <xdr:blipFill>
        <a:blip r:link="rId1"/>
        <a:stretch>
          <a:fillRect/>
        </a:stretch>
      </xdr:blipFill>
      <xdr:spPr>
        <a:xfrm>
          <a:off x="9525" y="9344025"/>
          <a:ext cx="314325" cy="238125"/>
        </a:xfrm>
        <a:prstGeom prst="rect">
          <a:avLst/>
        </a:prstGeom>
        <a:noFill/>
        <a:ln w="9525" cmpd="sng">
          <a:noFill/>
        </a:ln>
      </xdr:spPr>
    </xdr:pic>
    <xdr:clientData/>
  </xdr:twoCellAnchor>
  <xdr:twoCellAnchor>
    <xdr:from>
      <xdr:col>0</xdr:col>
      <xdr:colOff>0</xdr:colOff>
      <xdr:row>101</xdr:row>
      <xdr:rowOff>95250</xdr:rowOff>
    </xdr:from>
    <xdr:to>
      <xdr:col>1</xdr:col>
      <xdr:colOff>0</xdr:colOff>
      <xdr:row>102</xdr:row>
      <xdr:rowOff>133350</xdr:rowOff>
    </xdr:to>
    <xdr:pic>
      <xdr:nvPicPr>
        <xdr:cNvPr id="2" name="Picture 2"/>
        <xdr:cNvPicPr preferRelativeResize="1">
          <a:picLocks noChangeAspect="1"/>
        </xdr:cNvPicPr>
      </xdr:nvPicPr>
      <xdr:blipFill>
        <a:blip r:link="rId1"/>
        <a:stretch>
          <a:fillRect/>
        </a:stretch>
      </xdr:blipFill>
      <xdr:spPr>
        <a:xfrm>
          <a:off x="0" y="20735925"/>
          <a:ext cx="314325" cy="238125"/>
        </a:xfrm>
        <a:prstGeom prst="rect">
          <a:avLst/>
        </a:prstGeom>
        <a:noFill/>
        <a:ln w="9525" cmpd="sng">
          <a:noFill/>
        </a:ln>
      </xdr:spPr>
    </xdr:pic>
    <xdr:clientData/>
  </xdr:twoCellAnchor>
  <xdr:twoCellAnchor>
    <xdr:from>
      <xdr:col>0</xdr:col>
      <xdr:colOff>28575</xdr:colOff>
      <xdr:row>152</xdr:row>
      <xdr:rowOff>152400</xdr:rowOff>
    </xdr:from>
    <xdr:to>
      <xdr:col>1</xdr:col>
      <xdr:colOff>28575</xdr:colOff>
      <xdr:row>153</xdr:row>
      <xdr:rowOff>190500</xdr:rowOff>
    </xdr:to>
    <xdr:pic>
      <xdr:nvPicPr>
        <xdr:cNvPr id="3" name="Picture 3"/>
        <xdr:cNvPicPr preferRelativeResize="1">
          <a:picLocks noChangeAspect="1"/>
        </xdr:cNvPicPr>
      </xdr:nvPicPr>
      <xdr:blipFill>
        <a:blip r:link="rId1"/>
        <a:stretch>
          <a:fillRect/>
        </a:stretch>
      </xdr:blipFill>
      <xdr:spPr>
        <a:xfrm>
          <a:off x="28575" y="30318075"/>
          <a:ext cx="314325" cy="238125"/>
        </a:xfrm>
        <a:prstGeom prst="rect">
          <a:avLst/>
        </a:prstGeom>
        <a:noFill/>
        <a:ln w="9525" cmpd="sng">
          <a:noFill/>
        </a:ln>
      </xdr:spPr>
    </xdr:pic>
    <xdr:clientData/>
  </xdr:twoCellAnchor>
  <xdr:twoCellAnchor>
    <xdr:from>
      <xdr:col>0</xdr:col>
      <xdr:colOff>0</xdr:colOff>
      <xdr:row>198</xdr:row>
      <xdr:rowOff>152400</xdr:rowOff>
    </xdr:from>
    <xdr:to>
      <xdr:col>1</xdr:col>
      <xdr:colOff>0</xdr:colOff>
      <xdr:row>199</xdr:row>
      <xdr:rowOff>190500</xdr:rowOff>
    </xdr:to>
    <xdr:pic>
      <xdr:nvPicPr>
        <xdr:cNvPr id="4" name="Picture 4"/>
        <xdr:cNvPicPr preferRelativeResize="1">
          <a:picLocks noChangeAspect="1"/>
        </xdr:cNvPicPr>
      </xdr:nvPicPr>
      <xdr:blipFill>
        <a:blip r:link="rId1"/>
        <a:stretch>
          <a:fillRect/>
        </a:stretch>
      </xdr:blipFill>
      <xdr:spPr>
        <a:xfrm>
          <a:off x="0" y="39566850"/>
          <a:ext cx="314325" cy="238125"/>
        </a:xfrm>
        <a:prstGeom prst="rect">
          <a:avLst/>
        </a:prstGeom>
        <a:noFill/>
        <a:ln w="9525" cmpd="sng">
          <a:noFill/>
        </a:ln>
      </xdr:spPr>
    </xdr:pic>
    <xdr:clientData/>
  </xdr:twoCellAnchor>
  <xdr:twoCellAnchor>
    <xdr:from>
      <xdr:col>12</xdr:col>
      <xdr:colOff>1676400</xdr:colOff>
      <xdr:row>198</xdr:row>
      <xdr:rowOff>104775</xdr:rowOff>
    </xdr:from>
    <xdr:to>
      <xdr:col>12</xdr:col>
      <xdr:colOff>2476500</xdr:colOff>
      <xdr:row>199</xdr:row>
      <xdr:rowOff>133350</xdr:rowOff>
    </xdr:to>
    <xdr:pic>
      <xdr:nvPicPr>
        <xdr:cNvPr id="5" name="Picture 5"/>
        <xdr:cNvPicPr preferRelativeResize="1">
          <a:picLocks noChangeAspect="1"/>
        </xdr:cNvPicPr>
      </xdr:nvPicPr>
      <xdr:blipFill>
        <a:blip r:link="rId2"/>
        <a:stretch>
          <a:fillRect/>
        </a:stretch>
      </xdr:blipFill>
      <xdr:spPr>
        <a:xfrm>
          <a:off x="15735300" y="39519225"/>
          <a:ext cx="800100" cy="228600"/>
        </a:xfrm>
        <a:prstGeom prst="rect">
          <a:avLst/>
        </a:prstGeom>
        <a:noFill/>
        <a:ln w="9525" cmpd="sng">
          <a:noFill/>
        </a:ln>
      </xdr:spPr>
    </xdr:pic>
    <xdr:clientData/>
  </xdr:twoCellAnchor>
  <xdr:twoCellAnchor>
    <xdr:from>
      <xdr:col>12</xdr:col>
      <xdr:colOff>1724025</xdr:colOff>
      <xdr:row>152</xdr:row>
      <xdr:rowOff>85725</xdr:rowOff>
    </xdr:from>
    <xdr:to>
      <xdr:col>12</xdr:col>
      <xdr:colOff>2524125</xdr:colOff>
      <xdr:row>153</xdr:row>
      <xdr:rowOff>114300</xdr:rowOff>
    </xdr:to>
    <xdr:pic>
      <xdr:nvPicPr>
        <xdr:cNvPr id="6" name="Picture 6"/>
        <xdr:cNvPicPr preferRelativeResize="1">
          <a:picLocks noChangeAspect="1"/>
        </xdr:cNvPicPr>
      </xdr:nvPicPr>
      <xdr:blipFill>
        <a:blip r:link="rId2"/>
        <a:stretch>
          <a:fillRect/>
        </a:stretch>
      </xdr:blipFill>
      <xdr:spPr>
        <a:xfrm>
          <a:off x="15782925" y="30251400"/>
          <a:ext cx="800100" cy="228600"/>
        </a:xfrm>
        <a:prstGeom prst="rect">
          <a:avLst/>
        </a:prstGeom>
        <a:noFill/>
        <a:ln w="9525" cmpd="sng">
          <a:noFill/>
        </a:ln>
      </xdr:spPr>
    </xdr:pic>
    <xdr:clientData/>
  </xdr:twoCellAnchor>
  <xdr:twoCellAnchor>
    <xdr:from>
      <xdr:col>12</xdr:col>
      <xdr:colOff>1724025</xdr:colOff>
      <xdr:row>101</xdr:row>
      <xdr:rowOff>85725</xdr:rowOff>
    </xdr:from>
    <xdr:to>
      <xdr:col>12</xdr:col>
      <xdr:colOff>2524125</xdr:colOff>
      <xdr:row>102</xdr:row>
      <xdr:rowOff>114300</xdr:rowOff>
    </xdr:to>
    <xdr:pic>
      <xdr:nvPicPr>
        <xdr:cNvPr id="7" name="Picture 7"/>
        <xdr:cNvPicPr preferRelativeResize="1">
          <a:picLocks noChangeAspect="1"/>
        </xdr:cNvPicPr>
      </xdr:nvPicPr>
      <xdr:blipFill>
        <a:blip r:link="rId2"/>
        <a:stretch>
          <a:fillRect/>
        </a:stretch>
      </xdr:blipFill>
      <xdr:spPr>
        <a:xfrm>
          <a:off x="15782925" y="20726400"/>
          <a:ext cx="800100" cy="228600"/>
        </a:xfrm>
        <a:prstGeom prst="rect">
          <a:avLst/>
        </a:prstGeom>
        <a:noFill/>
        <a:ln w="9525" cmpd="sng">
          <a:noFill/>
        </a:ln>
      </xdr:spPr>
    </xdr:pic>
    <xdr:clientData/>
  </xdr:twoCellAnchor>
  <xdr:twoCellAnchor>
    <xdr:from>
      <xdr:col>12</xdr:col>
      <xdr:colOff>1800225</xdr:colOff>
      <xdr:row>47</xdr:row>
      <xdr:rowOff>104775</xdr:rowOff>
    </xdr:from>
    <xdr:to>
      <xdr:col>12</xdr:col>
      <xdr:colOff>2600325</xdr:colOff>
      <xdr:row>48</xdr:row>
      <xdr:rowOff>133350</xdr:rowOff>
    </xdr:to>
    <xdr:pic>
      <xdr:nvPicPr>
        <xdr:cNvPr id="8" name="Picture 8"/>
        <xdr:cNvPicPr preferRelativeResize="1">
          <a:picLocks noChangeAspect="1"/>
        </xdr:cNvPicPr>
      </xdr:nvPicPr>
      <xdr:blipFill>
        <a:blip r:link="rId2"/>
        <a:stretch>
          <a:fillRect/>
        </a:stretch>
      </xdr:blipFill>
      <xdr:spPr>
        <a:xfrm>
          <a:off x="15859125" y="9296400"/>
          <a:ext cx="800100" cy="228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47</xdr:row>
      <xdr:rowOff>104775</xdr:rowOff>
    </xdr:from>
    <xdr:to>
      <xdr:col>1</xdr:col>
      <xdr:colOff>38100</xdr:colOff>
      <xdr:row>48</xdr:row>
      <xdr:rowOff>142875</xdr:rowOff>
    </xdr:to>
    <xdr:pic>
      <xdr:nvPicPr>
        <xdr:cNvPr id="1" name="Picture 1"/>
        <xdr:cNvPicPr preferRelativeResize="1">
          <a:picLocks noChangeAspect="1"/>
        </xdr:cNvPicPr>
      </xdr:nvPicPr>
      <xdr:blipFill>
        <a:blip r:link="rId1"/>
        <a:stretch>
          <a:fillRect/>
        </a:stretch>
      </xdr:blipFill>
      <xdr:spPr>
        <a:xfrm>
          <a:off x="38100" y="9296400"/>
          <a:ext cx="314325" cy="238125"/>
        </a:xfrm>
        <a:prstGeom prst="rect">
          <a:avLst/>
        </a:prstGeom>
        <a:noFill/>
        <a:ln w="9525" cmpd="sng">
          <a:noFill/>
        </a:ln>
      </xdr:spPr>
    </xdr:pic>
    <xdr:clientData/>
  </xdr:twoCellAnchor>
  <xdr:twoCellAnchor>
    <xdr:from>
      <xdr:col>0</xdr:col>
      <xdr:colOff>0</xdr:colOff>
      <xdr:row>101</xdr:row>
      <xdr:rowOff>95250</xdr:rowOff>
    </xdr:from>
    <xdr:to>
      <xdr:col>1</xdr:col>
      <xdr:colOff>0</xdr:colOff>
      <xdr:row>102</xdr:row>
      <xdr:rowOff>133350</xdr:rowOff>
    </xdr:to>
    <xdr:pic>
      <xdr:nvPicPr>
        <xdr:cNvPr id="2" name="Picture 2"/>
        <xdr:cNvPicPr preferRelativeResize="1">
          <a:picLocks noChangeAspect="1"/>
        </xdr:cNvPicPr>
      </xdr:nvPicPr>
      <xdr:blipFill>
        <a:blip r:link="rId1"/>
        <a:stretch>
          <a:fillRect/>
        </a:stretch>
      </xdr:blipFill>
      <xdr:spPr>
        <a:xfrm>
          <a:off x="0" y="20735925"/>
          <a:ext cx="314325" cy="238125"/>
        </a:xfrm>
        <a:prstGeom prst="rect">
          <a:avLst/>
        </a:prstGeom>
        <a:noFill/>
        <a:ln w="9525" cmpd="sng">
          <a:noFill/>
        </a:ln>
      </xdr:spPr>
    </xdr:pic>
    <xdr:clientData/>
  </xdr:twoCellAnchor>
  <xdr:twoCellAnchor>
    <xdr:from>
      <xdr:col>0</xdr:col>
      <xdr:colOff>0</xdr:colOff>
      <xdr:row>152</xdr:row>
      <xdr:rowOff>104775</xdr:rowOff>
    </xdr:from>
    <xdr:to>
      <xdr:col>1</xdr:col>
      <xdr:colOff>0</xdr:colOff>
      <xdr:row>153</xdr:row>
      <xdr:rowOff>142875</xdr:rowOff>
    </xdr:to>
    <xdr:pic>
      <xdr:nvPicPr>
        <xdr:cNvPr id="3" name="Picture 4"/>
        <xdr:cNvPicPr preferRelativeResize="1">
          <a:picLocks noChangeAspect="1"/>
        </xdr:cNvPicPr>
      </xdr:nvPicPr>
      <xdr:blipFill>
        <a:blip r:link="rId1"/>
        <a:stretch>
          <a:fillRect/>
        </a:stretch>
      </xdr:blipFill>
      <xdr:spPr>
        <a:xfrm>
          <a:off x="0" y="30270450"/>
          <a:ext cx="314325" cy="238125"/>
        </a:xfrm>
        <a:prstGeom prst="rect">
          <a:avLst/>
        </a:prstGeom>
        <a:noFill/>
        <a:ln w="9525" cmpd="sng">
          <a:noFill/>
        </a:ln>
      </xdr:spPr>
    </xdr:pic>
    <xdr:clientData/>
  </xdr:twoCellAnchor>
  <xdr:twoCellAnchor>
    <xdr:from>
      <xdr:col>0</xdr:col>
      <xdr:colOff>28575</xdr:colOff>
      <xdr:row>198</xdr:row>
      <xdr:rowOff>66675</xdr:rowOff>
    </xdr:from>
    <xdr:to>
      <xdr:col>1</xdr:col>
      <xdr:colOff>28575</xdr:colOff>
      <xdr:row>199</xdr:row>
      <xdr:rowOff>104775</xdr:rowOff>
    </xdr:to>
    <xdr:pic>
      <xdr:nvPicPr>
        <xdr:cNvPr id="4" name="Picture 5"/>
        <xdr:cNvPicPr preferRelativeResize="1">
          <a:picLocks noChangeAspect="1"/>
        </xdr:cNvPicPr>
      </xdr:nvPicPr>
      <xdr:blipFill>
        <a:blip r:link="rId1"/>
        <a:stretch>
          <a:fillRect/>
        </a:stretch>
      </xdr:blipFill>
      <xdr:spPr>
        <a:xfrm>
          <a:off x="28575" y="39481125"/>
          <a:ext cx="314325" cy="238125"/>
        </a:xfrm>
        <a:prstGeom prst="rect">
          <a:avLst/>
        </a:prstGeom>
        <a:noFill/>
        <a:ln w="9525" cmpd="sng">
          <a:noFill/>
        </a:ln>
      </xdr:spPr>
    </xdr:pic>
    <xdr:clientData/>
  </xdr:twoCellAnchor>
  <xdr:twoCellAnchor>
    <xdr:from>
      <xdr:col>12</xdr:col>
      <xdr:colOff>1800225</xdr:colOff>
      <xdr:row>198</xdr:row>
      <xdr:rowOff>104775</xdr:rowOff>
    </xdr:from>
    <xdr:to>
      <xdr:col>12</xdr:col>
      <xdr:colOff>2600325</xdr:colOff>
      <xdr:row>199</xdr:row>
      <xdr:rowOff>133350</xdr:rowOff>
    </xdr:to>
    <xdr:pic>
      <xdr:nvPicPr>
        <xdr:cNvPr id="5" name="Picture 6"/>
        <xdr:cNvPicPr preferRelativeResize="1">
          <a:picLocks noChangeAspect="1"/>
        </xdr:cNvPicPr>
      </xdr:nvPicPr>
      <xdr:blipFill>
        <a:blip r:link="rId2"/>
        <a:stretch>
          <a:fillRect/>
        </a:stretch>
      </xdr:blipFill>
      <xdr:spPr>
        <a:xfrm>
          <a:off x="15859125" y="39519225"/>
          <a:ext cx="800100" cy="228600"/>
        </a:xfrm>
        <a:prstGeom prst="rect">
          <a:avLst/>
        </a:prstGeom>
        <a:noFill/>
        <a:ln w="9525" cmpd="sng">
          <a:noFill/>
        </a:ln>
      </xdr:spPr>
    </xdr:pic>
    <xdr:clientData/>
  </xdr:twoCellAnchor>
  <xdr:twoCellAnchor>
    <xdr:from>
      <xdr:col>12</xdr:col>
      <xdr:colOff>1838325</xdr:colOff>
      <xdr:row>152</xdr:row>
      <xdr:rowOff>104775</xdr:rowOff>
    </xdr:from>
    <xdr:to>
      <xdr:col>12</xdr:col>
      <xdr:colOff>2638425</xdr:colOff>
      <xdr:row>153</xdr:row>
      <xdr:rowOff>133350</xdr:rowOff>
    </xdr:to>
    <xdr:pic>
      <xdr:nvPicPr>
        <xdr:cNvPr id="6" name="Picture 7"/>
        <xdr:cNvPicPr preferRelativeResize="1">
          <a:picLocks noChangeAspect="1"/>
        </xdr:cNvPicPr>
      </xdr:nvPicPr>
      <xdr:blipFill>
        <a:blip r:link="rId2"/>
        <a:stretch>
          <a:fillRect/>
        </a:stretch>
      </xdr:blipFill>
      <xdr:spPr>
        <a:xfrm>
          <a:off x="15897225" y="30270450"/>
          <a:ext cx="800100" cy="228600"/>
        </a:xfrm>
        <a:prstGeom prst="rect">
          <a:avLst/>
        </a:prstGeom>
        <a:noFill/>
        <a:ln w="9525" cmpd="sng">
          <a:noFill/>
        </a:ln>
      </xdr:spPr>
    </xdr:pic>
    <xdr:clientData/>
  </xdr:twoCellAnchor>
  <xdr:twoCellAnchor>
    <xdr:from>
      <xdr:col>12</xdr:col>
      <xdr:colOff>1866900</xdr:colOff>
      <xdr:row>101</xdr:row>
      <xdr:rowOff>57150</xdr:rowOff>
    </xdr:from>
    <xdr:to>
      <xdr:col>12</xdr:col>
      <xdr:colOff>2667000</xdr:colOff>
      <xdr:row>102</xdr:row>
      <xdr:rowOff>85725</xdr:rowOff>
    </xdr:to>
    <xdr:pic>
      <xdr:nvPicPr>
        <xdr:cNvPr id="7" name="Picture 8"/>
        <xdr:cNvPicPr preferRelativeResize="1">
          <a:picLocks noChangeAspect="1"/>
        </xdr:cNvPicPr>
      </xdr:nvPicPr>
      <xdr:blipFill>
        <a:blip r:link="rId2"/>
        <a:stretch>
          <a:fillRect/>
        </a:stretch>
      </xdr:blipFill>
      <xdr:spPr>
        <a:xfrm>
          <a:off x="15925800" y="20697825"/>
          <a:ext cx="800100" cy="228600"/>
        </a:xfrm>
        <a:prstGeom prst="rect">
          <a:avLst/>
        </a:prstGeom>
        <a:noFill/>
        <a:ln w="9525" cmpd="sng">
          <a:noFill/>
        </a:ln>
      </xdr:spPr>
    </xdr:pic>
    <xdr:clientData/>
  </xdr:twoCellAnchor>
  <xdr:twoCellAnchor>
    <xdr:from>
      <xdr:col>12</xdr:col>
      <xdr:colOff>1809750</xdr:colOff>
      <xdr:row>47</xdr:row>
      <xdr:rowOff>85725</xdr:rowOff>
    </xdr:from>
    <xdr:to>
      <xdr:col>12</xdr:col>
      <xdr:colOff>2609850</xdr:colOff>
      <xdr:row>48</xdr:row>
      <xdr:rowOff>114300</xdr:rowOff>
    </xdr:to>
    <xdr:pic>
      <xdr:nvPicPr>
        <xdr:cNvPr id="8" name="Picture 9"/>
        <xdr:cNvPicPr preferRelativeResize="1">
          <a:picLocks noChangeAspect="1"/>
        </xdr:cNvPicPr>
      </xdr:nvPicPr>
      <xdr:blipFill>
        <a:blip r:link="rId2"/>
        <a:stretch>
          <a:fillRect/>
        </a:stretch>
      </xdr:blipFill>
      <xdr:spPr>
        <a:xfrm>
          <a:off x="15868650" y="9277350"/>
          <a:ext cx="800100" cy="228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47</xdr:row>
      <xdr:rowOff>152400</xdr:rowOff>
    </xdr:from>
    <xdr:to>
      <xdr:col>1</xdr:col>
      <xdr:colOff>0</xdr:colOff>
      <xdr:row>48</xdr:row>
      <xdr:rowOff>190500</xdr:rowOff>
    </xdr:to>
    <xdr:pic>
      <xdr:nvPicPr>
        <xdr:cNvPr id="1" name="Picture 1"/>
        <xdr:cNvPicPr preferRelativeResize="1">
          <a:picLocks noChangeAspect="1"/>
        </xdr:cNvPicPr>
      </xdr:nvPicPr>
      <xdr:blipFill>
        <a:blip r:link="rId1"/>
        <a:stretch>
          <a:fillRect/>
        </a:stretch>
      </xdr:blipFill>
      <xdr:spPr>
        <a:xfrm>
          <a:off x="0" y="9344025"/>
          <a:ext cx="314325" cy="238125"/>
        </a:xfrm>
        <a:prstGeom prst="rect">
          <a:avLst/>
        </a:prstGeom>
        <a:noFill/>
        <a:ln w="9525" cmpd="sng">
          <a:noFill/>
        </a:ln>
      </xdr:spPr>
    </xdr:pic>
    <xdr:clientData/>
  </xdr:twoCellAnchor>
  <xdr:twoCellAnchor>
    <xdr:from>
      <xdr:col>0</xdr:col>
      <xdr:colOff>0</xdr:colOff>
      <xdr:row>101</xdr:row>
      <xdr:rowOff>152400</xdr:rowOff>
    </xdr:from>
    <xdr:to>
      <xdr:col>1</xdr:col>
      <xdr:colOff>0</xdr:colOff>
      <xdr:row>102</xdr:row>
      <xdr:rowOff>190500</xdr:rowOff>
    </xdr:to>
    <xdr:pic>
      <xdr:nvPicPr>
        <xdr:cNvPr id="2" name="Picture 2"/>
        <xdr:cNvPicPr preferRelativeResize="1">
          <a:picLocks noChangeAspect="1"/>
        </xdr:cNvPicPr>
      </xdr:nvPicPr>
      <xdr:blipFill>
        <a:blip r:link="rId1"/>
        <a:stretch>
          <a:fillRect/>
        </a:stretch>
      </xdr:blipFill>
      <xdr:spPr>
        <a:xfrm>
          <a:off x="0" y="20793075"/>
          <a:ext cx="314325" cy="238125"/>
        </a:xfrm>
        <a:prstGeom prst="rect">
          <a:avLst/>
        </a:prstGeom>
        <a:noFill/>
        <a:ln w="9525" cmpd="sng">
          <a:noFill/>
        </a:ln>
      </xdr:spPr>
    </xdr:pic>
    <xdr:clientData/>
  </xdr:twoCellAnchor>
  <xdr:twoCellAnchor>
    <xdr:from>
      <xdr:col>0</xdr:col>
      <xdr:colOff>38100</xdr:colOff>
      <xdr:row>152</xdr:row>
      <xdr:rowOff>123825</xdr:rowOff>
    </xdr:from>
    <xdr:to>
      <xdr:col>1</xdr:col>
      <xdr:colOff>38100</xdr:colOff>
      <xdr:row>153</xdr:row>
      <xdr:rowOff>161925</xdr:rowOff>
    </xdr:to>
    <xdr:pic>
      <xdr:nvPicPr>
        <xdr:cNvPr id="3" name="Picture 3"/>
        <xdr:cNvPicPr preferRelativeResize="1">
          <a:picLocks noChangeAspect="1"/>
        </xdr:cNvPicPr>
      </xdr:nvPicPr>
      <xdr:blipFill>
        <a:blip r:link="rId1"/>
        <a:stretch>
          <a:fillRect/>
        </a:stretch>
      </xdr:blipFill>
      <xdr:spPr>
        <a:xfrm>
          <a:off x="38100" y="30289500"/>
          <a:ext cx="314325" cy="238125"/>
        </a:xfrm>
        <a:prstGeom prst="rect">
          <a:avLst/>
        </a:prstGeom>
        <a:noFill/>
        <a:ln w="9525" cmpd="sng">
          <a:noFill/>
        </a:ln>
      </xdr:spPr>
    </xdr:pic>
    <xdr:clientData/>
  </xdr:twoCellAnchor>
  <xdr:twoCellAnchor>
    <xdr:from>
      <xdr:col>0</xdr:col>
      <xdr:colOff>0</xdr:colOff>
      <xdr:row>198</xdr:row>
      <xdr:rowOff>104775</xdr:rowOff>
    </xdr:from>
    <xdr:to>
      <xdr:col>1</xdr:col>
      <xdr:colOff>0</xdr:colOff>
      <xdr:row>199</xdr:row>
      <xdr:rowOff>142875</xdr:rowOff>
    </xdr:to>
    <xdr:pic>
      <xdr:nvPicPr>
        <xdr:cNvPr id="4" name="Picture 4"/>
        <xdr:cNvPicPr preferRelativeResize="1">
          <a:picLocks noChangeAspect="1"/>
        </xdr:cNvPicPr>
      </xdr:nvPicPr>
      <xdr:blipFill>
        <a:blip r:link="rId1"/>
        <a:stretch>
          <a:fillRect/>
        </a:stretch>
      </xdr:blipFill>
      <xdr:spPr>
        <a:xfrm>
          <a:off x="0" y="39519225"/>
          <a:ext cx="314325" cy="238125"/>
        </a:xfrm>
        <a:prstGeom prst="rect">
          <a:avLst/>
        </a:prstGeom>
        <a:noFill/>
        <a:ln w="9525" cmpd="sng">
          <a:noFill/>
        </a:ln>
      </xdr:spPr>
    </xdr:pic>
    <xdr:clientData/>
  </xdr:twoCellAnchor>
  <xdr:twoCellAnchor>
    <xdr:from>
      <xdr:col>12</xdr:col>
      <xdr:colOff>1895475</xdr:colOff>
      <xdr:row>198</xdr:row>
      <xdr:rowOff>85725</xdr:rowOff>
    </xdr:from>
    <xdr:to>
      <xdr:col>12</xdr:col>
      <xdr:colOff>2695575</xdr:colOff>
      <xdr:row>199</xdr:row>
      <xdr:rowOff>114300</xdr:rowOff>
    </xdr:to>
    <xdr:pic>
      <xdr:nvPicPr>
        <xdr:cNvPr id="5" name="Picture 5"/>
        <xdr:cNvPicPr preferRelativeResize="1">
          <a:picLocks noChangeAspect="1"/>
        </xdr:cNvPicPr>
      </xdr:nvPicPr>
      <xdr:blipFill>
        <a:blip r:link="rId2"/>
        <a:stretch>
          <a:fillRect/>
        </a:stretch>
      </xdr:blipFill>
      <xdr:spPr>
        <a:xfrm>
          <a:off x="15954375" y="39500175"/>
          <a:ext cx="800100" cy="228600"/>
        </a:xfrm>
        <a:prstGeom prst="rect">
          <a:avLst/>
        </a:prstGeom>
        <a:noFill/>
        <a:ln w="9525" cmpd="sng">
          <a:noFill/>
        </a:ln>
      </xdr:spPr>
    </xdr:pic>
    <xdr:clientData/>
  </xdr:twoCellAnchor>
  <xdr:twoCellAnchor>
    <xdr:from>
      <xdr:col>12</xdr:col>
      <xdr:colOff>1905000</xdr:colOff>
      <xdr:row>152</xdr:row>
      <xdr:rowOff>104775</xdr:rowOff>
    </xdr:from>
    <xdr:to>
      <xdr:col>12</xdr:col>
      <xdr:colOff>2705100</xdr:colOff>
      <xdr:row>153</xdr:row>
      <xdr:rowOff>133350</xdr:rowOff>
    </xdr:to>
    <xdr:pic>
      <xdr:nvPicPr>
        <xdr:cNvPr id="6" name="Picture 6"/>
        <xdr:cNvPicPr preferRelativeResize="1">
          <a:picLocks noChangeAspect="1"/>
        </xdr:cNvPicPr>
      </xdr:nvPicPr>
      <xdr:blipFill>
        <a:blip r:link="rId2"/>
        <a:stretch>
          <a:fillRect/>
        </a:stretch>
      </xdr:blipFill>
      <xdr:spPr>
        <a:xfrm>
          <a:off x="15963900" y="30270450"/>
          <a:ext cx="800100" cy="228600"/>
        </a:xfrm>
        <a:prstGeom prst="rect">
          <a:avLst/>
        </a:prstGeom>
        <a:noFill/>
        <a:ln w="9525" cmpd="sng">
          <a:noFill/>
        </a:ln>
      </xdr:spPr>
    </xdr:pic>
    <xdr:clientData/>
  </xdr:twoCellAnchor>
  <xdr:twoCellAnchor>
    <xdr:from>
      <xdr:col>12</xdr:col>
      <xdr:colOff>1895475</xdr:colOff>
      <xdr:row>101</xdr:row>
      <xdr:rowOff>57150</xdr:rowOff>
    </xdr:from>
    <xdr:to>
      <xdr:col>12</xdr:col>
      <xdr:colOff>2695575</xdr:colOff>
      <xdr:row>102</xdr:row>
      <xdr:rowOff>85725</xdr:rowOff>
    </xdr:to>
    <xdr:pic>
      <xdr:nvPicPr>
        <xdr:cNvPr id="7" name="Picture 7"/>
        <xdr:cNvPicPr preferRelativeResize="1">
          <a:picLocks noChangeAspect="1"/>
        </xdr:cNvPicPr>
      </xdr:nvPicPr>
      <xdr:blipFill>
        <a:blip r:link="rId2"/>
        <a:stretch>
          <a:fillRect/>
        </a:stretch>
      </xdr:blipFill>
      <xdr:spPr>
        <a:xfrm>
          <a:off x="15954375" y="20697825"/>
          <a:ext cx="800100" cy="228600"/>
        </a:xfrm>
        <a:prstGeom prst="rect">
          <a:avLst/>
        </a:prstGeom>
        <a:noFill/>
        <a:ln w="9525" cmpd="sng">
          <a:noFill/>
        </a:ln>
      </xdr:spPr>
    </xdr:pic>
    <xdr:clientData/>
  </xdr:twoCellAnchor>
  <xdr:twoCellAnchor>
    <xdr:from>
      <xdr:col>12</xdr:col>
      <xdr:colOff>1905000</xdr:colOff>
      <xdr:row>47</xdr:row>
      <xdr:rowOff>95250</xdr:rowOff>
    </xdr:from>
    <xdr:to>
      <xdr:col>12</xdr:col>
      <xdr:colOff>2705100</xdr:colOff>
      <xdr:row>48</xdr:row>
      <xdr:rowOff>123825</xdr:rowOff>
    </xdr:to>
    <xdr:pic>
      <xdr:nvPicPr>
        <xdr:cNvPr id="8" name="Picture 8"/>
        <xdr:cNvPicPr preferRelativeResize="1">
          <a:picLocks noChangeAspect="1"/>
        </xdr:cNvPicPr>
      </xdr:nvPicPr>
      <xdr:blipFill>
        <a:blip r:link="rId2"/>
        <a:stretch>
          <a:fillRect/>
        </a:stretch>
      </xdr:blipFill>
      <xdr:spPr>
        <a:xfrm>
          <a:off x="15963900" y="9286875"/>
          <a:ext cx="800100" cy="2286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133350</xdr:rowOff>
    </xdr:from>
    <xdr:to>
      <xdr:col>1</xdr:col>
      <xdr:colOff>0</xdr:colOff>
      <xdr:row>50</xdr:row>
      <xdr:rowOff>171450</xdr:rowOff>
    </xdr:to>
    <xdr:pic>
      <xdr:nvPicPr>
        <xdr:cNvPr id="1" name="Picture 1"/>
        <xdr:cNvPicPr preferRelativeResize="1">
          <a:picLocks noChangeAspect="1"/>
        </xdr:cNvPicPr>
      </xdr:nvPicPr>
      <xdr:blipFill>
        <a:blip r:link="rId1"/>
        <a:stretch>
          <a:fillRect/>
        </a:stretch>
      </xdr:blipFill>
      <xdr:spPr>
        <a:xfrm>
          <a:off x="0" y="9725025"/>
          <a:ext cx="314325" cy="238125"/>
        </a:xfrm>
        <a:prstGeom prst="rect">
          <a:avLst/>
        </a:prstGeom>
        <a:noFill/>
        <a:ln w="9525" cmpd="sng">
          <a:noFill/>
        </a:ln>
      </xdr:spPr>
    </xdr:pic>
    <xdr:clientData/>
  </xdr:twoCellAnchor>
  <xdr:twoCellAnchor>
    <xdr:from>
      <xdr:col>0</xdr:col>
      <xdr:colOff>38100</xdr:colOff>
      <xdr:row>103</xdr:row>
      <xdr:rowOff>104775</xdr:rowOff>
    </xdr:from>
    <xdr:to>
      <xdr:col>1</xdr:col>
      <xdr:colOff>38100</xdr:colOff>
      <xdr:row>104</xdr:row>
      <xdr:rowOff>142875</xdr:rowOff>
    </xdr:to>
    <xdr:pic>
      <xdr:nvPicPr>
        <xdr:cNvPr id="2" name="Picture 2"/>
        <xdr:cNvPicPr preferRelativeResize="1">
          <a:picLocks noChangeAspect="1"/>
        </xdr:cNvPicPr>
      </xdr:nvPicPr>
      <xdr:blipFill>
        <a:blip r:link="rId1"/>
        <a:stretch>
          <a:fillRect/>
        </a:stretch>
      </xdr:blipFill>
      <xdr:spPr>
        <a:xfrm>
          <a:off x="38100" y="21145500"/>
          <a:ext cx="314325" cy="238125"/>
        </a:xfrm>
        <a:prstGeom prst="rect">
          <a:avLst/>
        </a:prstGeom>
        <a:noFill/>
        <a:ln w="9525" cmpd="sng">
          <a:noFill/>
        </a:ln>
      </xdr:spPr>
    </xdr:pic>
    <xdr:clientData/>
  </xdr:twoCellAnchor>
  <xdr:twoCellAnchor>
    <xdr:from>
      <xdr:col>0</xdr:col>
      <xdr:colOff>0</xdr:colOff>
      <xdr:row>154</xdr:row>
      <xdr:rowOff>104775</xdr:rowOff>
    </xdr:from>
    <xdr:to>
      <xdr:col>1</xdr:col>
      <xdr:colOff>0</xdr:colOff>
      <xdr:row>155</xdr:row>
      <xdr:rowOff>142875</xdr:rowOff>
    </xdr:to>
    <xdr:pic>
      <xdr:nvPicPr>
        <xdr:cNvPr id="3" name="Picture 3"/>
        <xdr:cNvPicPr preferRelativeResize="1">
          <a:picLocks noChangeAspect="1"/>
        </xdr:cNvPicPr>
      </xdr:nvPicPr>
      <xdr:blipFill>
        <a:blip r:link="rId1"/>
        <a:stretch>
          <a:fillRect/>
        </a:stretch>
      </xdr:blipFill>
      <xdr:spPr>
        <a:xfrm>
          <a:off x="0" y="30670500"/>
          <a:ext cx="314325" cy="238125"/>
        </a:xfrm>
        <a:prstGeom prst="rect">
          <a:avLst/>
        </a:prstGeom>
        <a:noFill/>
        <a:ln w="9525" cmpd="sng">
          <a:noFill/>
        </a:ln>
      </xdr:spPr>
    </xdr:pic>
    <xdr:clientData/>
  </xdr:twoCellAnchor>
  <xdr:twoCellAnchor>
    <xdr:from>
      <xdr:col>0</xdr:col>
      <xdr:colOff>57150</xdr:colOff>
      <xdr:row>200</xdr:row>
      <xdr:rowOff>123825</xdr:rowOff>
    </xdr:from>
    <xdr:to>
      <xdr:col>1</xdr:col>
      <xdr:colOff>57150</xdr:colOff>
      <xdr:row>201</xdr:row>
      <xdr:rowOff>161925</xdr:rowOff>
    </xdr:to>
    <xdr:pic>
      <xdr:nvPicPr>
        <xdr:cNvPr id="4" name="Picture 4"/>
        <xdr:cNvPicPr preferRelativeResize="1">
          <a:picLocks noChangeAspect="1"/>
        </xdr:cNvPicPr>
      </xdr:nvPicPr>
      <xdr:blipFill>
        <a:blip r:link="rId1"/>
        <a:stretch>
          <a:fillRect/>
        </a:stretch>
      </xdr:blipFill>
      <xdr:spPr>
        <a:xfrm>
          <a:off x="57150" y="39938325"/>
          <a:ext cx="314325" cy="238125"/>
        </a:xfrm>
        <a:prstGeom prst="rect">
          <a:avLst/>
        </a:prstGeom>
        <a:noFill/>
        <a:ln w="9525" cmpd="sng">
          <a:noFill/>
        </a:ln>
      </xdr:spPr>
    </xdr:pic>
    <xdr:clientData/>
  </xdr:twoCellAnchor>
  <xdr:twoCellAnchor>
    <xdr:from>
      <xdr:col>12</xdr:col>
      <xdr:colOff>1704975</xdr:colOff>
      <xdr:row>200</xdr:row>
      <xdr:rowOff>104775</xdr:rowOff>
    </xdr:from>
    <xdr:to>
      <xdr:col>12</xdr:col>
      <xdr:colOff>2505075</xdr:colOff>
      <xdr:row>201</xdr:row>
      <xdr:rowOff>133350</xdr:rowOff>
    </xdr:to>
    <xdr:pic>
      <xdr:nvPicPr>
        <xdr:cNvPr id="5" name="Picture 5"/>
        <xdr:cNvPicPr preferRelativeResize="1">
          <a:picLocks noChangeAspect="1"/>
        </xdr:cNvPicPr>
      </xdr:nvPicPr>
      <xdr:blipFill>
        <a:blip r:link="rId2"/>
        <a:stretch>
          <a:fillRect/>
        </a:stretch>
      </xdr:blipFill>
      <xdr:spPr>
        <a:xfrm>
          <a:off x="15763875" y="39919275"/>
          <a:ext cx="800100" cy="228600"/>
        </a:xfrm>
        <a:prstGeom prst="rect">
          <a:avLst/>
        </a:prstGeom>
        <a:noFill/>
        <a:ln w="9525" cmpd="sng">
          <a:noFill/>
        </a:ln>
      </xdr:spPr>
    </xdr:pic>
    <xdr:clientData/>
  </xdr:twoCellAnchor>
  <xdr:twoCellAnchor>
    <xdr:from>
      <xdr:col>12</xdr:col>
      <xdr:colOff>1819275</xdr:colOff>
      <xdr:row>154</xdr:row>
      <xdr:rowOff>123825</xdr:rowOff>
    </xdr:from>
    <xdr:to>
      <xdr:col>12</xdr:col>
      <xdr:colOff>2619375</xdr:colOff>
      <xdr:row>155</xdr:row>
      <xdr:rowOff>152400</xdr:rowOff>
    </xdr:to>
    <xdr:pic>
      <xdr:nvPicPr>
        <xdr:cNvPr id="6" name="Picture 6"/>
        <xdr:cNvPicPr preferRelativeResize="1">
          <a:picLocks noChangeAspect="1"/>
        </xdr:cNvPicPr>
      </xdr:nvPicPr>
      <xdr:blipFill>
        <a:blip r:link="rId2"/>
        <a:stretch>
          <a:fillRect/>
        </a:stretch>
      </xdr:blipFill>
      <xdr:spPr>
        <a:xfrm>
          <a:off x="15878175" y="30689550"/>
          <a:ext cx="800100" cy="228600"/>
        </a:xfrm>
        <a:prstGeom prst="rect">
          <a:avLst/>
        </a:prstGeom>
        <a:noFill/>
        <a:ln w="9525" cmpd="sng">
          <a:noFill/>
        </a:ln>
      </xdr:spPr>
    </xdr:pic>
    <xdr:clientData/>
  </xdr:twoCellAnchor>
  <xdr:twoCellAnchor>
    <xdr:from>
      <xdr:col>12</xdr:col>
      <xdr:colOff>1781175</xdr:colOff>
      <xdr:row>103</xdr:row>
      <xdr:rowOff>152400</xdr:rowOff>
    </xdr:from>
    <xdr:to>
      <xdr:col>12</xdr:col>
      <xdr:colOff>2581275</xdr:colOff>
      <xdr:row>104</xdr:row>
      <xdr:rowOff>180975</xdr:rowOff>
    </xdr:to>
    <xdr:pic>
      <xdr:nvPicPr>
        <xdr:cNvPr id="7" name="Picture 7"/>
        <xdr:cNvPicPr preferRelativeResize="1">
          <a:picLocks noChangeAspect="1"/>
        </xdr:cNvPicPr>
      </xdr:nvPicPr>
      <xdr:blipFill>
        <a:blip r:link="rId2"/>
        <a:stretch>
          <a:fillRect/>
        </a:stretch>
      </xdr:blipFill>
      <xdr:spPr>
        <a:xfrm>
          <a:off x="15840075" y="21193125"/>
          <a:ext cx="800100" cy="228600"/>
        </a:xfrm>
        <a:prstGeom prst="rect">
          <a:avLst/>
        </a:prstGeom>
        <a:noFill/>
        <a:ln w="9525" cmpd="sng">
          <a:noFill/>
        </a:ln>
      </xdr:spPr>
    </xdr:pic>
    <xdr:clientData/>
  </xdr:twoCellAnchor>
  <xdr:twoCellAnchor>
    <xdr:from>
      <xdr:col>12</xdr:col>
      <xdr:colOff>1771650</xdr:colOff>
      <xdr:row>49</xdr:row>
      <xdr:rowOff>133350</xdr:rowOff>
    </xdr:from>
    <xdr:to>
      <xdr:col>12</xdr:col>
      <xdr:colOff>2571750</xdr:colOff>
      <xdr:row>50</xdr:row>
      <xdr:rowOff>161925</xdr:rowOff>
    </xdr:to>
    <xdr:pic>
      <xdr:nvPicPr>
        <xdr:cNvPr id="8" name="Picture 8"/>
        <xdr:cNvPicPr preferRelativeResize="1">
          <a:picLocks noChangeAspect="1"/>
        </xdr:cNvPicPr>
      </xdr:nvPicPr>
      <xdr:blipFill>
        <a:blip r:link="rId2"/>
        <a:stretch>
          <a:fillRect/>
        </a:stretch>
      </xdr:blipFill>
      <xdr:spPr>
        <a:xfrm>
          <a:off x="15830550" y="9725025"/>
          <a:ext cx="800100" cy="228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104775</xdr:rowOff>
    </xdr:from>
    <xdr:to>
      <xdr:col>1</xdr:col>
      <xdr:colOff>0</xdr:colOff>
      <xdr:row>50</xdr:row>
      <xdr:rowOff>142875</xdr:rowOff>
    </xdr:to>
    <xdr:pic>
      <xdr:nvPicPr>
        <xdr:cNvPr id="1" name="Picture 1"/>
        <xdr:cNvPicPr preferRelativeResize="1">
          <a:picLocks noChangeAspect="1"/>
        </xdr:cNvPicPr>
      </xdr:nvPicPr>
      <xdr:blipFill>
        <a:blip r:link="rId1"/>
        <a:stretch>
          <a:fillRect/>
        </a:stretch>
      </xdr:blipFill>
      <xdr:spPr>
        <a:xfrm>
          <a:off x="0" y="9696450"/>
          <a:ext cx="314325" cy="238125"/>
        </a:xfrm>
        <a:prstGeom prst="rect">
          <a:avLst/>
        </a:prstGeom>
        <a:noFill/>
        <a:ln w="9525" cmpd="sng">
          <a:noFill/>
        </a:ln>
      </xdr:spPr>
    </xdr:pic>
    <xdr:clientData/>
  </xdr:twoCellAnchor>
  <xdr:twoCellAnchor>
    <xdr:from>
      <xdr:col>0</xdr:col>
      <xdr:colOff>0</xdr:colOff>
      <xdr:row>103</xdr:row>
      <xdr:rowOff>152400</xdr:rowOff>
    </xdr:from>
    <xdr:to>
      <xdr:col>1</xdr:col>
      <xdr:colOff>0</xdr:colOff>
      <xdr:row>104</xdr:row>
      <xdr:rowOff>190500</xdr:rowOff>
    </xdr:to>
    <xdr:pic>
      <xdr:nvPicPr>
        <xdr:cNvPr id="2" name="Picture 2"/>
        <xdr:cNvPicPr preferRelativeResize="1">
          <a:picLocks noChangeAspect="1"/>
        </xdr:cNvPicPr>
      </xdr:nvPicPr>
      <xdr:blipFill>
        <a:blip r:link="rId1"/>
        <a:stretch>
          <a:fillRect/>
        </a:stretch>
      </xdr:blipFill>
      <xdr:spPr>
        <a:xfrm>
          <a:off x="0" y="21193125"/>
          <a:ext cx="314325" cy="238125"/>
        </a:xfrm>
        <a:prstGeom prst="rect">
          <a:avLst/>
        </a:prstGeom>
        <a:noFill/>
        <a:ln w="9525" cmpd="sng">
          <a:noFill/>
        </a:ln>
      </xdr:spPr>
    </xdr:pic>
    <xdr:clientData/>
  </xdr:twoCellAnchor>
  <xdr:twoCellAnchor>
    <xdr:from>
      <xdr:col>0</xdr:col>
      <xdr:colOff>28575</xdr:colOff>
      <xdr:row>154</xdr:row>
      <xdr:rowOff>133350</xdr:rowOff>
    </xdr:from>
    <xdr:to>
      <xdr:col>1</xdr:col>
      <xdr:colOff>28575</xdr:colOff>
      <xdr:row>155</xdr:row>
      <xdr:rowOff>171450</xdr:rowOff>
    </xdr:to>
    <xdr:pic>
      <xdr:nvPicPr>
        <xdr:cNvPr id="3" name="Picture 3"/>
        <xdr:cNvPicPr preferRelativeResize="1">
          <a:picLocks noChangeAspect="1"/>
        </xdr:cNvPicPr>
      </xdr:nvPicPr>
      <xdr:blipFill>
        <a:blip r:link="rId1"/>
        <a:stretch>
          <a:fillRect/>
        </a:stretch>
      </xdr:blipFill>
      <xdr:spPr>
        <a:xfrm>
          <a:off x="28575" y="30699075"/>
          <a:ext cx="314325" cy="238125"/>
        </a:xfrm>
        <a:prstGeom prst="rect">
          <a:avLst/>
        </a:prstGeom>
        <a:noFill/>
        <a:ln w="9525" cmpd="sng">
          <a:noFill/>
        </a:ln>
      </xdr:spPr>
    </xdr:pic>
    <xdr:clientData/>
  </xdr:twoCellAnchor>
  <xdr:twoCellAnchor>
    <xdr:from>
      <xdr:col>0</xdr:col>
      <xdr:colOff>38100</xdr:colOff>
      <xdr:row>201</xdr:row>
      <xdr:rowOff>104775</xdr:rowOff>
    </xdr:from>
    <xdr:to>
      <xdr:col>1</xdr:col>
      <xdr:colOff>38100</xdr:colOff>
      <xdr:row>202</xdr:row>
      <xdr:rowOff>142875</xdr:rowOff>
    </xdr:to>
    <xdr:pic>
      <xdr:nvPicPr>
        <xdr:cNvPr id="4" name="Picture 4"/>
        <xdr:cNvPicPr preferRelativeResize="1">
          <a:picLocks noChangeAspect="1"/>
        </xdr:cNvPicPr>
      </xdr:nvPicPr>
      <xdr:blipFill>
        <a:blip r:link="rId1"/>
        <a:stretch>
          <a:fillRect/>
        </a:stretch>
      </xdr:blipFill>
      <xdr:spPr>
        <a:xfrm>
          <a:off x="38100" y="40119300"/>
          <a:ext cx="314325" cy="238125"/>
        </a:xfrm>
        <a:prstGeom prst="rect">
          <a:avLst/>
        </a:prstGeom>
        <a:noFill/>
        <a:ln w="9525" cmpd="sng">
          <a:noFill/>
        </a:ln>
      </xdr:spPr>
    </xdr:pic>
    <xdr:clientData/>
  </xdr:twoCellAnchor>
  <xdr:twoCellAnchor>
    <xdr:from>
      <xdr:col>12</xdr:col>
      <xdr:colOff>1771650</xdr:colOff>
      <xdr:row>201</xdr:row>
      <xdr:rowOff>66675</xdr:rowOff>
    </xdr:from>
    <xdr:to>
      <xdr:col>12</xdr:col>
      <xdr:colOff>2571750</xdr:colOff>
      <xdr:row>202</xdr:row>
      <xdr:rowOff>95250</xdr:rowOff>
    </xdr:to>
    <xdr:pic>
      <xdr:nvPicPr>
        <xdr:cNvPr id="5" name="Picture 5"/>
        <xdr:cNvPicPr preferRelativeResize="1">
          <a:picLocks noChangeAspect="1"/>
        </xdr:cNvPicPr>
      </xdr:nvPicPr>
      <xdr:blipFill>
        <a:blip r:link="rId2"/>
        <a:stretch>
          <a:fillRect/>
        </a:stretch>
      </xdr:blipFill>
      <xdr:spPr>
        <a:xfrm>
          <a:off x="15830550" y="40081200"/>
          <a:ext cx="800100" cy="228600"/>
        </a:xfrm>
        <a:prstGeom prst="rect">
          <a:avLst/>
        </a:prstGeom>
        <a:noFill/>
        <a:ln w="9525" cmpd="sng">
          <a:noFill/>
        </a:ln>
      </xdr:spPr>
    </xdr:pic>
    <xdr:clientData/>
  </xdr:twoCellAnchor>
  <xdr:twoCellAnchor>
    <xdr:from>
      <xdr:col>12</xdr:col>
      <xdr:colOff>1809750</xdr:colOff>
      <xdr:row>154</xdr:row>
      <xdr:rowOff>123825</xdr:rowOff>
    </xdr:from>
    <xdr:to>
      <xdr:col>12</xdr:col>
      <xdr:colOff>2609850</xdr:colOff>
      <xdr:row>155</xdr:row>
      <xdr:rowOff>152400</xdr:rowOff>
    </xdr:to>
    <xdr:pic>
      <xdr:nvPicPr>
        <xdr:cNvPr id="6" name="Picture 6"/>
        <xdr:cNvPicPr preferRelativeResize="1">
          <a:picLocks noChangeAspect="1"/>
        </xdr:cNvPicPr>
      </xdr:nvPicPr>
      <xdr:blipFill>
        <a:blip r:link="rId2"/>
        <a:stretch>
          <a:fillRect/>
        </a:stretch>
      </xdr:blipFill>
      <xdr:spPr>
        <a:xfrm>
          <a:off x="15868650" y="30689550"/>
          <a:ext cx="800100" cy="228600"/>
        </a:xfrm>
        <a:prstGeom prst="rect">
          <a:avLst/>
        </a:prstGeom>
        <a:noFill/>
        <a:ln w="9525" cmpd="sng">
          <a:noFill/>
        </a:ln>
      </xdr:spPr>
    </xdr:pic>
    <xdr:clientData/>
  </xdr:twoCellAnchor>
  <xdr:twoCellAnchor>
    <xdr:from>
      <xdr:col>12</xdr:col>
      <xdr:colOff>1771650</xdr:colOff>
      <xdr:row>103</xdr:row>
      <xdr:rowOff>66675</xdr:rowOff>
    </xdr:from>
    <xdr:to>
      <xdr:col>12</xdr:col>
      <xdr:colOff>2571750</xdr:colOff>
      <xdr:row>104</xdr:row>
      <xdr:rowOff>95250</xdr:rowOff>
    </xdr:to>
    <xdr:pic>
      <xdr:nvPicPr>
        <xdr:cNvPr id="7" name="Picture 7"/>
        <xdr:cNvPicPr preferRelativeResize="1">
          <a:picLocks noChangeAspect="1"/>
        </xdr:cNvPicPr>
      </xdr:nvPicPr>
      <xdr:blipFill>
        <a:blip r:link="rId2"/>
        <a:stretch>
          <a:fillRect/>
        </a:stretch>
      </xdr:blipFill>
      <xdr:spPr>
        <a:xfrm>
          <a:off x="15830550" y="21107400"/>
          <a:ext cx="800100" cy="228600"/>
        </a:xfrm>
        <a:prstGeom prst="rect">
          <a:avLst/>
        </a:prstGeom>
        <a:noFill/>
        <a:ln w="9525" cmpd="sng">
          <a:noFill/>
        </a:ln>
      </xdr:spPr>
    </xdr:pic>
    <xdr:clientData/>
  </xdr:twoCellAnchor>
  <xdr:twoCellAnchor>
    <xdr:from>
      <xdr:col>12</xdr:col>
      <xdr:colOff>1771650</xdr:colOff>
      <xdr:row>49</xdr:row>
      <xdr:rowOff>95250</xdr:rowOff>
    </xdr:from>
    <xdr:to>
      <xdr:col>12</xdr:col>
      <xdr:colOff>2571750</xdr:colOff>
      <xdr:row>50</xdr:row>
      <xdr:rowOff>123825</xdr:rowOff>
    </xdr:to>
    <xdr:pic>
      <xdr:nvPicPr>
        <xdr:cNvPr id="8" name="Picture 8"/>
        <xdr:cNvPicPr preferRelativeResize="1">
          <a:picLocks noChangeAspect="1"/>
        </xdr:cNvPicPr>
      </xdr:nvPicPr>
      <xdr:blipFill>
        <a:blip r:link="rId2"/>
        <a:stretch>
          <a:fillRect/>
        </a:stretch>
      </xdr:blipFill>
      <xdr:spPr>
        <a:xfrm>
          <a:off x="15830550" y="9686925"/>
          <a:ext cx="800100" cy="228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85725</xdr:rowOff>
    </xdr:from>
    <xdr:to>
      <xdr:col>1</xdr:col>
      <xdr:colOff>0</xdr:colOff>
      <xdr:row>50</xdr:row>
      <xdr:rowOff>123825</xdr:rowOff>
    </xdr:to>
    <xdr:pic>
      <xdr:nvPicPr>
        <xdr:cNvPr id="1" name="Picture 1"/>
        <xdr:cNvPicPr preferRelativeResize="1">
          <a:picLocks noChangeAspect="1"/>
        </xdr:cNvPicPr>
      </xdr:nvPicPr>
      <xdr:blipFill>
        <a:blip r:link="rId1"/>
        <a:stretch>
          <a:fillRect/>
        </a:stretch>
      </xdr:blipFill>
      <xdr:spPr>
        <a:xfrm>
          <a:off x="0" y="9677400"/>
          <a:ext cx="314325" cy="238125"/>
        </a:xfrm>
        <a:prstGeom prst="rect">
          <a:avLst/>
        </a:prstGeom>
        <a:noFill/>
        <a:ln w="9525" cmpd="sng">
          <a:noFill/>
        </a:ln>
      </xdr:spPr>
    </xdr:pic>
    <xdr:clientData/>
  </xdr:twoCellAnchor>
  <xdr:twoCellAnchor>
    <xdr:from>
      <xdr:col>0</xdr:col>
      <xdr:colOff>0</xdr:colOff>
      <xdr:row>103</xdr:row>
      <xdr:rowOff>104775</xdr:rowOff>
    </xdr:from>
    <xdr:to>
      <xdr:col>1</xdr:col>
      <xdr:colOff>0</xdr:colOff>
      <xdr:row>104</xdr:row>
      <xdr:rowOff>142875</xdr:rowOff>
    </xdr:to>
    <xdr:pic>
      <xdr:nvPicPr>
        <xdr:cNvPr id="2" name="Picture 2"/>
        <xdr:cNvPicPr preferRelativeResize="1">
          <a:picLocks noChangeAspect="1"/>
        </xdr:cNvPicPr>
      </xdr:nvPicPr>
      <xdr:blipFill>
        <a:blip r:link="rId1"/>
        <a:stretch>
          <a:fillRect/>
        </a:stretch>
      </xdr:blipFill>
      <xdr:spPr>
        <a:xfrm>
          <a:off x="0" y="21145500"/>
          <a:ext cx="314325" cy="238125"/>
        </a:xfrm>
        <a:prstGeom prst="rect">
          <a:avLst/>
        </a:prstGeom>
        <a:noFill/>
        <a:ln w="9525" cmpd="sng">
          <a:noFill/>
        </a:ln>
      </xdr:spPr>
    </xdr:pic>
    <xdr:clientData/>
  </xdr:twoCellAnchor>
  <xdr:twoCellAnchor>
    <xdr:from>
      <xdr:col>0</xdr:col>
      <xdr:colOff>28575</xdr:colOff>
      <xdr:row>154</xdr:row>
      <xdr:rowOff>104775</xdr:rowOff>
    </xdr:from>
    <xdr:to>
      <xdr:col>1</xdr:col>
      <xdr:colOff>28575</xdr:colOff>
      <xdr:row>155</xdr:row>
      <xdr:rowOff>142875</xdr:rowOff>
    </xdr:to>
    <xdr:pic>
      <xdr:nvPicPr>
        <xdr:cNvPr id="3" name="Picture 3"/>
        <xdr:cNvPicPr preferRelativeResize="1">
          <a:picLocks noChangeAspect="1"/>
        </xdr:cNvPicPr>
      </xdr:nvPicPr>
      <xdr:blipFill>
        <a:blip r:link="rId1"/>
        <a:stretch>
          <a:fillRect/>
        </a:stretch>
      </xdr:blipFill>
      <xdr:spPr>
        <a:xfrm>
          <a:off x="28575" y="30670500"/>
          <a:ext cx="314325" cy="238125"/>
        </a:xfrm>
        <a:prstGeom prst="rect">
          <a:avLst/>
        </a:prstGeom>
        <a:noFill/>
        <a:ln w="9525" cmpd="sng">
          <a:noFill/>
        </a:ln>
      </xdr:spPr>
    </xdr:pic>
    <xdr:clientData/>
  </xdr:twoCellAnchor>
  <xdr:twoCellAnchor>
    <xdr:from>
      <xdr:col>0</xdr:col>
      <xdr:colOff>9525</xdr:colOff>
      <xdr:row>201</xdr:row>
      <xdr:rowOff>104775</xdr:rowOff>
    </xdr:from>
    <xdr:to>
      <xdr:col>1</xdr:col>
      <xdr:colOff>9525</xdr:colOff>
      <xdr:row>202</xdr:row>
      <xdr:rowOff>142875</xdr:rowOff>
    </xdr:to>
    <xdr:pic>
      <xdr:nvPicPr>
        <xdr:cNvPr id="4" name="Picture 4"/>
        <xdr:cNvPicPr preferRelativeResize="1">
          <a:picLocks noChangeAspect="1"/>
        </xdr:cNvPicPr>
      </xdr:nvPicPr>
      <xdr:blipFill>
        <a:blip r:link="rId1"/>
        <a:stretch>
          <a:fillRect/>
        </a:stretch>
      </xdr:blipFill>
      <xdr:spPr>
        <a:xfrm>
          <a:off x="9525" y="40119300"/>
          <a:ext cx="314325" cy="238125"/>
        </a:xfrm>
        <a:prstGeom prst="rect">
          <a:avLst/>
        </a:prstGeom>
        <a:noFill/>
        <a:ln w="9525" cmpd="sng">
          <a:noFill/>
        </a:ln>
      </xdr:spPr>
    </xdr:pic>
    <xdr:clientData/>
  </xdr:twoCellAnchor>
  <xdr:twoCellAnchor>
    <xdr:from>
      <xdr:col>12</xdr:col>
      <xdr:colOff>1581150</xdr:colOff>
      <xdr:row>201</xdr:row>
      <xdr:rowOff>85725</xdr:rowOff>
    </xdr:from>
    <xdr:to>
      <xdr:col>12</xdr:col>
      <xdr:colOff>2381250</xdr:colOff>
      <xdr:row>202</xdr:row>
      <xdr:rowOff>114300</xdr:rowOff>
    </xdr:to>
    <xdr:pic>
      <xdr:nvPicPr>
        <xdr:cNvPr id="5" name="Picture 5"/>
        <xdr:cNvPicPr preferRelativeResize="1">
          <a:picLocks noChangeAspect="1"/>
        </xdr:cNvPicPr>
      </xdr:nvPicPr>
      <xdr:blipFill>
        <a:blip r:link="rId2"/>
        <a:stretch>
          <a:fillRect/>
        </a:stretch>
      </xdr:blipFill>
      <xdr:spPr>
        <a:xfrm>
          <a:off x="15640050" y="40100250"/>
          <a:ext cx="800100" cy="228600"/>
        </a:xfrm>
        <a:prstGeom prst="rect">
          <a:avLst/>
        </a:prstGeom>
        <a:noFill/>
        <a:ln w="9525" cmpd="sng">
          <a:noFill/>
        </a:ln>
      </xdr:spPr>
    </xdr:pic>
    <xdr:clientData/>
  </xdr:twoCellAnchor>
  <xdr:twoCellAnchor>
    <xdr:from>
      <xdr:col>12</xdr:col>
      <xdr:colOff>1581150</xdr:colOff>
      <xdr:row>154</xdr:row>
      <xdr:rowOff>95250</xdr:rowOff>
    </xdr:from>
    <xdr:to>
      <xdr:col>12</xdr:col>
      <xdr:colOff>2381250</xdr:colOff>
      <xdr:row>155</xdr:row>
      <xdr:rowOff>123825</xdr:rowOff>
    </xdr:to>
    <xdr:pic>
      <xdr:nvPicPr>
        <xdr:cNvPr id="6" name="Picture 6"/>
        <xdr:cNvPicPr preferRelativeResize="1">
          <a:picLocks noChangeAspect="1"/>
        </xdr:cNvPicPr>
      </xdr:nvPicPr>
      <xdr:blipFill>
        <a:blip r:link="rId2"/>
        <a:stretch>
          <a:fillRect/>
        </a:stretch>
      </xdr:blipFill>
      <xdr:spPr>
        <a:xfrm>
          <a:off x="15640050" y="30660975"/>
          <a:ext cx="800100" cy="228600"/>
        </a:xfrm>
        <a:prstGeom prst="rect">
          <a:avLst/>
        </a:prstGeom>
        <a:noFill/>
        <a:ln w="9525" cmpd="sng">
          <a:noFill/>
        </a:ln>
      </xdr:spPr>
    </xdr:pic>
    <xdr:clientData/>
  </xdr:twoCellAnchor>
  <xdr:twoCellAnchor>
    <xdr:from>
      <xdr:col>12</xdr:col>
      <xdr:colOff>1619250</xdr:colOff>
      <xdr:row>103</xdr:row>
      <xdr:rowOff>95250</xdr:rowOff>
    </xdr:from>
    <xdr:to>
      <xdr:col>12</xdr:col>
      <xdr:colOff>2419350</xdr:colOff>
      <xdr:row>104</xdr:row>
      <xdr:rowOff>123825</xdr:rowOff>
    </xdr:to>
    <xdr:pic>
      <xdr:nvPicPr>
        <xdr:cNvPr id="7" name="Picture 7"/>
        <xdr:cNvPicPr preferRelativeResize="1">
          <a:picLocks noChangeAspect="1"/>
        </xdr:cNvPicPr>
      </xdr:nvPicPr>
      <xdr:blipFill>
        <a:blip r:link="rId2"/>
        <a:stretch>
          <a:fillRect/>
        </a:stretch>
      </xdr:blipFill>
      <xdr:spPr>
        <a:xfrm>
          <a:off x="15678150" y="21135975"/>
          <a:ext cx="800100" cy="228600"/>
        </a:xfrm>
        <a:prstGeom prst="rect">
          <a:avLst/>
        </a:prstGeom>
        <a:noFill/>
        <a:ln w="9525" cmpd="sng">
          <a:noFill/>
        </a:ln>
      </xdr:spPr>
    </xdr:pic>
    <xdr:clientData/>
  </xdr:twoCellAnchor>
  <xdr:twoCellAnchor>
    <xdr:from>
      <xdr:col>12</xdr:col>
      <xdr:colOff>1628775</xdr:colOff>
      <xdr:row>49</xdr:row>
      <xdr:rowOff>85725</xdr:rowOff>
    </xdr:from>
    <xdr:to>
      <xdr:col>12</xdr:col>
      <xdr:colOff>2428875</xdr:colOff>
      <xdr:row>50</xdr:row>
      <xdr:rowOff>114300</xdr:rowOff>
    </xdr:to>
    <xdr:pic>
      <xdr:nvPicPr>
        <xdr:cNvPr id="8" name="Picture 8"/>
        <xdr:cNvPicPr preferRelativeResize="1">
          <a:picLocks noChangeAspect="1"/>
        </xdr:cNvPicPr>
      </xdr:nvPicPr>
      <xdr:blipFill>
        <a:blip r:link="rId2"/>
        <a:stretch>
          <a:fillRect/>
        </a:stretch>
      </xdr:blipFill>
      <xdr:spPr>
        <a:xfrm>
          <a:off x="15687675" y="9677400"/>
          <a:ext cx="800100" cy="2286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95250</xdr:rowOff>
    </xdr:from>
    <xdr:to>
      <xdr:col>1</xdr:col>
      <xdr:colOff>0</xdr:colOff>
      <xdr:row>50</xdr:row>
      <xdr:rowOff>133350</xdr:rowOff>
    </xdr:to>
    <xdr:pic>
      <xdr:nvPicPr>
        <xdr:cNvPr id="1" name="Picture 1"/>
        <xdr:cNvPicPr preferRelativeResize="1">
          <a:picLocks noChangeAspect="1"/>
        </xdr:cNvPicPr>
      </xdr:nvPicPr>
      <xdr:blipFill>
        <a:blip r:link="rId1"/>
        <a:stretch>
          <a:fillRect/>
        </a:stretch>
      </xdr:blipFill>
      <xdr:spPr>
        <a:xfrm>
          <a:off x="0" y="9686925"/>
          <a:ext cx="314325" cy="238125"/>
        </a:xfrm>
        <a:prstGeom prst="rect">
          <a:avLst/>
        </a:prstGeom>
        <a:noFill/>
        <a:ln w="9525" cmpd="sng">
          <a:noFill/>
        </a:ln>
      </xdr:spPr>
    </xdr:pic>
    <xdr:clientData/>
  </xdr:twoCellAnchor>
  <xdr:twoCellAnchor>
    <xdr:from>
      <xdr:col>0</xdr:col>
      <xdr:colOff>0</xdr:colOff>
      <xdr:row>103</xdr:row>
      <xdr:rowOff>152400</xdr:rowOff>
    </xdr:from>
    <xdr:to>
      <xdr:col>1</xdr:col>
      <xdr:colOff>0</xdr:colOff>
      <xdr:row>104</xdr:row>
      <xdr:rowOff>190500</xdr:rowOff>
    </xdr:to>
    <xdr:pic>
      <xdr:nvPicPr>
        <xdr:cNvPr id="2" name="Picture 2"/>
        <xdr:cNvPicPr preferRelativeResize="1">
          <a:picLocks noChangeAspect="1"/>
        </xdr:cNvPicPr>
      </xdr:nvPicPr>
      <xdr:blipFill>
        <a:blip r:link="rId1"/>
        <a:stretch>
          <a:fillRect/>
        </a:stretch>
      </xdr:blipFill>
      <xdr:spPr>
        <a:xfrm>
          <a:off x="0" y="21193125"/>
          <a:ext cx="314325" cy="238125"/>
        </a:xfrm>
        <a:prstGeom prst="rect">
          <a:avLst/>
        </a:prstGeom>
        <a:noFill/>
        <a:ln w="9525" cmpd="sng">
          <a:noFill/>
        </a:ln>
      </xdr:spPr>
    </xdr:pic>
    <xdr:clientData/>
  </xdr:twoCellAnchor>
  <xdr:twoCellAnchor>
    <xdr:from>
      <xdr:col>0</xdr:col>
      <xdr:colOff>38100</xdr:colOff>
      <xdr:row>154</xdr:row>
      <xdr:rowOff>152400</xdr:rowOff>
    </xdr:from>
    <xdr:to>
      <xdr:col>1</xdr:col>
      <xdr:colOff>38100</xdr:colOff>
      <xdr:row>155</xdr:row>
      <xdr:rowOff>190500</xdr:rowOff>
    </xdr:to>
    <xdr:pic>
      <xdr:nvPicPr>
        <xdr:cNvPr id="3" name="Picture 3"/>
        <xdr:cNvPicPr preferRelativeResize="1">
          <a:picLocks noChangeAspect="1"/>
        </xdr:cNvPicPr>
      </xdr:nvPicPr>
      <xdr:blipFill>
        <a:blip r:link="rId1"/>
        <a:stretch>
          <a:fillRect/>
        </a:stretch>
      </xdr:blipFill>
      <xdr:spPr>
        <a:xfrm>
          <a:off x="38100" y="30718125"/>
          <a:ext cx="314325" cy="238125"/>
        </a:xfrm>
        <a:prstGeom prst="rect">
          <a:avLst/>
        </a:prstGeom>
        <a:noFill/>
        <a:ln w="9525" cmpd="sng">
          <a:noFill/>
        </a:ln>
      </xdr:spPr>
    </xdr:pic>
    <xdr:clientData/>
  </xdr:twoCellAnchor>
  <xdr:twoCellAnchor>
    <xdr:from>
      <xdr:col>0</xdr:col>
      <xdr:colOff>38100</xdr:colOff>
      <xdr:row>201</xdr:row>
      <xdr:rowOff>123825</xdr:rowOff>
    </xdr:from>
    <xdr:to>
      <xdr:col>1</xdr:col>
      <xdr:colOff>38100</xdr:colOff>
      <xdr:row>202</xdr:row>
      <xdr:rowOff>161925</xdr:rowOff>
    </xdr:to>
    <xdr:pic>
      <xdr:nvPicPr>
        <xdr:cNvPr id="4" name="Picture 4"/>
        <xdr:cNvPicPr preferRelativeResize="1">
          <a:picLocks noChangeAspect="1"/>
        </xdr:cNvPicPr>
      </xdr:nvPicPr>
      <xdr:blipFill>
        <a:blip r:link="rId1"/>
        <a:stretch>
          <a:fillRect/>
        </a:stretch>
      </xdr:blipFill>
      <xdr:spPr>
        <a:xfrm>
          <a:off x="38100" y="40138350"/>
          <a:ext cx="314325" cy="238125"/>
        </a:xfrm>
        <a:prstGeom prst="rect">
          <a:avLst/>
        </a:prstGeom>
        <a:noFill/>
        <a:ln w="9525" cmpd="sng">
          <a:noFill/>
        </a:ln>
      </xdr:spPr>
    </xdr:pic>
    <xdr:clientData/>
  </xdr:twoCellAnchor>
  <xdr:twoCellAnchor>
    <xdr:from>
      <xdr:col>12</xdr:col>
      <xdr:colOff>1990725</xdr:colOff>
      <xdr:row>201</xdr:row>
      <xdr:rowOff>123825</xdr:rowOff>
    </xdr:from>
    <xdr:to>
      <xdr:col>12</xdr:col>
      <xdr:colOff>2790825</xdr:colOff>
      <xdr:row>202</xdr:row>
      <xdr:rowOff>152400</xdr:rowOff>
    </xdr:to>
    <xdr:pic>
      <xdr:nvPicPr>
        <xdr:cNvPr id="5" name="Picture 5"/>
        <xdr:cNvPicPr preferRelativeResize="1">
          <a:picLocks noChangeAspect="1"/>
        </xdr:cNvPicPr>
      </xdr:nvPicPr>
      <xdr:blipFill>
        <a:blip r:link="rId2"/>
        <a:stretch>
          <a:fillRect/>
        </a:stretch>
      </xdr:blipFill>
      <xdr:spPr>
        <a:xfrm>
          <a:off x="16049625" y="40138350"/>
          <a:ext cx="800100" cy="228600"/>
        </a:xfrm>
        <a:prstGeom prst="rect">
          <a:avLst/>
        </a:prstGeom>
        <a:noFill/>
        <a:ln w="9525" cmpd="sng">
          <a:noFill/>
        </a:ln>
      </xdr:spPr>
    </xdr:pic>
    <xdr:clientData/>
  </xdr:twoCellAnchor>
  <xdr:twoCellAnchor>
    <xdr:from>
      <xdr:col>12</xdr:col>
      <xdr:colOff>1943100</xdr:colOff>
      <xdr:row>154</xdr:row>
      <xdr:rowOff>66675</xdr:rowOff>
    </xdr:from>
    <xdr:to>
      <xdr:col>12</xdr:col>
      <xdr:colOff>2743200</xdr:colOff>
      <xdr:row>155</xdr:row>
      <xdr:rowOff>95250</xdr:rowOff>
    </xdr:to>
    <xdr:pic>
      <xdr:nvPicPr>
        <xdr:cNvPr id="6" name="Picture 6"/>
        <xdr:cNvPicPr preferRelativeResize="1">
          <a:picLocks noChangeAspect="1"/>
        </xdr:cNvPicPr>
      </xdr:nvPicPr>
      <xdr:blipFill>
        <a:blip r:link="rId2"/>
        <a:stretch>
          <a:fillRect/>
        </a:stretch>
      </xdr:blipFill>
      <xdr:spPr>
        <a:xfrm>
          <a:off x="16002000" y="30632400"/>
          <a:ext cx="800100" cy="228600"/>
        </a:xfrm>
        <a:prstGeom prst="rect">
          <a:avLst/>
        </a:prstGeom>
        <a:noFill/>
        <a:ln w="9525" cmpd="sng">
          <a:noFill/>
        </a:ln>
      </xdr:spPr>
    </xdr:pic>
    <xdr:clientData/>
  </xdr:twoCellAnchor>
  <xdr:twoCellAnchor>
    <xdr:from>
      <xdr:col>12</xdr:col>
      <xdr:colOff>1990725</xdr:colOff>
      <xdr:row>103</xdr:row>
      <xdr:rowOff>85725</xdr:rowOff>
    </xdr:from>
    <xdr:to>
      <xdr:col>12</xdr:col>
      <xdr:colOff>2790825</xdr:colOff>
      <xdr:row>104</xdr:row>
      <xdr:rowOff>114300</xdr:rowOff>
    </xdr:to>
    <xdr:pic>
      <xdr:nvPicPr>
        <xdr:cNvPr id="7" name="Picture 7"/>
        <xdr:cNvPicPr preferRelativeResize="1">
          <a:picLocks noChangeAspect="1"/>
        </xdr:cNvPicPr>
      </xdr:nvPicPr>
      <xdr:blipFill>
        <a:blip r:link="rId2"/>
        <a:stretch>
          <a:fillRect/>
        </a:stretch>
      </xdr:blipFill>
      <xdr:spPr>
        <a:xfrm>
          <a:off x="16049625" y="21126450"/>
          <a:ext cx="800100" cy="228600"/>
        </a:xfrm>
        <a:prstGeom prst="rect">
          <a:avLst/>
        </a:prstGeom>
        <a:noFill/>
        <a:ln w="9525" cmpd="sng">
          <a:noFill/>
        </a:ln>
      </xdr:spPr>
    </xdr:pic>
    <xdr:clientData/>
  </xdr:twoCellAnchor>
  <xdr:twoCellAnchor>
    <xdr:from>
      <xdr:col>12</xdr:col>
      <xdr:colOff>1914525</xdr:colOff>
      <xdr:row>49</xdr:row>
      <xdr:rowOff>57150</xdr:rowOff>
    </xdr:from>
    <xdr:to>
      <xdr:col>12</xdr:col>
      <xdr:colOff>2714625</xdr:colOff>
      <xdr:row>50</xdr:row>
      <xdr:rowOff>85725</xdr:rowOff>
    </xdr:to>
    <xdr:pic>
      <xdr:nvPicPr>
        <xdr:cNvPr id="8" name="Picture 8"/>
        <xdr:cNvPicPr preferRelativeResize="1">
          <a:picLocks noChangeAspect="1"/>
        </xdr:cNvPicPr>
      </xdr:nvPicPr>
      <xdr:blipFill>
        <a:blip r:link="rId2"/>
        <a:stretch>
          <a:fillRect/>
        </a:stretch>
      </xdr:blipFill>
      <xdr:spPr>
        <a:xfrm>
          <a:off x="15973425" y="9648825"/>
          <a:ext cx="80010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207"/>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35.21484375" style="1" customWidth="1"/>
    <col min="14" max="16384" width="9.6640625" style="1" customWidth="1"/>
  </cols>
  <sheetData>
    <row r="1" spans="1:18" ht="20.25">
      <c r="A1" s="2"/>
      <c r="B1" s="3" t="s">
        <v>0</v>
      </c>
      <c r="C1" s="4"/>
      <c r="D1" s="5"/>
      <c r="E1" s="5"/>
      <c r="F1" s="5"/>
      <c r="G1" s="5"/>
      <c r="H1" s="5"/>
      <c r="I1" s="5"/>
      <c r="J1" s="5"/>
      <c r="K1" s="5"/>
      <c r="L1" s="5"/>
      <c r="M1" s="5"/>
      <c r="N1" s="6"/>
      <c r="O1" s="7"/>
      <c r="P1" s="7"/>
      <c r="Q1" s="7"/>
      <c r="R1" s="7"/>
    </row>
    <row r="2" spans="1:18" ht="15.75">
      <c r="A2" s="8"/>
      <c r="B2" s="9"/>
      <c r="C2" s="9"/>
      <c r="D2" s="10"/>
      <c r="E2" s="10"/>
      <c r="F2" s="10"/>
      <c r="G2" s="10"/>
      <c r="H2" s="10"/>
      <c r="I2" s="10"/>
      <c r="J2" s="10"/>
      <c r="K2" s="10"/>
      <c r="L2" s="10"/>
      <c r="M2" s="10"/>
      <c r="N2" s="6"/>
      <c r="O2" s="7"/>
      <c r="P2" s="7"/>
      <c r="Q2" s="7"/>
      <c r="R2" s="7"/>
    </row>
    <row r="3" spans="1:18" ht="15.75">
      <c r="A3" s="11"/>
      <c r="B3" s="154" t="s">
        <v>1</v>
      </c>
      <c r="C3" s="10"/>
      <c r="D3" s="10"/>
      <c r="E3" s="10"/>
      <c r="F3" s="10"/>
      <c r="G3" s="10"/>
      <c r="H3" s="10"/>
      <c r="I3" s="10"/>
      <c r="J3" s="10"/>
      <c r="K3" s="10"/>
      <c r="L3" s="10"/>
      <c r="M3" s="10"/>
      <c r="N3" s="6"/>
      <c r="O3" s="7"/>
      <c r="P3" s="7"/>
      <c r="Q3" s="7"/>
      <c r="R3" s="7"/>
    </row>
    <row r="4" spans="1:18" ht="15.75">
      <c r="A4" s="8"/>
      <c r="B4" s="9"/>
      <c r="C4" s="9"/>
      <c r="D4" s="10"/>
      <c r="E4" s="10"/>
      <c r="F4" s="10"/>
      <c r="G4" s="10"/>
      <c r="H4" s="10"/>
      <c r="I4" s="10"/>
      <c r="J4" s="10"/>
      <c r="K4" s="10"/>
      <c r="L4" s="10"/>
      <c r="M4" s="10"/>
      <c r="N4" s="6"/>
      <c r="O4" s="7"/>
      <c r="P4" s="7"/>
      <c r="Q4" s="7"/>
      <c r="R4" s="7"/>
    </row>
    <row r="5" spans="1:18" ht="12" customHeight="1">
      <c r="A5" s="8"/>
      <c r="B5" s="13" t="s">
        <v>2</v>
      </c>
      <c r="C5" s="14"/>
      <c r="D5" s="10"/>
      <c r="E5" s="10"/>
      <c r="F5" s="10"/>
      <c r="G5" s="10"/>
      <c r="H5" s="10"/>
      <c r="I5" s="10"/>
      <c r="J5" s="10"/>
      <c r="K5" s="10"/>
      <c r="L5" s="10"/>
      <c r="M5" s="10"/>
      <c r="N5" s="6"/>
      <c r="O5" s="7"/>
      <c r="P5" s="7"/>
      <c r="Q5" s="7"/>
      <c r="R5" s="7"/>
    </row>
    <row r="6" spans="1:18" ht="12" customHeight="1">
      <c r="A6" s="8"/>
      <c r="B6" s="13" t="s">
        <v>3</v>
      </c>
      <c r="C6" s="14"/>
      <c r="D6" s="10"/>
      <c r="E6" s="10"/>
      <c r="F6" s="10"/>
      <c r="G6" s="10"/>
      <c r="H6" s="10"/>
      <c r="I6" s="10"/>
      <c r="J6" s="10"/>
      <c r="K6" s="10"/>
      <c r="L6" s="10"/>
      <c r="M6" s="10"/>
      <c r="N6" s="6"/>
      <c r="O6" s="7"/>
      <c r="P6" s="7"/>
      <c r="Q6" s="7"/>
      <c r="R6" s="7"/>
    </row>
    <row r="7" spans="1:18" ht="12" customHeight="1">
      <c r="A7" s="8"/>
      <c r="B7" s="13" t="s">
        <v>4</v>
      </c>
      <c r="C7" s="14"/>
      <c r="D7" s="10"/>
      <c r="E7" s="10"/>
      <c r="F7" s="10"/>
      <c r="G7" s="10"/>
      <c r="H7" s="10"/>
      <c r="I7" s="10"/>
      <c r="J7" s="10"/>
      <c r="K7" s="10"/>
      <c r="L7" s="10"/>
      <c r="M7" s="10"/>
      <c r="N7" s="6"/>
      <c r="O7" s="7"/>
      <c r="P7" s="7"/>
      <c r="Q7" s="7"/>
      <c r="R7" s="7"/>
    </row>
    <row r="8" spans="1:18" ht="12" customHeight="1">
      <c r="A8" s="8"/>
      <c r="B8" s="13" t="s">
        <v>5</v>
      </c>
      <c r="C8" s="14"/>
      <c r="D8" s="10"/>
      <c r="E8" s="10"/>
      <c r="F8" s="10"/>
      <c r="G8" s="10"/>
      <c r="H8" s="10"/>
      <c r="I8" s="10"/>
      <c r="J8" s="10"/>
      <c r="K8" s="10"/>
      <c r="L8" s="10"/>
      <c r="M8" s="10"/>
      <c r="N8" s="6"/>
      <c r="O8" s="7"/>
      <c r="P8" s="7"/>
      <c r="Q8" s="7"/>
      <c r="R8" s="7"/>
    </row>
    <row r="9" spans="1:18" ht="12" customHeight="1">
      <c r="A9" s="8"/>
      <c r="B9" s="15"/>
      <c r="C9" s="14"/>
      <c r="D9" s="10"/>
      <c r="E9" s="10"/>
      <c r="F9" s="10"/>
      <c r="G9" s="10"/>
      <c r="H9" s="10"/>
      <c r="I9" s="10"/>
      <c r="J9" s="10"/>
      <c r="K9" s="10"/>
      <c r="L9" s="10"/>
      <c r="M9" s="10"/>
      <c r="N9" s="6"/>
      <c r="O9" s="7"/>
      <c r="P9" s="7"/>
      <c r="Q9" s="7"/>
      <c r="R9" s="7"/>
    </row>
    <row r="10" spans="1:18" ht="15.75">
      <c r="A10" s="8"/>
      <c r="B10" s="13"/>
      <c r="C10" s="14"/>
      <c r="D10" s="16"/>
      <c r="E10" s="16"/>
      <c r="F10" s="10"/>
      <c r="G10" s="10"/>
      <c r="H10" s="10"/>
      <c r="I10" s="10"/>
      <c r="J10" s="10"/>
      <c r="K10" s="10"/>
      <c r="L10" s="10"/>
      <c r="M10" s="10"/>
      <c r="N10" s="6"/>
      <c r="O10" s="7"/>
      <c r="P10" s="7"/>
      <c r="Q10" s="7"/>
      <c r="R10" s="7"/>
    </row>
    <row r="11" spans="1:18" ht="15.75">
      <c r="A11" s="8"/>
      <c r="B11" s="16" t="s">
        <v>6</v>
      </c>
      <c r="C11" s="16"/>
      <c r="D11" s="10"/>
      <c r="E11" s="10"/>
      <c r="F11" s="10"/>
      <c r="G11" s="10"/>
      <c r="H11" s="10"/>
      <c r="I11" s="10"/>
      <c r="J11" s="10"/>
      <c r="K11" s="10"/>
      <c r="L11" s="10"/>
      <c r="M11" s="10"/>
      <c r="N11" s="6"/>
      <c r="O11" s="7"/>
      <c r="P11" s="7"/>
      <c r="Q11" s="7"/>
      <c r="R11" s="7"/>
    </row>
    <row r="12" spans="1:18" ht="15.75">
      <c r="A12" s="8"/>
      <c r="B12" s="16"/>
      <c r="C12" s="16"/>
      <c r="D12" s="10"/>
      <c r="E12" s="10"/>
      <c r="F12" s="10"/>
      <c r="G12" s="10"/>
      <c r="H12" s="10"/>
      <c r="I12" s="10"/>
      <c r="J12" s="10"/>
      <c r="K12" s="10"/>
      <c r="L12" s="10"/>
      <c r="M12" s="10"/>
      <c r="N12" s="6"/>
      <c r="O12" s="7"/>
      <c r="P12" s="7"/>
      <c r="Q12" s="7"/>
      <c r="R12" s="7"/>
    </row>
    <row r="13" spans="1:18" ht="15.75">
      <c r="A13" s="2"/>
      <c r="B13" s="5"/>
      <c r="C13" s="5"/>
      <c r="D13" s="5"/>
      <c r="E13" s="5"/>
      <c r="F13" s="5"/>
      <c r="G13" s="5"/>
      <c r="H13" s="5"/>
      <c r="I13" s="5"/>
      <c r="J13" s="5"/>
      <c r="K13" s="5"/>
      <c r="L13" s="5"/>
      <c r="M13" s="5"/>
      <c r="N13" s="6"/>
      <c r="O13" s="7"/>
      <c r="P13" s="7"/>
      <c r="Q13" s="7"/>
      <c r="R13" s="7"/>
    </row>
    <row r="14" spans="1:18" ht="15.75">
      <c r="A14" s="8"/>
      <c r="B14" s="17" t="s">
        <v>7</v>
      </c>
      <c r="C14" s="17"/>
      <c r="D14" s="18"/>
      <c r="E14" s="18"/>
      <c r="F14" s="18"/>
      <c r="G14" s="18"/>
      <c r="H14" s="18"/>
      <c r="I14" s="18"/>
      <c r="J14" s="18"/>
      <c r="K14" s="18"/>
      <c r="L14" s="19" t="s">
        <v>185</v>
      </c>
      <c r="M14" s="10"/>
      <c r="N14" s="6"/>
      <c r="O14" s="7"/>
      <c r="P14" s="7"/>
      <c r="Q14" s="7"/>
      <c r="R14" s="7"/>
    </row>
    <row r="15" spans="1:18" ht="15.75">
      <c r="A15" s="8"/>
      <c r="B15" s="17" t="s">
        <v>8</v>
      </c>
      <c r="C15" s="17"/>
      <c r="D15" s="18"/>
      <c r="E15" s="18"/>
      <c r="F15" s="18"/>
      <c r="G15" s="18"/>
      <c r="H15" s="18"/>
      <c r="I15" s="18"/>
      <c r="J15" s="18"/>
      <c r="K15" s="18"/>
      <c r="L15" s="20" t="s">
        <v>186</v>
      </c>
      <c r="M15" s="10"/>
      <c r="N15" s="6"/>
      <c r="O15" s="7"/>
      <c r="P15" s="7"/>
      <c r="Q15" s="7"/>
      <c r="R15" s="7"/>
    </row>
    <row r="16" spans="1:18" ht="15.75">
      <c r="A16" s="8"/>
      <c r="B16" s="17" t="s">
        <v>9</v>
      </c>
      <c r="C16" s="17"/>
      <c r="D16" s="18"/>
      <c r="E16" s="18"/>
      <c r="F16" s="18"/>
      <c r="G16" s="18"/>
      <c r="H16" s="18"/>
      <c r="I16" s="18"/>
      <c r="J16" s="18"/>
      <c r="K16" s="18"/>
      <c r="L16" s="21">
        <v>36440</v>
      </c>
      <c r="M16" s="10"/>
      <c r="N16" s="6"/>
      <c r="O16" s="7"/>
      <c r="P16" s="7"/>
      <c r="Q16" s="7"/>
      <c r="R16" s="7"/>
    </row>
    <row r="17" spans="1:18" ht="15.75">
      <c r="A17" s="8"/>
      <c r="B17" s="10"/>
      <c r="C17" s="10"/>
      <c r="D17" s="10"/>
      <c r="E17" s="10"/>
      <c r="F17" s="10"/>
      <c r="G17" s="10"/>
      <c r="H17" s="10"/>
      <c r="I17" s="10"/>
      <c r="J17" s="10"/>
      <c r="K17" s="10"/>
      <c r="L17" s="22"/>
      <c r="M17" s="10"/>
      <c r="N17" s="6"/>
      <c r="O17" s="7"/>
      <c r="P17" s="7"/>
      <c r="Q17" s="7"/>
      <c r="R17" s="7"/>
    </row>
    <row r="18" spans="1:18" ht="15.75">
      <c r="A18" s="8"/>
      <c r="B18" s="23" t="s">
        <v>10</v>
      </c>
      <c r="C18" s="10"/>
      <c r="D18" s="10"/>
      <c r="E18" s="10"/>
      <c r="F18" s="10"/>
      <c r="G18" s="10"/>
      <c r="H18" s="10"/>
      <c r="I18" s="10"/>
      <c r="J18" s="22" t="s">
        <v>174</v>
      </c>
      <c r="K18" s="10"/>
      <c r="L18" s="15"/>
      <c r="M18" s="10"/>
      <c r="N18" s="6"/>
      <c r="O18" s="7"/>
      <c r="P18" s="7"/>
      <c r="Q18" s="7"/>
      <c r="R18" s="7"/>
    </row>
    <row r="19" spans="1:18" ht="15.75">
      <c r="A19" s="8"/>
      <c r="B19" s="10"/>
      <c r="C19" s="10"/>
      <c r="D19" s="10"/>
      <c r="E19" s="10"/>
      <c r="F19" s="10"/>
      <c r="G19" s="10"/>
      <c r="H19" s="10"/>
      <c r="I19" s="10"/>
      <c r="J19" s="10"/>
      <c r="K19" s="10"/>
      <c r="L19" s="24"/>
      <c r="M19" s="10"/>
      <c r="N19" s="6"/>
      <c r="O19" s="7"/>
      <c r="P19" s="7"/>
      <c r="Q19" s="7"/>
      <c r="R19" s="7"/>
    </row>
    <row r="20" spans="1:18" ht="15.75">
      <c r="A20" s="8"/>
      <c r="B20" s="10"/>
      <c r="C20" s="155" t="s">
        <v>143</v>
      </c>
      <c r="D20" s="25"/>
      <c r="E20" s="25"/>
      <c r="F20" s="157" t="s">
        <v>151</v>
      </c>
      <c r="G20" s="157"/>
      <c r="H20" s="157" t="s">
        <v>164</v>
      </c>
      <c r="I20" s="158"/>
      <c r="J20" s="158"/>
      <c r="K20" s="15"/>
      <c r="L20" s="15"/>
      <c r="M20" s="10"/>
      <c r="N20" s="6"/>
      <c r="O20" s="7"/>
      <c r="P20" s="7"/>
      <c r="Q20" s="7"/>
      <c r="R20" s="7"/>
    </row>
    <row r="21" spans="1:18" ht="15.75">
      <c r="A21" s="27"/>
      <c r="B21" s="28" t="s">
        <v>11</v>
      </c>
      <c r="C21" s="156" t="s">
        <v>144</v>
      </c>
      <c r="D21" s="29"/>
      <c r="E21" s="29"/>
      <c r="F21" s="29" t="s">
        <v>152</v>
      </c>
      <c r="G21" s="29"/>
      <c r="H21" s="29" t="s">
        <v>165</v>
      </c>
      <c r="I21" s="29"/>
      <c r="J21" s="29"/>
      <c r="K21" s="30"/>
      <c r="L21" s="30"/>
      <c r="M21" s="28"/>
      <c r="N21" s="6"/>
      <c r="O21" s="7"/>
      <c r="P21" s="7"/>
      <c r="Q21" s="7"/>
      <c r="R21" s="7"/>
    </row>
    <row r="22" spans="1:18" ht="15.75">
      <c r="A22" s="27"/>
      <c r="B22" s="28" t="s">
        <v>12</v>
      </c>
      <c r="C22" s="31"/>
      <c r="D22" s="29"/>
      <c r="E22" s="29"/>
      <c r="F22" s="29" t="s">
        <v>153</v>
      </c>
      <c r="G22" s="29"/>
      <c r="H22" s="29" t="s">
        <v>166</v>
      </c>
      <c r="I22" s="29"/>
      <c r="J22" s="29"/>
      <c r="K22" s="30"/>
      <c r="L22" s="30"/>
      <c r="M22" s="28"/>
      <c r="N22" s="6"/>
      <c r="O22" s="7"/>
      <c r="P22" s="7"/>
      <c r="Q22" s="7"/>
      <c r="R22" s="7"/>
    </row>
    <row r="23" spans="1:18" ht="15.75">
      <c r="A23" s="32"/>
      <c r="B23" s="33" t="s">
        <v>13</v>
      </c>
      <c r="C23" s="33"/>
      <c r="D23" s="34"/>
      <c r="E23" s="34"/>
      <c r="F23" s="34" t="s">
        <v>152</v>
      </c>
      <c r="G23" s="34"/>
      <c r="H23" s="34" t="s">
        <v>165</v>
      </c>
      <c r="I23" s="34"/>
      <c r="J23" s="29"/>
      <c r="K23" s="30"/>
      <c r="L23" s="30"/>
      <c r="M23" s="28"/>
      <c r="N23" s="6"/>
      <c r="O23" s="7"/>
      <c r="P23" s="7"/>
      <c r="Q23" s="7"/>
      <c r="R23" s="7"/>
    </row>
    <row r="24" spans="1:18" ht="15.75">
      <c r="A24" s="32"/>
      <c r="B24" s="33" t="s">
        <v>14</v>
      </c>
      <c r="C24" s="33"/>
      <c r="D24" s="34"/>
      <c r="E24" s="34"/>
      <c r="F24" s="34" t="s">
        <v>153</v>
      </c>
      <c r="G24" s="34"/>
      <c r="H24" s="34" t="s">
        <v>166</v>
      </c>
      <c r="I24" s="34"/>
      <c r="J24" s="29"/>
      <c r="K24" s="30"/>
      <c r="L24" s="30"/>
      <c r="M24" s="28"/>
      <c r="N24" s="6"/>
      <c r="O24" s="7"/>
      <c r="P24" s="7"/>
      <c r="Q24" s="7"/>
      <c r="R24" s="7"/>
    </row>
    <row r="25" spans="1:18" ht="15.75">
      <c r="A25" s="27"/>
      <c r="B25" s="28" t="s">
        <v>15</v>
      </c>
      <c r="C25" s="28"/>
      <c r="D25" s="31"/>
      <c r="E25" s="29"/>
      <c r="F25" s="31" t="s">
        <v>154</v>
      </c>
      <c r="G25" s="29"/>
      <c r="H25" s="31" t="s">
        <v>167</v>
      </c>
      <c r="I25" s="29"/>
      <c r="J25" s="31"/>
      <c r="K25" s="30"/>
      <c r="L25" s="30"/>
      <c r="M25" s="28"/>
      <c r="N25" s="6"/>
      <c r="O25" s="7"/>
      <c r="P25" s="7"/>
      <c r="Q25" s="7"/>
      <c r="R25" s="7"/>
    </row>
    <row r="26" spans="1:18" ht="15.75">
      <c r="A26" s="27"/>
      <c r="B26" s="28"/>
      <c r="C26" s="28"/>
      <c r="D26" s="28"/>
      <c r="E26" s="29"/>
      <c r="F26" s="29"/>
      <c r="G26" s="29"/>
      <c r="H26" s="29"/>
      <c r="I26" s="29"/>
      <c r="J26" s="29"/>
      <c r="K26" s="30"/>
      <c r="L26" s="30"/>
      <c r="M26" s="28"/>
      <c r="N26" s="6"/>
      <c r="O26" s="7"/>
      <c r="P26" s="7"/>
      <c r="Q26" s="7"/>
      <c r="R26" s="7"/>
    </row>
    <row r="27" spans="1:18" ht="15.75">
      <c r="A27" s="27"/>
      <c r="B27" s="28" t="s">
        <v>16</v>
      </c>
      <c r="C27" s="28"/>
      <c r="D27" s="35"/>
      <c r="E27" s="36"/>
      <c r="F27" s="35">
        <v>168000</v>
      </c>
      <c r="G27" s="35"/>
      <c r="H27" s="35">
        <v>17000</v>
      </c>
      <c r="I27" s="35"/>
      <c r="J27" s="35"/>
      <c r="K27" s="37"/>
      <c r="L27" s="35">
        <f>H27+F27</f>
        <v>185000</v>
      </c>
      <c r="M27" s="38"/>
      <c r="N27" s="6"/>
      <c r="O27" s="7"/>
      <c r="P27" s="7"/>
      <c r="Q27" s="7"/>
      <c r="R27" s="7"/>
    </row>
    <row r="28" spans="1:18" ht="15.75">
      <c r="A28" s="27"/>
      <c r="B28" s="28" t="s">
        <v>17</v>
      </c>
      <c r="C28" s="39">
        <v>1</v>
      </c>
      <c r="D28" s="35"/>
      <c r="E28" s="36"/>
      <c r="F28" s="35">
        <v>168000</v>
      </c>
      <c r="G28" s="35"/>
      <c r="H28" s="35">
        <v>17000</v>
      </c>
      <c r="I28" s="35"/>
      <c r="J28" s="35"/>
      <c r="K28" s="37"/>
      <c r="L28" s="35">
        <f>H28+F28</f>
        <v>185000</v>
      </c>
      <c r="M28" s="38"/>
      <c r="N28" s="6"/>
      <c r="O28" s="7"/>
      <c r="P28" s="7"/>
      <c r="Q28" s="7"/>
      <c r="R28" s="7"/>
    </row>
    <row r="29" spans="1:18" ht="12.75" customHeight="1">
      <c r="A29" s="32"/>
      <c r="B29" s="33" t="s">
        <v>18</v>
      </c>
      <c r="C29" s="40">
        <v>0.97946</v>
      </c>
      <c r="D29" s="41"/>
      <c r="E29" s="42"/>
      <c r="F29" s="41">
        <f>16800*C29*10</f>
        <v>164549.28</v>
      </c>
      <c r="G29" s="41"/>
      <c r="H29" s="41">
        <v>17000</v>
      </c>
      <c r="I29" s="41"/>
      <c r="J29" s="41"/>
      <c r="K29" s="43"/>
      <c r="L29" s="41">
        <f>H29+F29+D29</f>
        <v>181549.28</v>
      </c>
      <c r="M29" s="38"/>
      <c r="N29" s="6"/>
      <c r="O29" s="7"/>
      <c r="P29" s="7"/>
      <c r="Q29" s="7"/>
      <c r="R29" s="7"/>
    </row>
    <row r="30" spans="1:18" ht="15.75">
      <c r="A30" s="27"/>
      <c r="B30" s="28" t="s">
        <v>19</v>
      </c>
      <c r="C30" s="44"/>
      <c r="D30" s="31"/>
      <c r="E30" s="28"/>
      <c r="F30" s="31" t="s">
        <v>155</v>
      </c>
      <c r="G30" s="31"/>
      <c r="H30" s="31" t="s">
        <v>168</v>
      </c>
      <c r="I30" s="31"/>
      <c r="J30" s="31"/>
      <c r="K30" s="30"/>
      <c r="L30" s="30"/>
      <c r="M30" s="28"/>
      <c r="N30" s="6"/>
      <c r="O30" s="7"/>
      <c r="P30" s="7"/>
      <c r="Q30" s="7"/>
      <c r="R30" s="7"/>
    </row>
    <row r="31" spans="1:18" ht="15.75">
      <c r="A31" s="27"/>
      <c r="B31" s="28" t="s">
        <v>20</v>
      </c>
      <c r="C31" s="28"/>
      <c r="D31" s="45"/>
      <c r="E31" s="28"/>
      <c r="F31" s="45">
        <f>(5.48632)/100</f>
        <v>0.0548632</v>
      </c>
      <c r="G31" s="46"/>
      <c r="H31" s="45">
        <f>(6.00632)/100</f>
        <v>0.0600632</v>
      </c>
      <c r="I31" s="46"/>
      <c r="J31" s="45"/>
      <c r="K31" s="30"/>
      <c r="L31" s="46">
        <f>SUMPRODUCT(F31:H31,F28:H28)/L28</f>
        <v>0.05534103783783784</v>
      </c>
      <c r="M31" s="28"/>
      <c r="N31" s="6"/>
      <c r="O31" s="7"/>
      <c r="P31" s="7"/>
      <c r="Q31" s="7"/>
      <c r="R31" s="7"/>
    </row>
    <row r="32" spans="1:18" ht="15.75">
      <c r="A32" s="27"/>
      <c r="B32" s="28" t="s">
        <v>21</v>
      </c>
      <c r="C32" s="28"/>
      <c r="D32" s="45"/>
      <c r="E32" s="28"/>
      <c r="F32" s="45" t="s">
        <v>156</v>
      </c>
      <c r="G32" s="46"/>
      <c r="H32" s="45" t="s">
        <v>156</v>
      </c>
      <c r="I32" s="46"/>
      <c r="J32" s="45"/>
      <c r="K32" s="30"/>
      <c r="L32" s="30"/>
      <c r="M32" s="28"/>
      <c r="N32" s="6"/>
      <c r="O32" s="7"/>
      <c r="P32" s="7"/>
      <c r="Q32" s="7"/>
      <c r="R32" s="7"/>
    </row>
    <row r="33" spans="1:18" ht="15.75">
      <c r="A33" s="27"/>
      <c r="B33" s="28" t="s">
        <v>22</v>
      </c>
      <c r="C33" s="28"/>
      <c r="D33" s="31"/>
      <c r="E33" s="28"/>
      <c r="F33" s="31" t="s">
        <v>157</v>
      </c>
      <c r="G33" s="31"/>
      <c r="H33" s="31" t="s">
        <v>157</v>
      </c>
      <c r="I33" s="31"/>
      <c r="J33" s="31"/>
      <c r="K33" s="30"/>
      <c r="L33" s="30"/>
      <c r="M33" s="28"/>
      <c r="N33" s="6"/>
      <c r="O33" s="7"/>
      <c r="P33" s="7"/>
      <c r="Q33" s="7"/>
      <c r="R33" s="7"/>
    </row>
    <row r="34" spans="1:18" ht="15.75">
      <c r="A34" s="27"/>
      <c r="B34" s="28" t="s">
        <v>23</v>
      </c>
      <c r="C34" s="28"/>
      <c r="D34" s="31"/>
      <c r="E34" s="28"/>
      <c r="F34" s="31" t="s">
        <v>158</v>
      </c>
      <c r="G34" s="31"/>
      <c r="H34" s="31" t="s">
        <v>158</v>
      </c>
      <c r="I34" s="31"/>
      <c r="J34" s="31"/>
      <c r="K34" s="30"/>
      <c r="L34" s="30"/>
      <c r="M34" s="28"/>
      <c r="N34" s="6"/>
      <c r="O34" s="7"/>
      <c r="P34" s="7"/>
      <c r="Q34" s="7"/>
      <c r="R34" s="7"/>
    </row>
    <row r="35" spans="1:18" ht="15.75">
      <c r="A35" s="27"/>
      <c r="B35" s="28" t="s">
        <v>24</v>
      </c>
      <c r="C35" s="28"/>
      <c r="D35" s="31"/>
      <c r="E35" s="28"/>
      <c r="F35" s="31" t="s">
        <v>159</v>
      </c>
      <c r="G35" s="31"/>
      <c r="H35" s="31" t="s">
        <v>169</v>
      </c>
      <c r="I35" s="31"/>
      <c r="J35" s="31"/>
      <c r="K35" s="30"/>
      <c r="L35" s="30"/>
      <c r="M35" s="28"/>
      <c r="N35" s="6"/>
      <c r="O35" s="7"/>
      <c r="P35" s="7"/>
      <c r="Q35" s="7"/>
      <c r="R35" s="7"/>
    </row>
    <row r="36" spans="1:18" ht="15.75">
      <c r="A36" s="27"/>
      <c r="B36" s="28"/>
      <c r="C36" s="28"/>
      <c r="D36" s="47"/>
      <c r="E36" s="47"/>
      <c r="F36" s="28"/>
      <c r="G36" s="47"/>
      <c r="H36" s="47"/>
      <c r="I36" s="47"/>
      <c r="J36" s="47"/>
      <c r="K36" s="47"/>
      <c r="L36" s="47"/>
      <c r="M36" s="28"/>
      <c r="N36" s="6"/>
      <c r="O36" s="7"/>
      <c r="P36" s="7"/>
      <c r="Q36" s="7"/>
      <c r="R36" s="7"/>
    </row>
    <row r="37" spans="1:18" ht="15.75">
      <c r="A37" s="27"/>
      <c r="B37" s="28" t="s">
        <v>25</v>
      </c>
      <c r="C37" s="28"/>
      <c r="D37" s="28"/>
      <c r="E37" s="28"/>
      <c r="F37" s="28"/>
      <c r="G37" s="28"/>
      <c r="H37" s="28"/>
      <c r="I37" s="28"/>
      <c r="J37" s="28"/>
      <c r="K37" s="28"/>
      <c r="L37" s="46">
        <f>H27/F27</f>
        <v>0.10119047619047619</v>
      </c>
      <c r="M37" s="28"/>
      <c r="N37" s="6"/>
      <c r="O37" s="7"/>
      <c r="P37" s="7"/>
      <c r="Q37" s="7"/>
      <c r="R37" s="7"/>
    </row>
    <row r="38" spans="1:18" ht="15.75">
      <c r="A38" s="27"/>
      <c r="B38" s="28" t="s">
        <v>26</v>
      </c>
      <c r="C38" s="28"/>
      <c r="D38" s="28"/>
      <c r="E38" s="28"/>
      <c r="F38" s="28"/>
      <c r="G38" s="28"/>
      <c r="H38" s="28"/>
      <c r="I38" s="28"/>
      <c r="J38" s="28"/>
      <c r="K38" s="28"/>
      <c r="L38" s="46">
        <f>H29/F29</f>
        <v>0.10331251525378901</v>
      </c>
      <c r="M38" s="28"/>
      <c r="N38" s="6"/>
      <c r="O38" s="7"/>
      <c r="P38" s="7"/>
      <c r="Q38" s="7"/>
      <c r="R38" s="7"/>
    </row>
    <row r="39" spans="1:18" ht="15.75">
      <c r="A39" s="27"/>
      <c r="B39" s="28" t="s">
        <v>27</v>
      </c>
      <c r="C39" s="28"/>
      <c r="D39" s="28"/>
      <c r="E39" s="28"/>
      <c r="F39" s="28"/>
      <c r="G39" s="28"/>
      <c r="H39" s="28"/>
      <c r="I39" s="28"/>
      <c r="J39" s="31" t="s">
        <v>151</v>
      </c>
      <c r="K39" s="31" t="s">
        <v>183</v>
      </c>
      <c r="L39" s="35">
        <v>75500</v>
      </c>
      <c r="M39" s="28"/>
      <c r="N39" s="6"/>
      <c r="O39" s="7"/>
      <c r="P39" s="7"/>
      <c r="Q39" s="7"/>
      <c r="R39" s="7"/>
    </row>
    <row r="40" spans="1:18" ht="15.75">
      <c r="A40" s="27"/>
      <c r="B40" s="28"/>
      <c r="C40" s="28"/>
      <c r="D40" s="28"/>
      <c r="E40" s="28"/>
      <c r="F40" s="28"/>
      <c r="G40" s="28"/>
      <c r="H40" s="28"/>
      <c r="I40" s="28"/>
      <c r="J40" s="28" t="s">
        <v>175</v>
      </c>
      <c r="K40" s="28"/>
      <c r="L40" s="48"/>
      <c r="M40" s="28"/>
      <c r="N40" s="6"/>
      <c r="O40" s="7"/>
      <c r="P40" s="7"/>
      <c r="Q40" s="7"/>
      <c r="R40" s="7"/>
    </row>
    <row r="41" spans="1:18" ht="15.75">
      <c r="A41" s="27"/>
      <c r="B41" s="28" t="s">
        <v>28</v>
      </c>
      <c r="C41" s="28"/>
      <c r="D41" s="28"/>
      <c r="E41" s="28"/>
      <c r="F41" s="28"/>
      <c r="G41" s="28"/>
      <c r="H41" s="28"/>
      <c r="I41" s="28"/>
      <c r="J41" s="31"/>
      <c r="K41" s="31"/>
      <c r="L41" s="31" t="s">
        <v>187</v>
      </c>
      <c r="M41" s="28"/>
      <c r="N41" s="6"/>
      <c r="O41" s="7"/>
      <c r="P41" s="7"/>
      <c r="Q41" s="7"/>
      <c r="R41" s="7"/>
    </row>
    <row r="42" spans="1:18" ht="15.75">
      <c r="A42" s="32"/>
      <c r="B42" s="33" t="s">
        <v>29</v>
      </c>
      <c r="C42" s="33"/>
      <c r="D42" s="33"/>
      <c r="E42" s="33"/>
      <c r="F42" s="33"/>
      <c r="G42" s="33"/>
      <c r="H42" s="33"/>
      <c r="I42" s="33"/>
      <c r="J42" s="49"/>
      <c r="K42" s="49"/>
      <c r="L42" s="50">
        <v>36448</v>
      </c>
      <c r="M42" s="28"/>
      <c r="N42" s="6"/>
      <c r="O42" s="7"/>
      <c r="P42" s="7"/>
      <c r="Q42" s="7"/>
      <c r="R42" s="7"/>
    </row>
    <row r="43" spans="1:18" ht="15.75">
      <c r="A43" s="27"/>
      <c r="B43" s="28" t="s">
        <v>30</v>
      </c>
      <c r="C43" s="28"/>
      <c r="D43" s="28"/>
      <c r="E43" s="28"/>
      <c r="F43" s="28"/>
      <c r="G43" s="28"/>
      <c r="H43" s="28"/>
      <c r="I43" s="28">
        <v>0</v>
      </c>
      <c r="J43" s="51"/>
      <c r="K43" s="52"/>
      <c r="L43" s="51"/>
      <c r="M43" s="28"/>
      <c r="N43" s="6"/>
      <c r="O43" s="7"/>
      <c r="P43" s="7"/>
      <c r="Q43" s="7"/>
      <c r="R43" s="7"/>
    </row>
    <row r="44" spans="1:18" ht="15.75">
      <c r="A44" s="27"/>
      <c r="B44" s="28" t="s">
        <v>31</v>
      </c>
      <c r="C44" s="28"/>
      <c r="D44" s="28"/>
      <c r="E44" s="28"/>
      <c r="F44" s="28"/>
      <c r="G44" s="28"/>
      <c r="H44" s="28"/>
      <c r="I44" s="28">
        <f>L44-J44+1</f>
        <v>126</v>
      </c>
      <c r="J44" s="51">
        <v>36322</v>
      </c>
      <c r="K44" s="52"/>
      <c r="L44" s="51">
        <v>36447</v>
      </c>
      <c r="M44" s="28"/>
      <c r="N44" s="6"/>
      <c r="O44" s="7"/>
      <c r="P44" s="7"/>
      <c r="Q44" s="7"/>
      <c r="R44" s="7"/>
    </row>
    <row r="45" spans="1:18" ht="15.75">
      <c r="A45" s="27"/>
      <c r="B45" s="28" t="s">
        <v>32</v>
      </c>
      <c r="C45" s="28"/>
      <c r="D45" s="28"/>
      <c r="E45" s="28"/>
      <c r="F45" s="28"/>
      <c r="G45" s="28"/>
      <c r="H45" s="28"/>
      <c r="I45" s="28"/>
      <c r="J45" s="51"/>
      <c r="K45" s="52"/>
      <c r="L45" s="51" t="s">
        <v>188</v>
      </c>
      <c r="M45" s="28"/>
      <c r="N45" s="6"/>
      <c r="O45" s="7"/>
      <c r="P45" s="7"/>
      <c r="Q45" s="7"/>
      <c r="R45" s="7"/>
    </row>
    <row r="46" spans="1:18" ht="15.75">
      <c r="A46" s="27"/>
      <c r="B46" s="28" t="s">
        <v>33</v>
      </c>
      <c r="C46" s="28"/>
      <c r="D46" s="28"/>
      <c r="E46" s="28"/>
      <c r="F46" s="28"/>
      <c r="G46" s="28"/>
      <c r="H46" s="28"/>
      <c r="I46" s="28"/>
      <c r="J46" s="51"/>
      <c r="K46" s="52"/>
      <c r="L46" s="51">
        <v>36440</v>
      </c>
      <c r="M46" s="28"/>
      <c r="N46" s="6"/>
      <c r="O46" s="7"/>
      <c r="P46" s="7"/>
      <c r="Q46" s="7"/>
      <c r="R46" s="7"/>
    </row>
    <row r="47" spans="1:18" ht="15.75">
      <c r="A47" s="27"/>
      <c r="B47" s="28"/>
      <c r="C47" s="28"/>
      <c r="D47" s="28"/>
      <c r="E47" s="28"/>
      <c r="F47" s="28"/>
      <c r="G47" s="28"/>
      <c r="H47" s="28"/>
      <c r="I47" s="28"/>
      <c r="J47" s="51"/>
      <c r="K47" s="52"/>
      <c r="L47" s="51"/>
      <c r="M47" s="28"/>
      <c r="N47" s="6"/>
      <c r="O47" s="7"/>
      <c r="P47" s="7"/>
      <c r="Q47" s="7"/>
      <c r="R47" s="7"/>
    </row>
    <row r="48" spans="1:18" ht="19.5" thickBot="1">
      <c r="A48" s="138"/>
      <c r="B48" s="139" t="s">
        <v>34</v>
      </c>
      <c r="C48" s="140"/>
      <c r="D48" s="140"/>
      <c r="E48" s="140"/>
      <c r="F48" s="140"/>
      <c r="G48" s="140"/>
      <c r="H48" s="140"/>
      <c r="I48" s="140"/>
      <c r="J48" s="140"/>
      <c r="K48" s="140"/>
      <c r="L48" s="141"/>
      <c r="M48" s="142"/>
      <c r="N48" s="6"/>
      <c r="O48" s="7"/>
      <c r="P48" s="7"/>
      <c r="Q48" s="7"/>
      <c r="R48" s="7"/>
    </row>
    <row r="49" spans="1:18" ht="15.75">
      <c r="A49" s="2"/>
      <c r="B49" s="5"/>
      <c r="C49" s="5"/>
      <c r="D49" s="5"/>
      <c r="E49" s="5"/>
      <c r="F49" s="5"/>
      <c r="G49" s="5"/>
      <c r="H49" s="5"/>
      <c r="I49" s="5"/>
      <c r="J49" s="5"/>
      <c r="K49" s="5"/>
      <c r="L49" s="57"/>
      <c r="M49" s="5"/>
      <c r="N49" s="6"/>
      <c r="O49" s="7"/>
      <c r="P49" s="7"/>
      <c r="Q49" s="7"/>
      <c r="R49" s="7"/>
    </row>
    <row r="50" spans="1:18" ht="15.75">
      <c r="A50" s="8"/>
      <c r="B50" s="58" t="s">
        <v>35</v>
      </c>
      <c r="C50" s="16"/>
      <c r="D50" s="10"/>
      <c r="E50" s="10"/>
      <c r="F50" s="10"/>
      <c r="G50" s="10"/>
      <c r="H50" s="10"/>
      <c r="I50" s="10"/>
      <c r="J50" s="10"/>
      <c r="K50" s="10"/>
      <c r="L50" s="59"/>
      <c r="M50" s="10"/>
      <c r="N50" s="6"/>
      <c r="O50" s="7"/>
      <c r="P50" s="7"/>
      <c r="Q50" s="7"/>
      <c r="R50" s="7"/>
    </row>
    <row r="51" spans="1:18" ht="15.75">
      <c r="A51" s="8"/>
      <c r="B51" s="16"/>
      <c r="C51" s="16"/>
      <c r="D51" s="10"/>
      <c r="E51" s="10"/>
      <c r="F51" s="10"/>
      <c r="G51" s="10"/>
      <c r="H51" s="10"/>
      <c r="I51" s="10"/>
      <c r="J51" s="10"/>
      <c r="K51" s="10"/>
      <c r="L51" s="59"/>
      <c r="M51" s="10"/>
      <c r="N51" s="6"/>
      <c r="O51" s="7"/>
      <c r="P51" s="7"/>
      <c r="Q51" s="7"/>
      <c r="R51" s="7"/>
    </row>
    <row r="52" spans="1:14" s="165" customFormat="1" ht="63">
      <c r="A52" s="159"/>
      <c r="B52" s="160" t="s">
        <v>36</v>
      </c>
      <c r="C52" s="161" t="s">
        <v>145</v>
      </c>
      <c r="D52" s="161" t="s">
        <v>147</v>
      </c>
      <c r="E52" s="161"/>
      <c r="F52" s="161" t="s">
        <v>160</v>
      </c>
      <c r="G52" s="161"/>
      <c r="H52" s="161" t="s">
        <v>170</v>
      </c>
      <c r="I52" s="161"/>
      <c r="J52" s="161" t="s">
        <v>176</v>
      </c>
      <c r="K52" s="161"/>
      <c r="L52" s="162" t="s">
        <v>189</v>
      </c>
      <c r="M52" s="163"/>
      <c r="N52" s="164"/>
    </row>
    <row r="53" spans="1:18" ht="15.75">
      <c r="A53" s="27"/>
      <c r="B53" s="28" t="s">
        <v>37</v>
      </c>
      <c r="C53" s="38">
        <v>162582</v>
      </c>
      <c r="D53" s="38">
        <v>162582</v>
      </c>
      <c r="E53" s="38"/>
      <c r="F53" s="38">
        <f>3385+809</f>
        <v>4194</v>
      </c>
      <c r="G53" s="38"/>
      <c r="H53" s="38">
        <f>809+22352</f>
        <v>23161</v>
      </c>
      <c r="I53" s="38"/>
      <c r="J53" s="38">
        <v>0</v>
      </c>
      <c r="K53" s="38"/>
      <c r="L53" s="60">
        <f>D53-F53+H53-J53</f>
        <v>181549</v>
      </c>
      <c r="M53" s="28"/>
      <c r="N53" s="6"/>
      <c r="O53" s="7"/>
      <c r="P53" s="7"/>
      <c r="Q53" s="7"/>
      <c r="R53" s="7"/>
    </row>
    <row r="54" spans="1:18" ht="15.75">
      <c r="A54" s="27"/>
      <c r="B54" s="28" t="s">
        <v>38</v>
      </c>
      <c r="C54" s="38">
        <v>66</v>
      </c>
      <c r="D54" s="38">
        <v>66</v>
      </c>
      <c r="E54" s="38"/>
      <c r="F54" s="38">
        <v>66</v>
      </c>
      <c r="G54" s="38"/>
      <c r="H54" s="38">
        <v>0</v>
      </c>
      <c r="I54" s="38"/>
      <c r="J54" s="38">
        <v>0</v>
      </c>
      <c r="K54" s="38"/>
      <c r="L54" s="60">
        <f>D54-F54</f>
        <v>0</v>
      </c>
      <c r="M54" s="28"/>
      <c r="N54" s="6"/>
      <c r="O54" s="7"/>
      <c r="P54" s="7"/>
      <c r="Q54" s="7"/>
      <c r="R54" s="7"/>
    </row>
    <row r="55" spans="1:18" ht="15.75">
      <c r="A55" s="27"/>
      <c r="B55" s="28"/>
      <c r="C55" s="38"/>
      <c r="D55" s="38"/>
      <c r="E55" s="38"/>
      <c r="F55" s="38"/>
      <c r="G55" s="38"/>
      <c r="H55" s="38"/>
      <c r="I55" s="38"/>
      <c r="J55" s="38"/>
      <c r="K55" s="38"/>
      <c r="L55" s="60"/>
      <c r="M55" s="28"/>
      <c r="N55" s="6"/>
      <c r="O55" s="7"/>
      <c r="P55" s="7"/>
      <c r="Q55" s="7"/>
      <c r="R55" s="7"/>
    </row>
    <row r="56" spans="1:18" ht="15.75">
      <c r="A56" s="27"/>
      <c r="B56" s="28" t="s">
        <v>39</v>
      </c>
      <c r="C56" s="38">
        <f>SUM(C53:C55)</f>
        <v>162648</v>
      </c>
      <c r="D56" s="38">
        <f>SUM(D53:D55)</f>
        <v>162648</v>
      </c>
      <c r="E56" s="38"/>
      <c r="F56" s="38">
        <f>SUM(F53:F55)</f>
        <v>4260</v>
      </c>
      <c r="G56" s="38"/>
      <c r="H56" s="38">
        <f>SUM(H53:H55)</f>
        <v>23161</v>
      </c>
      <c r="I56" s="38"/>
      <c r="J56" s="38">
        <f>SUM(J53:J55)</f>
        <v>0</v>
      </c>
      <c r="K56" s="38"/>
      <c r="L56" s="61">
        <f>SUM(L53:L55)</f>
        <v>181549</v>
      </c>
      <c r="M56" s="28"/>
      <c r="N56" s="6"/>
      <c r="O56" s="7"/>
      <c r="P56" s="7"/>
      <c r="Q56" s="7"/>
      <c r="R56" s="7"/>
    </row>
    <row r="57" spans="1:18" ht="15.75">
      <c r="A57" s="27"/>
      <c r="B57" s="28"/>
      <c r="C57" s="38"/>
      <c r="D57" s="38"/>
      <c r="E57" s="38"/>
      <c r="F57" s="38"/>
      <c r="G57" s="38"/>
      <c r="H57" s="38"/>
      <c r="I57" s="38"/>
      <c r="J57" s="38"/>
      <c r="K57" s="38"/>
      <c r="L57" s="61"/>
      <c r="M57" s="28"/>
      <c r="N57" s="6"/>
      <c r="O57" s="7"/>
      <c r="P57" s="7"/>
      <c r="Q57" s="7"/>
      <c r="R57" s="7"/>
    </row>
    <row r="58" spans="1:18" ht="15.75">
      <c r="A58" s="8"/>
      <c r="B58" s="17" t="s">
        <v>40</v>
      </c>
      <c r="C58" s="62"/>
      <c r="D58" s="62"/>
      <c r="E58" s="62"/>
      <c r="F58" s="62"/>
      <c r="G58" s="62"/>
      <c r="H58" s="62"/>
      <c r="I58" s="62"/>
      <c r="J58" s="62"/>
      <c r="K58" s="62"/>
      <c r="L58" s="63"/>
      <c r="M58" s="10"/>
      <c r="N58" s="64"/>
      <c r="O58" s="7"/>
      <c r="P58" s="7"/>
      <c r="Q58" s="7"/>
      <c r="R58" s="7"/>
    </row>
    <row r="59" spans="1:18" ht="15.75">
      <c r="A59" s="8"/>
      <c r="B59" s="10"/>
      <c r="C59" s="62"/>
      <c r="D59" s="62"/>
      <c r="E59" s="62"/>
      <c r="F59" s="62"/>
      <c r="G59" s="62"/>
      <c r="H59" s="62"/>
      <c r="I59" s="62"/>
      <c r="J59" s="62"/>
      <c r="K59" s="62"/>
      <c r="L59" s="63"/>
      <c r="M59" s="10"/>
      <c r="N59" s="6"/>
      <c r="O59" s="7"/>
      <c r="P59" s="7"/>
      <c r="Q59" s="7"/>
      <c r="R59" s="7"/>
    </row>
    <row r="60" spans="1:18" ht="15.75">
      <c r="A60" s="27"/>
      <c r="B60" s="28" t="s">
        <v>37</v>
      </c>
      <c r="C60" s="38"/>
      <c r="D60" s="38"/>
      <c r="E60" s="38"/>
      <c r="F60" s="38"/>
      <c r="G60" s="38"/>
      <c r="H60" s="38"/>
      <c r="I60" s="38"/>
      <c r="J60" s="38"/>
      <c r="K60" s="38"/>
      <c r="L60" s="61"/>
      <c r="M60" s="28"/>
      <c r="N60" s="6"/>
      <c r="O60" s="7"/>
      <c r="P60" s="7"/>
      <c r="Q60" s="7"/>
      <c r="R60" s="7"/>
    </row>
    <row r="61" spans="1:18" ht="15.75">
      <c r="A61" s="27"/>
      <c r="B61" s="28" t="s">
        <v>38</v>
      </c>
      <c r="C61" s="38"/>
      <c r="D61" s="38"/>
      <c r="E61" s="38"/>
      <c r="F61" s="38"/>
      <c r="G61" s="38"/>
      <c r="H61" s="38"/>
      <c r="I61" s="38"/>
      <c r="J61" s="38"/>
      <c r="K61" s="38"/>
      <c r="L61" s="61"/>
      <c r="M61" s="28"/>
      <c r="N61" s="6"/>
      <c r="O61" s="7"/>
      <c r="P61" s="7"/>
      <c r="Q61" s="7"/>
      <c r="R61" s="7"/>
    </row>
    <row r="62" spans="1:18" ht="15.75">
      <c r="A62" s="27"/>
      <c r="B62" s="28"/>
      <c r="C62" s="38"/>
      <c r="D62" s="38"/>
      <c r="E62" s="38"/>
      <c r="F62" s="38"/>
      <c r="G62" s="38"/>
      <c r="H62" s="38"/>
      <c r="I62" s="38"/>
      <c r="J62" s="38"/>
      <c r="K62" s="38"/>
      <c r="L62" s="61"/>
      <c r="M62" s="28"/>
      <c r="N62" s="6"/>
      <c r="O62" s="7"/>
      <c r="P62" s="7"/>
      <c r="Q62" s="7"/>
      <c r="R62" s="7"/>
    </row>
    <row r="63" spans="1:18" ht="15.75">
      <c r="A63" s="27"/>
      <c r="B63" s="28" t="s">
        <v>39</v>
      </c>
      <c r="C63" s="38"/>
      <c r="D63" s="38"/>
      <c r="E63" s="38"/>
      <c r="F63" s="38"/>
      <c r="G63" s="38"/>
      <c r="H63" s="38"/>
      <c r="I63" s="38"/>
      <c r="J63" s="38"/>
      <c r="K63" s="38"/>
      <c r="L63" s="38"/>
      <c r="M63" s="28"/>
      <c r="N63" s="64"/>
      <c r="O63" s="7"/>
      <c r="P63" s="7"/>
      <c r="Q63" s="7"/>
      <c r="R63" s="7"/>
    </row>
    <row r="64" spans="1:18" ht="15.75">
      <c r="A64" s="27"/>
      <c r="B64" s="28"/>
      <c r="C64" s="38"/>
      <c r="D64" s="38"/>
      <c r="E64" s="38"/>
      <c r="F64" s="38"/>
      <c r="G64" s="38"/>
      <c r="H64" s="38"/>
      <c r="I64" s="38"/>
      <c r="J64" s="38"/>
      <c r="K64" s="38"/>
      <c r="L64" s="38"/>
      <c r="M64" s="28"/>
      <c r="N64" s="6"/>
      <c r="O64" s="7"/>
      <c r="P64" s="7"/>
      <c r="Q64" s="7"/>
      <c r="R64" s="7"/>
    </row>
    <row r="65" spans="1:18" ht="15.75">
      <c r="A65" s="27"/>
      <c r="B65" s="28" t="s">
        <v>41</v>
      </c>
      <c r="C65" s="38">
        <v>0</v>
      </c>
      <c r="D65" s="38">
        <v>0</v>
      </c>
      <c r="E65" s="38"/>
      <c r="F65" s="38"/>
      <c r="G65" s="38"/>
      <c r="H65" s="38"/>
      <c r="I65" s="38"/>
      <c r="J65" s="38"/>
      <c r="K65" s="38"/>
      <c r="L65" s="60">
        <f>D65-F65+H65-J65</f>
        <v>0</v>
      </c>
      <c r="M65" s="28"/>
      <c r="N65" s="6"/>
      <c r="O65" s="7"/>
      <c r="P65" s="7"/>
      <c r="Q65" s="7"/>
      <c r="R65" s="7"/>
    </row>
    <row r="66" spans="1:18" ht="15.75">
      <c r="A66" s="27"/>
      <c r="B66" s="28" t="s">
        <v>42</v>
      </c>
      <c r="C66" s="38">
        <v>22352</v>
      </c>
      <c r="D66" s="38">
        <v>22352</v>
      </c>
      <c r="E66" s="38"/>
      <c r="F66" s="38"/>
      <c r="G66" s="38"/>
      <c r="H66" s="38">
        <v>-22352</v>
      </c>
      <c r="I66" s="38"/>
      <c r="J66" s="38"/>
      <c r="K66" s="38"/>
      <c r="L66" s="61">
        <v>0</v>
      </c>
      <c r="M66" s="28"/>
      <c r="N66" s="6"/>
      <c r="O66" s="7"/>
      <c r="P66" s="7"/>
      <c r="Q66" s="7"/>
      <c r="R66" s="7"/>
    </row>
    <row r="67" spans="1:18" ht="15.75">
      <c r="A67" s="27"/>
      <c r="B67" s="28" t="s">
        <v>43</v>
      </c>
      <c r="C67" s="38">
        <v>0</v>
      </c>
      <c r="D67" s="38">
        <f>L124</f>
        <v>0</v>
      </c>
      <c r="E67" s="38"/>
      <c r="F67" s="38"/>
      <c r="G67" s="38"/>
      <c r="H67" s="38"/>
      <c r="I67" s="38"/>
      <c r="J67" s="38"/>
      <c r="K67" s="38"/>
      <c r="L67" s="61">
        <f>SUM(C67:K67)</f>
        <v>0</v>
      </c>
      <c r="M67" s="28"/>
      <c r="N67" s="6"/>
      <c r="O67" s="7"/>
      <c r="P67" s="7"/>
      <c r="Q67" s="7"/>
      <c r="R67" s="7"/>
    </row>
    <row r="68" spans="1:18" ht="15.75">
      <c r="A68" s="27"/>
      <c r="B68" s="28" t="s">
        <v>44</v>
      </c>
      <c r="C68" s="61">
        <f>SUM(C56:C67)</f>
        <v>185000</v>
      </c>
      <c r="D68" s="61">
        <f>SUM(D56:D67)</f>
        <v>185000</v>
      </c>
      <c r="E68" s="38"/>
      <c r="F68" s="61"/>
      <c r="G68" s="38"/>
      <c r="H68" s="61"/>
      <c r="I68" s="38"/>
      <c r="J68" s="61"/>
      <c r="K68" s="38"/>
      <c r="L68" s="61">
        <f>SUM(L56:L67)</f>
        <v>181549</v>
      </c>
      <c r="M68" s="28"/>
      <c r="N68" s="6"/>
      <c r="O68" s="7"/>
      <c r="P68" s="7"/>
      <c r="Q68" s="7"/>
      <c r="R68" s="7"/>
    </row>
    <row r="69" spans="1:18" ht="15.75">
      <c r="A69" s="27"/>
      <c r="B69" s="28"/>
      <c r="C69" s="38"/>
      <c r="D69" s="38"/>
      <c r="E69" s="38"/>
      <c r="F69" s="38"/>
      <c r="G69" s="38"/>
      <c r="H69" s="38"/>
      <c r="I69" s="38"/>
      <c r="J69" s="38"/>
      <c r="K69" s="38"/>
      <c r="L69" s="61"/>
      <c r="M69" s="28"/>
      <c r="N69" s="6"/>
      <c r="O69" s="7"/>
      <c r="P69" s="7"/>
      <c r="Q69" s="7"/>
      <c r="R69" s="7"/>
    </row>
    <row r="70" spans="1:18" ht="15.75">
      <c r="A70" s="8"/>
      <c r="B70" s="10"/>
      <c r="C70" s="10"/>
      <c r="D70" s="10"/>
      <c r="E70" s="10"/>
      <c r="F70" s="10"/>
      <c r="G70" s="10"/>
      <c r="H70" s="10"/>
      <c r="I70" s="10"/>
      <c r="J70" s="10"/>
      <c r="K70" s="10"/>
      <c r="L70" s="10"/>
      <c r="M70" s="10"/>
      <c r="N70" s="6"/>
      <c r="O70" s="7"/>
      <c r="P70" s="7"/>
      <c r="Q70" s="7"/>
      <c r="R70" s="7"/>
    </row>
    <row r="71" spans="1:18" ht="15.75">
      <c r="A71" s="8"/>
      <c r="B71" s="58" t="s">
        <v>45</v>
      </c>
      <c r="C71" s="17"/>
      <c r="D71" s="17"/>
      <c r="E71" s="17"/>
      <c r="F71" s="17"/>
      <c r="G71" s="17"/>
      <c r="H71" s="17"/>
      <c r="I71" s="20"/>
      <c r="J71" s="20" t="s">
        <v>177</v>
      </c>
      <c r="K71" s="20"/>
      <c r="L71" s="20" t="s">
        <v>190</v>
      </c>
      <c r="M71" s="10"/>
      <c r="N71" s="6"/>
      <c r="O71" s="7"/>
      <c r="P71" s="7"/>
      <c r="Q71" s="7"/>
      <c r="R71" s="7"/>
    </row>
    <row r="72" spans="1:18" ht="15.75">
      <c r="A72" s="27"/>
      <c r="B72" s="28" t="s">
        <v>46</v>
      </c>
      <c r="C72" s="28"/>
      <c r="D72" s="28"/>
      <c r="E72" s="28"/>
      <c r="F72" s="28"/>
      <c r="G72" s="28"/>
      <c r="H72" s="28"/>
      <c r="I72" s="28"/>
      <c r="J72" s="38">
        <v>0</v>
      </c>
      <c r="K72" s="28"/>
      <c r="L72" s="60">
        <v>0</v>
      </c>
      <c r="M72" s="28"/>
      <c r="N72" s="6"/>
      <c r="O72" s="7"/>
      <c r="P72" s="7"/>
      <c r="Q72" s="7"/>
      <c r="R72" s="7"/>
    </row>
    <row r="73" spans="1:18" ht="15.75">
      <c r="A73" s="27"/>
      <c r="B73" s="28" t="s">
        <v>47</v>
      </c>
      <c r="C73" s="47" t="s">
        <v>146</v>
      </c>
      <c r="D73" s="65">
        <v>36433</v>
      </c>
      <c r="E73" s="28"/>
      <c r="F73" s="28"/>
      <c r="G73" s="28"/>
      <c r="H73" s="28"/>
      <c r="I73" s="28"/>
      <c r="J73" s="38">
        <v>4194</v>
      </c>
      <c r="K73" s="28"/>
      <c r="L73" s="60"/>
      <c r="M73" s="28"/>
      <c r="N73" s="6"/>
      <c r="O73" s="7"/>
      <c r="P73" s="7"/>
      <c r="Q73" s="7"/>
      <c r="R73" s="7"/>
    </row>
    <row r="74" spans="1:18" ht="15.75">
      <c r="A74" s="27"/>
      <c r="B74" s="28" t="s">
        <v>48</v>
      </c>
      <c r="C74" s="28"/>
      <c r="D74" s="28"/>
      <c r="E74" s="28"/>
      <c r="F74" s="28"/>
      <c r="G74" s="28"/>
      <c r="H74" s="28"/>
      <c r="I74" s="28"/>
      <c r="J74" s="38"/>
      <c r="K74" s="28"/>
      <c r="L74" s="60">
        <f>13+37+1060+10+1006+110+23+1008+97+24+23+1161+104+35+667-582+54</f>
        <v>4850</v>
      </c>
      <c r="M74" s="28"/>
      <c r="N74" s="6"/>
      <c r="O74" s="7"/>
      <c r="P74" s="7"/>
      <c r="Q74" s="7"/>
      <c r="R74" s="7"/>
    </row>
    <row r="75" spans="1:18" ht="15.75">
      <c r="A75" s="27"/>
      <c r="B75" s="28" t="s">
        <v>49</v>
      </c>
      <c r="C75" s="28"/>
      <c r="D75" s="28"/>
      <c r="E75" s="28"/>
      <c r="F75" s="28"/>
      <c r="G75" s="28"/>
      <c r="H75" s="28"/>
      <c r="I75" s="28"/>
      <c r="J75" s="38"/>
      <c r="K75" s="28"/>
      <c r="L75" s="60"/>
      <c r="M75" s="28"/>
      <c r="N75" s="6"/>
      <c r="O75" s="7"/>
      <c r="P75" s="7"/>
      <c r="Q75" s="7"/>
      <c r="R75" s="7"/>
    </row>
    <row r="76" spans="1:18" ht="15.75">
      <c r="A76" s="27"/>
      <c r="B76" s="28" t="s">
        <v>50</v>
      </c>
      <c r="C76" s="28"/>
      <c r="D76" s="28"/>
      <c r="E76" s="28"/>
      <c r="F76" s="28"/>
      <c r="G76" s="28"/>
      <c r="H76" s="28"/>
      <c r="I76" s="28"/>
      <c r="J76" s="38">
        <f>SUM(J72:J75)</f>
        <v>4194</v>
      </c>
      <c r="K76" s="28"/>
      <c r="L76" s="61">
        <f>SUM(L72:L75)</f>
        <v>4850</v>
      </c>
      <c r="M76" s="28"/>
      <c r="N76" s="6"/>
      <c r="O76" s="7"/>
      <c r="P76" s="7"/>
      <c r="Q76" s="7"/>
      <c r="R76" s="7"/>
    </row>
    <row r="77" spans="1:18" ht="15.75">
      <c r="A77" s="27"/>
      <c r="B77" s="28" t="s">
        <v>51</v>
      </c>
      <c r="C77" s="28"/>
      <c r="D77" s="28"/>
      <c r="E77" s="28"/>
      <c r="F77" s="28"/>
      <c r="G77" s="28"/>
      <c r="H77" s="28"/>
      <c r="I77" s="28"/>
      <c r="J77" s="38">
        <v>66</v>
      </c>
      <c r="K77" s="28"/>
      <c r="L77" s="60">
        <v>-66</v>
      </c>
      <c r="M77" s="28"/>
      <c r="N77" s="6"/>
      <c r="O77" s="7"/>
      <c r="P77" s="7"/>
      <c r="Q77" s="7"/>
      <c r="R77" s="7"/>
    </row>
    <row r="78" spans="1:18" ht="15.75">
      <c r="A78" s="27"/>
      <c r="B78" s="28" t="s">
        <v>52</v>
      </c>
      <c r="C78" s="28"/>
      <c r="D78" s="28"/>
      <c r="E78" s="28"/>
      <c r="F78" s="28"/>
      <c r="G78" s="28"/>
      <c r="H78" s="28"/>
      <c r="I78" s="28"/>
      <c r="J78" s="38">
        <f>J76+J77</f>
        <v>4260</v>
      </c>
      <c r="K78" s="28"/>
      <c r="L78" s="61">
        <f>L76+L77</f>
        <v>4784</v>
      </c>
      <c r="M78" s="28"/>
      <c r="N78" s="6"/>
      <c r="O78" s="7"/>
      <c r="P78" s="7"/>
      <c r="Q78" s="7"/>
      <c r="R78" s="7"/>
    </row>
    <row r="79" spans="1:18" ht="15.75">
      <c r="A79" s="27"/>
      <c r="B79" s="166" t="s">
        <v>53</v>
      </c>
      <c r="C79" s="66"/>
      <c r="D79" s="28"/>
      <c r="E79" s="28"/>
      <c r="F79" s="28"/>
      <c r="G79" s="28"/>
      <c r="H79" s="28"/>
      <c r="I79" s="28"/>
      <c r="J79" s="38"/>
      <c r="K79" s="28"/>
      <c r="L79" s="60"/>
      <c r="M79" s="28"/>
      <c r="N79" s="6"/>
      <c r="O79" s="7"/>
      <c r="P79" s="7"/>
      <c r="Q79" s="7"/>
      <c r="R79" s="7"/>
    </row>
    <row r="80" spans="1:18" ht="15.75">
      <c r="A80" s="27">
        <v>1</v>
      </c>
      <c r="B80" s="28" t="s">
        <v>54</v>
      </c>
      <c r="C80" s="28"/>
      <c r="D80" s="28"/>
      <c r="E80" s="28"/>
      <c r="F80" s="28"/>
      <c r="G80" s="28"/>
      <c r="H80" s="28"/>
      <c r="I80" s="28"/>
      <c r="J80" s="28"/>
      <c r="K80" s="28"/>
      <c r="L80" s="60">
        <v>-397</v>
      </c>
      <c r="M80" s="28"/>
      <c r="N80" s="6"/>
      <c r="O80" s="7"/>
      <c r="P80" s="7"/>
      <c r="Q80" s="7"/>
      <c r="R80" s="7"/>
    </row>
    <row r="81" spans="1:18" ht="15.75">
      <c r="A81" s="27">
        <v>2</v>
      </c>
      <c r="B81" s="28" t="s">
        <v>55</v>
      </c>
      <c r="C81" s="28"/>
      <c r="D81" s="28"/>
      <c r="E81" s="28"/>
      <c r="F81" s="28"/>
      <c r="G81" s="28"/>
      <c r="H81" s="28"/>
      <c r="I81" s="28"/>
      <c r="J81" s="28"/>
      <c r="K81" s="28"/>
      <c r="L81" s="60">
        <v>-3</v>
      </c>
      <c r="M81" s="28"/>
      <c r="N81" s="6"/>
      <c r="O81" s="7"/>
      <c r="P81" s="7"/>
      <c r="Q81" s="7"/>
      <c r="R81" s="7"/>
    </row>
    <row r="82" spans="1:18" ht="15.75">
      <c r="A82" s="27">
        <v>3</v>
      </c>
      <c r="B82" s="28" t="s">
        <v>56</v>
      </c>
      <c r="C82" s="28"/>
      <c r="D82" s="28"/>
      <c r="E82" s="28"/>
      <c r="F82" s="28"/>
      <c r="G82" s="28"/>
      <c r="H82" s="28"/>
      <c r="I82" s="28"/>
      <c r="J82" s="28"/>
      <c r="K82" s="28"/>
      <c r="L82" s="60">
        <f>-169-4</f>
        <v>-173</v>
      </c>
      <c r="M82" s="28"/>
      <c r="N82" s="6"/>
      <c r="O82" s="7"/>
      <c r="P82" s="7"/>
      <c r="Q82" s="7"/>
      <c r="R82" s="7"/>
    </row>
    <row r="83" spans="1:18" ht="15.75">
      <c r="A83" s="27">
        <v>4</v>
      </c>
      <c r="B83" s="28" t="s">
        <v>57</v>
      </c>
      <c r="C83" s="28"/>
      <c r="D83" s="28"/>
      <c r="E83" s="28"/>
      <c r="F83" s="28"/>
      <c r="G83" s="28"/>
      <c r="H83" s="28"/>
      <c r="I83" s="28"/>
      <c r="J83" s="28"/>
      <c r="K83" s="28"/>
      <c r="L83" s="60">
        <v>-128</v>
      </c>
      <c r="M83" s="28"/>
      <c r="N83" s="6"/>
      <c r="O83" s="7"/>
      <c r="P83" s="7"/>
      <c r="Q83" s="7"/>
      <c r="R83" s="7"/>
    </row>
    <row r="84" spans="1:18" ht="15.75">
      <c r="A84" s="27">
        <v>5</v>
      </c>
      <c r="B84" s="28" t="s">
        <v>58</v>
      </c>
      <c r="C84" s="28"/>
      <c r="D84" s="28"/>
      <c r="E84" s="28"/>
      <c r="F84" s="28"/>
      <c r="G84" s="28"/>
      <c r="H84" s="28"/>
      <c r="I84" s="28"/>
      <c r="J84" s="28"/>
      <c r="K84" s="28"/>
      <c r="L84" s="60">
        <v>-3182</v>
      </c>
      <c r="M84" s="28"/>
      <c r="N84" s="6"/>
      <c r="O84" s="7"/>
      <c r="P84" s="7"/>
      <c r="Q84" s="7"/>
      <c r="R84" s="7"/>
    </row>
    <row r="85" spans="1:18" ht="15.75">
      <c r="A85" s="27">
        <v>6</v>
      </c>
      <c r="B85" s="28" t="s">
        <v>59</v>
      </c>
      <c r="C85" s="28"/>
      <c r="D85" s="28"/>
      <c r="E85" s="28"/>
      <c r="F85" s="28"/>
      <c r="G85" s="28"/>
      <c r="H85" s="28"/>
      <c r="I85" s="28"/>
      <c r="J85" s="28"/>
      <c r="K85" s="28"/>
      <c r="L85" s="60">
        <v>-352</v>
      </c>
      <c r="M85" s="28"/>
      <c r="N85" s="6"/>
      <c r="O85" s="7"/>
      <c r="P85" s="7"/>
      <c r="Q85" s="7"/>
      <c r="R85" s="7"/>
    </row>
    <row r="86" spans="1:18" ht="15.75">
      <c r="A86" s="27">
        <v>7</v>
      </c>
      <c r="B86" s="28" t="s">
        <v>60</v>
      </c>
      <c r="C86" s="28"/>
      <c r="D86" s="28"/>
      <c r="E86" s="28"/>
      <c r="F86" s="28"/>
      <c r="G86" s="28"/>
      <c r="H86" s="28"/>
      <c r="I86" s="28"/>
      <c r="J86" s="28"/>
      <c r="K86" s="28"/>
      <c r="L86" s="60">
        <v>-3</v>
      </c>
      <c r="M86" s="28"/>
      <c r="N86" s="6"/>
      <c r="O86" s="7"/>
      <c r="P86" s="7"/>
      <c r="Q86" s="7"/>
      <c r="R86" s="7"/>
    </row>
    <row r="87" spans="1:18" ht="15.75">
      <c r="A87" s="27">
        <v>8</v>
      </c>
      <c r="B87" s="28" t="s">
        <v>61</v>
      </c>
      <c r="C87" s="28"/>
      <c r="D87" s="28"/>
      <c r="E87" s="28"/>
      <c r="F87" s="28"/>
      <c r="G87" s="28"/>
      <c r="H87" s="28"/>
      <c r="I87" s="28"/>
      <c r="J87" s="28"/>
      <c r="K87" s="28"/>
      <c r="L87" s="60">
        <v>0</v>
      </c>
      <c r="M87" s="28"/>
      <c r="N87" s="6"/>
      <c r="O87" s="7"/>
      <c r="P87" s="7"/>
      <c r="Q87" s="7"/>
      <c r="R87" s="7"/>
    </row>
    <row r="88" spans="1:18" ht="15.75">
      <c r="A88" s="27">
        <v>9</v>
      </c>
      <c r="B88" s="28" t="s">
        <v>62</v>
      </c>
      <c r="C88" s="28"/>
      <c r="D88" s="28"/>
      <c r="E88" s="28"/>
      <c r="F88" s="28"/>
      <c r="G88" s="28"/>
      <c r="H88" s="28"/>
      <c r="I88" s="28"/>
      <c r="J88" s="28"/>
      <c r="K88" s="28"/>
      <c r="L88" s="60">
        <v>0</v>
      </c>
      <c r="M88" s="28"/>
      <c r="N88" s="6"/>
      <c r="O88" s="7"/>
      <c r="P88" s="7"/>
      <c r="Q88" s="7"/>
      <c r="R88" s="7"/>
    </row>
    <row r="89" spans="1:18" ht="15.75">
      <c r="A89" s="27">
        <v>10</v>
      </c>
      <c r="B89" s="28" t="s">
        <v>63</v>
      </c>
      <c r="C89" s="28"/>
      <c r="D89" s="28"/>
      <c r="E89" s="28"/>
      <c r="F89" s="28"/>
      <c r="G89" s="28"/>
      <c r="H89" s="28"/>
      <c r="I89" s="28"/>
      <c r="J89" s="28"/>
      <c r="K89" s="28"/>
      <c r="L89" s="60">
        <v>0</v>
      </c>
      <c r="M89" s="28"/>
      <c r="N89" s="6"/>
      <c r="O89" s="7"/>
      <c r="P89" s="7"/>
      <c r="Q89" s="7"/>
      <c r="R89" s="7"/>
    </row>
    <row r="90" spans="1:18" ht="15.75">
      <c r="A90" s="27">
        <v>11</v>
      </c>
      <c r="B90" s="28" t="s">
        <v>64</v>
      </c>
      <c r="C90" s="28"/>
      <c r="D90" s="28"/>
      <c r="E90" s="28"/>
      <c r="F90" s="28"/>
      <c r="G90" s="28"/>
      <c r="H90" s="28"/>
      <c r="I90" s="28"/>
      <c r="J90" s="28"/>
      <c r="K90" s="28"/>
      <c r="L90" s="60">
        <v>0</v>
      </c>
      <c r="M90" s="28"/>
      <c r="N90" s="6"/>
      <c r="O90" s="7"/>
      <c r="P90" s="7"/>
      <c r="Q90" s="7"/>
      <c r="R90" s="7"/>
    </row>
    <row r="91" spans="1:18" ht="15.75">
      <c r="A91" s="27">
        <v>12</v>
      </c>
      <c r="B91" s="28" t="s">
        <v>65</v>
      </c>
      <c r="C91" s="28"/>
      <c r="D91" s="28"/>
      <c r="E91" s="28"/>
      <c r="F91" s="28"/>
      <c r="G91" s="28"/>
      <c r="H91" s="28"/>
      <c r="I91" s="28"/>
      <c r="J91" s="28"/>
      <c r="K91" s="28"/>
      <c r="L91" s="60">
        <v>-185</v>
      </c>
      <c r="M91" s="28"/>
      <c r="N91" s="6"/>
      <c r="O91" s="7"/>
      <c r="P91" s="7"/>
      <c r="Q91" s="7"/>
      <c r="R91" s="7"/>
    </row>
    <row r="92" spans="1:18" ht="15.75">
      <c r="A92" s="27">
        <v>13</v>
      </c>
      <c r="B92" s="28" t="s">
        <v>66</v>
      </c>
      <c r="C92" s="28"/>
      <c r="D92" s="28"/>
      <c r="E92" s="28"/>
      <c r="F92" s="28"/>
      <c r="G92" s="28"/>
      <c r="H92" s="28"/>
      <c r="I92" s="28"/>
      <c r="J92" s="28"/>
      <c r="K92" s="28"/>
      <c r="L92" s="60">
        <f>-SUM(L78:L91)</f>
        <v>-361</v>
      </c>
      <c r="M92" s="28"/>
      <c r="N92" s="6"/>
      <c r="O92" s="7"/>
      <c r="P92" s="7"/>
      <c r="Q92" s="7"/>
      <c r="R92" s="7"/>
    </row>
    <row r="93" spans="1:18" ht="15.75">
      <c r="A93" s="27"/>
      <c r="B93" s="166" t="s">
        <v>67</v>
      </c>
      <c r="C93" s="66"/>
      <c r="D93" s="28"/>
      <c r="E93" s="28"/>
      <c r="F93" s="28"/>
      <c r="G93" s="28"/>
      <c r="H93" s="28"/>
      <c r="I93" s="28"/>
      <c r="J93" s="28"/>
      <c r="K93" s="28"/>
      <c r="L93" s="67"/>
      <c r="M93" s="28"/>
      <c r="N93" s="6"/>
      <c r="O93" s="7"/>
      <c r="P93" s="7"/>
      <c r="Q93" s="7"/>
      <c r="R93" s="7"/>
    </row>
    <row r="94" spans="1:18" ht="15.75">
      <c r="A94" s="27"/>
      <c r="B94" s="28" t="s">
        <v>68</v>
      </c>
      <c r="C94" s="66"/>
      <c r="D94" s="28"/>
      <c r="E94" s="28"/>
      <c r="F94" s="28"/>
      <c r="G94" s="28"/>
      <c r="H94" s="28"/>
      <c r="I94" s="28"/>
      <c r="J94" s="38">
        <f>-J140</f>
        <v>-224</v>
      </c>
      <c r="K94" s="38"/>
      <c r="L94" s="60"/>
      <c r="M94" s="28"/>
      <c r="N94" s="6"/>
      <c r="O94" s="7"/>
      <c r="P94" s="7"/>
      <c r="Q94" s="7"/>
      <c r="R94" s="7"/>
    </row>
    <row r="95" spans="1:18" ht="15.75">
      <c r="A95" s="27"/>
      <c r="B95" s="28" t="s">
        <v>69</v>
      </c>
      <c r="C95" s="28"/>
      <c r="D95" s="28"/>
      <c r="E95" s="28"/>
      <c r="F95" s="28"/>
      <c r="G95" s="28"/>
      <c r="H95" s="28"/>
      <c r="I95" s="28"/>
      <c r="J95" s="38">
        <f>-H140</f>
        <v>-585</v>
      </c>
      <c r="K95" s="38"/>
      <c r="L95" s="60"/>
      <c r="M95" s="28"/>
      <c r="N95" s="6"/>
      <c r="O95" s="7"/>
      <c r="P95" s="7"/>
      <c r="Q95" s="7"/>
      <c r="R95" s="7"/>
    </row>
    <row r="96" spans="1:18" ht="15.75">
      <c r="A96" s="27"/>
      <c r="B96" s="28" t="s">
        <v>70</v>
      </c>
      <c r="C96" s="28"/>
      <c r="D96" s="28"/>
      <c r="E96" s="28"/>
      <c r="F96" s="28"/>
      <c r="G96" s="28"/>
      <c r="H96" s="28"/>
      <c r="I96" s="28"/>
      <c r="J96" s="38">
        <v>-3451</v>
      </c>
      <c r="K96" s="38"/>
      <c r="L96" s="60"/>
      <c r="M96" s="28"/>
      <c r="N96" s="6"/>
      <c r="O96" s="7"/>
      <c r="P96" s="7"/>
      <c r="Q96" s="7"/>
      <c r="R96" s="7"/>
    </row>
    <row r="97" spans="1:18" ht="15.75">
      <c r="A97" s="27"/>
      <c r="B97" s="28" t="s">
        <v>71</v>
      </c>
      <c r="C97" s="28"/>
      <c r="D97" s="28"/>
      <c r="E97" s="28"/>
      <c r="F97" s="28"/>
      <c r="G97" s="28"/>
      <c r="H97" s="28"/>
      <c r="I97" s="28"/>
      <c r="J97" s="38">
        <v>0</v>
      </c>
      <c r="K97" s="38"/>
      <c r="L97" s="60"/>
      <c r="M97" s="28"/>
      <c r="N97" s="6"/>
      <c r="O97" s="7"/>
      <c r="P97" s="7"/>
      <c r="Q97" s="7"/>
      <c r="R97" s="7"/>
    </row>
    <row r="98" spans="1:18" ht="15.75">
      <c r="A98" s="27"/>
      <c r="B98" s="28" t="s">
        <v>72</v>
      </c>
      <c r="C98" s="28"/>
      <c r="D98" s="28"/>
      <c r="E98" s="28"/>
      <c r="F98" s="28"/>
      <c r="G98" s="28"/>
      <c r="H98" s="28"/>
      <c r="I98" s="28"/>
      <c r="J98" s="38">
        <f>SUM(J79:J97)</f>
        <v>-4260</v>
      </c>
      <c r="K98" s="38"/>
      <c r="L98" s="38">
        <f>SUM(L79:L97)</f>
        <v>-4784</v>
      </c>
      <c r="M98" s="28"/>
      <c r="N98" s="6"/>
      <c r="O98" s="7"/>
      <c r="P98" s="7"/>
      <c r="Q98" s="7"/>
      <c r="R98" s="7"/>
    </row>
    <row r="99" spans="1:18" ht="15.75">
      <c r="A99" s="27"/>
      <c r="B99" s="28" t="s">
        <v>73</v>
      </c>
      <c r="C99" s="28"/>
      <c r="D99" s="28"/>
      <c r="E99" s="28"/>
      <c r="F99" s="28"/>
      <c r="G99" s="28"/>
      <c r="H99" s="28"/>
      <c r="I99" s="28"/>
      <c r="J99" s="38">
        <f>J78+J98</f>
        <v>0</v>
      </c>
      <c r="K99" s="38"/>
      <c r="L99" s="38">
        <f>L78+L98</f>
        <v>0</v>
      </c>
      <c r="M99" s="28"/>
      <c r="N99" s="6"/>
      <c r="O99" s="7"/>
      <c r="P99" s="7"/>
      <c r="Q99" s="7"/>
      <c r="R99" s="7"/>
    </row>
    <row r="100" spans="1:18" ht="15.75">
      <c r="A100" s="27"/>
      <c r="B100" s="28"/>
      <c r="C100" s="28"/>
      <c r="D100" s="28"/>
      <c r="E100" s="28"/>
      <c r="F100" s="28"/>
      <c r="G100" s="28"/>
      <c r="H100" s="28"/>
      <c r="I100" s="28"/>
      <c r="J100" s="38"/>
      <c r="K100" s="38"/>
      <c r="L100" s="38"/>
      <c r="M100" s="28"/>
      <c r="N100" s="6"/>
      <c r="O100" s="7"/>
      <c r="P100" s="7"/>
      <c r="Q100" s="7"/>
      <c r="R100" s="7"/>
    </row>
    <row r="101" spans="1:18" ht="15.75">
      <c r="A101" s="8"/>
      <c r="B101" s="10"/>
      <c r="C101" s="10"/>
      <c r="D101" s="10"/>
      <c r="E101" s="10"/>
      <c r="F101" s="10"/>
      <c r="G101" s="10"/>
      <c r="H101" s="10"/>
      <c r="I101" s="10"/>
      <c r="J101" s="62"/>
      <c r="K101" s="62"/>
      <c r="L101" s="62"/>
      <c r="M101" s="10"/>
      <c r="N101" s="6"/>
      <c r="O101" s="7"/>
      <c r="P101" s="7"/>
      <c r="Q101" s="7"/>
      <c r="R101" s="7"/>
    </row>
    <row r="102" spans="1:18" ht="19.5" thickBot="1">
      <c r="A102" s="138"/>
      <c r="B102" s="139" t="s">
        <v>34</v>
      </c>
      <c r="C102" s="140"/>
      <c r="D102" s="140"/>
      <c r="E102" s="140"/>
      <c r="F102" s="140"/>
      <c r="G102" s="140"/>
      <c r="H102" s="140"/>
      <c r="I102" s="140"/>
      <c r="J102" s="143"/>
      <c r="K102" s="143"/>
      <c r="L102" s="143"/>
      <c r="M102" s="142"/>
      <c r="N102" s="6"/>
      <c r="O102" s="7"/>
      <c r="P102" s="7"/>
      <c r="Q102" s="7"/>
      <c r="R102" s="7"/>
    </row>
    <row r="103" spans="1:18" ht="12" customHeight="1">
      <c r="A103" s="2"/>
      <c r="B103" s="5"/>
      <c r="C103" s="5"/>
      <c r="D103" s="5"/>
      <c r="E103" s="5"/>
      <c r="F103" s="5"/>
      <c r="G103" s="5"/>
      <c r="H103" s="5"/>
      <c r="I103" s="5"/>
      <c r="J103" s="5"/>
      <c r="K103" s="5"/>
      <c r="L103" s="57"/>
      <c r="M103" s="5"/>
      <c r="N103" s="6"/>
      <c r="O103" s="7"/>
      <c r="P103" s="7"/>
      <c r="Q103" s="7"/>
      <c r="R103" s="7"/>
    </row>
    <row r="104" spans="1:18" ht="12" customHeight="1">
      <c r="A104" s="8"/>
      <c r="B104" s="10"/>
      <c r="C104" s="10"/>
      <c r="D104" s="10"/>
      <c r="E104" s="10"/>
      <c r="F104" s="10"/>
      <c r="G104" s="10"/>
      <c r="H104" s="10"/>
      <c r="I104" s="10"/>
      <c r="J104" s="10"/>
      <c r="K104" s="10"/>
      <c r="L104" s="59"/>
      <c r="M104" s="10"/>
      <c r="N104" s="6"/>
      <c r="O104" s="7"/>
      <c r="P104" s="7"/>
      <c r="Q104" s="7"/>
      <c r="R104" s="7"/>
    </row>
    <row r="105" spans="1:18" ht="15.75">
      <c r="A105" s="8"/>
      <c r="B105" s="58" t="s">
        <v>74</v>
      </c>
      <c r="C105" s="16"/>
      <c r="D105" s="10"/>
      <c r="E105" s="10"/>
      <c r="F105" s="10"/>
      <c r="G105" s="10"/>
      <c r="H105" s="10"/>
      <c r="I105" s="10"/>
      <c r="J105" s="10"/>
      <c r="K105" s="10"/>
      <c r="L105" s="59"/>
      <c r="M105" s="10"/>
      <c r="N105" s="6"/>
      <c r="O105" s="7"/>
      <c r="P105" s="7"/>
      <c r="Q105" s="7"/>
      <c r="R105" s="7"/>
    </row>
    <row r="106" spans="1:18" ht="15.75">
      <c r="A106" s="8"/>
      <c r="B106" s="23"/>
      <c r="C106" s="16"/>
      <c r="D106" s="10"/>
      <c r="E106" s="10"/>
      <c r="F106" s="10"/>
      <c r="G106" s="10"/>
      <c r="H106" s="10"/>
      <c r="I106" s="10"/>
      <c r="J106" s="10"/>
      <c r="K106" s="10"/>
      <c r="L106" s="59"/>
      <c r="M106" s="10"/>
      <c r="N106" s="6"/>
      <c r="O106" s="7"/>
      <c r="P106" s="7"/>
      <c r="Q106" s="7"/>
      <c r="R106" s="7"/>
    </row>
    <row r="107" spans="1:18" ht="15.75">
      <c r="A107" s="8"/>
      <c r="B107" s="167" t="s">
        <v>75</v>
      </c>
      <c r="C107" s="16"/>
      <c r="D107" s="10"/>
      <c r="E107" s="10"/>
      <c r="F107" s="10"/>
      <c r="G107" s="10"/>
      <c r="H107" s="10"/>
      <c r="I107" s="10"/>
      <c r="J107" s="10"/>
      <c r="K107" s="10"/>
      <c r="L107" s="59"/>
      <c r="M107" s="10"/>
      <c r="N107" s="6"/>
      <c r="O107" s="7"/>
      <c r="P107" s="7"/>
      <c r="Q107" s="7"/>
      <c r="R107" s="7"/>
    </row>
    <row r="108" spans="1:18" ht="15.75">
      <c r="A108" s="27"/>
      <c r="B108" s="28" t="s">
        <v>76</v>
      </c>
      <c r="C108" s="28"/>
      <c r="D108" s="28"/>
      <c r="E108" s="28"/>
      <c r="F108" s="28"/>
      <c r="G108" s="28"/>
      <c r="H108" s="28"/>
      <c r="I108" s="28"/>
      <c r="J108" s="28"/>
      <c r="K108" s="28"/>
      <c r="L108" s="60">
        <v>4625</v>
      </c>
      <c r="M108" s="28"/>
      <c r="N108" s="6"/>
      <c r="O108" s="7"/>
      <c r="P108" s="7"/>
      <c r="Q108" s="7"/>
      <c r="R108" s="7"/>
    </row>
    <row r="109" spans="1:18" ht="15.75">
      <c r="A109" s="27"/>
      <c r="B109" s="28" t="s">
        <v>77</v>
      </c>
      <c r="C109" s="28"/>
      <c r="D109" s="28"/>
      <c r="E109" s="28"/>
      <c r="F109" s="28"/>
      <c r="G109" s="28"/>
      <c r="H109" s="28"/>
      <c r="I109" s="28"/>
      <c r="J109" s="28"/>
      <c r="K109" s="28"/>
      <c r="L109" s="60">
        <v>4625</v>
      </c>
      <c r="M109" s="28"/>
      <c r="N109" s="6"/>
      <c r="O109" s="7"/>
      <c r="P109" s="7"/>
      <c r="Q109" s="7"/>
      <c r="R109" s="7"/>
    </row>
    <row r="110" spans="1:18" ht="15.75">
      <c r="A110" s="27"/>
      <c r="B110" s="28" t="s">
        <v>78</v>
      </c>
      <c r="C110" s="28"/>
      <c r="D110" s="28"/>
      <c r="E110" s="28"/>
      <c r="F110" s="28"/>
      <c r="G110" s="28"/>
      <c r="H110" s="28"/>
      <c r="I110" s="28"/>
      <c r="J110" s="28"/>
      <c r="K110" s="28"/>
      <c r="L110" s="60">
        <v>0</v>
      </c>
      <c r="M110" s="28"/>
      <c r="N110" s="6"/>
      <c r="O110" s="7"/>
      <c r="P110" s="7"/>
      <c r="Q110" s="7"/>
      <c r="R110" s="7"/>
    </row>
    <row r="111" spans="1:18" ht="15.75">
      <c r="A111" s="27"/>
      <c r="B111" s="28" t="s">
        <v>79</v>
      </c>
      <c r="C111" s="28"/>
      <c r="D111" s="28"/>
      <c r="E111" s="28"/>
      <c r="F111" s="28"/>
      <c r="G111" s="28"/>
      <c r="H111" s="28"/>
      <c r="I111" s="28"/>
      <c r="J111" s="28"/>
      <c r="K111" s="28"/>
      <c r="L111" s="60">
        <v>0</v>
      </c>
      <c r="M111" s="28"/>
      <c r="N111" s="6"/>
      <c r="O111" s="7"/>
      <c r="P111" s="7"/>
      <c r="Q111" s="7"/>
      <c r="R111" s="7"/>
    </row>
    <row r="112" spans="1:18" ht="15.75">
      <c r="A112" s="27"/>
      <c r="B112" s="28" t="s">
        <v>80</v>
      </c>
      <c r="C112" s="28"/>
      <c r="D112" s="28"/>
      <c r="E112" s="28"/>
      <c r="F112" s="28"/>
      <c r="G112" s="28"/>
      <c r="H112" s="28"/>
      <c r="I112" s="28"/>
      <c r="J112" s="28"/>
      <c r="K112" s="28"/>
      <c r="L112" s="60">
        <v>0</v>
      </c>
      <c r="M112" s="28"/>
      <c r="N112" s="6"/>
      <c r="O112" s="7"/>
      <c r="P112" s="7"/>
      <c r="Q112" s="7"/>
      <c r="R112" s="7"/>
    </row>
    <row r="113" spans="1:18" ht="15.75">
      <c r="A113" s="27"/>
      <c r="B113" s="28" t="s">
        <v>58</v>
      </c>
      <c r="C113" s="28"/>
      <c r="D113" s="28"/>
      <c r="E113" s="28"/>
      <c r="F113" s="28"/>
      <c r="G113" s="28"/>
      <c r="H113" s="28"/>
      <c r="I113" s="28"/>
      <c r="J113" s="28"/>
      <c r="K113" s="28"/>
      <c r="L113" s="60">
        <v>0</v>
      </c>
      <c r="M113" s="28"/>
      <c r="N113" s="6"/>
      <c r="O113" s="7"/>
      <c r="P113" s="7"/>
      <c r="Q113" s="7"/>
      <c r="R113" s="7"/>
    </row>
    <row r="114" spans="1:18" ht="15.75">
      <c r="A114" s="27"/>
      <c r="B114" s="28" t="s">
        <v>59</v>
      </c>
      <c r="C114" s="28"/>
      <c r="D114" s="28"/>
      <c r="E114" s="28"/>
      <c r="F114" s="28"/>
      <c r="G114" s="28"/>
      <c r="H114" s="28"/>
      <c r="I114" s="28"/>
      <c r="J114" s="28"/>
      <c r="K114" s="28"/>
      <c r="L114" s="60">
        <v>0</v>
      </c>
      <c r="M114" s="28"/>
      <c r="N114" s="6"/>
      <c r="O114" s="7"/>
      <c r="P114" s="7"/>
      <c r="Q114" s="7"/>
      <c r="R114" s="7"/>
    </row>
    <row r="115" spans="1:18" ht="15.75">
      <c r="A115" s="27"/>
      <c r="B115" s="28" t="s">
        <v>81</v>
      </c>
      <c r="C115" s="28"/>
      <c r="D115" s="28"/>
      <c r="E115" s="28"/>
      <c r="F115" s="28"/>
      <c r="G115" s="28"/>
      <c r="H115" s="28"/>
      <c r="I115" s="28"/>
      <c r="J115" s="28"/>
      <c r="K115" s="28"/>
      <c r="L115" s="60">
        <f>SUM(L109:L113)</f>
        <v>4625</v>
      </c>
      <c r="M115" s="28"/>
      <c r="N115" s="6"/>
      <c r="O115" s="7"/>
      <c r="P115" s="7"/>
      <c r="Q115" s="7"/>
      <c r="R115" s="7"/>
    </row>
    <row r="116" spans="1:18" ht="15.75">
      <c r="A116" s="27"/>
      <c r="B116" s="28"/>
      <c r="C116" s="28"/>
      <c r="D116" s="28"/>
      <c r="E116" s="28"/>
      <c r="F116" s="28"/>
      <c r="G116" s="28"/>
      <c r="H116" s="28"/>
      <c r="I116" s="28"/>
      <c r="J116" s="28"/>
      <c r="K116" s="28"/>
      <c r="L116" s="68"/>
      <c r="M116" s="28"/>
      <c r="N116" s="6"/>
      <c r="O116" s="7"/>
      <c r="P116" s="7"/>
      <c r="Q116" s="7"/>
      <c r="R116" s="7"/>
    </row>
    <row r="117" spans="1:18" ht="15.75">
      <c r="A117" s="8"/>
      <c r="B117" s="167" t="s">
        <v>82</v>
      </c>
      <c r="C117" s="10"/>
      <c r="D117" s="10"/>
      <c r="E117" s="10"/>
      <c r="F117" s="10"/>
      <c r="G117" s="10"/>
      <c r="H117" s="10"/>
      <c r="I117" s="10"/>
      <c r="J117" s="10"/>
      <c r="K117" s="10"/>
      <c r="L117" s="59"/>
      <c r="M117" s="10"/>
      <c r="N117" s="6"/>
      <c r="O117" s="7"/>
      <c r="P117" s="7"/>
      <c r="Q117" s="7"/>
      <c r="R117" s="7"/>
    </row>
    <row r="118" spans="1:18" ht="15.75">
      <c r="A118" s="27"/>
      <c r="B118" s="28" t="s">
        <v>83</v>
      </c>
      <c r="C118" s="28"/>
      <c r="D118" s="69"/>
      <c r="E118" s="28"/>
      <c r="F118" s="28"/>
      <c r="G118" s="28"/>
      <c r="H118" s="28"/>
      <c r="I118" s="28"/>
      <c r="J118" s="28"/>
      <c r="K118" s="28"/>
      <c r="L118" s="70" t="s">
        <v>156</v>
      </c>
      <c r="M118" s="28"/>
      <c r="N118" s="6"/>
      <c r="O118" s="7"/>
      <c r="P118" s="7"/>
      <c r="Q118" s="7"/>
      <c r="R118" s="7"/>
    </row>
    <row r="119" spans="1:18" ht="15.75">
      <c r="A119" s="27"/>
      <c r="B119" s="28" t="s">
        <v>84</v>
      </c>
      <c r="C119" s="30"/>
      <c r="D119" s="30"/>
      <c r="E119" s="30"/>
      <c r="F119" s="30"/>
      <c r="G119" s="30"/>
      <c r="H119" s="30"/>
      <c r="I119" s="30"/>
      <c r="J119" s="30"/>
      <c r="K119" s="30"/>
      <c r="L119" s="70" t="s">
        <v>156</v>
      </c>
      <c r="M119" s="28"/>
      <c r="N119" s="6"/>
      <c r="O119" s="7"/>
      <c r="P119" s="7"/>
      <c r="Q119" s="7"/>
      <c r="R119" s="7"/>
    </row>
    <row r="120" spans="1:18" ht="15.75">
      <c r="A120" s="27"/>
      <c r="B120" s="28" t="s">
        <v>85</v>
      </c>
      <c r="C120" s="28"/>
      <c r="D120" s="28"/>
      <c r="E120" s="28"/>
      <c r="F120" s="28"/>
      <c r="G120" s="28"/>
      <c r="H120" s="28"/>
      <c r="I120" s="28"/>
      <c r="J120" s="28"/>
      <c r="K120" s="28"/>
      <c r="L120" s="70" t="s">
        <v>156</v>
      </c>
      <c r="M120" s="28"/>
      <c r="N120" s="6"/>
      <c r="O120" s="7"/>
      <c r="P120" s="7"/>
      <c r="Q120" s="7"/>
      <c r="R120" s="7"/>
    </row>
    <row r="121" spans="1:18" ht="15.75">
      <c r="A121" s="27"/>
      <c r="B121" s="28" t="s">
        <v>86</v>
      </c>
      <c r="C121" s="28"/>
      <c r="D121" s="28"/>
      <c r="E121" s="28"/>
      <c r="F121" s="28"/>
      <c r="G121" s="28"/>
      <c r="H121" s="28"/>
      <c r="I121" s="28"/>
      <c r="J121" s="28"/>
      <c r="K121" s="28"/>
      <c r="L121" s="70" t="s">
        <v>156</v>
      </c>
      <c r="M121" s="28"/>
      <c r="N121" s="6"/>
      <c r="O121" s="7"/>
      <c r="P121" s="7"/>
      <c r="Q121" s="7"/>
      <c r="R121" s="7"/>
    </row>
    <row r="122" spans="1:18" ht="15.75">
      <c r="A122" s="27"/>
      <c r="B122" s="28"/>
      <c r="C122" s="28"/>
      <c r="D122" s="28"/>
      <c r="E122" s="28"/>
      <c r="F122" s="28"/>
      <c r="G122" s="28"/>
      <c r="H122" s="28"/>
      <c r="I122" s="28"/>
      <c r="J122" s="28"/>
      <c r="K122" s="28"/>
      <c r="L122" s="68"/>
      <c r="M122" s="28"/>
      <c r="N122" s="6"/>
      <c r="O122" s="7"/>
      <c r="P122" s="7"/>
      <c r="Q122" s="7"/>
      <c r="R122" s="7"/>
    </row>
    <row r="123" spans="1:18" ht="15.75">
      <c r="A123" s="8"/>
      <c r="B123" s="167" t="s">
        <v>87</v>
      </c>
      <c r="C123" s="16"/>
      <c r="D123" s="10"/>
      <c r="E123" s="10"/>
      <c r="F123" s="10"/>
      <c r="G123" s="10"/>
      <c r="H123" s="10"/>
      <c r="I123" s="10"/>
      <c r="J123" s="10"/>
      <c r="K123" s="10"/>
      <c r="L123" s="71"/>
      <c r="M123" s="10"/>
      <c r="N123" s="6"/>
      <c r="O123" s="7"/>
      <c r="P123" s="7"/>
      <c r="Q123" s="7"/>
      <c r="R123" s="7"/>
    </row>
    <row r="124" spans="1:18" ht="15.75">
      <c r="A124" s="27"/>
      <c r="B124" s="28" t="s">
        <v>88</v>
      </c>
      <c r="C124" s="28"/>
      <c r="D124" s="28"/>
      <c r="E124" s="28"/>
      <c r="F124" s="28"/>
      <c r="G124" s="28"/>
      <c r="H124" s="28"/>
      <c r="I124" s="28"/>
      <c r="J124" s="28"/>
      <c r="K124" s="28"/>
      <c r="L124" s="60">
        <v>0</v>
      </c>
      <c r="M124" s="28"/>
      <c r="N124" s="6"/>
      <c r="O124" s="7"/>
      <c r="P124" s="7"/>
      <c r="Q124" s="7"/>
      <c r="R124" s="7"/>
    </row>
    <row r="125" spans="1:18" ht="15.75">
      <c r="A125" s="27"/>
      <c r="B125" s="28" t="s">
        <v>89</v>
      </c>
      <c r="C125" s="28"/>
      <c r="D125" s="28"/>
      <c r="E125" s="28"/>
      <c r="F125" s="28"/>
      <c r="G125" s="28"/>
      <c r="H125" s="28"/>
      <c r="I125" s="28"/>
      <c r="J125" s="28"/>
      <c r="K125" s="28"/>
      <c r="L125" s="60">
        <v>0</v>
      </c>
      <c r="M125" s="28"/>
      <c r="N125" s="6"/>
      <c r="O125" s="7"/>
      <c r="P125" s="7"/>
      <c r="Q125" s="7"/>
      <c r="R125" s="7"/>
    </row>
    <row r="126" spans="1:18" ht="15.75">
      <c r="A126" s="27"/>
      <c r="B126" s="28" t="s">
        <v>90</v>
      </c>
      <c r="C126" s="28"/>
      <c r="D126" s="28"/>
      <c r="E126" s="28"/>
      <c r="F126" s="28"/>
      <c r="G126" s="28"/>
      <c r="H126" s="28"/>
      <c r="I126" s="28"/>
      <c r="J126" s="28"/>
      <c r="K126" s="28"/>
      <c r="L126" s="60">
        <f>L125+L124</f>
        <v>0</v>
      </c>
      <c r="M126" s="28"/>
      <c r="N126" s="6"/>
      <c r="O126" s="7"/>
      <c r="P126" s="7"/>
      <c r="Q126" s="7"/>
      <c r="R126" s="7"/>
    </row>
    <row r="127" spans="1:18" ht="15.75">
      <c r="A127" s="27"/>
      <c r="B127" s="28" t="s">
        <v>91</v>
      </c>
      <c r="C127" s="28"/>
      <c r="D127" s="28"/>
      <c r="E127" s="28"/>
      <c r="F127" s="28"/>
      <c r="G127" s="28"/>
      <c r="H127" s="72"/>
      <c r="I127" s="28"/>
      <c r="J127" s="28"/>
      <c r="K127" s="28"/>
      <c r="L127" s="60">
        <v>0</v>
      </c>
      <c r="M127" s="28"/>
      <c r="N127" s="6"/>
      <c r="O127" s="7"/>
      <c r="P127" s="7"/>
      <c r="Q127" s="7"/>
      <c r="R127" s="7"/>
    </row>
    <row r="128" spans="1:18" ht="15.75">
      <c r="A128" s="27"/>
      <c r="B128" s="28" t="s">
        <v>92</v>
      </c>
      <c r="C128" s="28"/>
      <c r="D128" s="28"/>
      <c r="E128" s="28"/>
      <c r="F128" s="28"/>
      <c r="G128" s="28"/>
      <c r="H128" s="28"/>
      <c r="I128" s="28"/>
      <c r="J128" s="28"/>
      <c r="K128" s="28"/>
      <c r="L128" s="60">
        <f>L126+L127</f>
        <v>0</v>
      </c>
      <c r="M128" s="28"/>
      <c r="N128" s="6"/>
      <c r="O128" s="7"/>
      <c r="P128" s="7"/>
      <c r="Q128" s="7"/>
      <c r="R128" s="7"/>
    </row>
    <row r="129" spans="1:18" ht="7.5" customHeight="1">
      <c r="A129" s="27"/>
      <c r="B129" s="28"/>
      <c r="C129" s="28"/>
      <c r="D129" s="28"/>
      <c r="E129" s="28"/>
      <c r="F129" s="28"/>
      <c r="G129" s="28"/>
      <c r="H129" s="28"/>
      <c r="I129" s="28"/>
      <c r="J129" s="28"/>
      <c r="K129" s="28"/>
      <c r="L129" s="68"/>
      <c r="M129" s="28"/>
      <c r="N129" s="6"/>
      <c r="O129" s="7"/>
      <c r="P129" s="7"/>
      <c r="Q129" s="7"/>
      <c r="R129" s="7"/>
    </row>
    <row r="130" spans="1:18" ht="6" customHeight="1">
      <c r="A130" s="2"/>
      <c r="B130" s="5"/>
      <c r="C130" s="5"/>
      <c r="D130" s="5"/>
      <c r="E130" s="5"/>
      <c r="F130" s="5"/>
      <c r="G130" s="5"/>
      <c r="H130" s="5"/>
      <c r="I130" s="5"/>
      <c r="J130" s="5"/>
      <c r="K130" s="5"/>
      <c r="L130" s="57"/>
      <c r="M130" s="5"/>
      <c r="N130" s="6"/>
      <c r="O130" s="7"/>
      <c r="P130" s="7"/>
      <c r="Q130" s="7"/>
      <c r="R130" s="7"/>
    </row>
    <row r="131" spans="1:18" ht="15.75">
      <c r="A131" s="8"/>
      <c r="B131" s="167" t="s">
        <v>93</v>
      </c>
      <c r="C131" s="16"/>
      <c r="D131" s="10"/>
      <c r="E131" s="10"/>
      <c r="F131" s="10"/>
      <c r="G131" s="10"/>
      <c r="H131" s="10"/>
      <c r="I131" s="10"/>
      <c r="J131" s="10"/>
      <c r="K131" s="10"/>
      <c r="L131" s="59"/>
      <c r="M131" s="10"/>
      <c r="N131" s="6"/>
      <c r="O131" s="7"/>
      <c r="P131" s="7"/>
      <c r="Q131" s="7"/>
      <c r="R131" s="7"/>
    </row>
    <row r="132" spans="1:18" ht="15.75">
      <c r="A132" s="8"/>
      <c r="B132" s="23"/>
      <c r="C132" s="16"/>
      <c r="D132" s="10"/>
      <c r="E132" s="10"/>
      <c r="F132" s="10"/>
      <c r="G132" s="10"/>
      <c r="H132" s="10"/>
      <c r="I132" s="10"/>
      <c r="J132" s="10"/>
      <c r="K132" s="10"/>
      <c r="L132" s="59"/>
      <c r="M132" s="10"/>
      <c r="N132" s="6"/>
      <c r="O132" s="7"/>
      <c r="P132" s="7"/>
      <c r="Q132" s="7"/>
      <c r="R132" s="7"/>
    </row>
    <row r="133" spans="1:18" ht="15.75">
      <c r="A133" s="27"/>
      <c r="B133" s="28" t="s">
        <v>94</v>
      </c>
      <c r="C133" s="73"/>
      <c r="D133" s="28"/>
      <c r="E133" s="28"/>
      <c r="F133" s="28"/>
      <c r="G133" s="28"/>
      <c r="H133" s="28"/>
      <c r="I133" s="28"/>
      <c r="J133" s="28"/>
      <c r="K133" s="28"/>
      <c r="L133" s="60">
        <f>L56</f>
        <v>181549</v>
      </c>
      <c r="M133" s="28"/>
      <c r="N133" s="6"/>
      <c r="O133" s="7"/>
      <c r="P133" s="7"/>
      <c r="Q133" s="7"/>
      <c r="R133" s="7"/>
    </row>
    <row r="134" spans="1:18" ht="15.75">
      <c r="A134" s="27"/>
      <c r="B134" s="28" t="s">
        <v>95</v>
      </c>
      <c r="C134" s="73"/>
      <c r="D134" s="28"/>
      <c r="E134" s="28"/>
      <c r="F134" s="28"/>
      <c r="G134" s="28"/>
      <c r="H134" s="28"/>
      <c r="I134" s="28"/>
      <c r="J134" s="28"/>
      <c r="K134" s="28"/>
      <c r="L134" s="60">
        <f>L68</f>
        <v>181549</v>
      </c>
      <c r="M134" s="28"/>
      <c r="N134" s="6"/>
      <c r="O134" s="7"/>
      <c r="P134" s="7"/>
      <c r="Q134" s="7"/>
      <c r="R134" s="7"/>
    </row>
    <row r="135" spans="1:18" ht="7.5" customHeight="1">
      <c r="A135" s="27"/>
      <c r="B135" s="28"/>
      <c r="C135" s="28"/>
      <c r="D135" s="28"/>
      <c r="E135" s="28"/>
      <c r="F135" s="28"/>
      <c r="G135" s="28"/>
      <c r="H135" s="28"/>
      <c r="I135" s="28"/>
      <c r="J135" s="28"/>
      <c r="K135" s="28"/>
      <c r="L135" s="68"/>
      <c r="M135" s="28"/>
      <c r="N135" s="6"/>
      <c r="O135" s="7"/>
      <c r="P135" s="7"/>
      <c r="Q135" s="7"/>
      <c r="R135" s="7"/>
    </row>
    <row r="136" spans="1:18" ht="15.75">
      <c r="A136" s="2"/>
      <c r="B136" s="5"/>
      <c r="C136" s="5"/>
      <c r="D136" s="5"/>
      <c r="E136" s="5"/>
      <c r="F136" s="5"/>
      <c r="G136" s="5"/>
      <c r="H136" s="5"/>
      <c r="I136" s="5"/>
      <c r="J136" s="5"/>
      <c r="K136" s="5"/>
      <c r="L136" s="57"/>
      <c r="M136" s="5"/>
      <c r="N136" s="6"/>
      <c r="O136" s="7"/>
      <c r="P136" s="7"/>
      <c r="Q136" s="7"/>
      <c r="R136" s="7"/>
    </row>
    <row r="137" spans="1:18" ht="15.75">
      <c r="A137" s="8"/>
      <c r="B137" s="167" t="s">
        <v>96</v>
      </c>
      <c r="C137" s="12"/>
      <c r="D137" s="12"/>
      <c r="E137" s="12"/>
      <c r="F137" s="12"/>
      <c r="G137" s="12"/>
      <c r="H137" s="168" t="s">
        <v>171</v>
      </c>
      <c r="I137" s="168"/>
      <c r="J137" s="168" t="s">
        <v>178</v>
      </c>
      <c r="K137" s="154"/>
      <c r="L137" s="169" t="s">
        <v>191</v>
      </c>
      <c r="M137" s="10"/>
      <c r="N137" s="6"/>
      <c r="O137" s="7"/>
      <c r="P137" s="7"/>
      <c r="Q137" s="7"/>
      <c r="R137" s="7"/>
    </row>
    <row r="138" spans="1:18" ht="15.75">
      <c r="A138" s="27"/>
      <c r="B138" s="28" t="s">
        <v>97</v>
      </c>
      <c r="C138" s="28"/>
      <c r="D138" s="28"/>
      <c r="E138" s="28"/>
      <c r="F138" s="28"/>
      <c r="G138" s="28"/>
      <c r="H138" s="60">
        <v>20000</v>
      </c>
      <c r="I138" s="28"/>
      <c r="J138" s="47"/>
      <c r="K138" s="28"/>
      <c r="L138" s="60"/>
      <c r="M138" s="28"/>
      <c r="N138" s="6"/>
      <c r="O138" s="7"/>
      <c r="P138" s="7"/>
      <c r="Q138" s="7"/>
      <c r="R138" s="7"/>
    </row>
    <row r="139" spans="1:18" ht="15.75">
      <c r="A139" s="27"/>
      <c r="B139" s="28" t="s">
        <v>98</v>
      </c>
      <c r="C139" s="28"/>
      <c r="D139" s="28"/>
      <c r="E139" s="28"/>
      <c r="F139" s="28"/>
      <c r="G139" s="28"/>
      <c r="H139" s="60">
        <v>0</v>
      </c>
      <c r="I139" s="28"/>
      <c r="J139" s="28">
        <v>0</v>
      </c>
      <c r="K139" s="28"/>
      <c r="L139" s="60">
        <f>J139+H139</f>
        <v>0</v>
      </c>
      <c r="M139" s="28"/>
      <c r="N139" s="6"/>
      <c r="O139" s="7"/>
      <c r="P139" s="7"/>
      <c r="Q139" s="7"/>
      <c r="R139" s="7"/>
    </row>
    <row r="140" spans="1:18" ht="15.75">
      <c r="A140" s="27"/>
      <c r="B140" s="28" t="s">
        <v>99</v>
      </c>
      <c r="C140" s="28"/>
      <c r="D140" s="28"/>
      <c r="E140" s="28"/>
      <c r="F140" s="28"/>
      <c r="G140" s="28"/>
      <c r="H140" s="28">
        <v>585</v>
      </c>
      <c r="I140" s="28"/>
      <c r="J140" s="28">
        <v>224</v>
      </c>
      <c r="K140" s="28"/>
      <c r="L140" s="60">
        <f>J140+H140</f>
        <v>809</v>
      </c>
      <c r="M140" s="28"/>
      <c r="N140" s="6"/>
      <c r="O140" s="7"/>
      <c r="P140" s="7"/>
      <c r="Q140" s="7"/>
      <c r="R140" s="7"/>
    </row>
    <row r="141" spans="1:18" ht="15.75">
      <c r="A141" s="27"/>
      <c r="B141" s="28" t="s">
        <v>100</v>
      </c>
      <c r="C141" s="28"/>
      <c r="D141" s="28"/>
      <c r="E141" s="28"/>
      <c r="F141" s="28"/>
      <c r="G141" s="28"/>
      <c r="H141" s="60">
        <f>H139+H140</f>
        <v>585</v>
      </c>
      <c r="I141" s="28"/>
      <c r="J141" s="60">
        <f>J140+J139</f>
        <v>224</v>
      </c>
      <c r="K141" s="28"/>
      <c r="L141" s="60">
        <f>J141+H141</f>
        <v>809</v>
      </c>
      <c r="M141" s="28"/>
      <c r="N141" s="6"/>
      <c r="O141" s="7"/>
      <c r="P141" s="7"/>
      <c r="Q141" s="7"/>
      <c r="R141" s="7"/>
    </row>
    <row r="142" spans="1:18" ht="15.75">
      <c r="A142" s="27"/>
      <c r="B142" s="28" t="s">
        <v>101</v>
      </c>
      <c r="C142" s="28"/>
      <c r="D142" s="28"/>
      <c r="E142" s="28"/>
      <c r="F142" s="28"/>
      <c r="G142" s="28"/>
      <c r="H142" s="60">
        <f>H138-H141</f>
        <v>19415</v>
      </c>
      <c r="I142" s="28"/>
      <c r="J142" s="47"/>
      <c r="K142" s="28"/>
      <c r="L142" s="60"/>
      <c r="M142" s="28"/>
      <c r="N142" s="6"/>
      <c r="O142" s="7"/>
      <c r="P142" s="7"/>
      <c r="Q142" s="7"/>
      <c r="R142" s="7"/>
    </row>
    <row r="143" spans="1:18" ht="7.5" customHeight="1">
      <c r="A143" s="27"/>
      <c r="B143" s="28"/>
      <c r="C143" s="28"/>
      <c r="D143" s="28"/>
      <c r="E143" s="28"/>
      <c r="F143" s="28"/>
      <c r="G143" s="28"/>
      <c r="H143" s="28"/>
      <c r="I143" s="28"/>
      <c r="J143" s="28"/>
      <c r="K143" s="28"/>
      <c r="L143" s="68"/>
      <c r="M143" s="28"/>
      <c r="N143" s="6"/>
      <c r="O143" s="7"/>
      <c r="P143" s="7"/>
      <c r="Q143" s="7"/>
      <c r="R143" s="7"/>
    </row>
    <row r="144" spans="1:18" ht="9" customHeight="1">
      <c r="A144" s="2"/>
      <c r="B144" s="5"/>
      <c r="C144" s="5"/>
      <c r="D144" s="5"/>
      <c r="E144" s="5"/>
      <c r="F144" s="5"/>
      <c r="G144" s="5"/>
      <c r="H144" s="5"/>
      <c r="I144" s="5"/>
      <c r="J144" s="5"/>
      <c r="K144" s="5"/>
      <c r="L144" s="57"/>
      <c r="M144" s="5"/>
      <c r="N144" s="6"/>
      <c r="O144" s="7"/>
      <c r="P144" s="7"/>
      <c r="Q144" s="7"/>
      <c r="R144" s="7"/>
    </row>
    <row r="145" spans="1:18" ht="15.75">
      <c r="A145" s="8"/>
      <c r="B145" s="167" t="s">
        <v>102</v>
      </c>
      <c r="C145" s="16"/>
      <c r="D145" s="10"/>
      <c r="E145" s="10"/>
      <c r="F145" s="10"/>
      <c r="G145" s="10"/>
      <c r="H145" s="10"/>
      <c r="I145" s="10"/>
      <c r="J145" s="10"/>
      <c r="K145" s="10"/>
      <c r="L145" s="74"/>
      <c r="M145" s="10"/>
      <c r="N145" s="6"/>
      <c r="O145" s="7"/>
      <c r="P145" s="7"/>
      <c r="Q145" s="7"/>
      <c r="R145" s="7"/>
    </row>
    <row r="146" spans="1:18" ht="15.75">
      <c r="A146" s="27"/>
      <c r="B146" s="28" t="s">
        <v>103</v>
      </c>
      <c r="C146" s="28"/>
      <c r="D146" s="28"/>
      <c r="E146" s="28"/>
      <c r="F146" s="28"/>
      <c r="G146" s="28"/>
      <c r="H146" s="28"/>
      <c r="I146" s="28"/>
      <c r="J146" s="28"/>
      <c r="K146" s="28"/>
      <c r="L146" s="67">
        <f>(L78+L80+L81+L82+L83)/-L84</f>
        <v>1.2831552482715274</v>
      </c>
      <c r="M146" s="28" t="s">
        <v>192</v>
      </c>
      <c r="N146" s="6"/>
      <c r="O146" s="7"/>
      <c r="P146" s="7"/>
      <c r="Q146" s="7"/>
      <c r="R146" s="7"/>
    </row>
    <row r="147" spans="1:18" ht="15.75">
      <c r="A147" s="27"/>
      <c r="B147" s="28" t="s">
        <v>104</v>
      </c>
      <c r="C147" s="28"/>
      <c r="D147" s="28"/>
      <c r="E147" s="28"/>
      <c r="F147" s="28"/>
      <c r="G147" s="28"/>
      <c r="H147" s="28"/>
      <c r="I147" s="28"/>
      <c r="J147" s="28"/>
      <c r="K147" s="28"/>
      <c r="L147" s="67">
        <f>L146</f>
        <v>1.2831552482715274</v>
      </c>
      <c r="M147" s="28" t="s">
        <v>192</v>
      </c>
      <c r="N147" s="6"/>
      <c r="O147" s="7"/>
      <c r="P147" s="7"/>
      <c r="Q147" s="7"/>
      <c r="R147" s="7"/>
    </row>
    <row r="148" spans="1:18" ht="15.75">
      <c r="A148" s="27"/>
      <c r="B148" s="28" t="s">
        <v>105</v>
      </c>
      <c r="C148" s="28"/>
      <c r="D148" s="28"/>
      <c r="E148" s="28"/>
      <c r="F148" s="28"/>
      <c r="G148" s="28"/>
      <c r="H148" s="28"/>
      <c r="I148" s="28"/>
      <c r="J148" s="28"/>
      <c r="K148" s="28"/>
      <c r="L148" s="67">
        <f>(L78+SUM(L80:L84))/-L85</f>
        <v>2.559659090909091</v>
      </c>
      <c r="M148" s="28" t="s">
        <v>192</v>
      </c>
      <c r="N148" s="6"/>
      <c r="O148" s="7"/>
      <c r="P148" s="7"/>
      <c r="Q148" s="7"/>
      <c r="R148" s="7"/>
    </row>
    <row r="149" spans="1:18" ht="15.75">
      <c r="A149" s="27"/>
      <c r="B149" s="28" t="s">
        <v>106</v>
      </c>
      <c r="C149" s="28"/>
      <c r="D149" s="28"/>
      <c r="E149" s="28"/>
      <c r="F149" s="28"/>
      <c r="G149" s="28"/>
      <c r="H149" s="28"/>
      <c r="I149" s="28"/>
      <c r="J149" s="28"/>
      <c r="K149" s="28"/>
      <c r="L149" s="75">
        <f>L148</f>
        <v>2.559659090909091</v>
      </c>
      <c r="M149" s="28" t="s">
        <v>192</v>
      </c>
      <c r="N149" s="6"/>
      <c r="O149" s="7"/>
      <c r="P149" s="7"/>
      <c r="Q149" s="7"/>
      <c r="R149" s="7"/>
    </row>
    <row r="150" spans="1:18" ht="7.5" customHeight="1">
      <c r="A150" s="27"/>
      <c r="B150" s="28"/>
      <c r="C150" s="28"/>
      <c r="D150" s="28"/>
      <c r="E150" s="28"/>
      <c r="F150" s="28"/>
      <c r="G150" s="28"/>
      <c r="H150" s="28"/>
      <c r="I150" s="28"/>
      <c r="J150" s="28"/>
      <c r="K150" s="28"/>
      <c r="L150" s="28"/>
      <c r="M150" s="28"/>
      <c r="N150" s="6"/>
      <c r="O150" s="7"/>
      <c r="P150" s="7"/>
      <c r="Q150" s="7"/>
      <c r="R150" s="7"/>
    </row>
    <row r="151" spans="1:18" ht="15.75">
      <c r="A151" s="8"/>
      <c r="B151" s="15"/>
      <c r="C151" s="15"/>
      <c r="D151" s="15"/>
      <c r="E151" s="15"/>
      <c r="F151" s="15"/>
      <c r="G151" s="15"/>
      <c r="H151" s="15"/>
      <c r="I151" s="15"/>
      <c r="J151" s="15"/>
      <c r="K151" s="15"/>
      <c r="L151" s="15"/>
      <c r="M151" s="15"/>
      <c r="N151" s="6"/>
      <c r="O151" s="7"/>
      <c r="P151" s="7"/>
      <c r="Q151" s="7"/>
      <c r="R151" s="7"/>
    </row>
    <row r="152" spans="1:18" ht="15.75">
      <c r="A152" s="8"/>
      <c r="B152" s="15"/>
      <c r="C152" s="15"/>
      <c r="D152" s="15"/>
      <c r="E152" s="15"/>
      <c r="F152" s="15"/>
      <c r="G152" s="15"/>
      <c r="H152" s="15"/>
      <c r="I152" s="15"/>
      <c r="J152" s="15"/>
      <c r="K152" s="15"/>
      <c r="L152" s="15"/>
      <c r="M152" s="15"/>
      <c r="N152" s="6"/>
      <c r="O152" s="7"/>
      <c r="P152" s="7"/>
      <c r="Q152" s="7"/>
      <c r="R152" s="7"/>
    </row>
    <row r="153" spans="1:18" ht="19.5" thickBot="1">
      <c r="A153" s="138"/>
      <c r="B153" s="139" t="s">
        <v>34</v>
      </c>
      <c r="C153" s="144"/>
      <c r="D153" s="144"/>
      <c r="E153" s="144"/>
      <c r="F153" s="144"/>
      <c r="G153" s="144"/>
      <c r="H153" s="144"/>
      <c r="I153" s="144"/>
      <c r="J153" s="144"/>
      <c r="K153" s="144"/>
      <c r="L153" s="144"/>
      <c r="M153" s="145"/>
      <c r="N153" s="6"/>
      <c r="O153" s="7"/>
      <c r="P153" s="7"/>
      <c r="Q153" s="7"/>
      <c r="R153" s="7"/>
    </row>
    <row r="154" spans="1:18" ht="15.75">
      <c r="A154" s="76"/>
      <c r="B154" s="77" t="s">
        <v>107</v>
      </c>
      <c r="C154" s="78"/>
      <c r="D154" s="78"/>
      <c r="E154" s="78"/>
      <c r="F154" s="78"/>
      <c r="G154" s="79"/>
      <c r="H154" s="79"/>
      <c r="I154" s="79"/>
      <c r="J154" s="79">
        <v>36433</v>
      </c>
      <c r="K154" s="80"/>
      <c r="L154" s="80"/>
      <c r="M154" s="80"/>
      <c r="N154" s="81"/>
      <c r="O154" s="7"/>
      <c r="P154" s="7"/>
      <c r="Q154" s="7"/>
      <c r="R154" s="7"/>
    </row>
    <row r="155" spans="1:18" ht="15.75">
      <c r="A155" s="82"/>
      <c r="B155" s="83"/>
      <c r="C155" s="84"/>
      <c r="D155" s="84"/>
      <c r="E155" s="84"/>
      <c r="F155" s="84"/>
      <c r="G155" s="85"/>
      <c r="H155" s="85"/>
      <c r="I155" s="85"/>
      <c r="J155" s="85"/>
      <c r="K155" s="10"/>
      <c r="L155" s="10"/>
      <c r="M155" s="10"/>
      <c r="N155" s="81"/>
      <c r="O155" s="7"/>
      <c r="P155" s="7"/>
      <c r="Q155" s="7"/>
      <c r="R155" s="7"/>
    </row>
    <row r="156" spans="1:18" ht="15.75">
      <c r="A156" s="86"/>
      <c r="B156" s="87" t="s">
        <v>108</v>
      </c>
      <c r="C156" s="88"/>
      <c r="D156" s="88"/>
      <c r="E156" s="88"/>
      <c r="F156" s="88"/>
      <c r="G156" s="72"/>
      <c r="H156" s="72"/>
      <c r="I156" s="72"/>
      <c r="J156" s="89">
        <v>0.0714</v>
      </c>
      <c r="K156" s="28"/>
      <c r="L156" s="28"/>
      <c r="M156" s="28"/>
      <c r="N156" s="81"/>
      <c r="O156" s="7"/>
      <c r="P156" s="7"/>
      <c r="Q156" s="7"/>
      <c r="R156" s="7"/>
    </row>
    <row r="157" spans="1:18" ht="15.75">
      <c r="A157" s="86"/>
      <c r="B157" s="87" t="s">
        <v>109</v>
      </c>
      <c r="C157" s="88"/>
      <c r="D157" s="88"/>
      <c r="E157" s="88"/>
      <c r="F157" s="88"/>
      <c r="G157" s="72"/>
      <c r="H157" s="72"/>
      <c r="I157" s="72"/>
      <c r="J157" s="46">
        <v>0.0553</v>
      </c>
      <c r="K157" s="28"/>
      <c r="L157" s="28"/>
      <c r="M157" s="28"/>
      <c r="N157" s="81"/>
      <c r="O157" s="7"/>
      <c r="P157" s="7"/>
      <c r="Q157" s="7"/>
      <c r="R157" s="7"/>
    </row>
    <row r="158" spans="1:18" ht="15.75">
      <c r="A158" s="86"/>
      <c r="B158" s="87" t="s">
        <v>110</v>
      </c>
      <c r="C158" s="88"/>
      <c r="D158" s="88"/>
      <c r="E158" s="88"/>
      <c r="F158" s="88"/>
      <c r="G158" s="72"/>
      <c r="H158" s="72"/>
      <c r="I158" s="72"/>
      <c r="J158" s="89">
        <f>J156-J157</f>
        <v>0.016100000000000003</v>
      </c>
      <c r="K158" s="28"/>
      <c r="L158" s="28"/>
      <c r="M158" s="28"/>
      <c r="N158" s="81"/>
      <c r="O158" s="7"/>
      <c r="P158" s="7"/>
      <c r="Q158" s="7"/>
      <c r="R158" s="7"/>
    </row>
    <row r="159" spans="1:18" ht="15.75">
      <c r="A159" s="86"/>
      <c r="B159" s="87" t="s">
        <v>111</v>
      </c>
      <c r="C159" s="88"/>
      <c r="D159" s="88"/>
      <c r="E159" s="88"/>
      <c r="F159" s="88"/>
      <c r="G159" s="72"/>
      <c r="H159" s="72"/>
      <c r="I159" s="72"/>
      <c r="J159" s="89">
        <v>0.0723</v>
      </c>
      <c r="K159" s="28"/>
      <c r="L159" s="28"/>
      <c r="M159" s="28"/>
      <c r="N159" s="81"/>
      <c r="O159" s="7"/>
      <c r="P159" s="7"/>
      <c r="Q159" s="7"/>
      <c r="R159" s="7"/>
    </row>
    <row r="160" spans="1:18" ht="15.75">
      <c r="A160" s="86"/>
      <c r="B160" s="87" t="s">
        <v>112</v>
      </c>
      <c r="C160" s="88"/>
      <c r="D160" s="88"/>
      <c r="E160" s="88"/>
      <c r="F160" s="88"/>
      <c r="G160" s="72"/>
      <c r="H160" s="72"/>
      <c r="I160" s="72"/>
      <c r="J160" s="89">
        <f>L31</f>
        <v>0.05534103783783784</v>
      </c>
      <c r="K160" s="28"/>
      <c r="L160" s="28"/>
      <c r="M160" s="28"/>
      <c r="N160" s="81"/>
      <c r="O160" s="7"/>
      <c r="P160" s="7"/>
      <c r="Q160" s="7"/>
      <c r="R160" s="7"/>
    </row>
    <row r="161" spans="1:18" ht="15.75">
      <c r="A161" s="86"/>
      <c r="B161" s="87" t="s">
        <v>113</v>
      </c>
      <c r="C161" s="88"/>
      <c r="D161" s="88"/>
      <c r="E161" s="88"/>
      <c r="F161" s="88"/>
      <c r="G161" s="72"/>
      <c r="H161" s="72"/>
      <c r="I161" s="72"/>
      <c r="J161" s="89">
        <f>J159-J160</f>
        <v>0.01695896216216216</v>
      </c>
      <c r="K161" s="28"/>
      <c r="L161" s="28"/>
      <c r="M161" s="28"/>
      <c r="N161" s="81"/>
      <c r="O161" s="7"/>
      <c r="P161" s="7"/>
      <c r="Q161" s="7"/>
      <c r="R161" s="7"/>
    </row>
    <row r="162" spans="1:18" ht="15.75">
      <c r="A162" s="86"/>
      <c r="B162" s="87" t="s">
        <v>114</v>
      </c>
      <c r="C162" s="88"/>
      <c r="D162" s="88"/>
      <c r="E162" s="88"/>
      <c r="F162" s="88"/>
      <c r="G162" s="72"/>
      <c r="H162" s="72"/>
      <c r="I162" s="72"/>
      <c r="J162" s="90" t="s">
        <v>179</v>
      </c>
      <c r="K162" s="28"/>
      <c r="L162" s="28"/>
      <c r="M162" s="28"/>
      <c r="N162" s="81"/>
      <c r="O162" s="7"/>
      <c r="P162" s="7"/>
      <c r="Q162" s="7"/>
      <c r="R162" s="7"/>
    </row>
    <row r="163" spans="1:18" ht="15.75">
      <c r="A163" s="86"/>
      <c r="B163" s="87" t="s">
        <v>115</v>
      </c>
      <c r="C163" s="88"/>
      <c r="D163" s="88"/>
      <c r="E163" s="88"/>
      <c r="F163" s="88"/>
      <c r="G163" s="72"/>
      <c r="H163" s="72"/>
      <c r="I163" s="72"/>
      <c r="J163" s="90" t="s">
        <v>180</v>
      </c>
      <c r="K163" s="28"/>
      <c r="L163" s="28"/>
      <c r="M163" s="28"/>
      <c r="N163" s="81"/>
      <c r="O163" s="7"/>
      <c r="P163" s="7"/>
      <c r="Q163" s="7"/>
      <c r="R163" s="7"/>
    </row>
    <row r="164" spans="1:18" ht="15.75">
      <c r="A164" s="86"/>
      <c r="B164" s="87" t="s">
        <v>116</v>
      </c>
      <c r="C164" s="88"/>
      <c r="D164" s="88"/>
      <c r="E164" s="88"/>
      <c r="F164" s="88"/>
      <c r="G164" s="72"/>
      <c r="H164" s="72"/>
      <c r="I164" s="72"/>
      <c r="J164" s="91">
        <v>18.53</v>
      </c>
      <c r="K164" s="28" t="s">
        <v>184</v>
      </c>
      <c r="L164" s="28"/>
      <c r="M164" s="28"/>
      <c r="N164" s="81"/>
      <c r="O164" s="7"/>
      <c r="P164" s="7"/>
      <c r="Q164" s="7"/>
      <c r="R164" s="7"/>
    </row>
    <row r="165" spans="1:18" ht="15.75">
      <c r="A165" s="86"/>
      <c r="B165" s="87" t="s">
        <v>117</v>
      </c>
      <c r="C165" s="88"/>
      <c r="D165" s="88"/>
      <c r="E165" s="88"/>
      <c r="F165" s="88"/>
      <c r="G165" s="72"/>
      <c r="H165" s="72"/>
      <c r="I165" s="72"/>
      <c r="J165" s="91">
        <v>18.37</v>
      </c>
      <c r="K165" s="28" t="s">
        <v>184</v>
      </c>
      <c r="L165" s="28"/>
      <c r="M165" s="28"/>
      <c r="N165" s="81"/>
      <c r="O165" s="7"/>
      <c r="P165" s="7"/>
      <c r="Q165" s="7"/>
      <c r="R165" s="7"/>
    </row>
    <row r="166" spans="1:18" ht="15.75">
      <c r="A166" s="86"/>
      <c r="B166" s="87" t="s">
        <v>118</v>
      </c>
      <c r="C166" s="88"/>
      <c r="D166" s="88"/>
      <c r="E166" s="88"/>
      <c r="F166" s="88"/>
      <c r="G166" s="72"/>
      <c r="H166" s="72"/>
      <c r="I166" s="72"/>
      <c r="J166" s="89">
        <f>F56/C68</f>
        <v>0.02302702702702703</v>
      </c>
      <c r="K166" s="28"/>
      <c r="L166" s="28"/>
      <c r="M166" s="28"/>
      <c r="N166" s="81"/>
      <c r="O166" s="7"/>
      <c r="P166" s="7"/>
      <c r="Q166" s="7"/>
      <c r="R166" s="7"/>
    </row>
    <row r="167" spans="1:18" ht="15.75">
      <c r="A167" s="86"/>
      <c r="B167" s="87" t="s">
        <v>119</v>
      </c>
      <c r="C167" s="88"/>
      <c r="D167" s="88"/>
      <c r="E167" s="88"/>
      <c r="F167" s="88"/>
      <c r="G167" s="72"/>
      <c r="H167" s="72"/>
      <c r="I167" s="72"/>
      <c r="J167" s="89">
        <v>0.0889</v>
      </c>
      <c r="K167" s="28"/>
      <c r="L167" s="28"/>
      <c r="M167" s="28"/>
      <c r="N167" s="81"/>
      <c r="O167" s="7"/>
      <c r="P167" s="7"/>
      <c r="Q167" s="7"/>
      <c r="R167" s="7"/>
    </row>
    <row r="168" spans="1:18" ht="15.75">
      <c r="A168" s="86"/>
      <c r="B168" s="87"/>
      <c r="C168" s="87"/>
      <c r="D168" s="87"/>
      <c r="E168" s="87"/>
      <c r="F168" s="87"/>
      <c r="G168" s="28"/>
      <c r="H168" s="28"/>
      <c r="I168" s="28"/>
      <c r="J168" s="68"/>
      <c r="K168" s="28"/>
      <c r="L168" s="92"/>
      <c r="M168" s="28"/>
      <c r="N168" s="81"/>
      <c r="O168" s="7"/>
      <c r="P168" s="7"/>
      <c r="Q168" s="7"/>
      <c r="R168" s="7"/>
    </row>
    <row r="169" spans="1:18" ht="15.75">
      <c r="A169" s="93"/>
      <c r="B169" s="17" t="s">
        <v>120</v>
      </c>
      <c r="C169" s="20"/>
      <c r="D169" s="94"/>
      <c r="E169" s="20"/>
      <c r="F169" s="94"/>
      <c r="G169" s="20"/>
      <c r="H169" s="94"/>
      <c r="I169" s="20" t="s">
        <v>172</v>
      </c>
      <c r="J169" s="94" t="s">
        <v>181</v>
      </c>
      <c r="K169" s="18"/>
      <c r="L169" s="18"/>
      <c r="M169" s="10"/>
      <c r="N169" s="81"/>
      <c r="O169" s="7"/>
      <c r="P169" s="7"/>
      <c r="Q169" s="7"/>
      <c r="R169" s="7"/>
    </row>
    <row r="170" spans="1:18" ht="15.75">
      <c r="A170" s="95"/>
      <c r="B170" s="87" t="s">
        <v>121</v>
      </c>
      <c r="C170" s="61"/>
      <c r="D170" s="61"/>
      <c r="E170" s="61"/>
      <c r="F170" s="28"/>
      <c r="G170" s="28"/>
      <c r="H170" s="28"/>
      <c r="I170" s="31">
        <v>2</v>
      </c>
      <c r="J170" s="96">
        <v>63</v>
      </c>
      <c r="K170" s="28"/>
      <c r="L170" s="92"/>
      <c r="M170" s="97"/>
      <c r="N170" s="81"/>
      <c r="O170" s="7"/>
      <c r="P170" s="7"/>
      <c r="Q170" s="7"/>
      <c r="R170" s="7"/>
    </row>
    <row r="171" spans="1:18" ht="15.75">
      <c r="A171" s="95"/>
      <c r="B171" s="87" t="s">
        <v>122</v>
      </c>
      <c r="C171" s="61"/>
      <c r="D171" s="61"/>
      <c r="E171" s="61"/>
      <c r="F171" s="28"/>
      <c r="G171" s="28"/>
      <c r="H171" s="28"/>
      <c r="I171" s="31">
        <v>0</v>
      </c>
      <c r="J171" s="96">
        <v>0</v>
      </c>
      <c r="K171" s="28"/>
      <c r="L171" s="92"/>
      <c r="M171" s="97"/>
      <c r="N171" s="81"/>
      <c r="O171" s="7"/>
      <c r="P171" s="7"/>
      <c r="Q171" s="7"/>
      <c r="R171" s="7"/>
    </row>
    <row r="172" spans="1:18" ht="15.75">
      <c r="A172" s="95"/>
      <c r="B172" s="170" t="s">
        <v>123</v>
      </c>
      <c r="C172" s="61"/>
      <c r="D172" s="61"/>
      <c r="E172" s="61"/>
      <c r="F172" s="28"/>
      <c r="G172" s="28"/>
      <c r="H172" s="28"/>
      <c r="I172" s="28"/>
      <c r="J172" s="96">
        <v>0</v>
      </c>
      <c r="K172" s="28"/>
      <c r="L172" s="92"/>
      <c r="M172" s="97"/>
      <c r="N172" s="81"/>
      <c r="O172" s="7"/>
      <c r="P172" s="7"/>
      <c r="Q172" s="7"/>
      <c r="R172" s="7"/>
    </row>
    <row r="173" spans="1:18" ht="15.75">
      <c r="A173" s="95"/>
      <c r="B173" s="170" t="s">
        <v>124</v>
      </c>
      <c r="C173" s="61"/>
      <c r="D173" s="61"/>
      <c r="E173" s="61"/>
      <c r="F173" s="28"/>
      <c r="G173" s="28"/>
      <c r="H173" s="28"/>
      <c r="I173" s="28"/>
      <c r="J173" s="96">
        <v>22352</v>
      </c>
      <c r="K173" s="28"/>
      <c r="L173" s="92"/>
      <c r="M173" s="97"/>
      <c r="N173" s="81"/>
      <c r="O173" s="7"/>
      <c r="P173" s="7"/>
      <c r="Q173" s="7"/>
      <c r="R173" s="7"/>
    </row>
    <row r="174" spans="1:18" ht="15.75">
      <c r="A174" s="98"/>
      <c r="B174" s="170" t="s">
        <v>125</v>
      </c>
      <c r="C174" s="61"/>
      <c r="D174" s="87"/>
      <c r="E174" s="87"/>
      <c r="F174" s="87"/>
      <c r="G174" s="28"/>
      <c r="H174" s="28"/>
      <c r="I174" s="28"/>
      <c r="J174" s="96">
        <v>0</v>
      </c>
      <c r="K174" s="28"/>
      <c r="L174" s="92"/>
      <c r="M174" s="99"/>
      <c r="N174" s="81"/>
      <c r="O174" s="7"/>
      <c r="P174" s="7"/>
      <c r="Q174" s="7"/>
      <c r="R174" s="7"/>
    </row>
    <row r="175" spans="1:18" ht="15.75">
      <c r="A175" s="95"/>
      <c r="B175" s="87" t="s">
        <v>126</v>
      </c>
      <c r="C175" s="61"/>
      <c r="D175" s="61"/>
      <c r="E175" s="61"/>
      <c r="F175" s="61"/>
      <c r="G175" s="28"/>
      <c r="H175" s="28"/>
      <c r="I175" s="28"/>
      <c r="J175" s="96">
        <v>0</v>
      </c>
      <c r="K175" s="28"/>
      <c r="L175" s="92"/>
      <c r="M175" s="99"/>
      <c r="N175" s="81"/>
      <c r="O175" s="7"/>
      <c r="P175" s="7"/>
      <c r="Q175" s="7"/>
      <c r="R175" s="7"/>
    </row>
    <row r="176" spans="1:18" ht="15.75">
      <c r="A176" s="95"/>
      <c r="B176" s="87" t="s">
        <v>127</v>
      </c>
      <c r="C176" s="61"/>
      <c r="D176" s="61"/>
      <c r="E176" s="61"/>
      <c r="F176" s="61"/>
      <c r="G176" s="28"/>
      <c r="H176" s="28"/>
      <c r="I176" s="28"/>
      <c r="J176" s="96">
        <v>0</v>
      </c>
      <c r="K176" s="28"/>
      <c r="L176" s="92"/>
      <c r="M176" s="99"/>
      <c r="N176" s="81"/>
      <c r="O176" s="7"/>
      <c r="P176" s="7"/>
      <c r="Q176" s="7"/>
      <c r="R176" s="7"/>
    </row>
    <row r="177" spans="1:18" ht="15.75">
      <c r="A177" s="98"/>
      <c r="B177" s="170" t="s">
        <v>128</v>
      </c>
      <c r="C177" s="61"/>
      <c r="D177" s="87"/>
      <c r="E177" s="87"/>
      <c r="F177" s="87"/>
      <c r="G177" s="28"/>
      <c r="H177" s="28"/>
      <c r="I177" s="28"/>
      <c r="J177" s="96"/>
      <c r="K177" s="28"/>
      <c r="L177" s="92"/>
      <c r="M177" s="99"/>
      <c r="N177" s="81"/>
      <c r="O177" s="7"/>
      <c r="P177" s="7"/>
      <c r="Q177" s="7"/>
      <c r="R177" s="7"/>
    </row>
    <row r="178" spans="1:18" ht="15.75">
      <c r="A178" s="98"/>
      <c r="B178" s="87" t="s">
        <v>129</v>
      </c>
      <c r="C178" s="61"/>
      <c r="D178" s="87"/>
      <c r="E178" s="87"/>
      <c r="F178" s="87"/>
      <c r="G178" s="28"/>
      <c r="H178" s="28"/>
      <c r="I178" s="28"/>
      <c r="J178" s="96">
        <v>0</v>
      </c>
      <c r="K178" s="28"/>
      <c r="L178" s="92"/>
      <c r="M178" s="99"/>
      <c r="N178" s="81"/>
      <c r="O178" s="7"/>
      <c r="P178" s="7"/>
      <c r="Q178" s="7"/>
      <c r="R178" s="7"/>
    </row>
    <row r="179" spans="1:18" ht="15.75">
      <c r="A179" s="95"/>
      <c r="B179" s="87" t="s">
        <v>130</v>
      </c>
      <c r="C179" s="61"/>
      <c r="D179" s="100"/>
      <c r="E179" s="100"/>
      <c r="F179" s="101"/>
      <c r="G179" s="28"/>
      <c r="H179" s="28"/>
      <c r="I179" s="28"/>
      <c r="J179" s="96">
        <v>0</v>
      </c>
      <c r="K179" s="28"/>
      <c r="L179" s="92"/>
      <c r="M179" s="99"/>
      <c r="N179" s="81"/>
      <c r="O179" s="7"/>
      <c r="P179" s="7"/>
      <c r="Q179" s="7"/>
      <c r="R179" s="7"/>
    </row>
    <row r="180" spans="1:18" ht="15.75">
      <c r="A180" s="95"/>
      <c r="B180" s="87" t="s">
        <v>131</v>
      </c>
      <c r="C180" s="61"/>
      <c r="D180" s="100"/>
      <c r="E180" s="100"/>
      <c r="F180" s="101"/>
      <c r="G180" s="28"/>
      <c r="H180" s="28"/>
      <c r="I180" s="28"/>
      <c r="J180" s="96">
        <v>0</v>
      </c>
      <c r="K180" s="28"/>
      <c r="L180" s="92"/>
      <c r="M180" s="99"/>
      <c r="N180" s="81"/>
      <c r="O180" s="7"/>
      <c r="P180" s="7"/>
      <c r="Q180" s="7"/>
      <c r="R180" s="7"/>
    </row>
    <row r="181" spans="1:18" ht="15.75">
      <c r="A181" s="95"/>
      <c r="B181" s="87" t="s">
        <v>132</v>
      </c>
      <c r="C181" s="61"/>
      <c r="D181" s="102"/>
      <c r="E181" s="100"/>
      <c r="F181" s="101"/>
      <c r="G181" s="28"/>
      <c r="H181" s="28"/>
      <c r="I181" s="28"/>
      <c r="J181" s="103">
        <v>0</v>
      </c>
      <c r="K181" s="28"/>
      <c r="L181" s="92"/>
      <c r="M181" s="99"/>
      <c r="N181" s="81"/>
      <c r="O181" s="7"/>
      <c r="P181" s="7"/>
      <c r="Q181" s="7"/>
      <c r="R181" s="7"/>
    </row>
    <row r="182" spans="1:18" ht="15.75">
      <c r="A182" s="95"/>
      <c r="B182" s="87"/>
      <c r="C182" s="61"/>
      <c r="D182" s="102"/>
      <c r="E182" s="100"/>
      <c r="F182" s="101"/>
      <c r="G182" s="28"/>
      <c r="H182" s="28"/>
      <c r="I182" s="28"/>
      <c r="J182" s="103"/>
      <c r="K182" s="28"/>
      <c r="L182" s="92"/>
      <c r="M182" s="99"/>
      <c r="N182" s="81"/>
      <c r="O182" s="7"/>
      <c r="P182" s="7"/>
      <c r="Q182" s="7"/>
      <c r="R182" s="7"/>
    </row>
    <row r="183" spans="1:18" ht="15.75">
      <c r="A183" s="8"/>
      <c r="B183" s="17" t="s">
        <v>133</v>
      </c>
      <c r="C183" s="20"/>
      <c r="D183" s="94"/>
      <c r="E183" s="20"/>
      <c r="F183" s="94"/>
      <c r="G183" s="20"/>
      <c r="H183" s="94" t="s">
        <v>172</v>
      </c>
      <c r="I183" s="20" t="s">
        <v>173</v>
      </c>
      <c r="J183" s="94" t="s">
        <v>182</v>
      </c>
      <c r="K183" s="20" t="s">
        <v>173</v>
      </c>
      <c r="L183" s="18"/>
      <c r="M183" s="104"/>
      <c r="N183" s="81"/>
      <c r="O183" s="7"/>
      <c r="P183" s="7"/>
      <c r="Q183" s="7"/>
      <c r="R183" s="7"/>
    </row>
    <row r="184" spans="1:18" ht="15.75">
      <c r="A184" s="27"/>
      <c r="B184" s="61" t="s">
        <v>134</v>
      </c>
      <c r="C184" s="105"/>
      <c r="D184" s="61"/>
      <c r="E184" s="105"/>
      <c r="F184" s="28"/>
      <c r="G184" s="105"/>
      <c r="H184" s="61">
        <v>3703</v>
      </c>
      <c r="I184" s="105">
        <f>H184/$H$190</f>
        <v>0.9903717571543194</v>
      </c>
      <c r="J184" s="60">
        <v>179781</v>
      </c>
      <c r="K184" s="106">
        <f>J184/$J$190</f>
        <v>0.9902615822725546</v>
      </c>
      <c r="L184" s="92"/>
      <c r="M184" s="99"/>
      <c r="N184" s="81"/>
      <c r="O184" s="7"/>
      <c r="P184" s="7"/>
      <c r="Q184" s="7"/>
      <c r="R184" s="7"/>
    </row>
    <row r="185" spans="1:18" ht="15.75">
      <c r="A185" s="27"/>
      <c r="B185" s="61" t="s">
        <v>135</v>
      </c>
      <c r="C185" s="105"/>
      <c r="D185" s="61"/>
      <c r="E185" s="105"/>
      <c r="F185" s="28"/>
      <c r="G185" s="107"/>
      <c r="H185" s="61">
        <v>27</v>
      </c>
      <c r="I185" s="105">
        <f>H185/$H$190</f>
        <v>0.007221182134260497</v>
      </c>
      <c r="J185" s="60">
        <v>1368</v>
      </c>
      <c r="K185" s="106">
        <f>J185/$J$190</f>
        <v>0.007535155798159175</v>
      </c>
      <c r="L185" s="92"/>
      <c r="M185" s="99"/>
      <c r="N185" s="81"/>
      <c r="O185" s="7"/>
      <c r="P185" s="7"/>
      <c r="Q185" s="7"/>
      <c r="R185" s="7"/>
    </row>
    <row r="186" spans="1:18" ht="15.75">
      <c r="A186" s="27"/>
      <c r="B186" s="61" t="s">
        <v>136</v>
      </c>
      <c r="C186" s="105"/>
      <c r="D186" s="61"/>
      <c r="E186" s="105"/>
      <c r="F186" s="28"/>
      <c r="G186" s="107"/>
      <c r="H186" s="61">
        <v>6</v>
      </c>
      <c r="I186" s="105">
        <f>H186/$H$190</f>
        <v>0.0016047071409467772</v>
      </c>
      <c r="J186" s="60">
        <v>297</v>
      </c>
      <c r="K186" s="106">
        <f>J186/$J$190</f>
        <v>0.001635921982495084</v>
      </c>
      <c r="L186" s="92"/>
      <c r="M186" s="99"/>
      <c r="N186" s="81"/>
      <c r="O186" s="7"/>
      <c r="P186" s="7"/>
      <c r="Q186" s="7"/>
      <c r="R186" s="7"/>
    </row>
    <row r="187" spans="1:18" ht="15.75">
      <c r="A187" s="27"/>
      <c r="B187" s="61" t="s">
        <v>137</v>
      </c>
      <c r="C187" s="105"/>
      <c r="D187" s="61"/>
      <c r="E187" s="105"/>
      <c r="F187" s="28"/>
      <c r="G187" s="107"/>
      <c r="H187" s="61">
        <v>3</v>
      </c>
      <c r="I187" s="105">
        <f>H187/$H$190</f>
        <v>0.0008023535704733886</v>
      </c>
      <c r="J187" s="60">
        <f>78+21+4</f>
        <v>103</v>
      </c>
      <c r="K187" s="106">
        <f>J187/$J$190</f>
        <v>0.0005673399467912245</v>
      </c>
      <c r="L187" s="92"/>
      <c r="M187" s="99"/>
      <c r="N187" s="81"/>
      <c r="O187" s="7"/>
      <c r="P187" s="7"/>
      <c r="Q187" s="7"/>
      <c r="R187" s="7"/>
    </row>
    <row r="188" spans="1:18" ht="15.75">
      <c r="A188" s="27"/>
      <c r="B188" s="30"/>
      <c r="C188" s="105"/>
      <c r="D188" s="61"/>
      <c r="E188" s="105"/>
      <c r="F188" s="28"/>
      <c r="G188" s="107"/>
      <c r="H188" s="61"/>
      <c r="I188" s="105"/>
      <c r="J188" s="60"/>
      <c r="K188" s="106"/>
      <c r="L188" s="92"/>
      <c r="M188" s="99"/>
      <c r="N188" s="81"/>
      <c r="O188" s="7"/>
      <c r="P188" s="7"/>
      <c r="Q188" s="7"/>
      <c r="R188" s="7"/>
    </row>
    <row r="189" spans="1:18" ht="15.75">
      <c r="A189" s="27"/>
      <c r="B189" s="61" t="s">
        <v>138</v>
      </c>
      <c r="C189" s="108"/>
      <c r="D189" s="97"/>
      <c r="E189" s="108"/>
      <c r="F189" s="28"/>
      <c r="G189" s="108"/>
      <c r="H189" s="97"/>
      <c r="I189" s="108"/>
      <c r="J189" s="60"/>
      <c r="K189" s="106"/>
      <c r="L189" s="92"/>
      <c r="M189" s="99"/>
      <c r="N189" s="81"/>
      <c r="O189" s="7"/>
      <c r="P189" s="7"/>
      <c r="Q189" s="7"/>
      <c r="R189" s="7"/>
    </row>
    <row r="190" spans="1:18" ht="15.75">
      <c r="A190" s="27"/>
      <c r="B190" s="28"/>
      <c r="C190" s="28"/>
      <c r="D190" s="28"/>
      <c r="E190" s="28"/>
      <c r="F190" s="28"/>
      <c r="G190" s="28"/>
      <c r="H190" s="38">
        <f>SUM(H184:H188)</f>
        <v>3739</v>
      </c>
      <c r="I190" s="109">
        <f>SUM(I184:I189)</f>
        <v>1</v>
      </c>
      <c r="J190" s="60">
        <f>SUM(J184:J189)</f>
        <v>181549</v>
      </c>
      <c r="K190" s="109">
        <f>SUM(K184:K189)</f>
        <v>1</v>
      </c>
      <c r="L190" s="28"/>
      <c r="M190" s="28"/>
      <c r="N190" s="110"/>
      <c r="O190" s="111"/>
      <c r="P190" s="111"/>
      <c r="Q190" s="111"/>
      <c r="R190" s="111"/>
    </row>
    <row r="191" spans="1:18" ht="15.75">
      <c r="A191" s="27"/>
      <c r="B191" s="28"/>
      <c r="C191" s="28"/>
      <c r="D191" s="28"/>
      <c r="E191" s="28"/>
      <c r="F191" s="28"/>
      <c r="G191" s="28"/>
      <c r="H191" s="38"/>
      <c r="I191" s="109"/>
      <c r="J191" s="60"/>
      <c r="K191" s="109"/>
      <c r="L191" s="28"/>
      <c r="M191" s="28"/>
      <c r="N191" s="110"/>
      <c r="O191" s="111"/>
      <c r="P191" s="111"/>
      <c r="Q191" s="111"/>
      <c r="R191" s="111"/>
    </row>
    <row r="192" spans="1:18" ht="15.75">
      <c r="A192" s="8"/>
      <c r="B192" s="10"/>
      <c r="C192" s="10"/>
      <c r="D192" s="10"/>
      <c r="E192" s="10"/>
      <c r="F192" s="10"/>
      <c r="G192" s="10"/>
      <c r="H192" s="62"/>
      <c r="I192" s="112"/>
      <c r="J192" s="113"/>
      <c r="K192" s="112"/>
      <c r="L192" s="10"/>
      <c r="M192" s="10"/>
      <c r="N192" s="110"/>
      <c r="O192" s="111"/>
      <c r="P192" s="111"/>
      <c r="Q192" s="111"/>
      <c r="R192" s="111"/>
    </row>
    <row r="193" spans="1:18" ht="15.75">
      <c r="A193" s="114"/>
      <c r="B193" s="17" t="s">
        <v>139</v>
      </c>
      <c r="C193" s="115"/>
      <c r="D193" s="20" t="s">
        <v>148</v>
      </c>
      <c r="E193" s="18"/>
      <c r="F193" s="17" t="s">
        <v>161</v>
      </c>
      <c r="G193" s="116"/>
      <c r="H193" s="116"/>
      <c r="I193" s="15"/>
      <c r="J193" s="15"/>
      <c r="K193" s="15"/>
      <c r="L193" s="15"/>
      <c r="M193" s="15"/>
      <c r="N193" s="110"/>
      <c r="O193" s="111"/>
      <c r="P193" s="111"/>
      <c r="Q193" s="111"/>
      <c r="R193" s="111"/>
    </row>
    <row r="194" spans="1:18" ht="15.75">
      <c r="A194" s="114"/>
      <c r="B194" s="15"/>
      <c r="C194" s="15"/>
      <c r="D194" s="10"/>
      <c r="E194" s="10"/>
      <c r="F194" s="10"/>
      <c r="G194" s="15"/>
      <c r="H194" s="15"/>
      <c r="I194" s="15"/>
      <c r="J194" s="15"/>
      <c r="K194" s="15"/>
      <c r="L194" s="15"/>
      <c r="M194" s="15"/>
      <c r="N194" s="110"/>
      <c r="O194" s="111"/>
      <c r="P194" s="111"/>
      <c r="Q194" s="111"/>
      <c r="R194" s="111"/>
    </row>
    <row r="195" spans="1:18" ht="15.75">
      <c r="A195" s="114"/>
      <c r="B195" s="16" t="s">
        <v>140</v>
      </c>
      <c r="C195" s="117"/>
      <c r="D195" s="118" t="s">
        <v>149</v>
      </c>
      <c r="E195" s="16"/>
      <c r="F195" s="16" t="s">
        <v>162</v>
      </c>
      <c r="G195" s="117"/>
      <c r="H195" s="117"/>
      <c r="I195" s="117"/>
      <c r="J195" s="117"/>
      <c r="K195" s="15"/>
      <c r="L195" s="15"/>
      <c r="M195" s="15"/>
      <c r="N195" s="110"/>
      <c r="O195" s="111"/>
      <c r="P195" s="111"/>
      <c r="Q195" s="111"/>
      <c r="R195" s="111"/>
    </row>
    <row r="196" spans="1:18" ht="15.75">
      <c r="A196" s="114"/>
      <c r="B196" s="16" t="s">
        <v>141</v>
      </c>
      <c r="C196" s="117"/>
      <c r="D196" s="118" t="s">
        <v>150</v>
      </c>
      <c r="E196" s="16"/>
      <c r="F196" s="16" t="s">
        <v>163</v>
      </c>
      <c r="G196" s="117"/>
      <c r="H196" s="117"/>
      <c r="I196" s="117"/>
      <c r="J196" s="117"/>
      <c r="K196" s="15"/>
      <c r="L196" s="15"/>
      <c r="M196" s="15"/>
      <c r="N196" s="81"/>
      <c r="O196" s="111"/>
      <c r="P196" s="111"/>
      <c r="Q196" s="111"/>
      <c r="R196" s="111"/>
    </row>
    <row r="197" spans="1:18" ht="15">
      <c r="A197" s="114"/>
      <c r="B197" s="15"/>
      <c r="C197" s="15"/>
      <c r="D197" s="15"/>
      <c r="E197" s="15"/>
      <c r="F197" s="15"/>
      <c r="G197" s="15"/>
      <c r="H197" s="15"/>
      <c r="I197" s="15"/>
      <c r="J197" s="15"/>
      <c r="K197" s="15"/>
      <c r="L197" s="15"/>
      <c r="M197" s="15"/>
      <c r="N197" s="110"/>
      <c r="O197" s="111"/>
      <c r="P197" s="111"/>
      <c r="Q197" s="111"/>
      <c r="R197" s="111"/>
    </row>
    <row r="198" spans="1:18" ht="15.75">
      <c r="A198" s="114"/>
      <c r="B198" s="117" t="s">
        <v>142</v>
      </c>
      <c r="C198" s="15"/>
      <c r="D198" s="15"/>
      <c r="E198" s="15"/>
      <c r="F198" s="15"/>
      <c r="G198" s="15"/>
      <c r="H198" s="15"/>
      <c r="I198" s="15"/>
      <c r="J198" s="15"/>
      <c r="K198" s="15"/>
      <c r="L198" s="15"/>
      <c r="M198" s="15"/>
      <c r="N198" s="110"/>
      <c r="O198" s="111"/>
      <c r="P198" s="111"/>
      <c r="Q198" s="111"/>
      <c r="R198" s="111"/>
    </row>
    <row r="199" spans="1:18" ht="15.75">
      <c r="A199" s="114"/>
      <c r="B199" s="117"/>
      <c r="C199" s="15"/>
      <c r="D199" s="15"/>
      <c r="E199" s="15"/>
      <c r="F199" s="15"/>
      <c r="G199" s="15"/>
      <c r="H199" s="15"/>
      <c r="I199" s="15"/>
      <c r="J199" s="15"/>
      <c r="K199" s="15"/>
      <c r="L199" s="15"/>
      <c r="M199" s="15"/>
      <c r="N199" s="110"/>
      <c r="O199" s="111"/>
      <c r="P199" s="111"/>
      <c r="Q199" s="111"/>
      <c r="R199" s="111"/>
    </row>
    <row r="200" spans="1:18" ht="15.75">
      <c r="A200" s="114"/>
      <c r="B200" s="117"/>
      <c r="C200" s="15"/>
      <c r="D200" s="15"/>
      <c r="E200" s="15"/>
      <c r="F200" s="15"/>
      <c r="G200" s="15"/>
      <c r="H200" s="15"/>
      <c r="I200" s="15"/>
      <c r="J200" s="15"/>
      <c r="K200" s="15"/>
      <c r="L200" s="15"/>
      <c r="M200" s="15"/>
      <c r="N200" s="110"/>
      <c r="O200" s="111"/>
      <c r="P200" s="111"/>
      <c r="Q200" s="111"/>
      <c r="R200" s="111"/>
    </row>
    <row r="201" spans="1:18" ht="18.75">
      <c r="A201" s="114"/>
      <c r="B201" s="55" t="s">
        <v>34</v>
      </c>
      <c r="C201" s="15"/>
      <c r="D201" s="15"/>
      <c r="E201" s="15"/>
      <c r="F201" s="15"/>
      <c r="G201" s="15"/>
      <c r="H201" s="15"/>
      <c r="I201" s="15"/>
      <c r="J201" s="15"/>
      <c r="K201" s="15"/>
      <c r="L201" s="15"/>
      <c r="M201" s="15"/>
      <c r="N201" s="110"/>
      <c r="O201" s="111"/>
      <c r="P201" s="111"/>
      <c r="Q201" s="111"/>
      <c r="R201" s="111"/>
    </row>
    <row r="202" spans="1:18" ht="15">
      <c r="A202" s="119"/>
      <c r="B202" s="119"/>
      <c r="C202" s="119"/>
      <c r="D202" s="119"/>
      <c r="E202" s="119"/>
      <c r="F202" s="119"/>
      <c r="G202" s="119"/>
      <c r="H202" s="119"/>
      <c r="I202" s="119"/>
      <c r="J202" s="119"/>
      <c r="K202" s="119"/>
      <c r="L202" s="119"/>
      <c r="M202" s="119"/>
      <c r="N202" s="120"/>
      <c r="O202" s="7"/>
      <c r="P202" s="7"/>
      <c r="Q202" s="7"/>
      <c r="R202" s="7"/>
    </row>
    <row r="203" spans="1:18" ht="15">
      <c r="A203" s="121"/>
      <c r="B203" s="121"/>
      <c r="C203" s="121"/>
      <c r="D203" s="121"/>
      <c r="E203" s="121"/>
      <c r="F203" s="121"/>
      <c r="G203" s="121"/>
      <c r="H203" s="121"/>
      <c r="I203" s="121"/>
      <c r="J203" s="121"/>
      <c r="K203" s="121"/>
      <c r="L203" s="121"/>
      <c r="M203" s="121"/>
      <c r="N203" s="120"/>
      <c r="O203" s="7"/>
      <c r="P203" s="7"/>
      <c r="Q203" s="7"/>
      <c r="R203" s="7"/>
    </row>
    <row r="204" spans="1:18" ht="15">
      <c r="A204" s="121"/>
      <c r="B204" s="121"/>
      <c r="C204" s="121"/>
      <c r="D204" s="121"/>
      <c r="E204" s="121"/>
      <c r="F204" s="121"/>
      <c r="G204" s="121"/>
      <c r="H204" s="121"/>
      <c r="I204" s="121"/>
      <c r="J204" s="121"/>
      <c r="K204" s="121"/>
      <c r="L204" s="121"/>
      <c r="M204" s="121"/>
      <c r="N204" s="120"/>
      <c r="O204" s="7"/>
      <c r="P204" s="7"/>
      <c r="Q204" s="7"/>
      <c r="R204" s="7"/>
    </row>
    <row r="205" spans="1:18" ht="15.75">
      <c r="A205" s="121"/>
      <c r="B205" s="121"/>
      <c r="C205" s="121"/>
      <c r="D205" s="121"/>
      <c r="E205" s="121"/>
      <c r="F205" s="121"/>
      <c r="G205" s="121"/>
      <c r="H205" s="121"/>
      <c r="I205" s="121"/>
      <c r="J205" s="121"/>
      <c r="K205" s="121"/>
      <c r="L205" s="121"/>
      <c r="M205" s="122"/>
      <c r="N205" s="7"/>
      <c r="O205" s="7"/>
      <c r="P205" s="7"/>
      <c r="Q205" s="7"/>
      <c r="R205" s="7"/>
    </row>
    <row r="206" spans="1:18" ht="15">
      <c r="A206" s="121"/>
      <c r="B206" s="121"/>
      <c r="C206" s="121"/>
      <c r="D206" s="121"/>
      <c r="E206" s="121"/>
      <c r="F206" s="121"/>
      <c r="G206" s="121"/>
      <c r="H206" s="121"/>
      <c r="I206" s="121"/>
      <c r="J206" s="121"/>
      <c r="K206" s="121"/>
      <c r="L206" s="121"/>
      <c r="M206" s="121"/>
      <c r="N206" s="7"/>
      <c r="O206" s="7"/>
      <c r="P206" s="7"/>
      <c r="Q206" s="7"/>
      <c r="R206" s="7"/>
    </row>
    <row r="207" spans="1:13" ht="15">
      <c r="A207" s="123"/>
      <c r="B207" s="123"/>
      <c r="C207" s="123"/>
      <c r="D207" s="123"/>
      <c r="E207" s="123"/>
      <c r="F207" s="123"/>
      <c r="G207" s="123"/>
      <c r="H207" s="123"/>
      <c r="I207" s="123"/>
      <c r="J207" s="123"/>
      <c r="K207" s="123"/>
      <c r="L207" s="123"/>
      <c r="M207" s="123"/>
    </row>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4" manualBreakCount="4">
    <brk id="48" min="103" max="154" man="1"/>
    <brk id="48" max="13" man="1"/>
    <brk id="102" max="13" man="1"/>
    <brk id="153" max="13" man="1"/>
  </rowBreaks>
  <drawing r:id="rId1"/>
</worksheet>
</file>

<file path=xl/worksheets/sheet10.xml><?xml version="1.0" encoding="utf-8"?>
<worksheet xmlns="http://schemas.openxmlformats.org/spreadsheetml/2006/main" xmlns:r="http://schemas.openxmlformats.org/officeDocument/2006/relationships">
  <dimension ref="A1:N203"/>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39.10546875" style="1" customWidth="1"/>
    <col min="14" max="14" width="9.99609375" style="1" customWidth="1"/>
    <col min="15" max="15" width="9.6640625" style="1" customWidth="1"/>
    <col min="16" max="16" width="9.3359375" style="1" customWidth="1"/>
    <col min="17" max="16384" width="9.6640625" style="1" customWidth="1"/>
  </cols>
  <sheetData>
    <row r="1" spans="1:14" ht="20.25">
      <c r="A1" s="2"/>
      <c r="B1" s="3" t="s">
        <v>0</v>
      </c>
      <c r="C1" s="4"/>
      <c r="D1" s="5"/>
      <c r="E1" s="5"/>
      <c r="F1" s="5"/>
      <c r="G1" s="5"/>
      <c r="H1" s="5"/>
      <c r="I1" s="5"/>
      <c r="J1" s="5"/>
      <c r="K1" s="5"/>
      <c r="L1" s="5"/>
      <c r="M1" s="5"/>
      <c r="N1" s="131"/>
    </row>
    <row r="2" spans="1:14" ht="15.75">
      <c r="A2" s="8"/>
      <c r="B2" s="9"/>
      <c r="C2" s="9"/>
      <c r="D2" s="10"/>
      <c r="E2" s="10"/>
      <c r="F2" s="10"/>
      <c r="G2" s="10"/>
      <c r="H2" s="10"/>
      <c r="I2" s="10"/>
      <c r="J2" s="10"/>
      <c r="K2" s="10"/>
      <c r="L2" s="10"/>
      <c r="M2" s="10"/>
      <c r="N2" s="131"/>
    </row>
    <row r="3" spans="1:14" ht="15.75">
      <c r="A3" s="11"/>
      <c r="B3" s="154" t="s">
        <v>1</v>
      </c>
      <c r="C3" s="10"/>
      <c r="D3" s="10"/>
      <c r="E3" s="10"/>
      <c r="F3" s="10"/>
      <c r="G3" s="10"/>
      <c r="H3" s="10"/>
      <c r="I3" s="10"/>
      <c r="J3" s="10"/>
      <c r="K3" s="10"/>
      <c r="L3" s="10"/>
      <c r="M3" s="10"/>
      <c r="N3" s="131"/>
    </row>
    <row r="4" spans="1:14" ht="15.75">
      <c r="A4" s="8"/>
      <c r="B4" s="9"/>
      <c r="C4" s="9"/>
      <c r="D4" s="10"/>
      <c r="E4" s="10"/>
      <c r="F4" s="10"/>
      <c r="G4" s="10"/>
      <c r="H4" s="10"/>
      <c r="I4" s="10"/>
      <c r="J4" s="10"/>
      <c r="K4" s="10"/>
      <c r="L4" s="10"/>
      <c r="M4" s="10"/>
      <c r="N4" s="131"/>
    </row>
    <row r="5" spans="1:14" ht="12" customHeight="1">
      <c r="A5" s="8"/>
      <c r="B5" s="13" t="s">
        <v>2</v>
      </c>
      <c r="C5" s="14"/>
      <c r="D5" s="10"/>
      <c r="E5" s="10"/>
      <c r="F5" s="10"/>
      <c r="G5" s="10"/>
      <c r="H5" s="10"/>
      <c r="I5" s="10"/>
      <c r="J5" s="10"/>
      <c r="K5" s="10"/>
      <c r="L5" s="10"/>
      <c r="M5" s="10"/>
      <c r="N5" s="131"/>
    </row>
    <row r="6" spans="1:14" ht="12" customHeight="1">
      <c r="A6" s="8"/>
      <c r="B6" s="13" t="s">
        <v>3</v>
      </c>
      <c r="C6" s="14"/>
      <c r="D6" s="10"/>
      <c r="E6" s="10"/>
      <c r="F6" s="10"/>
      <c r="G6" s="10"/>
      <c r="H6" s="10"/>
      <c r="I6" s="10"/>
      <c r="J6" s="10"/>
      <c r="K6" s="10"/>
      <c r="L6" s="10"/>
      <c r="M6" s="10"/>
      <c r="N6" s="131"/>
    </row>
    <row r="7" spans="1:14" ht="12" customHeight="1">
      <c r="A7" s="8"/>
      <c r="B7" s="13" t="s">
        <v>4</v>
      </c>
      <c r="C7" s="14"/>
      <c r="D7" s="10"/>
      <c r="E7" s="10"/>
      <c r="F7" s="10"/>
      <c r="G7" s="10"/>
      <c r="H7" s="10"/>
      <c r="I7" s="10"/>
      <c r="J7" s="10"/>
      <c r="K7" s="10"/>
      <c r="L7" s="10"/>
      <c r="M7" s="10"/>
      <c r="N7" s="131"/>
    </row>
    <row r="8" spans="1:14" ht="12" customHeight="1">
      <c r="A8" s="8"/>
      <c r="B8" s="13" t="s">
        <v>5</v>
      </c>
      <c r="C8" s="14"/>
      <c r="D8" s="10"/>
      <c r="E8" s="10"/>
      <c r="F8" s="10"/>
      <c r="G8" s="10"/>
      <c r="H8" s="10"/>
      <c r="I8" s="10"/>
      <c r="J8" s="10"/>
      <c r="K8" s="10"/>
      <c r="L8" s="10"/>
      <c r="M8" s="10"/>
      <c r="N8" s="131"/>
    </row>
    <row r="9" spans="1:14" ht="12" customHeight="1">
      <c r="A9" s="8"/>
      <c r="B9" s="15"/>
      <c r="C9" s="14"/>
      <c r="D9" s="10"/>
      <c r="E9" s="10"/>
      <c r="F9" s="10"/>
      <c r="G9" s="10"/>
      <c r="H9" s="10"/>
      <c r="I9" s="10"/>
      <c r="J9" s="10"/>
      <c r="K9" s="10"/>
      <c r="L9" s="10"/>
      <c r="M9" s="10"/>
      <c r="N9" s="131"/>
    </row>
    <row r="10" spans="1:14" ht="15.75">
      <c r="A10" s="8"/>
      <c r="B10" s="13"/>
      <c r="C10" s="14"/>
      <c r="D10" s="16"/>
      <c r="E10" s="16"/>
      <c r="F10" s="10"/>
      <c r="G10" s="10"/>
      <c r="H10" s="10"/>
      <c r="I10" s="10"/>
      <c r="J10" s="10"/>
      <c r="K10" s="10"/>
      <c r="L10" s="10"/>
      <c r="M10" s="10"/>
      <c r="N10" s="131"/>
    </row>
    <row r="11" spans="1:14" ht="15.75">
      <c r="A11" s="8"/>
      <c r="B11" s="16" t="s">
        <v>6</v>
      </c>
      <c r="C11" s="16"/>
      <c r="D11" s="10"/>
      <c r="E11" s="10"/>
      <c r="F11" s="10"/>
      <c r="G11" s="10"/>
      <c r="H11" s="10"/>
      <c r="I11" s="10"/>
      <c r="J11" s="10"/>
      <c r="K11" s="10"/>
      <c r="L11" s="10"/>
      <c r="M11" s="10"/>
      <c r="N11" s="131"/>
    </row>
    <row r="12" spans="1:14" ht="15.75">
      <c r="A12" s="8"/>
      <c r="B12" s="16"/>
      <c r="C12" s="16"/>
      <c r="D12" s="10"/>
      <c r="E12" s="10"/>
      <c r="F12" s="10"/>
      <c r="G12" s="10"/>
      <c r="H12" s="10"/>
      <c r="I12" s="10"/>
      <c r="J12" s="10"/>
      <c r="K12" s="10"/>
      <c r="L12" s="10"/>
      <c r="M12" s="10"/>
      <c r="N12" s="131"/>
    </row>
    <row r="13" spans="1:14" ht="15.75">
      <c r="A13" s="2"/>
      <c r="B13" s="5"/>
      <c r="C13" s="5"/>
      <c r="D13" s="5"/>
      <c r="E13" s="5"/>
      <c r="F13" s="5"/>
      <c r="G13" s="5"/>
      <c r="H13" s="5"/>
      <c r="I13" s="5"/>
      <c r="J13" s="5"/>
      <c r="K13" s="5"/>
      <c r="L13" s="5"/>
      <c r="M13" s="5"/>
      <c r="N13" s="131"/>
    </row>
    <row r="14" spans="1:14" ht="15.75">
      <c r="A14" s="8"/>
      <c r="B14" s="17" t="s">
        <v>7</v>
      </c>
      <c r="C14" s="17"/>
      <c r="D14" s="18"/>
      <c r="E14" s="18"/>
      <c r="F14" s="18"/>
      <c r="G14" s="18"/>
      <c r="H14" s="18"/>
      <c r="I14" s="18"/>
      <c r="J14" s="18"/>
      <c r="K14" s="18"/>
      <c r="L14" s="19" t="s">
        <v>185</v>
      </c>
      <c r="M14" s="18"/>
      <c r="N14" s="131"/>
    </row>
    <row r="15" spans="1:14" ht="15.75">
      <c r="A15" s="8"/>
      <c r="B15" s="17" t="s">
        <v>199</v>
      </c>
      <c r="C15" s="17"/>
      <c r="D15" s="18"/>
      <c r="E15" s="18"/>
      <c r="F15" s="18"/>
      <c r="G15" s="18"/>
      <c r="H15" s="20"/>
      <c r="I15" s="135"/>
      <c r="J15" s="20" t="s">
        <v>202</v>
      </c>
      <c r="K15" s="135">
        <v>1</v>
      </c>
      <c r="L15" s="19"/>
      <c r="M15" s="18"/>
      <c r="N15" s="131"/>
    </row>
    <row r="16" spans="1:14" ht="15.75">
      <c r="A16" s="8"/>
      <c r="B16" s="17" t="s">
        <v>200</v>
      </c>
      <c r="C16" s="17"/>
      <c r="D16" s="18"/>
      <c r="E16" s="18"/>
      <c r="F16" s="18"/>
      <c r="G16" s="18"/>
      <c r="H16" s="20"/>
      <c r="I16" s="135"/>
      <c r="J16" s="20" t="s">
        <v>202</v>
      </c>
      <c r="K16" s="135">
        <v>1</v>
      </c>
      <c r="L16" s="19"/>
      <c r="M16" s="18"/>
      <c r="N16" s="131"/>
    </row>
    <row r="17" spans="1:14" ht="15.75">
      <c r="A17" s="8"/>
      <c r="B17" s="17" t="s">
        <v>8</v>
      </c>
      <c r="C17" s="17"/>
      <c r="D17" s="18"/>
      <c r="E17" s="18"/>
      <c r="F17" s="18"/>
      <c r="G17" s="18"/>
      <c r="H17" s="18"/>
      <c r="I17" s="18"/>
      <c r="J17" s="18"/>
      <c r="K17" s="18"/>
      <c r="L17" s="20" t="s">
        <v>186</v>
      </c>
      <c r="M17" s="18"/>
      <c r="N17" s="131"/>
    </row>
    <row r="18" spans="1:14" ht="15.75">
      <c r="A18" s="8"/>
      <c r="B18" s="17" t="s">
        <v>9</v>
      </c>
      <c r="C18" s="17"/>
      <c r="D18" s="18"/>
      <c r="E18" s="18"/>
      <c r="F18" s="18"/>
      <c r="G18" s="18"/>
      <c r="H18" s="18"/>
      <c r="I18" s="18"/>
      <c r="J18" s="18"/>
      <c r="K18" s="18"/>
      <c r="L18" s="21">
        <v>37278</v>
      </c>
      <c r="M18" s="18"/>
      <c r="N18" s="131"/>
    </row>
    <row r="19" spans="1:14" ht="15.75">
      <c r="A19" s="8"/>
      <c r="B19" s="10"/>
      <c r="C19" s="10"/>
      <c r="D19" s="10"/>
      <c r="E19" s="10"/>
      <c r="F19" s="10"/>
      <c r="G19" s="10"/>
      <c r="H19" s="10"/>
      <c r="I19" s="10"/>
      <c r="J19" s="10"/>
      <c r="K19" s="10"/>
      <c r="L19" s="22"/>
      <c r="M19" s="10"/>
      <c r="N19" s="131"/>
    </row>
    <row r="20" spans="1:14" ht="15.75">
      <c r="A20" s="8"/>
      <c r="B20" s="23" t="s">
        <v>10</v>
      </c>
      <c r="C20" s="10"/>
      <c r="D20" s="10"/>
      <c r="E20" s="10"/>
      <c r="F20" s="10"/>
      <c r="G20" s="10"/>
      <c r="H20" s="10"/>
      <c r="I20" s="10"/>
      <c r="J20" s="22" t="s">
        <v>174</v>
      </c>
      <c r="K20" s="10"/>
      <c r="L20" s="15"/>
      <c r="M20" s="10"/>
      <c r="N20" s="131"/>
    </row>
    <row r="21" spans="1:14" ht="15.75">
      <c r="A21" s="8"/>
      <c r="B21" s="10"/>
      <c r="C21" s="10"/>
      <c r="D21" s="10"/>
      <c r="E21" s="10"/>
      <c r="F21" s="10"/>
      <c r="G21" s="10"/>
      <c r="H21" s="10"/>
      <c r="I21" s="10"/>
      <c r="J21" s="10"/>
      <c r="K21" s="10"/>
      <c r="L21" s="24"/>
      <c r="M21" s="10"/>
      <c r="N21" s="131"/>
    </row>
    <row r="22" spans="1:14" ht="15.75">
      <c r="A22" s="8"/>
      <c r="B22" s="10"/>
      <c r="C22" s="155" t="s">
        <v>143</v>
      </c>
      <c r="D22" s="25"/>
      <c r="E22" s="25"/>
      <c r="F22" s="157" t="s">
        <v>151</v>
      </c>
      <c r="G22" s="157"/>
      <c r="H22" s="157" t="s">
        <v>164</v>
      </c>
      <c r="I22" s="25"/>
      <c r="J22" s="25"/>
      <c r="K22" s="15"/>
      <c r="L22" s="15"/>
      <c r="M22" s="10"/>
      <c r="N22" s="131"/>
    </row>
    <row r="23" spans="1:14" ht="15.75">
      <c r="A23" s="27"/>
      <c r="B23" s="28" t="s">
        <v>11</v>
      </c>
      <c r="C23" s="156" t="s">
        <v>144</v>
      </c>
      <c r="D23" s="29"/>
      <c r="E23" s="29"/>
      <c r="F23" s="29" t="s">
        <v>152</v>
      </c>
      <c r="G23" s="29"/>
      <c r="H23" s="29" t="s">
        <v>165</v>
      </c>
      <c r="I23" s="29"/>
      <c r="J23" s="29"/>
      <c r="K23" s="30"/>
      <c r="L23" s="30"/>
      <c r="M23" s="28"/>
      <c r="N23" s="131"/>
    </row>
    <row r="24" spans="1:14" ht="15.75">
      <c r="A24" s="27"/>
      <c r="B24" s="28" t="s">
        <v>12</v>
      </c>
      <c r="C24" s="31"/>
      <c r="D24" s="29"/>
      <c r="E24" s="29"/>
      <c r="F24" s="29" t="s">
        <v>153</v>
      </c>
      <c r="G24" s="29"/>
      <c r="H24" s="29" t="s">
        <v>166</v>
      </c>
      <c r="I24" s="29"/>
      <c r="J24" s="29"/>
      <c r="K24" s="30"/>
      <c r="L24" s="30"/>
      <c r="M24" s="28"/>
      <c r="N24" s="131"/>
    </row>
    <row r="25" spans="1:14" ht="15.75">
      <c r="A25" s="32"/>
      <c r="B25" s="33" t="s">
        <v>13</v>
      </c>
      <c r="C25" s="33"/>
      <c r="D25" s="34"/>
      <c r="E25" s="34"/>
      <c r="F25" s="34" t="s">
        <v>152</v>
      </c>
      <c r="G25" s="34"/>
      <c r="H25" s="34" t="s">
        <v>207</v>
      </c>
      <c r="I25" s="29"/>
      <c r="J25" s="29"/>
      <c r="K25" s="30"/>
      <c r="L25" s="30"/>
      <c r="M25" s="28"/>
      <c r="N25" s="131"/>
    </row>
    <row r="26" spans="1:14" ht="15.75">
      <c r="A26" s="32"/>
      <c r="B26" s="33" t="s">
        <v>14</v>
      </c>
      <c r="C26" s="33"/>
      <c r="D26" s="34"/>
      <c r="E26" s="34"/>
      <c r="F26" s="34" t="s">
        <v>153</v>
      </c>
      <c r="G26" s="34"/>
      <c r="H26" s="34" t="s">
        <v>208</v>
      </c>
      <c r="I26" s="29"/>
      <c r="J26" s="29"/>
      <c r="K26" s="30"/>
      <c r="L26" s="30"/>
      <c r="M26" s="28"/>
      <c r="N26" s="131"/>
    </row>
    <row r="27" spans="1:14" ht="15.75">
      <c r="A27" s="27"/>
      <c r="B27" s="28" t="s">
        <v>15</v>
      </c>
      <c r="C27" s="28"/>
      <c r="D27" s="31"/>
      <c r="E27" s="29"/>
      <c r="F27" s="31" t="s">
        <v>154</v>
      </c>
      <c r="G27" s="29"/>
      <c r="H27" s="31" t="s">
        <v>167</v>
      </c>
      <c r="I27" s="29"/>
      <c r="J27" s="31"/>
      <c r="K27" s="30"/>
      <c r="L27" s="30"/>
      <c r="M27" s="28"/>
      <c r="N27" s="131"/>
    </row>
    <row r="28" spans="1:14" ht="15.75">
      <c r="A28" s="27"/>
      <c r="B28" s="28"/>
      <c r="C28" s="28"/>
      <c r="D28" s="28"/>
      <c r="E28" s="29"/>
      <c r="F28" s="29"/>
      <c r="G28" s="29"/>
      <c r="H28" s="29"/>
      <c r="I28" s="29"/>
      <c r="J28" s="29"/>
      <c r="K28" s="30"/>
      <c r="L28" s="30"/>
      <c r="M28" s="28"/>
      <c r="N28" s="131"/>
    </row>
    <row r="29" spans="1:14" ht="15.75">
      <c r="A29" s="27"/>
      <c r="B29" s="28" t="s">
        <v>16</v>
      </c>
      <c r="C29" s="28"/>
      <c r="D29" s="35"/>
      <c r="E29" s="36"/>
      <c r="F29" s="35">
        <v>168000</v>
      </c>
      <c r="G29" s="35"/>
      <c r="H29" s="35">
        <v>17000</v>
      </c>
      <c r="I29" s="35"/>
      <c r="J29" s="35"/>
      <c r="K29" s="37"/>
      <c r="L29" s="35">
        <f>H29+F29</f>
        <v>185000</v>
      </c>
      <c r="M29" s="38"/>
      <c r="N29" s="131"/>
    </row>
    <row r="30" spans="1:14" ht="15.75">
      <c r="A30" s="27"/>
      <c r="B30" s="28" t="s">
        <v>17</v>
      </c>
      <c r="C30" s="126">
        <v>0.844776</v>
      </c>
      <c r="D30" s="35"/>
      <c r="E30" s="36"/>
      <c r="F30" s="35">
        <f>168000*C30</f>
        <v>141922.368</v>
      </c>
      <c r="G30" s="35"/>
      <c r="H30" s="35">
        <v>17000</v>
      </c>
      <c r="I30" s="35"/>
      <c r="J30" s="35"/>
      <c r="K30" s="37"/>
      <c r="L30" s="35">
        <f>H30+F30</f>
        <v>158922.368</v>
      </c>
      <c r="M30" s="38"/>
      <c r="N30" s="131"/>
    </row>
    <row r="31" spans="1:14" ht="13.5" customHeight="1">
      <c r="A31" s="32"/>
      <c r="B31" s="33" t="s">
        <v>18</v>
      </c>
      <c r="C31" s="40">
        <v>0.812386</v>
      </c>
      <c r="D31" s="41"/>
      <c r="E31" s="42"/>
      <c r="F31" s="41">
        <f>168000*C31</f>
        <v>136480.848</v>
      </c>
      <c r="G31" s="41"/>
      <c r="H31" s="41">
        <v>17000</v>
      </c>
      <c r="I31" s="41"/>
      <c r="J31" s="41"/>
      <c r="K31" s="43"/>
      <c r="L31" s="41">
        <f>H31+F31+D31</f>
        <v>153480.848</v>
      </c>
      <c r="M31" s="38"/>
      <c r="N31" s="131"/>
    </row>
    <row r="32" spans="1:14" ht="15.75">
      <c r="A32" s="27"/>
      <c r="B32" s="28" t="s">
        <v>19</v>
      </c>
      <c r="C32" s="44"/>
      <c r="D32" s="31"/>
      <c r="E32" s="28"/>
      <c r="F32" s="31" t="s">
        <v>155</v>
      </c>
      <c r="G32" s="31"/>
      <c r="H32" s="31" t="s">
        <v>168</v>
      </c>
      <c r="I32" s="31"/>
      <c r="J32" s="31"/>
      <c r="K32" s="30"/>
      <c r="L32" s="30"/>
      <c r="M32" s="28"/>
      <c r="N32" s="131"/>
    </row>
    <row r="33" spans="1:14" ht="15.75">
      <c r="A33" s="27"/>
      <c r="B33" s="28" t="s">
        <v>20</v>
      </c>
      <c r="C33" s="28"/>
      <c r="D33" s="45"/>
      <c r="E33" s="28"/>
      <c r="F33" s="45">
        <v>0.0475484</v>
      </c>
      <c r="G33" s="46"/>
      <c r="H33" s="45">
        <v>0.0527484</v>
      </c>
      <c r="I33" s="46"/>
      <c r="J33" s="45"/>
      <c r="K33" s="30"/>
      <c r="L33" s="46">
        <f>SUMPRODUCT(F33:H33,F30:H30)/L30</f>
        <v>0.04810464643096181</v>
      </c>
      <c r="M33" s="28"/>
      <c r="N33" s="131"/>
    </row>
    <row r="34" spans="1:14" ht="15.75">
      <c r="A34" s="27"/>
      <c r="B34" s="28" t="s">
        <v>21</v>
      </c>
      <c r="C34" s="28"/>
      <c r="D34" s="45"/>
      <c r="E34" s="28"/>
      <c r="F34" s="45">
        <v>0.0553125</v>
      </c>
      <c r="G34" s="46"/>
      <c r="H34" s="45">
        <v>0.0605125</v>
      </c>
      <c r="I34" s="46"/>
      <c r="J34" s="45"/>
      <c r="K34" s="30"/>
      <c r="L34" s="30"/>
      <c r="M34" s="28"/>
      <c r="N34" s="131"/>
    </row>
    <row r="35" spans="1:14" ht="15.75">
      <c r="A35" s="27"/>
      <c r="B35" s="28" t="s">
        <v>22</v>
      </c>
      <c r="C35" s="28"/>
      <c r="D35" s="31"/>
      <c r="E35" s="28"/>
      <c r="F35" s="31" t="s">
        <v>157</v>
      </c>
      <c r="G35" s="31"/>
      <c r="H35" s="31" t="s">
        <v>157</v>
      </c>
      <c r="I35" s="31"/>
      <c r="J35" s="31"/>
      <c r="K35" s="30"/>
      <c r="L35" s="30"/>
      <c r="M35" s="28"/>
      <c r="N35" s="131"/>
    </row>
    <row r="36" spans="1:14" ht="15.75">
      <c r="A36" s="27"/>
      <c r="B36" s="28" t="s">
        <v>23</v>
      </c>
      <c r="C36" s="28"/>
      <c r="D36" s="31"/>
      <c r="E36" s="28"/>
      <c r="F36" s="31" t="s">
        <v>158</v>
      </c>
      <c r="G36" s="31"/>
      <c r="H36" s="31" t="s">
        <v>158</v>
      </c>
      <c r="I36" s="31"/>
      <c r="J36" s="31"/>
      <c r="K36" s="30"/>
      <c r="L36" s="30"/>
      <c r="M36" s="28"/>
      <c r="N36" s="131"/>
    </row>
    <row r="37" spans="1:14" ht="15.75">
      <c r="A37" s="27"/>
      <c r="B37" s="28" t="s">
        <v>24</v>
      </c>
      <c r="C37" s="28"/>
      <c r="D37" s="31"/>
      <c r="E37" s="28"/>
      <c r="F37" s="31" t="s">
        <v>159</v>
      </c>
      <c r="G37" s="31"/>
      <c r="H37" s="31" t="s">
        <v>169</v>
      </c>
      <c r="I37" s="31"/>
      <c r="J37" s="31"/>
      <c r="K37" s="30"/>
      <c r="L37" s="30"/>
      <c r="M37" s="28"/>
      <c r="N37" s="131"/>
    </row>
    <row r="38" spans="1:14" ht="15.75">
      <c r="A38" s="27"/>
      <c r="B38" s="28"/>
      <c r="C38" s="28"/>
      <c r="D38" s="47"/>
      <c r="E38" s="47"/>
      <c r="F38" s="28"/>
      <c r="G38" s="47"/>
      <c r="H38" s="47"/>
      <c r="I38" s="47"/>
      <c r="J38" s="47"/>
      <c r="K38" s="47"/>
      <c r="L38" s="47"/>
      <c r="M38" s="28"/>
      <c r="N38" s="131"/>
    </row>
    <row r="39" spans="1:14" ht="15.75">
      <c r="A39" s="27"/>
      <c r="B39" s="28" t="s">
        <v>25</v>
      </c>
      <c r="C39" s="28"/>
      <c r="D39" s="28"/>
      <c r="E39" s="28"/>
      <c r="F39" s="28"/>
      <c r="G39" s="28"/>
      <c r="H39" s="28"/>
      <c r="I39" s="28"/>
      <c r="J39" s="28"/>
      <c r="K39" s="28"/>
      <c r="L39" s="46">
        <f>H29/F29</f>
        <v>0.10119047619047619</v>
      </c>
      <c r="M39" s="28"/>
      <c r="N39" s="131"/>
    </row>
    <row r="40" spans="1:14" ht="15.75">
      <c r="A40" s="27"/>
      <c r="B40" s="28" t="s">
        <v>26</v>
      </c>
      <c r="C40" s="28"/>
      <c r="D40" s="28"/>
      <c r="E40" s="28"/>
      <c r="F40" s="28"/>
      <c r="G40" s="28"/>
      <c r="H40" s="28"/>
      <c r="I40" s="28"/>
      <c r="J40" s="28"/>
      <c r="K40" s="28"/>
      <c r="L40" s="46">
        <f>H31/F31</f>
        <v>0.12455960121232541</v>
      </c>
      <c r="M40" s="28"/>
      <c r="N40" s="131"/>
    </row>
    <row r="41" spans="1:14" ht="15.75">
      <c r="A41" s="27"/>
      <c r="B41" s="28" t="s">
        <v>27</v>
      </c>
      <c r="C41" s="28"/>
      <c r="D41" s="28"/>
      <c r="E41" s="28"/>
      <c r="F41" s="28"/>
      <c r="G41" s="28"/>
      <c r="H41" s="28"/>
      <c r="I41" s="28"/>
      <c r="J41" s="31" t="s">
        <v>151</v>
      </c>
      <c r="K41" s="31" t="s">
        <v>183</v>
      </c>
      <c r="L41" s="35">
        <v>75500</v>
      </c>
      <c r="M41" s="28"/>
      <c r="N41" s="131"/>
    </row>
    <row r="42" spans="1:14" ht="15.75">
      <c r="A42" s="27"/>
      <c r="B42" s="28"/>
      <c r="C42" s="28"/>
      <c r="D42" s="28"/>
      <c r="E42" s="28"/>
      <c r="F42" s="28"/>
      <c r="G42" s="28"/>
      <c r="H42" s="28"/>
      <c r="I42" s="28"/>
      <c r="J42" s="28" t="s">
        <v>175</v>
      </c>
      <c r="K42" s="28"/>
      <c r="L42" s="48"/>
      <c r="M42" s="28"/>
      <c r="N42" s="131"/>
    </row>
    <row r="43" spans="1:14" ht="15.75">
      <c r="A43" s="27"/>
      <c r="B43" s="28" t="s">
        <v>28</v>
      </c>
      <c r="C43" s="28"/>
      <c r="D43" s="28"/>
      <c r="E43" s="28"/>
      <c r="F43" s="28"/>
      <c r="G43" s="28"/>
      <c r="H43" s="28"/>
      <c r="I43" s="28"/>
      <c r="J43" s="31"/>
      <c r="K43" s="31"/>
      <c r="L43" s="31" t="s">
        <v>187</v>
      </c>
      <c r="M43" s="28"/>
      <c r="N43" s="131"/>
    </row>
    <row r="44" spans="1:14" ht="15.75">
      <c r="A44" s="32"/>
      <c r="B44" s="33" t="s">
        <v>29</v>
      </c>
      <c r="C44" s="33"/>
      <c r="D44" s="33"/>
      <c r="E44" s="33"/>
      <c r="F44" s="33"/>
      <c r="G44" s="33"/>
      <c r="H44" s="33"/>
      <c r="I44" s="33"/>
      <c r="J44" s="49"/>
      <c r="K44" s="49"/>
      <c r="L44" s="50">
        <v>37271</v>
      </c>
      <c r="M44" s="33"/>
      <c r="N44" s="131"/>
    </row>
    <row r="45" spans="1:14" ht="15.75">
      <c r="A45" s="27"/>
      <c r="B45" s="28" t="s">
        <v>30</v>
      </c>
      <c r="C45" s="28"/>
      <c r="D45" s="28"/>
      <c r="E45" s="28"/>
      <c r="F45" s="28"/>
      <c r="G45" s="28"/>
      <c r="H45" s="28"/>
      <c r="I45" s="28">
        <f>L45-J45+1</f>
        <v>91</v>
      </c>
      <c r="J45" s="51">
        <v>37088</v>
      </c>
      <c r="K45" s="52"/>
      <c r="L45" s="51">
        <v>37178</v>
      </c>
      <c r="M45" s="28"/>
      <c r="N45" s="131"/>
    </row>
    <row r="46" spans="1:14" ht="15.75">
      <c r="A46" s="27"/>
      <c r="B46" s="28" t="s">
        <v>31</v>
      </c>
      <c r="C46" s="28"/>
      <c r="D46" s="28"/>
      <c r="E46" s="28"/>
      <c r="F46" s="28"/>
      <c r="G46" s="28"/>
      <c r="H46" s="28"/>
      <c r="I46" s="28">
        <f>L46-J46+1</f>
        <v>92</v>
      </c>
      <c r="J46" s="51">
        <v>37179</v>
      </c>
      <c r="K46" s="52"/>
      <c r="L46" s="51">
        <v>37270</v>
      </c>
      <c r="M46" s="28"/>
      <c r="N46" s="131"/>
    </row>
    <row r="47" spans="1:14" ht="15.75">
      <c r="A47" s="27"/>
      <c r="B47" s="28" t="s">
        <v>32</v>
      </c>
      <c r="C47" s="28"/>
      <c r="D47" s="28"/>
      <c r="E47" s="28"/>
      <c r="F47" s="28"/>
      <c r="G47" s="28"/>
      <c r="H47" s="28"/>
      <c r="I47" s="28"/>
      <c r="J47" s="51"/>
      <c r="K47" s="52"/>
      <c r="L47" s="51" t="s">
        <v>188</v>
      </c>
      <c r="M47" s="28"/>
      <c r="N47" s="131"/>
    </row>
    <row r="48" spans="1:14" ht="15.75">
      <c r="A48" s="27"/>
      <c r="B48" s="28" t="s">
        <v>33</v>
      </c>
      <c r="C48" s="28"/>
      <c r="D48" s="28"/>
      <c r="E48" s="28"/>
      <c r="F48" s="28"/>
      <c r="G48" s="28"/>
      <c r="H48" s="28"/>
      <c r="I48" s="28"/>
      <c r="J48" s="51"/>
      <c r="K48" s="52"/>
      <c r="L48" s="51">
        <v>37263</v>
      </c>
      <c r="M48" s="28"/>
      <c r="N48" s="131"/>
    </row>
    <row r="49" spans="1:14" ht="15.75">
      <c r="A49" s="27"/>
      <c r="B49" s="28"/>
      <c r="C49" s="28"/>
      <c r="D49" s="28"/>
      <c r="E49" s="28"/>
      <c r="F49" s="28"/>
      <c r="G49" s="28"/>
      <c r="H49" s="28"/>
      <c r="I49" s="28"/>
      <c r="J49" s="28"/>
      <c r="K49" s="28"/>
      <c r="L49" s="134"/>
      <c r="M49" s="28"/>
      <c r="N49" s="131"/>
    </row>
    <row r="50" spans="1:14" ht="15.75">
      <c r="A50" s="8"/>
      <c r="B50" s="10"/>
      <c r="C50" s="10"/>
      <c r="D50" s="10"/>
      <c r="E50" s="10"/>
      <c r="F50" s="10"/>
      <c r="G50" s="10"/>
      <c r="H50" s="10"/>
      <c r="I50" s="10"/>
      <c r="J50" s="10"/>
      <c r="K50" s="10"/>
      <c r="L50" s="56"/>
      <c r="M50" s="10"/>
      <c r="N50" s="131"/>
    </row>
    <row r="51" spans="1:14" ht="19.5" thickBot="1">
      <c r="A51" s="138"/>
      <c r="B51" s="139" t="s">
        <v>209</v>
      </c>
      <c r="C51" s="140"/>
      <c r="D51" s="140"/>
      <c r="E51" s="140"/>
      <c r="F51" s="140"/>
      <c r="G51" s="140"/>
      <c r="H51" s="140"/>
      <c r="I51" s="140"/>
      <c r="J51" s="140"/>
      <c r="K51" s="140"/>
      <c r="L51" s="141"/>
      <c r="M51" s="142"/>
      <c r="N51" s="131"/>
    </row>
    <row r="52" spans="1:14" ht="15.75">
      <c r="A52" s="2"/>
      <c r="B52" s="5"/>
      <c r="C52" s="5"/>
      <c r="D52" s="5"/>
      <c r="E52" s="5"/>
      <c r="F52" s="5"/>
      <c r="G52" s="5"/>
      <c r="H52" s="5"/>
      <c r="I52" s="5"/>
      <c r="J52" s="5"/>
      <c r="K52" s="5"/>
      <c r="L52" s="57"/>
      <c r="M52" s="5"/>
      <c r="N52" s="131"/>
    </row>
    <row r="53" spans="1:14" ht="15.75">
      <c r="A53" s="8"/>
      <c r="B53" s="58" t="s">
        <v>35</v>
      </c>
      <c r="C53" s="16"/>
      <c r="D53" s="10"/>
      <c r="E53" s="10"/>
      <c r="F53" s="10"/>
      <c r="G53" s="10"/>
      <c r="H53" s="10"/>
      <c r="I53" s="10"/>
      <c r="J53" s="10"/>
      <c r="K53" s="10"/>
      <c r="L53" s="59"/>
      <c r="M53" s="10"/>
      <c r="N53" s="131"/>
    </row>
    <row r="54" spans="1:14" ht="15.75">
      <c r="A54" s="8"/>
      <c r="B54" s="16"/>
      <c r="C54" s="16"/>
      <c r="D54" s="10"/>
      <c r="E54" s="10"/>
      <c r="F54" s="10"/>
      <c r="G54" s="10"/>
      <c r="H54" s="10"/>
      <c r="I54" s="10"/>
      <c r="J54" s="10"/>
      <c r="K54" s="10"/>
      <c r="L54" s="59"/>
      <c r="M54" s="10"/>
      <c r="N54" s="131"/>
    </row>
    <row r="55" spans="1:14" s="165" customFormat="1" ht="63">
      <c r="A55" s="159"/>
      <c r="B55" s="160" t="s">
        <v>36</v>
      </c>
      <c r="C55" s="161" t="s">
        <v>145</v>
      </c>
      <c r="D55" s="161" t="s">
        <v>147</v>
      </c>
      <c r="E55" s="161"/>
      <c r="F55" s="161" t="s">
        <v>160</v>
      </c>
      <c r="G55" s="161"/>
      <c r="H55" s="161" t="s">
        <v>170</v>
      </c>
      <c r="I55" s="161"/>
      <c r="J55" s="161" t="s">
        <v>176</v>
      </c>
      <c r="K55" s="161"/>
      <c r="L55" s="162" t="s">
        <v>189</v>
      </c>
      <c r="M55" s="163"/>
      <c r="N55" s="171"/>
    </row>
    <row r="56" spans="1:14" ht="15.75">
      <c r="A56" s="27"/>
      <c r="B56" s="28" t="s">
        <v>37</v>
      </c>
      <c r="C56" s="38">
        <v>162582</v>
      </c>
      <c r="D56" s="60">
        <v>158922</v>
      </c>
      <c r="E56" s="38"/>
      <c r="F56" s="38">
        <f>6968-1</f>
        <v>6967</v>
      </c>
      <c r="G56" s="38"/>
      <c r="H56" s="38">
        <v>1526</v>
      </c>
      <c r="I56" s="38"/>
      <c r="J56" s="38">
        <v>0</v>
      </c>
      <c r="K56" s="38"/>
      <c r="L56" s="60">
        <f>D56-F56+H56-J56</f>
        <v>153481</v>
      </c>
      <c r="M56" s="28"/>
      <c r="N56" s="131"/>
    </row>
    <row r="57" spans="1:14" ht="15.75">
      <c r="A57" s="27"/>
      <c r="B57" s="28" t="s">
        <v>38</v>
      </c>
      <c r="C57" s="38">
        <v>66</v>
      </c>
      <c r="D57" s="60">
        <v>0</v>
      </c>
      <c r="E57" s="38"/>
      <c r="F57" s="38">
        <v>0</v>
      </c>
      <c r="G57" s="38"/>
      <c r="H57" s="38">
        <v>0</v>
      </c>
      <c r="I57" s="38"/>
      <c r="J57" s="38">
        <v>0</v>
      </c>
      <c r="K57" s="38"/>
      <c r="L57" s="60">
        <f>D57-F57</f>
        <v>0</v>
      </c>
      <c r="M57" s="28"/>
      <c r="N57" s="131"/>
    </row>
    <row r="58" spans="1:14" ht="15.75">
      <c r="A58" s="27"/>
      <c r="B58" s="28"/>
      <c r="C58" s="38"/>
      <c r="D58" s="60"/>
      <c r="E58" s="38"/>
      <c r="F58" s="38"/>
      <c r="G58" s="38"/>
      <c r="H58" s="38"/>
      <c r="I58" s="38"/>
      <c r="J58" s="38"/>
      <c r="K58" s="38"/>
      <c r="L58" s="60"/>
      <c r="M58" s="28"/>
      <c r="N58" s="131"/>
    </row>
    <row r="59" spans="1:14" ht="15.75">
      <c r="A59" s="27"/>
      <c r="B59" s="28" t="s">
        <v>39</v>
      </c>
      <c r="C59" s="38">
        <f>SUM(C56:C58)</f>
        <v>162648</v>
      </c>
      <c r="D59" s="38">
        <f>SUM(D56:D58)</f>
        <v>158922</v>
      </c>
      <c r="E59" s="38"/>
      <c r="F59" s="38">
        <f>SUM(F56:F58)</f>
        <v>6967</v>
      </c>
      <c r="G59" s="38"/>
      <c r="H59" s="38">
        <f>SUM(H56:H58)</f>
        <v>1526</v>
      </c>
      <c r="I59" s="38"/>
      <c r="J59" s="38">
        <f>SUM(J56:J58)</f>
        <v>0</v>
      </c>
      <c r="K59" s="38"/>
      <c r="L59" s="61">
        <f>SUM(L56:L58)</f>
        <v>153481</v>
      </c>
      <c r="M59" s="28"/>
      <c r="N59" s="131"/>
    </row>
    <row r="60" spans="1:14" ht="15.75">
      <c r="A60" s="27"/>
      <c r="B60" s="28"/>
      <c r="C60" s="38"/>
      <c r="D60" s="38"/>
      <c r="E60" s="38"/>
      <c r="F60" s="38"/>
      <c r="G60" s="38"/>
      <c r="H60" s="38"/>
      <c r="I60" s="38"/>
      <c r="J60" s="38"/>
      <c r="K60" s="38"/>
      <c r="L60" s="61"/>
      <c r="M60" s="28"/>
      <c r="N60" s="131"/>
    </row>
    <row r="61" spans="1:14" ht="15.75">
      <c r="A61" s="8"/>
      <c r="B61" s="154" t="s">
        <v>40</v>
      </c>
      <c r="C61" s="62"/>
      <c r="D61" s="62"/>
      <c r="E61" s="62"/>
      <c r="F61" s="62"/>
      <c r="G61" s="62"/>
      <c r="H61" s="62"/>
      <c r="I61" s="62"/>
      <c r="J61" s="62"/>
      <c r="K61" s="62"/>
      <c r="L61" s="63"/>
      <c r="M61" s="10"/>
      <c r="N61" s="131"/>
    </row>
    <row r="62" spans="1:14" ht="15.75">
      <c r="A62" s="8"/>
      <c r="B62" s="10"/>
      <c r="C62" s="62"/>
      <c r="D62" s="62"/>
      <c r="E62" s="62"/>
      <c r="F62" s="62"/>
      <c r="G62" s="62"/>
      <c r="H62" s="62"/>
      <c r="I62" s="62"/>
      <c r="J62" s="62"/>
      <c r="K62" s="62"/>
      <c r="L62" s="63"/>
      <c r="M62" s="10"/>
      <c r="N62" s="131"/>
    </row>
    <row r="63" spans="1:14" ht="15.75">
      <c r="A63" s="27"/>
      <c r="B63" s="28" t="s">
        <v>37</v>
      </c>
      <c r="C63" s="38"/>
      <c r="D63" s="38"/>
      <c r="E63" s="38"/>
      <c r="F63" s="38"/>
      <c r="G63" s="38"/>
      <c r="H63" s="38"/>
      <c r="I63" s="38"/>
      <c r="J63" s="38"/>
      <c r="K63" s="38"/>
      <c r="L63" s="61"/>
      <c r="M63" s="28"/>
      <c r="N63" s="131"/>
    </row>
    <row r="64" spans="1:14" ht="15.75">
      <c r="A64" s="27"/>
      <c r="B64" s="28" t="s">
        <v>38</v>
      </c>
      <c r="C64" s="38"/>
      <c r="D64" s="38"/>
      <c r="E64" s="38"/>
      <c r="F64" s="38"/>
      <c r="G64" s="38"/>
      <c r="H64" s="38"/>
      <c r="I64" s="38"/>
      <c r="J64" s="38"/>
      <c r="K64" s="38"/>
      <c r="L64" s="61"/>
      <c r="M64" s="28"/>
      <c r="N64" s="131"/>
    </row>
    <row r="65" spans="1:14" ht="15.75">
      <c r="A65" s="27"/>
      <c r="B65" s="28"/>
      <c r="C65" s="38"/>
      <c r="D65" s="38"/>
      <c r="E65" s="38"/>
      <c r="F65" s="38"/>
      <c r="G65" s="38"/>
      <c r="H65" s="38"/>
      <c r="I65" s="38"/>
      <c r="J65" s="38"/>
      <c r="K65" s="38"/>
      <c r="L65" s="61"/>
      <c r="M65" s="28"/>
      <c r="N65" s="131"/>
    </row>
    <row r="66" spans="1:14" ht="15.75">
      <c r="A66" s="27"/>
      <c r="B66" s="28" t="s">
        <v>39</v>
      </c>
      <c r="C66" s="38"/>
      <c r="D66" s="38"/>
      <c r="E66" s="38"/>
      <c r="F66" s="38"/>
      <c r="G66" s="38"/>
      <c r="H66" s="38"/>
      <c r="I66" s="38"/>
      <c r="J66" s="38"/>
      <c r="K66" s="38"/>
      <c r="L66" s="38"/>
      <c r="M66" s="28"/>
      <c r="N66" s="131"/>
    </row>
    <row r="67" spans="1:14" ht="15.75">
      <c r="A67" s="27"/>
      <c r="B67" s="28"/>
      <c r="C67" s="38"/>
      <c r="D67" s="38"/>
      <c r="E67" s="38"/>
      <c r="F67" s="38"/>
      <c r="G67" s="38"/>
      <c r="H67" s="38"/>
      <c r="I67" s="38"/>
      <c r="J67" s="38"/>
      <c r="K67" s="38"/>
      <c r="L67" s="38"/>
      <c r="M67" s="28"/>
      <c r="N67" s="131"/>
    </row>
    <row r="68" spans="1:14" ht="15.75">
      <c r="A68" s="27"/>
      <c r="B68" s="28" t="s">
        <v>41</v>
      </c>
      <c r="C68" s="38">
        <v>0</v>
      </c>
      <c r="D68" s="38">
        <v>0</v>
      </c>
      <c r="E68" s="38"/>
      <c r="F68" s="38"/>
      <c r="G68" s="38"/>
      <c r="H68" s="38"/>
      <c r="I68" s="38"/>
      <c r="J68" s="38"/>
      <c r="K68" s="38"/>
      <c r="L68" s="60">
        <f>D68-F68+H68-J68</f>
        <v>0</v>
      </c>
      <c r="M68" s="28"/>
      <c r="N68" s="131"/>
    </row>
    <row r="69" spans="1:14" ht="15.75">
      <c r="A69" s="27"/>
      <c r="B69" s="28" t="s">
        <v>42</v>
      </c>
      <c r="C69" s="38">
        <v>22352</v>
      </c>
      <c r="D69" s="38">
        <v>0</v>
      </c>
      <c r="E69" s="38"/>
      <c r="F69" s="38"/>
      <c r="G69" s="38"/>
      <c r="H69" s="38"/>
      <c r="I69" s="38"/>
      <c r="J69" s="38"/>
      <c r="K69" s="38"/>
      <c r="L69" s="61">
        <v>0</v>
      </c>
      <c r="M69" s="28"/>
      <c r="N69" s="131"/>
    </row>
    <row r="70" spans="1:14" ht="15.75">
      <c r="A70" s="27"/>
      <c r="B70" s="28" t="s">
        <v>43</v>
      </c>
      <c r="C70" s="38">
        <v>0</v>
      </c>
      <c r="D70" s="38">
        <f>L127</f>
        <v>0</v>
      </c>
      <c r="E70" s="38"/>
      <c r="F70" s="38"/>
      <c r="G70" s="38"/>
      <c r="H70" s="38"/>
      <c r="I70" s="38"/>
      <c r="J70" s="38"/>
      <c r="K70" s="38"/>
      <c r="L70" s="61">
        <f>SUM(C70:K70)</f>
        <v>0</v>
      </c>
      <c r="M70" s="28"/>
      <c r="N70" s="131"/>
    </row>
    <row r="71" spans="1:14" ht="15.75">
      <c r="A71" s="27"/>
      <c r="B71" s="28" t="s">
        <v>44</v>
      </c>
      <c r="C71" s="61">
        <f>SUM(C59:C70)</f>
        <v>185000</v>
      </c>
      <c r="D71" s="61">
        <f>SUM(D59:D70)</f>
        <v>158922</v>
      </c>
      <c r="E71" s="38"/>
      <c r="F71" s="61"/>
      <c r="G71" s="38"/>
      <c r="H71" s="61"/>
      <c r="I71" s="38"/>
      <c r="J71" s="61"/>
      <c r="K71" s="38"/>
      <c r="L71" s="61">
        <f>SUM(L59:L70)</f>
        <v>153481</v>
      </c>
      <c r="M71" s="28"/>
      <c r="N71" s="131"/>
    </row>
    <row r="72" spans="1:14" ht="15.75">
      <c r="A72" s="27"/>
      <c r="B72" s="28"/>
      <c r="C72" s="38"/>
      <c r="D72" s="38"/>
      <c r="E72" s="38"/>
      <c r="F72" s="38"/>
      <c r="G72" s="38"/>
      <c r="H72" s="38"/>
      <c r="I72" s="38"/>
      <c r="J72" s="38"/>
      <c r="K72" s="38"/>
      <c r="L72" s="61"/>
      <c r="M72" s="28"/>
      <c r="N72" s="131"/>
    </row>
    <row r="73" spans="1:14" ht="15.75">
      <c r="A73" s="8"/>
      <c r="B73" s="10"/>
      <c r="C73" s="10"/>
      <c r="D73" s="10"/>
      <c r="E73" s="10"/>
      <c r="F73" s="10"/>
      <c r="G73" s="10"/>
      <c r="H73" s="10"/>
      <c r="I73" s="10"/>
      <c r="J73" s="10"/>
      <c r="K73" s="10"/>
      <c r="L73" s="10"/>
      <c r="M73" s="10"/>
      <c r="N73" s="131"/>
    </row>
    <row r="74" spans="1:14" ht="15.75">
      <c r="A74" s="8"/>
      <c r="B74" s="58" t="s">
        <v>45</v>
      </c>
      <c r="C74" s="17"/>
      <c r="D74" s="17"/>
      <c r="E74" s="17"/>
      <c r="F74" s="17"/>
      <c r="G74" s="17"/>
      <c r="H74" s="17"/>
      <c r="I74" s="20"/>
      <c r="J74" s="20" t="s">
        <v>177</v>
      </c>
      <c r="K74" s="20"/>
      <c r="L74" s="20" t="s">
        <v>190</v>
      </c>
      <c r="M74" s="10"/>
      <c r="N74" s="131"/>
    </row>
    <row r="75" spans="1:14" ht="15.75">
      <c r="A75" s="27"/>
      <c r="B75" s="28" t="s">
        <v>46</v>
      </c>
      <c r="C75" s="28"/>
      <c r="D75" s="28"/>
      <c r="E75" s="28"/>
      <c r="F75" s="28"/>
      <c r="G75" s="28"/>
      <c r="H75" s="28"/>
      <c r="I75" s="28"/>
      <c r="J75" s="38">
        <v>0</v>
      </c>
      <c r="K75" s="28"/>
      <c r="L75" s="60">
        <v>0</v>
      </c>
      <c r="M75" s="28"/>
      <c r="N75" s="131"/>
    </row>
    <row r="76" spans="1:14" ht="15.75">
      <c r="A76" s="27"/>
      <c r="B76" s="28" t="s">
        <v>47</v>
      </c>
      <c r="C76" s="47" t="s">
        <v>146</v>
      </c>
      <c r="D76" s="65">
        <v>37256</v>
      </c>
      <c r="E76" s="28"/>
      <c r="F76" s="28"/>
      <c r="G76" s="28"/>
      <c r="H76" s="28"/>
      <c r="I76" s="28"/>
      <c r="J76" s="38">
        <v>6967</v>
      </c>
      <c r="K76" s="28"/>
      <c r="L76" s="60"/>
      <c r="M76" s="28"/>
      <c r="N76" s="131"/>
    </row>
    <row r="77" spans="1:14" ht="15.75">
      <c r="A77" s="27"/>
      <c r="B77" s="28" t="s">
        <v>48</v>
      </c>
      <c r="C77" s="28"/>
      <c r="D77" s="28"/>
      <c r="E77" s="28"/>
      <c r="F77" s="28"/>
      <c r="G77" s="28"/>
      <c r="H77" s="28"/>
      <c r="I77" s="28"/>
      <c r="J77" s="38"/>
      <c r="K77" s="28"/>
      <c r="L77" s="60">
        <f>2550-4+339</f>
        <v>2885</v>
      </c>
      <c r="M77" s="28"/>
      <c r="N77" s="131"/>
    </row>
    <row r="78" spans="1:14" ht="15.75">
      <c r="A78" s="27"/>
      <c r="B78" s="28" t="s">
        <v>49</v>
      </c>
      <c r="C78" s="28"/>
      <c r="D78" s="28"/>
      <c r="E78" s="28"/>
      <c r="F78" s="28"/>
      <c r="G78" s="28"/>
      <c r="H78" s="28"/>
      <c r="I78" s="28"/>
      <c r="J78" s="38"/>
      <c r="K78" s="28"/>
      <c r="L78" s="60">
        <v>0</v>
      </c>
      <c r="M78" s="28"/>
      <c r="N78" s="131"/>
    </row>
    <row r="79" spans="1:14" ht="15.75">
      <c r="A79" s="27"/>
      <c r="B79" s="28" t="s">
        <v>50</v>
      </c>
      <c r="C79" s="28"/>
      <c r="D79" s="28"/>
      <c r="E79" s="28"/>
      <c r="F79" s="28"/>
      <c r="G79" s="28"/>
      <c r="H79" s="28"/>
      <c r="I79" s="28"/>
      <c r="J79" s="38">
        <f>SUM(J75:J78)</f>
        <v>6967</v>
      </c>
      <c r="K79" s="28"/>
      <c r="L79" s="61">
        <f>SUM(L75:L78)</f>
        <v>2885</v>
      </c>
      <c r="M79" s="28"/>
      <c r="N79" s="131"/>
    </row>
    <row r="80" spans="1:14" ht="15.75">
      <c r="A80" s="27"/>
      <c r="B80" s="28" t="s">
        <v>51</v>
      </c>
      <c r="C80" s="28"/>
      <c r="D80" s="28"/>
      <c r="E80" s="28"/>
      <c r="F80" s="28"/>
      <c r="G80" s="28"/>
      <c r="H80" s="28"/>
      <c r="I80" s="28"/>
      <c r="J80" s="38">
        <v>0</v>
      </c>
      <c r="K80" s="28"/>
      <c r="L80" s="60">
        <v>0</v>
      </c>
      <c r="M80" s="28"/>
      <c r="N80" s="131"/>
    </row>
    <row r="81" spans="1:14" ht="15.75">
      <c r="A81" s="27"/>
      <c r="B81" s="28" t="s">
        <v>52</v>
      </c>
      <c r="C81" s="28"/>
      <c r="D81" s="28"/>
      <c r="E81" s="28"/>
      <c r="F81" s="28"/>
      <c r="G81" s="28"/>
      <c r="H81" s="28"/>
      <c r="I81" s="28"/>
      <c r="J81" s="38">
        <f>J79+J80</f>
        <v>6967</v>
      </c>
      <c r="K81" s="28"/>
      <c r="L81" s="61">
        <f>L79+L80</f>
        <v>2885</v>
      </c>
      <c r="M81" s="28"/>
      <c r="N81" s="131"/>
    </row>
    <row r="82" spans="1:14" ht="15.75">
      <c r="A82" s="27"/>
      <c r="B82" s="166" t="s">
        <v>53</v>
      </c>
      <c r="C82" s="66"/>
      <c r="D82" s="28"/>
      <c r="E82" s="28"/>
      <c r="F82" s="28"/>
      <c r="G82" s="28"/>
      <c r="H82" s="28"/>
      <c r="I82" s="28"/>
      <c r="J82" s="38"/>
      <c r="K82" s="28"/>
      <c r="L82" s="60"/>
      <c r="M82" s="28"/>
      <c r="N82" s="131"/>
    </row>
    <row r="83" spans="1:14" ht="15.75">
      <c r="A83" s="27">
        <v>1</v>
      </c>
      <c r="B83" s="28" t="s">
        <v>54</v>
      </c>
      <c r="C83" s="28"/>
      <c r="D83" s="28"/>
      <c r="E83" s="28"/>
      <c r="F83" s="28"/>
      <c r="G83" s="28"/>
      <c r="H83" s="28"/>
      <c r="I83" s="28"/>
      <c r="J83" s="28"/>
      <c r="K83" s="28"/>
      <c r="L83" s="60">
        <v>0</v>
      </c>
      <c r="M83" s="28"/>
      <c r="N83" s="131"/>
    </row>
    <row r="84" spans="1:14" ht="15.75">
      <c r="A84" s="27">
        <v>2</v>
      </c>
      <c r="B84" s="28" t="s">
        <v>55</v>
      </c>
      <c r="C84" s="28"/>
      <c r="D84" s="28"/>
      <c r="E84" s="28"/>
      <c r="F84" s="28"/>
      <c r="G84" s="28"/>
      <c r="H84" s="28"/>
      <c r="I84" s="28"/>
      <c r="J84" s="28"/>
      <c r="K84" s="28"/>
      <c r="L84" s="60">
        <v>-3</v>
      </c>
      <c r="M84" s="28"/>
      <c r="N84" s="131"/>
    </row>
    <row r="85" spans="1:14" ht="15.75">
      <c r="A85" s="27">
        <v>3</v>
      </c>
      <c r="B85" s="28" t="s">
        <v>56</v>
      </c>
      <c r="C85" s="28"/>
      <c r="D85" s="28"/>
      <c r="E85" s="28"/>
      <c r="F85" s="28"/>
      <c r="G85" s="28"/>
      <c r="H85" s="28"/>
      <c r="I85" s="28"/>
      <c r="J85" s="28"/>
      <c r="K85" s="28"/>
      <c r="L85" s="60">
        <f>-120-4</f>
        <v>-124</v>
      </c>
      <c r="M85" s="28"/>
      <c r="N85" s="131"/>
    </row>
    <row r="86" spans="1:14" ht="15.75">
      <c r="A86" s="27">
        <v>4</v>
      </c>
      <c r="B86" s="28" t="s">
        <v>57</v>
      </c>
      <c r="C86" s="28"/>
      <c r="D86" s="28"/>
      <c r="E86" s="28"/>
      <c r="F86" s="28"/>
      <c r="G86" s="28"/>
      <c r="H86" s="28"/>
      <c r="I86" s="28"/>
      <c r="J86" s="28"/>
      <c r="K86" s="28"/>
      <c r="L86" s="60">
        <v>-191</v>
      </c>
      <c r="M86" s="28"/>
      <c r="N86" s="131"/>
    </row>
    <row r="87" spans="1:14" ht="15.75">
      <c r="A87" s="27">
        <v>5</v>
      </c>
      <c r="B87" s="28" t="s">
        <v>58</v>
      </c>
      <c r="C87" s="28"/>
      <c r="D87" s="28"/>
      <c r="E87" s="28"/>
      <c r="F87" s="28"/>
      <c r="G87" s="28"/>
      <c r="H87" s="28"/>
      <c r="I87" s="28"/>
      <c r="J87" s="28"/>
      <c r="K87" s="28"/>
      <c r="L87" s="60">
        <v>-1701</v>
      </c>
      <c r="M87" s="28"/>
      <c r="N87" s="131"/>
    </row>
    <row r="88" spans="1:14" ht="15.75">
      <c r="A88" s="27">
        <v>6</v>
      </c>
      <c r="B88" s="28" t="s">
        <v>59</v>
      </c>
      <c r="C88" s="28"/>
      <c r="D88" s="28"/>
      <c r="E88" s="28"/>
      <c r="F88" s="28"/>
      <c r="G88" s="28"/>
      <c r="H88" s="28"/>
      <c r="I88" s="28"/>
      <c r="J88" s="28"/>
      <c r="K88" s="28"/>
      <c r="L88" s="60">
        <v>-226</v>
      </c>
      <c r="M88" s="28"/>
      <c r="N88" s="131"/>
    </row>
    <row r="89" spans="1:14" ht="15.75">
      <c r="A89" s="27">
        <v>7</v>
      </c>
      <c r="B89" s="28" t="s">
        <v>60</v>
      </c>
      <c r="C89" s="28"/>
      <c r="D89" s="28"/>
      <c r="E89" s="28"/>
      <c r="F89" s="28"/>
      <c r="G89" s="28"/>
      <c r="H89" s="28"/>
      <c r="I89" s="28"/>
      <c r="J89" s="28"/>
      <c r="K89" s="28"/>
      <c r="L89" s="60">
        <v>-3</v>
      </c>
      <c r="M89" s="28"/>
      <c r="N89" s="131"/>
    </row>
    <row r="90" spans="1:14" ht="15.75">
      <c r="A90" s="27">
        <v>8</v>
      </c>
      <c r="B90" s="28" t="s">
        <v>61</v>
      </c>
      <c r="C90" s="28"/>
      <c r="D90" s="28"/>
      <c r="E90" s="28"/>
      <c r="F90" s="28"/>
      <c r="G90" s="28"/>
      <c r="H90" s="28"/>
      <c r="I90" s="28"/>
      <c r="J90" s="28"/>
      <c r="K90" s="28"/>
      <c r="L90" s="60">
        <v>0</v>
      </c>
      <c r="M90" s="28"/>
      <c r="N90" s="131"/>
    </row>
    <row r="91" spans="1:14" ht="15.75">
      <c r="A91" s="27">
        <v>9</v>
      </c>
      <c r="B91" s="28" t="s">
        <v>62</v>
      </c>
      <c r="C91" s="28"/>
      <c r="D91" s="28"/>
      <c r="E91" s="28"/>
      <c r="F91" s="28"/>
      <c r="G91" s="28"/>
      <c r="H91" s="28"/>
      <c r="I91" s="28"/>
      <c r="J91" s="28"/>
      <c r="K91" s="28"/>
      <c r="L91" s="60">
        <v>0</v>
      </c>
      <c r="M91" s="28"/>
      <c r="N91" s="131"/>
    </row>
    <row r="92" spans="1:14" ht="15.75">
      <c r="A92" s="27">
        <v>10</v>
      </c>
      <c r="B92" s="28" t="s">
        <v>63</v>
      </c>
      <c r="C92" s="28"/>
      <c r="D92" s="28"/>
      <c r="E92" s="28"/>
      <c r="F92" s="28"/>
      <c r="G92" s="28"/>
      <c r="H92" s="28"/>
      <c r="I92" s="28"/>
      <c r="J92" s="28"/>
      <c r="K92" s="28"/>
      <c r="L92" s="60">
        <v>0</v>
      </c>
      <c r="M92" s="28"/>
      <c r="N92" s="131"/>
    </row>
    <row r="93" spans="1:14" ht="15.75">
      <c r="A93" s="27">
        <v>11</v>
      </c>
      <c r="B93" s="28" t="s">
        <v>64</v>
      </c>
      <c r="C93" s="28"/>
      <c r="D93" s="28"/>
      <c r="E93" s="28"/>
      <c r="F93" s="28"/>
      <c r="G93" s="28"/>
      <c r="H93" s="28"/>
      <c r="I93" s="28"/>
      <c r="J93" s="28"/>
      <c r="K93" s="28"/>
      <c r="L93" s="60">
        <v>0</v>
      </c>
      <c r="M93" s="28"/>
      <c r="N93" s="131"/>
    </row>
    <row r="94" spans="1:14" ht="15.75">
      <c r="A94" s="27">
        <v>12</v>
      </c>
      <c r="B94" s="28" t="s">
        <v>65</v>
      </c>
      <c r="C94" s="28"/>
      <c r="D94" s="28"/>
      <c r="E94" s="28"/>
      <c r="F94" s="28"/>
      <c r="G94" s="28"/>
      <c r="H94" s="28"/>
      <c r="I94" s="28"/>
      <c r="J94" s="28"/>
      <c r="K94" s="28"/>
      <c r="L94" s="60">
        <v>-130</v>
      </c>
      <c r="M94" s="28"/>
      <c r="N94" s="131"/>
    </row>
    <row r="95" spans="1:14" ht="15.75">
      <c r="A95" s="27">
        <v>13</v>
      </c>
      <c r="B95" s="28" t="s">
        <v>66</v>
      </c>
      <c r="C95" s="28"/>
      <c r="D95" s="28"/>
      <c r="E95" s="28"/>
      <c r="F95" s="28"/>
      <c r="G95" s="28"/>
      <c r="H95" s="28"/>
      <c r="I95" s="28"/>
      <c r="J95" s="28"/>
      <c r="K95" s="28"/>
      <c r="L95" s="60">
        <f>-SUM(L81:L94)</f>
        <v>-507</v>
      </c>
      <c r="M95" s="28"/>
      <c r="N95" s="131"/>
    </row>
    <row r="96" spans="1:14" ht="15.75">
      <c r="A96" s="27"/>
      <c r="B96" s="166" t="s">
        <v>67</v>
      </c>
      <c r="C96" s="66"/>
      <c r="D96" s="28"/>
      <c r="E96" s="28"/>
      <c r="F96" s="28"/>
      <c r="G96" s="28"/>
      <c r="H96" s="28"/>
      <c r="I96" s="28"/>
      <c r="J96" s="28"/>
      <c r="K96" s="28"/>
      <c r="L96" s="67"/>
      <c r="M96" s="28"/>
      <c r="N96" s="131"/>
    </row>
    <row r="97" spans="1:14" ht="15.75">
      <c r="A97" s="27"/>
      <c r="B97" s="28" t="s">
        <v>68</v>
      </c>
      <c r="C97" s="66"/>
      <c r="D97" s="28"/>
      <c r="E97" s="28"/>
      <c r="F97" s="28"/>
      <c r="G97" s="28"/>
      <c r="H97" s="28"/>
      <c r="I97" s="28"/>
      <c r="J97" s="38">
        <f>-J143</f>
        <v>-23</v>
      </c>
      <c r="K97" s="38"/>
      <c r="L97" s="60"/>
      <c r="M97" s="28"/>
      <c r="N97" s="131"/>
    </row>
    <row r="98" spans="1:14" ht="15.75">
      <c r="A98" s="27"/>
      <c r="B98" s="28" t="s">
        <v>69</v>
      </c>
      <c r="C98" s="28"/>
      <c r="D98" s="28"/>
      <c r="E98" s="28"/>
      <c r="F98" s="28"/>
      <c r="G98" s="28"/>
      <c r="H98" s="28"/>
      <c r="I98" s="28"/>
      <c r="J98" s="38">
        <f>-H143</f>
        <v>-1503</v>
      </c>
      <c r="K98" s="38"/>
      <c r="L98" s="60"/>
      <c r="M98" s="28"/>
      <c r="N98" s="131"/>
    </row>
    <row r="99" spans="1:14" ht="15.75">
      <c r="A99" s="27"/>
      <c r="B99" s="28" t="s">
        <v>70</v>
      </c>
      <c r="C99" s="28"/>
      <c r="D99" s="28"/>
      <c r="E99" s="28"/>
      <c r="F99" s="28"/>
      <c r="G99" s="28"/>
      <c r="H99" s="28"/>
      <c r="I99" s="28"/>
      <c r="J99" s="38">
        <v>-5441</v>
      </c>
      <c r="K99" s="38"/>
      <c r="L99" s="60"/>
      <c r="M99" s="28"/>
      <c r="N99" s="131"/>
    </row>
    <row r="100" spans="1:14" ht="15.75">
      <c r="A100" s="27"/>
      <c r="B100" s="28" t="s">
        <v>71</v>
      </c>
      <c r="C100" s="28"/>
      <c r="D100" s="28"/>
      <c r="E100" s="28"/>
      <c r="F100" s="28"/>
      <c r="G100" s="28"/>
      <c r="H100" s="28"/>
      <c r="I100" s="28"/>
      <c r="J100" s="38">
        <v>0</v>
      </c>
      <c r="K100" s="38"/>
      <c r="L100" s="60"/>
      <c r="M100" s="28"/>
      <c r="N100" s="131"/>
    </row>
    <row r="101" spans="1:14" ht="15.75">
      <c r="A101" s="27"/>
      <c r="B101" s="28" t="s">
        <v>72</v>
      </c>
      <c r="C101" s="28"/>
      <c r="D101" s="28"/>
      <c r="E101" s="28"/>
      <c r="F101" s="28"/>
      <c r="G101" s="28"/>
      <c r="H101" s="28"/>
      <c r="I101" s="28"/>
      <c r="J101" s="38">
        <f>SUM(J82:J100)</f>
        <v>-6967</v>
      </c>
      <c r="K101" s="38"/>
      <c r="L101" s="38">
        <f>SUM(L82:L100)</f>
        <v>-2885</v>
      </c>
      <c r="M101" s="28"/>
      <c r="N101" s="131"/>
    </row>
    <row r="102" spans="1:14" ht="15.75">
      <c r="A102" s="27"/>
      <c r="B102" s="28" t="s">
        <v>73</v>
      </c>
      <c r="C102" s="28"/>
      <c r="D102" s="28"/>
      <c r="E102" s="28"/>
      <c r="F102" s="28"/>
      <c r="G102" s="28"/>
      <c r="H102" s="28"/>
      <c r="I102" s="28"/>
      <c r="J102" s="38">
        <f>J81+J101</f>
        <v>0</v>
      </c>
      <c r="K102" s="38"/>
      <c r="L102" s="38">
        <f>L81+L101</f>
        <v>0</v>
      </c>
      <c r="M102" s="28"/>
      <c r="N102" s="131"/>
    </row>
    <row r="103" spans="1:14" ht="15.75">
      <c r="A103" s="27"/>
      <c r="B103" s="28"/>
      <c r="C103" s="28"/>
      <c r="D103" s="28"/>
      <c r="E103" s="28"/>
      <c r="F103" s="28"/>
      <c r="G103" s="28"/>
      <c r="H103" s="28"/>
      <c r="I103" s="28"/>
      <c r="J103" s="38"/>
      <c r="K103" s="38"/>
      <c r="L103" s="38"/>
      <c r="M103" s="28"/>
      <c r="N103" s="131"/>
    </row>
    <row r="104" spans="1:14" ht="15.75">
      <c r="A104" s="8"/>
      <c r="B104" s="10"/>
      <c r="C104" s="10"/>
      <c r="D104" s="10"/>
      <c r="E104" s="10"/>
      <c r="F104" s="10"/>
      <c r="G104" s="10"/>
      <c r="H104" s="10"/>
      <c r="I104" s="10"/>
      <c r="J104" s="62"/>
      <c r="K104" s="62"/>
      <c r="L104" s="62"/>
      <c r="M104" s="10"/>
      <c r="N104" s="131"/>
    </row>
    <row r="105" spans="1:14" ht="19.5" thickBot="1">
      <c r="A105" s="138"/>
      <c r="B105" s="139" t="s">
        <v>209</v>
      </c>
      <c r="C105" s="140"/>
      <c r="D105" s="140"/>
      <c r="E105" s="140"/>
      <c r="F105" s="140"/>
      <c r="G105" s="140"/>
      <c r="H105" s="140"/>
      <c r="I105" s="140"/>
      <c r="J105" s="143"/>
      <c r="K105" s="143"/>
      <c r="L105" s="143"/>
      <c r="M105" s="142"/>
      <c r="N105" s="131"/>
    </row>
    <row r="106" spans="1:14" ht="12" customHeight="1">
      <c r="A106" s="2"/>
      <c r="B106" s="5"/>
      <c r="C106" s="5"/>
      <c r="D106" s="5"/>
      <c r="E106" s="5"/>
      <c r="F106" s="5"/>
      <c r="G106" s="5"/>
      <c r="H106" s="5"/>
      <c r="I106" s="5"/>
      <c r="J106" s="5"/>
      <c r="K106" s="5"/>
      <c r="L106" s="57"/>
      <c r="M106" s="5"/>
      <c r="N106" s="131"/>
    </row>
    <row r="107" spans="1:14" ht="12" customHeight="1">
      <c r="A107" s="8"/>
      <c r="B107" s="10"/>
      <c r="C107" s="10"/>
      <c r="D107" s="10"/>
      <c r="E107" s="10"/>
      <c r="F107" s="10"/>
      <c r="G107" s="10"/>
      <c r="H107" s="10"/>
      <c r="I107" s="10"/>
      <c r="J107" s="10"/>
      <c r="K107" s="10"/>
      <c r="L107" s="59"/>
      <c r="M107" s="10"/>
      <c r="N107" s="131"/>
    </row>
    <row r="108" spans="1:14" ht="15.75">
      <c r="A108" s="8"/>
      <c r="B108" s="58" t="s">
        <v>74</v>
      </c>
      <c r="C108" s="16"/>
      <c r="D108" s="10"/>
      <c r="E108" s="10"/>
      <c r="F108" s="10"/>
      <c r="G108" s="10"/>
      <c r="H108" s="10"/>
      <c r="I108" s="10"/>
      <c r="J108" s="10"/>
      <c r="K108" s="10"/>
      <c r="L108" s="59"/>
      <c r="M108" s="10"/>
      <c r="N108" s="131"/>
    </row>
    <row r="109" spans="1:14" ht="15.75">
      <c r="A109" s="8"/>
      <c r="B109" s="23"/>
      <c r="C109" s="16"/>
      <c r="D109" s="10"/>
      <c r="E109" s="10"/>
      <c r="F109" s="10"/>
      <c r="G109" s="10"/>
      <c r="H109" s="10"/>
      <c r="I109" s="10"/>
      <c r="J109" s="10"/>
      <c r="K109" s="10"/>
      <c r="L109" s="59"/>
      <c r="M109" s="10"/>
      <c r="N109" s="131"/>
    </row>
    <row r="110" spans="1:14" ht="15.75">
      <c r="A110" s="8"/>
      <c r="B110" s="167" t="s">
        <v>75</v>
      </c>
      <c r="C110" s="16"/>
      <c r="D110" s="10"/>
      <c r="E110" s="10"/>
      <c r="F110" s="10"/>
      <c r="G110" s="10"/>
      <c r="H110" s="10"/>
      <c r="I110" s="10"/>
      <c r="J110" s="10"/>
      <c r="K110" s="10"/>
      <c r="L110" s="59"/>
      <c r="M110" s="10"/>
      <c r="N110" s="131"/>
    </row>
    <row r="111" spans="1:14" ht="15.75">
      <c r="A111" s="27"/>
      <c r="B111" s="28" t="s">
        <v>76</v>
      </c>
      <c r="C111" s="28"/>
      <c r="D111" s="28"/>
      <c r="E111" s="28"/>
      <c r="F111" s="28"/>
      <c r="G111" s="28"/>
      <c r="H111" s="28"/>
      <c r="I111" s="28"/>
      <c r="J111" s="28"/>
      <c r="K111" s="28"/>
      <c r="L111" s="60">
        <v>4625</v>
      </c>
      <c r="M111" s="28"/>
      <c r="N111" s="131"/>
    </row>
    <row r="112" spans="1:14" ht="15.75">
      <c r="A112" s="27"/>
      <c r="B112" s="28" t="s">
        <v>77</v>
      </c>
      <c r="C112" s="28"/>
      <c r="D112" s="28"/>
      <c r="E112" s="28"/>
      <c r="F112" s="28"/>
      <c r="G112" s="28"/>
      <c r="H112" s="28"/>
      <c r="I112" s="28"/>
      <c r="J112" s="28"/>
      <c r="K112" s="28"/>
      <c r="L112" s="60">
        <v>4625</v>
      </c>
      <c r="M112" s="28"/>
      <c r="N112" s="131"/>
    </row>
    <row r="113" spans="1:14" ht="15.75">
      <c r="A113" s="27"/>
      <c r="B113" s="28" t="s">
        <v>78</v>
      </c>
      <c r="C113" s="28"/>
      <c r="D113" s="28"/>
      <c r="E113" s="28"/>
      <c r="F113" s="28"/>
      <c r="G113" s="28"/>
      <c r="H113" s="28"/>
      <c r="I113" s="28"/>
      <c r="J113" s="28"/>
      <c r="K113" s="28"/>
      <c r="L113" s="60">
        <v>0</v>
      </c>
      <c r="M113" s="28"/>
      <c r="N113" s="131"/>
    </row>
    <row r="114" spans="1:14" ht="15.75">
      <c r="A114" s="27"/>
      <c r="B114" s="28" t="s">
        <v>79</v>
      </c>
      <c r="C114" s="28"/>
      <c r="D114" s="28"/>
      <c r="E114" s="28"/>
      <c r="F114" s="28"/>
      <c r="G114" s="28"/>
      <c r="H114" s="28"/>
      <c r="I114" s="28"/>
      <c r="J114" s="28"/>
      <c r="K114" s="28"/>
      <c r="L114" s="60">
        <v>0</v>
      </c>
      <c r="M114" s="28"/>
      <c r="N114" s="131"/>
    </row>
    <row r="115" spans="1:14" ht="15.75">
      <c r="A115" s="27"/>
      <c r="B115" s="28" t="s">
        <v>80</v>
      </c>
      <c r="C115" s="28"/>
      <c r="D115" s="28"/>
      <c r="E115" s="28"/>
      <c r="F115" s="28"/>
      <c r="G115" s="28"/>
      <c r="H115" s="28"/>
      <c r="I115" s="28"/>
      <c r="J115" s="28"/>
      <c r="K115" s="28"/>
      <c r="L115" s="60">
        <v>0</v>
      </c>
      <c r="M115" s="28"/>
      <c r="N115" s="131"/>
    </row>
    <row r="116" spans="1:14" ht="15.75">
      <c r="A116" s="27"/>
      <c r="B116" s="28" t="s">
        <v>58</v>
      </c>
      <c r="C116" s="28"/>
      <c r="D116" s="28"/>
      <c r="E116" s="28"/>
      <c r="F116" s="28"/>
      <c r="G116" s="28"/>
      <c r="H116" s="28"/>
      <c r="I116" s="28"/>
      <c r="J116" s="28"/>
      <c r="K116" s="28"/>
      <c r="L116" s="60">
        <v>0</v>
      </c>
      <c r="M116" s="28"/>
      <c r="N116" s="131"/>
    </row>
    <row r="117" spans="1:14" ht="15.75">
      <c r="A117" s="27"/>
      <c r="B117" s="28" t="s">
        <v>59</v>
      </c>
      <c r="C117" s="28"/>
      <c r="D117" s="28"/>
      <c r="E117" s="28"/>
      <c r="F117" s="28"/>
      <c r="G117" s="28"/>
      <c r="H117" s="28"/>
      <c r="I117" s="28"/>
      <c r="J117" s="28"/>
      <c r="K117" s="28"/>
      <c r="L117" s="60">
        <v>0</v>
      </c>
      <c r="M117" s="28"/>
      <c r="N117" s="131"/>
    </row>
    <row r="118" spans="1:14" ht="15.75">
      <c r="A118" s="27"/>
      <c r="B118" s="28" t="s">
        <v>81</v>
      </c>
      <c r="C118" s="28"/>
      <c r="D118" s="28"/>
      <c r="E118" s="28"/>
      <c r="F118" s="28"/>
      <c r="G118" s="28"/>
      <c r="H118" s="28"/>
      <c r="I118" s="28"/>
      <c r="J118" s="28"/>
      <c r="K118" s="28"/>
      <c r="L118" s="60">
        <f>SUM(L112:L116)</f>
        <v>4625</v>
      </c>
      <c r="M118" s="28"/>
      <c r="N118" s="131"/>
    </row>
    <row r="119" spans="1:14" ht="15.75">
      <c r="A119" s="27"/>
      <c r="B119" s="28"/>
      <c r="C119" s="28"/>
      <c r="D119" s="28"/>
      <c r="E119" s="28"/>
      <c r="F119" s="28"/>
      <c r="G119" s="28"/>
      <c r="H119" s="28"/>
      <c r="I119" s="28"/>
      <c r="J119" s="28"/>
      <c r="K119" s="28"/>
      <c r="L119" s="68"/>
      <c r="M119" s="28"/>
      <c r="N119" s="131"/>
    </row>
    <row r="120" spans="1:14" ht="15.75">
      <c r="A120" s="8"/>
      <c r="B120" s="167" t="s">
        <v>82</v>
      </c>
      <c r="C120" s="10"/>
      <c r="D120" s="10"/>
      <c r="E120" s="10"/>
      <c r="F120" s="10"/>
      <c r="G120" s="10"/>
      <c r="H120" s="10"/>
      <c r="I120" s="10"/>
      <c r="J120" s="10"/>
      <c r="K120" s="10"/>
      <c r="L120" s="59"/>
      <c r="M120" s="10"/>
      <c r="N120" s="131"/>
    </row>
    <row r="121" spans="1:14" ht="15.75">
      <c r="A121" s="27"/>
      <c r="B121" s="28" t="s">
        <v>83</v>
      </c>
      <c r="C121" s="28"/>
      <c r="D121" s="69"/>
      <c r="E121" s="28"/>
      <c r="F121" s="28"/>
      <c r="G121" s="28"/>
      <c r="H121" s="28"/>
      <c r="I121" s="28"/>
      <c r="J121" s="28"/>
      <c r="K121" s="28"/>
      <c r="L121" s="70" t="s">
        <v>156</v>
      </c>
      <c r="M121" s="28"/>
      <c r="N121" s="131"/>
    </row>
    <row r="122" spans="1:14" ht="15.75">
      <c r="A122" s="27"/>
      <c r="B122" s="28" t="s">
        <v>84</v>
      </c>
      <c r="C122" s="30"/>
      <c r="D122" s="30"/>
      <c r="E122" s="30"/>
      <c r="F122" s="30"/>
      <c r="G122" s="30"/>
      <c r="H122" s="30"/>
      <c r="I122" s="30"/>
      <c r="J122" s="30"/>
      <c r="K122" s="30"/>
      <c r="L122" s="70" t="s">
        <v>156</v>
      </c>
      <c r="M122" s="28"/>
      <c r="N122" s="131"/>
    </row>
    <row r="123" spans="1:14" ht="15.75">
      <c r="A123" s="27"/>
      <c r="B123" s="28" t="s">
        <v>85</v>
      </c>
      <c r="C123" s="28"/>
      <c r="D123" s="28"/>
      <c r="E123" s="28"/>
      <c r="F123" s="28"/>
      <c r="G123" s="28"/>
      <c r="H123" s="28"/>
      <c r="I123" s="28"/>
      <c r="J123" s="28"/>
      <c r="K123" s="28"/>
      <c r="L123" s="70" t="s">
        <v>156</v>
      </c>
      <c r="M123" s="28"/>
      <c r="N123" s="131"/>
    </row>
    <row r="124" spans="1:14" ht="15.75">
      <c r="A124" s="27"/>
      <c r="B124" s="28" t="s">
        <v>86</v>
      </c>
      <c r="C124" s="28"/>
      <c r="D124" s="28"/>
      <c r="E124" s="28"/>
      <c r="F124" s="28"/>
      <c r="G124" s="28"/>
      <c r="H124" s="28"/>
      <c r="I124" s="28"/>
      <c r="J124" s="28"/>
      <c r="K124" s="28"/>
      <c r="L124" s="70" t="s">
        <v>156</v>
      </c>
      <c r="M124" s="28"/>
      <c r="N124" s="131"/>
    </row>
    <row r="125" spans="1:14" ht="15.75">
      <c r="A125" s="27"/>
      <c r="B125" s="28"/>
      <c r="C125" s="28"/>
      <c r="D125" s="28"/>
      <c r="E125" s="28"/>
      <c r="F125" s="28"/>
      <c r="G125" s="28"/>
      <c r="H125" s="28"/>
      <c r="I125" s="28"/>
      <c r="J125" s="28"/>
      <c r="K125" s="28"/>
      <c r="L125" s="68"/>
      <c r="M125" s="28"/>
      <c r="N125" s="131"/>
    </row>
    <row r="126" spans="1:14" ht="15.75">
      <c r="A126" s="8"/>
      <c r="B126" s="167" t="s">
        <v>87</v>
      </c>
      <c r="C126" s="16"/>
      <c r="D126" s="10"/>
      <c r="E126" s="10"/>
      <c r="F126" s="10"/>
      <c r="G126" s="10"/>
      <c r="H126" s="10"/>
      <c r="I126" s="10"/>
      <c r="J126" s="10"/>
      <c r="K126" s="10"/>
      <c r="L126" s="71"/>
      <c r="M126" s="10"/>
      <c r="N126" s="131"/>
    </row>
    <row r="127" spans="1:14" ht="15.75">
      <c r="A127" s="27"/>
      <c r="B127" s="28" t="s">
        <v>88</v>
      </c>
      <c r="C127" s="28"/>
      <c r="D127" s="28"/>
      <c r="E127" s="28"/>
      <c r="F127" s="28"/>
      <c r="G127" s="28"/>
      <c r="H127" s="28"/>
      <c r="I127" s="28"/>
      <c r="J127" s="28"/>
      <c r="K127" s="28"/>
      <c r="L127" s="60">
        <v>0</v>
      </c>
      <c r="M127" s="28"/>
      <c r="N127" s="131"/>
    </row>
    <row r="128" spans="1:14" ht="15.75">
      <c r="A128" s="27"/>
      <c r="B128" s="28" t="s">
        <v>89</v>
      </c>
      <c r="C128" s="28"/>
      <c r="D128" s="28"/>
      <c r="E128" s="28"/>
      <c r="F128" s="28"/>
      <c r="G128" s="28"/>
      <c r="H128" s="28"/>
      <c r="I128" s="28"/>
      <c r="J128" s="28"/>
      <c r="K128" s="28"/>
      <c r="L128" s="60">
        <v>0</v>
      </c>
      <c r="M128" s="28"/>
      <c r="N128" s="131"/>
    </row>
    <row r="129" spans="1:14" ht="15.75">
      <c r="A129" s="27"/>
      <c r="B129" s="28" t="s">
        <v>90</v>
      </c>
      <c r="C129" s="28"/>
      <c r="D129" s="28"/>
      <c r="E129" s="28"/>
      <c r="F129" s="28"/>
      <c r="G129" s="28"/>
      <c r="H129" s="28"/>
      <c r="I129" s="28"/>
      <c r="J129" s="28"/>
      <c r="K129" s="28"/>
      <c r="L129" s="60">
        <f>L128+L127</f>
        <v>0</v>
      </c>
      <c r="M129" s="28"/>
      <c r="N129" s="131"/>
    </row>
    <row r="130" spans="1:14" ht="15.75">
      <c r="A130" s="27"/>
      <c r="B130" s="28" t="s">
        <v>91</v>
      </c>
      <c r="C130" s="28"/>
      <c r="D130" s="28"/>
      <c r="E130" s="28"/>
      <c r="F130" s="28"/>
      <c r="G130" s="28"/>
      <c r="H130" s="72"/>
      <c r="I130" s="28"/>
      <c r="J130" s="28"/>
      <c r="K130" s="28"/>
      <c r="L130" s="60">
        <v>0</v>
      </c>
      <c r="M130" s="28"/>
      <c r="N130" s="131"/>
    </row>
    <row r="131" spans="1:14" ht="15.75">
      <c r="A131" s="27"/>
      <c r="B131" s="28" t="s">
        <v>92</v>
      </c>
      <c r="C131" s="28"/>
      <c r="D131" s="28"/>
      <c r="E131" s="28"/>
      <c r="F131" s="28"/>
      <c r="G131" s="28"/>
      <c r="H131" s="28"/>
      <c r="I131" s="28"/>
      <c r="J131" s="28"/>
      <c r="K131" s="28"/>
      <c r="L131" s="60">
        <f>L129+L130</f>
        <v>0</v>
      </c>
      <c r="M131" s="28"/>
      <c r="N131" s="131"/>
    </row>
    <row r="132" spans="1:14" ht="7.5" customHeight="1">
      <c r="A132" s="27"/>
      <c r="B132" s="28"/>
      <c r="C132" s="28"/>
      <c r="D132" s="28"/>
      <c r="E132" s="28"/>
      <c r="F132" s="28"/>
      <c r="G132" s="28"/>
      <c r="H132" s="28"/>
      <c r="I132" s="28"/>
      <c r="J132" s="28"/>
      <c r="K132" s="28"/>
      <c r="L132" s="68"/>
      <c r="M132" s="28"/>
      <c r="N132" s="131"/>
    </row>
    <row r="133" spans="1:14" ht="6" customHeight="1">
      <c r="A133" s="2"/>
      <c r="B133" s="5"/>
      <c r="C133" s="5"/>
      <c r="D133" s="5"/>
      <c r="E133" s="5"/>
      <c r="F133" s="5"/>
      <c r="G133" s="5"/>
      <c r="H133" s="5"/>
      <c r="I133" s="5"/>
      <c r="J133" s="5"/>
      <c r="K133" s="5"/>
      <c r="L133" s="57"/>
      <c r="M133" s="5"/>
      <c r="N133" s="131"/>
    </row>
    <row r="134" spans="1:14" ht="15.75">
      <c r="A134" s="8"/>
      <c r="B134" s="167" t="s">
        <v>93</v>
      </c>
      <c r="C134" s="16"/>
      <c r="D134" s="10"/>
      <c r="E134" s="10"/>
      <c r="F134" s="10"/>
      <c r="G134" s="10"/>
      <c r="H134" s="10"/>
      <c r="I134" s="10"/>
      <c r="J134" s="10"/>
      <c r="K134" s="10"/>
      <c r="L134" s="59"/>
      <c r="M134" s="10"/>
      <c r="N134" s="131"/>
    </row>
    <row r="135" spans="1:14" ht="15.75">
      <c r="A135" s="8"/>
      <c r="B135" s="23"/>
      <c r="C135" s="16"/>
      <c r="D135" s="10"/>
      <c r="E135" s="10"/>
      <c r="F135" s="10"/>
      <c r="G135" s="10"/>
      <c r="H135" s="10"/>
      <c r="I135" s="10"/>
      <c r="J135" s="10"/>
      <c r="K135" s="10"/>
      <c r="L135" s="59"/>
      <c r="M135" s="10"/>
      <c r="N135" s="131"/>
    </row>
    <row r="136" spans="1:14" ht="15.75">
      <c r="A136" s="27"/>
      <c r="B136" s="28" t="s">
        <v>94</v>
      </c>
      <c r="C136" s="73"/>
      <c r="D136" s="28"/>
      <c r="E136" s="28"/>
      <c r="F136" s="28"/>
      <c r="G136" s="28"/>
      <c r="H136" s="28"/>
      <c r="I136" s="28"/>
      <c r="J136" s="28"/>
      <c r="K136" s="28"/>
      <c r="L136" s="60">
        <f>L59</f>
        <v>153481</v>
      </c>
      <c r="M136" s="28"/>
      <c r="N136" s="131"/>
    </row>
    <row r="137" spans="1:14" ht="15.75">
      <c r="A137" s="27"/>
      <c r="B137" s="28" t="s">
        <v>95</v>
      </c>
      <c r="C137" s="73"/>
      <c r="D137" s="28"/>
      <c r="E137" s="28"/>
      <c r="F137" s="28"/>
      <c r="G137" s="28"/>
      <c r="H137" s="28"/>
      <c r="I137" s="28"/>
      <c r="J137" s="28"/>
      <c r="K137" s="28"/>
      <c r="L137" s="60">
        <f>L71</f>
        <v>153481</v>
      </c>
      <c r="M137" s="28"/>
      <c r="N137" s="131"/>
    </row>
    <row r="138" spans="1:14" ht="7.5" customHeight="1">
      <c r="A138" s="27"/>
      <c r="B138" s="28"/>
      <c r="C138" s="28"/>
      <c r="D138" s="28"/>
      <c r="E138" s="28"/>
      <c r="F138" s="28"/>
      <c r="G138" s="28"/>
      <c r="H138" s="28"/>
      <c r="I138" s="28"/>
      <c r="J138" s="28"/>
      <c r="K138" s="28"/>
      <c r="L138" s="68"/>
      <c r="M138" s="28"/>
      <c r="N138" s="131"/>
    </row>
    <row r="139" spans="1:14" ht="15.75">
      <c r="A139" s="2"/>
      <c r="B139" s="5"/>
      <c r="C139" s="5"/>
      <c r="D139" s="5"/>
      <c r="E139" s="5"/>
      <c r="F139" s="5"/>
      <c r="G139" s="5"/>
      <c r="H139" s="5"/>
      <c r="I139" s="5"/>
      <c r="J139" s="5"/>
      <c r="K139" s="5"/>
      <c r="L139" s="57"/>
      <c r="M139" s="5"/>
      <c r="N139" s="131"/>
    </row>
    <row r="140" spans="1:14" ht="15.75">
      <c r="A140" s="132"/>
      <c r="B140" s="167" t="s">
        <v>96</v>
      </c>
      <c r="C140" s="154"/>
      <c r="D140" s="154"/>
      <c r="E140" s="154"/>
      <c r="F140" s="154"/>
      <c r="G140" s="154"/>
      <c r="H140" s="168" t="s">
        <v>171</v>
      </c>
      <c r="I140" s="168"/>
      <c r="J140" s="168" t="s">
        <v>178</v>
      </c>
      <c r="K140" s="154"/>
      <c r="L140" s="169" t="s">
        <v>191</v>
      </c>
      <c r="M140" s="12"/>
      <c r="N140" s="131"/>
    </row>
    <row r="141" spans="1:14" ht="15.75">
      <c r="A141" s="27"/>
      <c r="B141" s="28" t="s">
        <v>97</v>
      </c>
      <c r="C141" s="28"/>
      <c r="D141" s="28"/>
      <c r="E141" s="28"/>
      <c r="F141" s="28"/>
      <c r="G141" s="28"/>
      <c r="H141" s="60">
        <v>20000</v>
      </c>
      <c r="I141" s="28"/>
      <c r="J141" s="47"/>
      <c r="K141" s="28"/>
      <c r="L141" s="60"/>
      <c r="M141" s="28"/>
      <c r="N141" s="131"/>
    </row>
    <row r="142" spans="1:14" ht="15.75">
      <c r="A142" s="27"/>
      <c r="B142" s="28" t="s">
        <v>98</v>
      </c>
      <c r="C142" s="28"/>
      <c r="D142" s="28"/>
      <c r="E142" s="28"/>
      <c r="F142" s="28"/>
      <c r="G142" s="28"/>
      <c r="H142" s="60">
        <v>12396</v>
      </c>
      <c r="I142" s="28"/>
      <c r="J142" s="28">
        <v>521</v>
      </c>
      <c r="K142" s="28"/>
      <c r="L142" s="60">
        <f>J142+H142</f>
        <v>12917</v>
      </c>
      <c r="M142" s="28"/>
      <c r="N142" s="131"/>
    </row>
    <row r="143" spans="1:14" ht="15.75">
      <c r="A143" s="27"/>
      <c r="B143" s="28" t="s">
        <v>99</v>
      </c>
      <c r="C143" s="28"/>
      <c r="D143" s="28"/>
      <c r="E143" s="28"/>
      <c r="F143" s="28"/>
      <c r="G143" s="28"/>
      <c r="H143" s="38">
        <f>1324+179</f>
        <v>1503</v>
      </c>
      <c r="I143" s="28"/>
      <c r="J143" s="28">
        <v>23</v>
      </c>
      <c r="K143" s="28"/>
      <c r="L143" s="60">
        <f>J143+H143</f>
        <v>1526</v>
      </c>
      <c r="M143" s="28"/>
      <c r="N143" s="131"/>
    </row>
    <row r="144" spans="1:14" ht="15.75">
      <c r="A144" s="27"/>
      <c r="B144" s="28" t="s">
        <v>100</v>
      </c>
      <c r="C144" s="28"/>
      <c r="D144" s="28"/>
      <c r="E144" s="28"/>
      <c r="F144" s="28"/>
      <c r="G144" s="28"/>
      <c r="H144" s="60">
        <f>H142+H143</f>
        <v>13899</v>
      </c>
      <c r="I144" s="28"/>
      <c r="J144" s="60">
        <f>J143+J142</f>
        <v>544</v>
      </c>
      <c r="K144" s="28"/>
      <c r="L144" s="60">
        <f>J144+H144</f>
        <v>14443</v>
      </c>
      <c r="M144" s="28"/>
      <c r="N144" s="131"/>
    </row>
    <row r="145" spans="1:14" ht="15.75">
      <c r="A145" s="27"/>
      <c r="B145" s="28" t="s">
        <v>101</v>
      </c>
      <c r="C145" s="28"/>
      <c r="D145" s="28"/>
      <c r="E145" s="28"/>
      <c r="F145" s="28"/>
      <c r="G145" s="28"/>
      <c r="H145" s="60">
        <f>H141-H144-J144</f>
        <v>5557</v>
      </c>
      <c r="I145" s="28"/>
      <c r="J145" s="47"/>
      <c r="K145" s="28"/>
      <c r="L145" s="60"/>
      <c r="M145" s="28"/>
      <c r="N145" s="131"/>
    </row>
    <row r="146" spans="1:14" ht="7.5" customHeight="1">
      <c r="A146" s="27"/>
      <c r="B146" s="28"/>
      <c r="C146" s="28"/>
      <c r="D146" s="28"/>
      <c r="E146" s="28"/>
      <c r="F146" s="28"/>
      <c r="G146" s="28"/>
      <c r="H146" s="28"/>
      <c r="I146" s="28"/>
      <c r="J146" s="28"/>
      <c r="K146" s="28"/>
      <c r="L146" s="68"/>
      <c r="M146" s="28"/>
      <c r="N146" s="131"/>
    </row>
    <row r="147" spans="1:14" ht="9" customHeight="1">
      <c r="A147" s="2"/>
      <c r="B147" s="5"/>
      <c r="C147" s="5"/>
      <c r="D147" s="5"/>
      <c r="E147" s="5"/>
      <c r="F147" s="5"/>
      <c r="G147" s="5"/>
      <c r="H147" s="5"/>
      <c r="I147" s="5"/>
      <c r="J147" s="5"/>
      <c r="K147" s="5"/>
      <c r="L147" s="57"/>
      <c r="M147" s="5"/>
      <c r="N147" s="131"/>
    </row>
    <row r="148" spans="1:14" ht="15.75">
      <c r="A148" s="8"/>
      <c r="B148" s="167" t="s">
        <v>102</v>
      </c>
      <c r="C148" s="16"/>
      <c r="D148" s="10"/>
      <c r="E148" s="10"/>
      <c r="F148" s="10"/>
      <c r="G148" s="10"/>
      <c r="H148" s="10"/>
      <c r="I148" s="10"/>
      <c r="J148" s="10"/>
      <c r="K148" s="10"/>
      <c r="L148" s="74"/>
      <c r="M148" s="10"/>
      <c r="N148" s="131"/>
    </row>
    <row r="149" spans="1:14" ht="15.75">
      <c r="A149" s="27"/>
      <c r="B149" s="28" t="s">
        <v>103</v>
      </c>
      <c r="C149" s="28"/>
      <c r="D149" s="28"/>
      <c r="E149" s="28"/>
      <c r="F149" s="28"/>
      <c r="G149" s="28"/>
      <c r="H149" s="28"/>
      <c r="I149" s="28"/>
      <c r="J149" s="28"/>
      <c r="K149" s="28"/>
      <c r="L149" s="67">
        <f>(L81+L83+L84+L85+L86)/-L87</f>
        <v>1.5091122868900646</v>
      </c>
      <c r="M149" s="28" t="s">
        <v>192</v>
      </c>
      <c r="N149" s="131"/>
    </row>
    <row r="150" spans="1:14" ht="15.75">
      <c r="A150" s="27"/>
      <c r="B150" s="28" t="s">
        <v>104</v>
      </c>
      <c r="C150" s="28"/>
      <c r="D150" s="28"/>
      <c r="E150" s="28"/>
      <c r="F150" s="28"/>
      <c r="G150" s="28"/>
      <c r="H150" s="28"/>
      <c r="I150" s="28"/>
      <c r="J150" s="28"/>
      <c r="K150" s="28"/>
      <c r="L150" s="67">
        <v>1.37</v>
      </c>
      <c r="M150" s="28" t="s">
        <v>192</v>
      </c>
      <c r="N150" s="131"/>
    </row>
    <row r="151" spans="1:14" ht="15.75">
      <c r="A151" s="27"/>
      <c r="B151" s="28" t="s">
        <v>105</v>
      </c>
      <c r="C151" s="28"/>
      <c r="D151" s="28"/>
      <c r="E151" s="28"/>
      <c r="F151" s="28"/>
      <c r="G151" s="28"/>
      <c r="H151" s="28"/>
      <c r="I151" s="28"/>
      <c r="J151" s="28"/>
      <c r="K151" s="28"/>
      <c r="L151" s="67">
        <f>(L81+SUM(L83:L87))/-L88</f>
        <v>3.831858407079646</v>
      </c>
      <c r="M151" s="28" t="s">
        <v>192</v>
      </c>
      <c r="N151" s="131"/>
    </row>
    <row r="152" spans="1:14" ht="15.75">
      <c r="A152" s="27"/>
      <c r="B152" s="28" t="s">
        <v>106</v>
      </c>
      <c r="C152" s="28"/>
      <c r="D152" s="28"/>
      <c r="E152" s="28"/>
      <c r="F152" s="28"/>
      <c r="G152" s="28"/>
      <c r="H152" s="28"/>
      <c r="I152" s="28"/>
      <c r="J152" s="28"/>
      <c r="K152" s="28"/>
      <c r="L152" s="75">
        <v>3.09</v>
      </c>
      <c r="M152" s="28" t="s">
        <v>192</v>
      </c>
      <c r="N152" s="131"/>
    </row>
    <row r="153" spans="1:14" ht="7.5" customHeight="1">
      <c r="A153" s="27"/>
      <c r="B153" s="28"/>
      <c r="C153" s="28"/>
      <c r="D153" s="28"/>
      <c r="E153" s="28"/>
      <c r="F153" s="28"/>
      <c r="G153" s="28"/>
      <c r="H153" s="28"/>
      <c r="I153" s="28"/>
      <c r="J153" s="28"/>
      <c r="K153" s="28"/>
      <c r="L153" s="28"/>
      <c r="M153" s="28"/>
      <c r="N153" s="131"/>
    </row>
    <row r="154" spans="1:14" ht="15.75">
      <c r="A154" s="8"/>
      <c r="B154" s="15"/>
      <c r="C154" s="15"/>
      <c r="D154" s="15"/>
      <c r="E154" s="15"/>
      <c r="F154" s="15"/>
      <c r="G154" s="15"/>
      <c r="H154" s="15"/>
      <c r="I154" s="15"/>
      <c r="J154" s="15"/>
      <c r="K154" s="15"/>
      <c r="L154" s="15"/>
      <c r="M154" s="15"/>
      <c r="N154" s="131"/>
    </row>
    <row r="155" spans="1:14" ht="19.5" thickBot="1">
      <c r="A155" s="138"/>
      <c r="B155" s="139" t="s">
        <v>209</v>
      </c>
      <c r="C155" s="144"/>
      <c r="D155" s="144"/>
      <c r="E155" s="144"/>
      <c r="F155" s="144"/>
      <c r="G155" s="144"/>
      <c r="H155" s="144"/>
      <c r="I155" s="144"/>
      <c r="J155" s="144"/>
      <c r="K155" s="144"/>
      <c r="L155" s="144"/>
      <c r="M155" s="145"/>
      <c r="N155" s="131"/>
    </row>
    <row r="156" spans="1:14" ht="15.75">
      <c r="A156" s="133"/>
      <c r="B156" s="77" t="s">
        <v>107</v>
      </c>
      <c r="C156" s="78"/>
      <c r="D156" s="78"/>
      <c r="E156" s="78"/>
      <c r="F156" s="78"/>
      <c r="G156" s="79"/>
      <c r="H156" s="79"/>
      <c r="I156" s="79"/>
      <c r="J156" s="79">
        <v>37256</v>
      </c>
      <c r="K156" s="80"/>
      <c r="L156" s="5"/>
      <c r="M156" s="5"/>
      <c r="N156" s="131"/>
    </row>
    <row r="157" spans="1:14" ht="15.75">
      <c r="A157" s="82"/>
      <c r="B157" s="83"/>
      <c r="C157" s="84"/>
      <c r="D157" s="84"/>
      <c r="E157" s="84"/>
      <c r="F157" s="84"/>
      <c r="G157" s="85"/>
      <c r="H157" s="85"/>
      <c r="I157" s="85"/>
      <c r="J157" s="85"/>
      <c r="K157" s="10"/>
      <c r="L157" s="10"/>
      <c r="M157" s="10"/>
      <c r="N157" s="131"/>
    </row>
    <row r="158" spans="1:14" ht="15.75">
      <c r="A158" s="86"/>
      <c r="B158" s="87" t="s">
        <v>108</v>
      </c>
      <c r="C158" s="88"/>
      <c r="D158" s="88"/>
      <c r="E158" s="88"/>
      <c r="F158" s="88"/>
      <c r="G158" s="72"/>
      <c r="H158" s="72"/>
      <c r="I158" s="72"/>
      <c r="J158" s="89">
        <v>0.0714</v>
      </c>
      <c r="K158" s="28"/>
      <c r="L158" s="28"/>
      <c r="M158" s="28"/>
      <c r="N158" s="131"/>
    </row>
    <row r="159" spans="1:14" ht="15.75">
      <c r="A159" s="86"/>
      <c r="B159" s="87" t="s">
        <v>109</v>
      </c>
      <c r="C159" s="88"/>
      <c r="D159" s="88"/>
      <c r="E159" s="88"/>
      <c r="F159" s="88"/>
      <c r="G159" s="72"/>
      <c r="H159" s="72"/>
      <c r="I159" s="72"/>
      <c r="J159" s="46">
        <v>0.0553</v>
      </c>
      <c r="K159" s="28"/>
      <c r="L159" s="28"/>
      <c r="M159" s="28"/>
      <c r="N159" s="131"/>
    </row>
    <row r="160" spans="1:14" ht="15.75">
      <c r="A160" s="86"/>
      <c r="B160" s="87" t="s">
        <v>110</v>
      </c>
      <c r="C160" s="88"/>
      <c r="D160" s="88"/>
      <c r="E160" s="88"/>
      <c r="F160" s="88"/>
      <c r="G160" s="72"/>
      <c r="H160" s="72"/>
      <c r="I160" s="72"/>
      <c r="J160" s="89">
        <f>J158-J159</f>
        <v>0.016100000000000003</v>
      </c>
      <c r="K160" s="28"/>
      <c r="L160" s="28"/>
      <c r="M160" s="28"/>
      <c r="N160" s="131"/>
    </row>
    <row r="161" spans="1:14" ht="15.75">
      <c r="A161" s="86"/>
      <c r="B161" s="87" t="s">
        <v>111</v>
      </c>
      <c r="C161" s="88"/>
      <c r="D161" s="88"/>
      <c r="E161" s="88"/>
      <c r="F161" s="88"/>
      <c r="G161" s="72"/>
      <c r="H161" s="72"/>
      <c r="I161" s="72"/>
      <c r="J161" s="89">
        <v>0.0657</v>
      </c>
      <c r="K161" s="28"/>
      <c r="L161" s="28"/>
      <c r="M161" s="28"/>
      <c r="N161" s="131"/>
    </row>
    <row r="162" spans="1:14" ht="15.75">
      <c r="A162" s="86"/>
      <c r="B162" s="87" t="s">
        <v>112</v>
      </c>
      <c r="C162" s="88"/>
      <c r="D162" s="88"/>
      <c r="E162" s="88"/>
      <c r="F162" s="88"/>
      <c r="G162" s="72"/>
      <c r="H162" s="72"/>
      <c r="I162" s="72"/>
      <c r="J162" s="89">
        <f>L33</f>
        <v>0.04810464643096181</v>
      </c>
      <c r="K162" s="28"/>
      <c r="L162" s="28"/>
      <c r="M162" s="28"/>
      <c r="N162" s="131"/>
    </row>
    <row r="163" spans="1:14" ht="15.75">
      <c r="A163" s="86"/>
      <c r="B163" s="87" t="s">
        <v>113</v>
      </c>
      <c r="C163" s="88"/>
      <c r="D163" s="88"/>
      <c r="E163" s="88"/>
      <c r="F163" s="88"/>
      <c r="G163" s="72"/>
      <c r="H163" s="72"/>
      <c r="I163" s="72"/>
      <c r="J163" s="89">
        <f>J161-J162</f>
        <v>0.017595353569038186</v>
      </c>
      <c r="K163" s="28"/>
      <c r="L163" s="28"/>
      <c r="M163" s="28"/>
      <c r="N163" s="131"/>
    </row>
    <row r="164" spans="1:14" ht="15.75">
      <c r="A164" s="86"/>
      <c r="B164" s="87" t="s">
        <v>114</v>
      </c>
      <c r="C164" s="88"/>
      <c r="D164" s="88"/>
      <c r="E164" s="88"/>
      <c r="F164" s="88"/>
      <c r="G164" s="72"/>
      <c r="H164" s="72"/>
      <c r="I164" s="72"/>
      <c r="J164" s="90" t="s">
        <v>179</v>
      </c>
      <c r="K164" s="28"/>
      <c r="L164" s="28"/>
      <c r="M164" s="28"/>
      <c r="N164" s="131"/>
    </row>
    <row r="165" spans="1:14" ht="15.75">
      <c r="A165" s="86"/>
      <c r="B165" s="87" t="s">
        <v>115</v>
      </c>
      <c r="C165" s="88"/>
      <c r="D165" s="88"/>
      <c r="E165" s="88"/>
      <c r="F165" s="88"/>
      <c r="G165" s="72"/>
      <c r="H165" s="72"/>
      <c r="I165" s="72"/>
      <c r="J165" s="90" t="s">
        <v>180</v>
      </c>
      <c r="K165" s="28"/>
      <c r="L165" s="28"/>
      <c r="M165" s="28"/>
      <c r="N165" s="131"/>
    </row>
    <row r="166" spans="1:14" ht="15.75">
      <c r="A166" s="86"/>
      <c r="B166" s="87" t="s">
        <v>116</v>
      </c>
      <c r="C166" s="88"/>
      <c r="D166" s="88"/>
      <c r="E166" s="88"/>
      <c r="F166" s="88"/>
      <c r="G166" s="72"/>
      <c r="H166" s="72"/>
      <c r="I166" s="72"/>
      <c r="J166" s="91">
        <v>18.53</v>
      </c>
      <c r="K166" s="28" t="s">
        <v>184</v>
      </c>
      <c r="L166" s="28"/>
      <c r="M166" s="28"/>
      <c r="N166" s="131"/>
    </row>
    <row r="167" spans="1:14" ht="15.75">
      <c r="A167" s="86"/>
      <c r="B167" s="87" t="s">
        <v>117</v>
      </c>
      <c r="C167" s="88"/>
      <c r="D167" s="88"/>
      <c r="E167" s="88"/>
      <c r="F167" s="88"/>
      <c r="G167" s="72"/>
      <c r="H167" s="72"/>
      <c r="I167" s="72"/>
      <c r="J167" s="91">
        <v>16.38</v>
      </c>
      <c r="K167" s="28" t="s">
        <v>184</v>
      </c>
      <c r="L167" s="28"/>
      <c r="M167" s="28"/>
      <c r="N167" s="131"/>
    </row>
    <row r="168" spans="1:14" ht="15.75">
      <c r="A168" s="86"/>
      <c r="B168" s="87" t="s">
        <v>118</v>
      </c>
      <c r="C168" s="88"/>
      <c r="D168" s="88"/>
      <c r="E168" s="88"/>
      <c r="F168" s="88"/>
      <c r="G168" s="72"/>
      <c r="H168" s="72"/>
      <c r="I168" s="72"/>
      <c r="J168" s="89">
        <f>F56/'Sept 01'!L56</f>
        <v>0.0438391160443488</v>
      </c>
      <c r="K168" s="28"/>
      <c r="L168" s="28"/>
      <c r="M168" s="28"/>
      <c r="N168" s="131"/>
    </row>
    <row r="169" spans="1:14" ht="15.75">
      <c r="A169" s="86"/>
      <c r="B169" s="87" t="s">
        <v>119</v>
      </c>
      <c r="C169" s="88"/>
      <c r="D169" s="88"/>
      <c r="E169" s="88"/>
      <c r="F169" s="88"/>
      <c r="G169" s="72"/>
      <c r="H169" s="72"/>
      <c r="I169" s="72"/>
      <c r="J169" s="89">
        <v>0.1035</v>
      </c>
      <c r="K169" s="28"/>
      <c r="L169" s="28"/>
      <c r="M169" s="28"/>
      <c r="N169" s="131"/>
    </row>
    <row r="170" spans="1:14" ht="15.75">
      <c r="A170" s="86"/>
      <c r="B170" s="87"/>
      <c r="C170" s="87"/>
      <c r="D170" s="87"/>
      <c r="E170" s="87"/>
      <c r="F170" s="87"/>
      <c r="G170" s="28"/>
      <c r="H170" s="28"/>
      <c r="I170" s="28"/>
      <c r="J170" s="68"/>
      <c r="K170" s="28"/>
      <c r="L170" s="92"/>
      <c r="M170" s="28"/>
      <c r="N170" s="131"/>
    </row>
    <row r="171" spans="1:14" ht="15.75">
      <c r="A171" s="93"/>
      <c r="B171" s="17" t="s">
        <v>120</v>
      </c>
      <c r="C171" s="20"/>
      <c r="D171" s="94"/>
      <c r="E171" s="20"/>
      <c r="F171" s="94"/>
      <c r="G171" s="20"/>
      <c r="H171" s="94"/>
      <c r="I171" s="20" t="s">
        <v>172</v>
      </c>
      <c r="J171" s="94" t="s">
        <v>181</v>
      </c>
      <c r="K171" s="18"/>
      <c r="L171" s="18"/>
      <c r="M171" s="10"/>
      <c r="N171" s="131"/>
    </row>
    <row r="172" spans="1:14" ht="15.75">
      <c r="A172" s="95"/>
      <c r="B172" s="87" t="s">
        <v>121</v>
      </c>
      <c r="C172" s="61"/>
      <c r="D172" s="61"/>
      <c r="E172" s="61"/>
      <c r="F172" s="28"/>
      <c r="G172" s="28"/>
      <c r="H172" s="28"/>
      <c r="I172" s="31">
        <v>30</v>
      </c>
      <c r="J172" s="96">
        <v>1101</v>
      </c>
      <c r="K172" s="28"/>
      <c r="L172" s="92"/>
      <c r="M172" s="97"/>
      <c r="N172" s="131"/>
    </row>
    <row r="173" spans="1:14" ht="15.75">
      <c r="A173" s="95"/>
      <c r="B173" s="87" t="s">
        <v>122</v>
      </c>
      <c r="C173" s="61"/>
      <c r="D173" s="61"/>
      <c r="E173" s="61"/>
      <c r="F173" s="28"/>
      <c r="G173" s="28"/>
      <c r="H173" s="28"/>
      <c r="I173" s="31">
        <v>0</v>
      </c>
      <c r="J173" s="96">
        <v>0</v>
      </c>
      <c r="K173" s="28"/>
      <c r="L173" s="92"/>
      <c r="M173" s="97"/>
      <c r="N173" s="131"/>
    </row>
    <row r="174" spans="1:14" ht="15.75">
      <c r="A174" s="95"/>
      <c r="B174" s="170" t="s">
        <v>123</v>
      </c>
      <c r="C174" s="61"/>
      <c r="D174" s="61"/>
      <c r="E174" s="61"/>
      <c r="F174" s="28"/>
      <c r="G174" s="28"/>
      <c r="H174" s="28"/>
      <c r="I174" s="28"/>
      <c r="J174" s="96">
        <v>0</v>
      </c>
      <c r="K174" s="28"/>
      <c r="L174" s="92"/>
      <c r="M174" s="97"/>
      <c r="N174" s="131"/>
    </row>
    <row r="175" spans="1:14" ht="15.75">
      <c r="A175" s="95"/>
      <c r="B175" s="170" t="s">
        <v>124</v>
      </c>
      <c r="C175" s="61"/>
      <c r="D175" s="61"/>
      <c r="E175" s="61"/>
      <c r="F175" s="28"/>
      <c r="G175" s="28"/>
      <c r="H175" s="28"/>
      <c r="I175" s="28"/>
      <c r="J175" s="96">
        <v>22352</v>
      </c>
      <c r="K175" s="28"/>
      <c r="L175" s="92"/>
      <c r="M175" s="97"/>
      <c r="N175" s="131"/>
    </row>
    <row r="176" spans="1:14" ht="15.75">
      <c r="A176" s="98"/>
      <c r="B176" s="170" t="s">
        <v>125</v>
      </c>
      <c r="C176" s="61"/>
      <c r="D176" s="87"/>
      <c r="E176" s="87"/>
      <c r="F176" s="87"/>
      <c r="G176" s="28"/>
      <c r="H176" s="28"/>
      <c r="I176" s="28"/>
      <c r="J176" s="96">
        <v>0</v>
      </c>
      <c r="K176" s="28"/>
      <c r="L176" s="92"/>
      <c r="M176" s="99"/>
      <c r="N176" s="131"/>
    </row>
    <row r="177" spans="1:14" ht="15.75">
      <c r="A177" s="95"/>
      <c r="B177" s="87" t="s">
        <v>126</v>
      </c>
      <c r="C177" s="61"/>
      <c r="D177" s="61"/>
      <c r="E177" s="61"/>
      <c r="F177" s="61"/>
      <c r="G177" s="28"/>
      <c r="H177" s="28"/>
      <c r="I177" s="28"/>
      <c r="J177" s="96">
        <v>0</v>
      </c>
      <c r="K177" s="28"/>
      <c r="L177" s="92"/>
      <c r="M177" s="99"/>
      <c r="N177" s="131"/>
    </row>
    <row r="178" spans="1:14" ht="15.75">
      <c r="A178" s="95"/>
      <c r="B178" s="87" t="s">
        <v>127</v>
      </c>
      <c r="C178" s="61"/>
      <c r="D178" s="61"/>
      <c r="E178" s="61"/>
      <c r="F178" s="61"/>
      <c r="G178" s="28"/>
      <c r="H178" s="28"/>
      <c r="I178" s="28"/>
      <c r="J178" s="96">
        <v>0</v>
      </c>
      <c r="K178" s="28"/>
      <c r="L178" s="92"/>
      <c r="M178" s="99"/>
      <c r="N178" s="131"/>
    </row>
    <row r="179" spans="1:14" ht="15.75">
      <c r="A179" s="95"/>
      <c r="B179" s="87" t="s">
        <v>204</v>
      </c>
      <c r="C179" s="61"/>
      <c r="D179" s="61"/>
      <c r="E179" s="61"/>
      <c r="F179" s="61"/>
      <c r="G179" s="28"/>
      <c r="H179" s="28"/>
      <c r="I179" s="28"/>
      <c r="J179" s="96">
        <v>0</v>
      </c>
      <c r="K179" s="28"/>
      <c r="L179" s="92"/>
      <c r="M179" s="99"/>
      <c r="N179" s="131"/>
    </row>
    <row r="180" spans="1:14" ht="15.75">
      <c r="A180" s="98"/>
      <c r="B180" s="170" t="s">
        <v>128</v>
      </c>
      <c r="C180" s="61"/>
      <c r="D180" s="87"/>
      <c r="E180" s="87"/>
      <c r="F180" s="87"/>
      <c r="G180" s="28"/>
      <c r="H180" s="28"/>
      <c r="I180" s="28"/>
      <c r="J180" s="96"/>
      <c r="K180" s="28"/>
      <c r="L180" s="92"/>
      <c r="M180" s="99"/>
      <c r="N180" s="131"/>
    </row>
    <row r="181" spans="1:14" ht="15.75">
      <c r="A181" s="98"/>
      <c r="B181" s="87" t="s">
        <v>129</v>
      </c>
      <c r="C181" s="61"/>
      <c r="D181" s="87"/>
      <c r="E181" s="87"/>
      <c r="F181" s="87"/>
      <c r="G181" s="28"/>
      <c r="H181" s="28"/>
      <c r="I181" s="28"/>
      <c r="J181" s="96">
        <v>0</v>
      </c>
      <c r="K181" s="28"/>
      <c r="L181" s="92"/>
      <c r="M181" s="99"/>
      <c r="N181" s="131"/>
    </row>
    <row r="182" spans="1:14" ht="15.75">
      <c r="A182" s="95"/>
      <c r="B182" s="87" t="s">
        <v>130</v>
      </c>
      <c r="C182" s="61"/>
      <c r="D182" s="100"/>
      <c r="E182" s="100"/>
      <c r="F182" s="101"/>
      <c r="G182" s="28"/>
      <c r="H182" s="28"/>
      <c r="I182" s="28"/>
      <c r="J182" s="96">
        <v>0</v>
      </c>
      <c r="K182" s="28"/>
      <c r="L182" s="92"/>
      <c r="M182" s="99"/>
      <c r="N182" s="131"/>
    </row>
    <row r="183" spans="1:14" ht="15.75">
      <c r="A183" s="95"/>
      <c r="B183" s="87" t="s">
        <v>131</v>
      </c>
      <c r="C183" s="61"/>
      <c r="D183" s="100"/>
      <c r="E183" s="100"/>
      <c r="F183" s="101"/>
      <c r="G183" s="28"/>
      <c r="H183" s="28"/>
      <c r="I183" s="28"/>
      <c r="J183" s="96">
        <v>0</v>
      </c>
      <c r="K183" s="28"/>
      <c r="L183" s="92"/>
      <c r="M183" s="99"/>
      <c r="N183" s="131"/>
    </row>
    <row r="184" spans="1:14" ht="15.75">
      <c r="A184" s="95"/>
      <c r="B184" s="87" t="s">
        <v>132</v>
      </c>
      <c r="C184" s="61"/>
      <c r="D184" s="102"/>
      <c r="E184" s="100"/>
      <c r="F184" s="101"/>
      <c r="G184" s="28"/>
      <c r="H184" s="28"/>
      <c r="I184" s="28"/>
      <c r="J184" s="103">
        <v>0</v>
      </c>
      <c r="K184" s="28"/>
      <c r="L184" s="92"/>
      <c r="M184" s="99"/>
      <c r="N184" s="131"/>
    </row>
    <row r="185" spans="1:14" ht="15.75">
      <c r="A185" s="95"/>
      <c r="B185" s="87"/>
      <c r="C185" s="61"/>
      <c r="D185" s="102"/>
      <c r="E185" s="100"/>
      <c r="F185" s="101"/>
      <c r="G185" s="28"/>
      <c r="H185" s="28"/>
      <c r="I185" s="28"/>
      <c r="J185" s="103"/>
      <c r="K185" s="28"/>
      <c r="L185" s="92"/>
      <c r="M185" s="99"/>
      <c r="N185" s="131"/>
    </row>
    <row r="186" spans="1:14" ht="15.75">
      <c r="A186" s="8"/>
      <c r="B186" s="17" t="s">
        <v>133</v>
      </c>
      <c r="C186" s="20"/>
      <c r="D186" s="94"/>
      <c r="E186" s="20"/>
      <c r="F186" s="94"/>
      <c r="G186" s="20"/>
      <c r="H186" s="94" t="s">
        <v>172</v>
      </c>
      <c r="I186" s="20" t="s">
        <v>173</v>
      </c>
      <c r="J186" s="94" t="s">
        <v>182</v>
      </c>
      <c r="K186" s="20" t="s">
        <v>173</v>
      </c>
      <c r="L186" s="18"/>
      <c r="M186" s="104"/>
      <c r="N186" s="131"/>
    </row>
    <row r="187" spans="1:14" ht="15.75">
      <c r="A187" s="27"/>
      <c r="B187" s="61" t="s">
        <v>134</v>
      </c>
      <c r="C187" s="105"/>
      <c r="D187" s="61"/>
      <c r="E187" s="105"/>
      <c r="F187" s="28"/>
      <c r="G187" s="105"/>
      <c r="H187" s="61">
        <v>2943</v>
      </c>
      <c r="I187" s="105">
        <f>H187/H193</f>
        <v>0.9671376930660532</v>
      </c>
      <c r="J187" s="60">
        <v>149178</v>
      </c>
      <c r="K187" s="106">
        <f>J187/J193</f>
        <v>0.9719702892885066</v>
      </c>
      <c r="L187" s="92"/>
      <c r="M187" s="99"/>
      <c r="N187" s="131"/>
    </row>
    <row r="188" spans="1:14" ht="15.75">
      <c r="A188" s="27"/>
      <c r="B188" s="61" t="s">
        <v>135</v>
      </c>
      <c r="C188" s="105"/>
      <c r="D188" s="61"/>
      <c r="E188" s="105"/>
      <c r="F188" s="28"/>
      <c r="G188" s="107"/>
      <c r="H188" s="61">
        <v>23</v>
      </c>
      <c r="I188" s="105">
        <f>H188/$H193</f>
        <v>0.007558330594807755</v>
      </c>
      <c r="J188" s="60">
        <v>1015</v>
      </c>
      <c r="K188" s="106">
        <f>J188/J193</f>
        <v>0.0066132395100338805</v>
      </c>
      <c r="L188" s="92"/>
      <c r="M188" s="99"/>
      <c r="N188" s="131"/>
    </row>
    <row r="189" spans="1:14" ht="15.75">
      <c r="A189" s="27"/>
      <c r="B189" s="61" t="s">
        <v>136</v>
      </c>
      <c r="C189" s="105"/>
      <c r="D189" s="61"/>
      <c r="E189" s="105"/>
      <c r="F189" s="28"/>
      <c r="G189" s="107"/>
      <c r="H189" s="61">
        <v>27</v>
      </c>
      <c r="I189" s="105">
        <f>H189/H193</f>
        <v>0.008872822872165627</v>
      </c>
      <c r="J189" s="60">
        <v>1040</v>
      </c>
      <c r="K189" s="106">
        <f>J189/J193</f>
        <v>0.006776127182694814</v>
      </c>
      <c r="L189" s="92"/>
      <c r="M189" s="99"/>
      <c r="N189" s="131"/>
    </row>
    <row r="190" spans="1:14" ht="15.75">
      <c r="A190" s="27"/>
      <c r="B190" s="61" t="s">
        <v>137</v>
      </c>
      <c r="C190" s="105"/>
      <c r="D190" s="61"/>
      <c r="E190" s="105"/>
      <c r="F190" s="28"/>
      <c r="G190" s="107"/>
      <c r="H190" s="61">
        <f>6+12+19+13</f>
        <v>50</v>
      </c>
      <c r="I190" s="105">
        <f>H190/H193</f>
        <v>0.01643115346697338</v>
      </c>
      <c r="J190" s="60">
        <f>288+287+825+847</f>
        <v>2247</v>
      </c>
      <c r="K190" s="106">
        <f>J190/J193</f>
        <v>0.01464034401876466</v>
      </c>
      <c r="L190" s="92"/>
      <c r="M190" s="99"/>
      <c r="N190" s="131"/>
    </row>
    <row r="191" spans="1:14" ht="15.75">
      <c r="A191" s="27"/>
      <c r="B191" s="30"/>
      <c r="C191" s="105"/>
      <c r="D191" s="61"/>
      <c r="E191" s="105"/>
      <c r="F191" s="28"/>
      <c r="G191" s="107"/>
      <c r="H191" s="61"/>
      <c r="I191" s="105"/>
      <c r="J191" s="60"/>
      <c r="K191" s="106"/>
      <c r="L191" s="92"/>
      <c r="M191" s="99"/>
      <c r="N191" s="131"/>
    </row>
    <row r="192" spans="1:14" ht="15.75">
      <c r="A192" s="27"/>
      <c r="B192" s="61"/>
      <c r="C192" s="108"/>
      <c r="D192" s="97"/>
      <c r="E192" s="108"/>
      <c r="F192" s="28"/>
      <c r="G192" s="108"/>
      <c r="H192" s="97"/>
      <c r="I192" s="108"/>
      <c r="J192" s="60"/>
      <c r="K192" s="106"/>
      <c r="L192" s="92"/>
      <c r="M192" s="99"/>
      <c r="N192" s="131"/>
    </row>
    <row r="193" spans="1:14" ht="15.75">
      <c r="A193" s="27"/>
      <c r="B193" s="28"/>
      <c r="C193" s="28"/>
      <c r="D193" s="28"/>
      <c r="E193" s="28"/>
      <c r="F193" s="28"/>
      <c r="G193" s="28"/>
      <c r="H193" s="38">
        <f>SUM(H187:H191)</f>
        <v>3043</v>
      </c>
      <c r="I193" s="109">
        <f>SUM(I187:I192)</f>
        <v>1</v>
      </c>
      <c r="J193" s="60">
        <f>SUM(J187:J192)</f>
        <v>153480</v>
      </c>
      <c r="K193" s="127">
        <f>SUM(K187:K192)</f>
        <v>1</v>
      </c>
      <c r="L193" s="28"/>
      <c r="M193" s="28"/>
      <c r="N193" s="131"/>
    </row>
    <row r="194" spans="1:14" ht="15.75">
      <c r="A194" s="27"/>
      <c r="B194" s="28"/>
      <c r="C194" s="28"/>
      <c r="D194" s="28"/>
      <c r="E194" s="28"/>
      <c r="F194" s="28"/>
      <c r="G194" s="28"/>
      <c r="H194" s="38"/>
      <c r="I194" s="109"/>
      <c r="J194" s="60"/>
      <c r="K194" s="127"/>
      <c r="L194" s="28"/>
      <c r="M194" s="28"/>
      <c r="N194" s="131"/>
    </row>
    <row r="195" spans="1:14" ht="15.75">
      <c r="A195" s="27"/>
      <c r="B195" s="28"/>
      <c r="C195" s="28"/>
      <c r="D195" s="28"/>
      <c r="E195" s="28"/>
      <c r="F195" s="28"/>
      <c r="G195" s="28"/>
      <c r="H195" s="38"/>
      <c r="I195" s="109"/>
      <c r="J195" s="60"/>
      <c r="K195" s="127"/>
      <c r="L195" s="28"/>
      <c r="M195" s="28"/>
      <c r="N195" s="131"/>
    </row>
    <row r="196" spans="1:14" ht="15.75">
      <c r="A196" s="114"/>
      <c r="B196" s="17" t="s">
        <v>139</v>
      </c>
      <c r="C196" s="115"/>
      <c r="D196" s="20" t="s">
        <v>148</v>
      </c>
      <c r="E196" s="18"/>
      <c r="F196" s="17" t="s">
        <v>161</v>
      </c>
      <c r="G196" s="116"/>
      <c r="H196" s="116"/>
      <c r="I196" s="15"/>
      <c r="J196" s="15"/>
      <c r="K196" s="15"/>
      <c r="L196" s="15"/>
      <c r="M196" s="15"/>
      <c r="N196" s="131"/>
    </row>
    <row r="197" spans="1:14" ht="15.75">
      <c r="A197" s="114"/>
      <c r="B197" s="15"/>
      <c r="C197" s="15"/>
      <c r="D197" s="10"/>
      <c r="E197" s="10"/>
      <c r="F197" s="10"/>
      <c r="G197" s="15"/>
      <c r="H197" s="15"/>
      <c r="I197" s="15"/>
      <c r="J197" s="15"/>
      <c r="K197" s="15"/>
      <c r="L197" s="15"/>
      <c r="M197" s="15"/>
      <c r="N197" s="131"/>
    </row>
    <row r="198" spans="1:14" ht="15.75">
      <c r="A198" s="114"/>
      <c r="B198" s="16" t="s">
        <v>140</v>
      </c>
      <c r="C198" s="117"/>
      <c r="D198" s="118" t="s">
        <v>149</v>
      </c>
      <c r="E198" s="16"/>
      <c r="F198" s="16" t="s">
        <v>162</v>
      </c>
      <c r="G198" s="117"/>
      <c r="H198" s="117"/>
      <c r="I198" s="15"/>
      <c r="J198" s="15"/>
      <c r="K198" s="15"/>
      <c r="L198" s="15"/>
      <c r="M198" s="15"/>
      <c r="N198" s="131"/>
    </row>
    <row r="199" spans="1:14" ht="15.75">
      <c r="A199" s="114"/>
      <c r="B199" s="16" t="s">
        <v>141</v>
      </c>
      <c r="C199" s="117"/>
      <c r="D199" s="118" t="s">
        <v>150</v>
      </c>
      <c r="E199" s="16"/>
      <c r="F199" s="16" t="s">
        <v>163</v>
      </c>
      <c r="G199" s="117"/>
      <c r="H199" s="117"/>
      <c r="I199" s="15"/>
      <c r="J199" s="15"/>
      <c r="K199" s="15"/>
      <c r="L199" s="15"/>
      <c r="M199" s="15"/>
      <c r="N199" s="131"/>
    </row>
    <row r="200" spans="1:14" ht="15.75">
      <c r="A200" s="114"/>
      <c r="B200" s="16"/>
      <c r="C200" s="117"/>
      <c r="D200" s="118"/>
      <c r="E200" s="16"/>
      <c r="F200" s="16"/>
      <c r="G200" s="117"/>
      <c r="H200" s="117"/>
      <c r="I200" s="15"/>
      <c r="J200" s="15"/>
      <c r="K200" s="15"/>
      <c r="L200" s="15"/>
      <c r="M200" s="15"/>
      <c r="N200" s="131"/>
    </row>
    <row r="201" spans="1:14" ht="15.75">
      <c r="A201" s="114"/>
      <c r="B201" s="16"/>
      <c r="C201" s="117"/>
      <c r="D201" s="118"/>
      <c r="E201" s="16"/>
      <c r="F201" s="16"/>
      <c r="G201" s="117"/>
      <c r="H201" s="117"/>
      <c r="I201" s="15"/>
      <c r="J201" s="15"/>
      <c r="K201" s="15"/>
      <c r="L201" s="15"/>
      <c r="M201" s="15"/>
      <c r="N201" s="131"/>
    </row>
    <row r="202" spans="1:14" ht="18.75">
      <c r="A202" s="114"/>
      <c r="B202" s="55" t="s">
        <v>209</v>
      </c>
      <c r="C202" s="117"/>
      <c r="D202" s="118"/>
      <c r="E202" s="16"/>
      <c r="F202" s="16"/>
      <c r="G202" s="117"/>
      <c r="H202" s="117"/>
      <c r="I202" s="15"/>
      <c r="J202" s="15"/>
      <c r="K202" s="15"/>
      <c r="L202" s="15"/>
      <c r="M202" s="15"/>
      <c r="N202" s="131"/>
    </row>
    <row r="203" spans="1:13" ht="15">
      <c r="A203" s="130"/>
      <c r="B203" s="130"/>
      <c r="C203" s="130"/>
      <c r="D203" s="130"/>
      <c r="E203" s="130"/>
      <c r="F203" s="130"/>
      <c r="G203" s="130"/>
      <c r="H203" s="130"/>
      <c r="I203" s="130"/>
      <c r="J203" s="130"/>
      <c r="K203" s="130"/>
      <c r="L203" s="130"/>
      <c r="M203" s="130"/>
    </row>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5" manualBreakCount="5">
    <brk id="51" min="105" max="155" man="1"/>
    <brk id="51" max="13" man="1"/>
    <brk id="105" max="13" man="1"/>
    <brk id="155" max="13" man="1"/>
    <brk id="203" max="0" man="1"/>
  </rowBreaks>
  <drawing r:id="rId1"/>
</worksheet>
</file>

<file path=xl/worksheets/sheet11.xml><?xml version="1.0" encoding="utf-8"?>
<worksheet xmlns="http://schemas.openxmlformats.org/spreadsheetml/2006/main" xmlns:r="http://schemas.openxmlformats.org/officeDocument/2006/relationships">
  <dimension ref="A1:N204"/>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31.10546875" style="1" customWidth="1"/>
    <col min="14" max="16384" width="9.6640625" style="1" customWidth="1"/>
  </cols>
  <sheetData>
    <row r="1" spans="1:14" ht="20.25">
      <c r="A1" s="2"/>
      <c r="B1" s="3" t="s">
        <v>0</v>
      </c>
      <c r="C1" s="4"/>
      <c r="D1" s="5"/>
      <c r="E1" s="5"/>
      <c r="F1" s="5"/>
      <c r="G1" s="5"/>
      <c r="H1" s="5"/>
      <c r="I1" s="5"/>
      <c r="J1" s="5"/>
      <c r="K1" s="5"/>
      <c r="L1" s="5"/>
      <c r="M1" s="5"/>
      <c r="N1" s="131"/>
    </row>
    <row r="2" spans="1:14" ht="15.75">
      <c r="A2" s="8"/>
      <c r="B2" s="9"/>
      <c r="C2" s="9"/>
      <c r="D2" s="10"/>
      <c r="E2" s="10"/>
      <c r="F2" s="10"/>
      <c r="G2" s="10"/>
      <c r="H2" s="10"/>
      <c r="I2" s="10"/>
      <c r="J2" s="10"/>
      <c r="K2" s="10"/>
      <c r="L2" s="10"/>
      <c r="M2" s="10"/>
      <c r="N2" s="131"/>
    </row>
    <row r="3" spans="1:14" ht="15.75">
      <c r="A3" s="11"/>
      <c r="B3" s="154" t="s">
        <v>1</v>
      </c>
      <c r="C3" s="10"/>
      <c r="D3" s="10"/>
      <c r="E3" s="10"/>
      <c r="F3" s="10"/>
      <c r="G3" s="10"/>
      <c r="H3" s="10"/>
      <c r="I3" s="10"/>
      <c r="J3" s="10"/>
      <c r="K3" s="10"/>
      <c r="L3" s="10"/>
      <c r="M3" s="10"/>
      <c r="N3" s="131"/>
    </row>
    <row r="4" spans="1:14" ht="15.75">
      <c r="A4" s="8"/>
      <c r="B4" s="9"/>
      <c r="C4" s="9"/>
      <c r="D4" s="10"/>
      <c r="E4" s="10"/>
      <c r="F4" s="10"/>
      <c r="G4" s="10"/>
      <c r="H4" s="10"/>
      <c r="I4" s="10"/>
      <c r="J4" s="10"/>
      <c r="K4" s="10"/>
      <c r="L4" s="10"/>
      <c r="M4" s="10"/>
      <c r="N4" s="131"/>
    </row>
    <row r="5" spans="1:14" ht="12" customHeight="1">
      <c r="A5" s="8"/>
      <c r="B5" s="13" t="s">
        <v>2</v>
      </c>
      <c r="C5" s="14"/>
      <c r="D5" s="10"/>
      <c r="E5" s="10"/>
      <c r="F5" s="10"/>
      <c r="G5" s="10"/>
      <c r="H5" s="10"/>
      <c r="I5" s="10"/>
      <c r="J5" s="10"/>
      <c r="K5" s="10"/>
      <c r="L5" s="10"/>
      <c r="M5" s="10"/>
      <c r="N5" s="131"/>
    </row>
    <row r="6" spans="1:14" ht="12" customHeight="1">
      <c r="A6" s="8"/>
      <c r="B6" s="13" t="s">
        <v>3</v>
      </c>
      <c r="C6" s="14"/>
      <c r="D6" s="10"/>
      <c r="E6" s="10"/>
      <c r="F6" s="10"/>
      <c r="G6" s="10"/>
      <c r="H6" s="10"/>
      <c r="I6" s="10"/>
      <c r="J6" s="10"/>
      <c r="K6" s="10"/>
      <c r="L6" s="10"/>
      <c r="M6" s="10"/>
      <c r="N6" s="131"/>
    </row>
    <row r="7" spans="1:14" ht="12" customHeight="1">
      <c r="A7" s="8"/>
      <c r="B7" s="13" t="s">
        <v>4</v>
      </c>
      <c r="C7" s="14"/>
      <c r="D7" s="10"/>
      <c r="E7" s="10"/>
      <c r="F7" s="10"/>
      <c r="G7" s="10"/>
      <c r="H7" s="10"/>
      <c r="I7" s="10"/>
      <c r="J7" s="10"/>
      <c r="K7" s="10"/>
      <c r="L7" s="10"/>
      <c r="M7" s="10"/>
      <c r="N7" s="131"/>
    </row>
    <row r="8" spans="1:14" ht="12" customHeight="1">
      <c r="A8" s="8"/>
      <c r="B8" s="13" t="s">
        <v>5</v>
      </c>
      <c r="C8" s="14"/>
      <c r="D8" s="10"/>
      <c r="E8" s="10"/>
      <c r="F8" s="10"/>
      <c r="G8" s="10"/>
      <c r="H8" s="10"/>
      <c r="I8" s="10"/>
      <c r="J8" s="10"/>
      <c r="K8" s="10"/>
      <c r="L8" s="10"/>
      <c r="M8" s="10"/>
      <c r="N8" s="131"/>
    </row>
    <row r="9" spans="1:14" ht="12" customHeight="1">
      <c r="A9" s="8"/>
      <c r="B9" s="15"/>
      <c r="C9" s="14"/>
      <c r="D9" s="10"/>
      <c r="E9" s="10"/>
      <c r="F9" s="10"/>
      <c r="G9" s="10"/>
      <c r="H9" s="10"/>
      <c r="I9" s="10"/>
      <c r="J9" s="10"/>
      <c r="K9" s="10"/>
      <c r="L9" s="10"/>
      <c r="M9" s="10"/>
      <c r="N9" s="131"/>
    </row>
    <row r="10" spans="1:14" ht="15.75">
      <c r="A10" s="8"/>
      <c r="B10" s="13"/>
      <c r="C10" s="14"/>
      <c r="D10" s="16"/>
      <c r="E10" s="16"/>
      <c r="F10" s="10"/>
      <c r="G10" s="10"/>
      <c r="H10" s="10"/>
      <c r="I10" s="10"/>
      <c r="J10" s="10"/>
      <c r="K10" s="10"/>
      <c r="L10" s="10"/>
      <c r="M10" s="10"/>
      <c r="N10" s="131"/>
    </row>
    <row r="11" spans="1:14" ht="15.75">
      <c r="A11" s="8"/>
      <c r="B11" s="16" t="s">
        <v>6</v>
      </c>
      <c r="C11" s="16"/>
      <c r="D11" s="10"/>
      <c r="E11" s="10"/>
      <c r="F11" s="10"/>
      <c r="G11" s="10"/>
      <c r="H11" s="10"/>
      <c r="I11" s="10"/>
      <c r="J11" s="10"/>
      <c r="K11" s="10"/>
      <c r="L11" s="10"/>
      <c r="M11" s="10"/>
      <c r="N11" s="131"/>
    </row>
    <row r="12" spans="1:14" ht="15.75">
      <c r="A12" s="8"/>
      <c r="B12" s="16"/>
      <c r="C12" s="16"/>
      <c r="D12" s="10"/>
      <c r="E12" s="10"/>
      <c r="F12" s="10"/>
      <c r="G12" s="10"/>
      <c r="H12" s="10"/>
      <c r="I12" s="10"/>
      <c r="J12" s="10"/>
      <c r="K12" s="10"/>
      <c r="L12" s="10"/>
      <c r="M12" s="10"/>
      <c r="N12" s="131"/>
    </row>
    <row r="13" spans="1:14" ht="15.75">
      <c r="A13" s="2"/>
      <c r="B13" s="5"/>
      <c r="C13" s="5"/>
      <c r="D13" s="5"/>
      <c r="E13" s="5"/>
      <c r="F13" s="5"/>
      <c r="G13" s="5"/>
      <c r="H13" s="5"/>
      <c r="I13" s="5"/>
      <c r="J13" s="5"/>
      <c r="K13" s="5"/>
      <c r="L13" s="5"/>
      <c r="M13" s="5"/>
      <c r="N13" s="131"/>
    </row>
    <row r="14" spans="1:14" ht="15.75">
      <c r="A14" s="8"/>
      <c r="B14" s="17" t="s">
        <v>7</v>
      </c>
      <c r="C14" s="17"/>
      <c r="D14" s="18"/>
      <c r="E14" s="18"/>
      <c r="F14" s="18"/>
      <c r="G14" s="18"/>
      <c r="H14" s="18"/>
      <c r="I14" s="18"/>
      <c r="J14" s="18"/>
      <c r="K14" s="18"/>
      <c r="L14" s="19" t="s">
        <v>185</v>
      </c>
      <c r="M14" s="18"/>
      <c r="N14" s="131"/>
    </row>
    <row r="15" spans="1:14" ht="15.75">
      <c r="A15" s="8"/>
      <c r="B15" s="17" t="s">
        <v>199</v>
      </c>
      <c r="C15" s="17"/>
      <c r="D15" s="18"/>
      <c r="E15" s="18"/>
      <c r="F15" s="18"/>
      <c r="G15" s="18"/>
      <c r="H15" s="20"/>
      <c r="I15" s="135"/>
      <c r="J15" s="20" t="s">
        <v>202</v>
      </c>
      <c r="K15" s="135">
        <v>1</v>
      </c>
      <c r="L15" s="19"/>
      <c r="M15" s="18"/>
      <c r="N15" s="131"/>
    </row>
    <row r="16" spans="1:14" ht="15.75">
      <c r="A16" s="8"/>
      <c r="B16" s="17" t="s">
        <v>200</v>
      </c>
      <c r="C16" s="17"/>
      <c r="D16" s="18"/>
      <c r="E16" s="18"/>
      <c r="F16" s="18"/>
      <c r="G16" s="18"/>
      <c r="H16" s="20"/>
      <c r="I16" s="135"/>
      <c r="J16" s="20" t="s">
        <v>202</v>
      </c>
      <c r="K16" s="135">
        <v>1</v>
      </c>
      <c r="L16" s="19"/>
      <c r="M16" s="18"/>
      <c r="N16" s="131"/>
    </row>
    <row r="17" spans="1:14" ht="15.75">
      <c r="A17" s="8"/>
      <c r="B17" s="17" t="s">
        <v>8</v>
      </c>
      <c r="C17" s="17"/>
      <c r="D17" s="18"/>
      <c r="E17" s="18"/>
      <c r="F17" s="18"/>
      <c r="G17" s="18"/>
      <c r="H17" s="18"/>
      <c r="I17" s="18"/>
      <c r="J17" s="18"/>
      <c r="K17" s="18"/>
      <c r="L17" s="20" t="s">
        <v>186</v>
      </c>
      <c r="M17" s="18"/>
      <c r="N17" s="131"/>
    </row>
    <row r="18" spans="1:14" ht="15.75">
      <c r="A18" s="8"/>
      <c r="B18" s="17" t="s">
        <v>9</v>
      </c>
      <c r="C18" s="17"/>
      <c r="D18" s="18"/>
      <c r="E18" s="18"/>
      <c r="F18" s="18"/>
      <c r="G18" s="18"/>
      <c r="H18" s="18"/>
      <c r="I18" s="18"/>
      <c r="J18" s="18"/>
      <c r="K18" s="18"/>
      <c r="L18" s="21">
        <v>37376</v>
      </c>
      <c r="M18" s="18"/>
      <c r="N18" s="131"/>
    </row>
    <row r="19" spans="1:14" ht="15.75">
      <c r="A19" s="8"/>
      <c r="B19" s="10"/>
      <c r="C19" s="10"/>
      <c r="D19" s="10"/>
      <c r="E19" s="10"/>
      <c r="F19" s="10"/>
      <c r="G19" s="10"/>
      <c r="H19" s="10"/>
      <c r="I19" s="10"/>
      <c r="J19" s="10"/>
      <c r="K19" s="10"/>
      <c r="L19" s="22"/>
      <c r="M19" s="10"/>
      <c r="N19" s="131"/>
    </row>
    <row r="20" spans="1:14" ht="15.75">
      <c r="A20" s="8"/>
      <c r="B20" s="23" t="s">
        <v>10</v>
      </c>
      <c r="C20" s="10"/>
      <c r="D20" s="10"/>
      <c r="E20" s="10"/>
      <c r="F20" s="10"/>
      <c r="G20" s="10"/>
      <c r="H20" s="10"/>
      <c r="I20" s="10"/>
      <c r="J20" s="22" t="s">
        <v>174</v>
      </c>
      <c r="K20" s="10"/>
      <c r="L20" s="15"/>
      <c r="M20" s="10"/>
      <c r="N20" s="131"/>
    </row>
    <row r="21" spans="1:14" ht="15.75">
      <c r="A21" s="8"/>
      <c r="B21" s="10"/>
      <c r="C21" s="10"/>
      <c r="D21" s="10"/>
      <c r="E21" s="10"/>
      <c r="F21" s="10"/>
      <c r="G21" s="10"/>
      <c r="H21" s="10"/>
      <c r="I21" s="10"/>
      <c r="J21" s="10"/>
      <c r="K21" s="10"/>
      <c r="L21" s="24"/>
      <c r="M21" s="10"/>
      <c r="N21" s="131"/>
    </row>
    <row r="22" spans="1:14" ht="15.75">
      <c r="A22" s="8"/>
      <c r="B22" s="10"/>
      <c r="C22" s="155" t="s">
        <v>143</v>
      </c>
      <c r="D22" s="25"/>
      <c r="E22" s="25"/>
      <c r="F22" s="157" t="s">
        <v>151</v>
      </c>
      <c r="G22" s="157"/>
      <c r="H22" s="157" t="s">
        <v>164</v>
      </c>
      <c r="I22" s="25"/>
      <c r="J22" s="25"/>
      <c r="K22" s="15"/>
      <c r="L22" s="15"/>
      <c r="M22" s="10"/>
      <c r="N22" s="131"/>
    </row>
    <row r="23" spans="1:14" ht="15.75">
      <c r="A23" s="27"/>
      <c r="B23" s="28" t="s">
        <v>11</v>
      </c>
      <c r="C23" s="156" t="s">
        <v>144</v>
      </c>
      <c r="D23" s="29"/>
      <c r="E23" s="29"/>
      <c r="F23" s="29" t="s">
        <v>152</v>
      </c>
      <c r="G23" s="29"/>
      <c r="H23" s="29" t="s">
        <v>165</v>
      </c>
      <c r="I23" s="29"/>
      <c r="J23" s="29"/>
      <c r="K23" s="30"/>
      <c r="L23" s="30"/>
      <c r="M23" s="28"/>
      <c r="N23" s="131"/>
    </row>
    <row r="24" spans="1:14" ht="15.75">
      <c r="A24" s="27"/>
      <c r="B24" s="28" t="s">
        <v>12</v>
      </c>
      <c r="C24" s="31"/>
      <c r="D24" s="29"/>
      <c r="E24" s="29"/>
      <c r="F24" s="29" t="s">
        <v>153</v>
      </c>
      <c r="G24" s="29"/>
      <c r="H24" s="29" t="s">
        <v>166</v>
      </c>
      <c r="I24" s="29"/>
      <c r="J24" s="29"/>
      <c r="K24" s="30"/>
      <c r="L24" s="30"/>
      <c r="M24" s="28"/>
      <c r="N24" s="131"/>
    </row>
    <row r="25" spans="1:14" ht="15.75">
      <c r="A25" s="32"/>
      <c r="B25" s="33" t="s">
        <v>13</v>
      </c>
      <c r="C25" s="33"/>
      <c r="D25" s="34"/>
      <c r="E25" s="34"/>
      <c r="F25" s="34" t="s">
        <v>152</v>
      </c>
      <c r="G25" s="34"/>
      <c r="H25" s="34" t="s">
        <v>207</v>
      </c>
      <c r="I25" s="29"/>
      <c r="J25" s="29"/>
      <c r="K25" s="30"/>
      <c r="L25" s="30"/>
      <c r="M25" s="28"/>
      <c r="N25" s="131"/>
    </row>
    <row r="26" spans="1:14" ht="15.75">
      <c r="A26" s="32"/>
      <c r="B26" s="33" t="s">
        <v>14</v>
      </c>
      <c r="C26" s="33"/>
      <c r="D26" s="34"/>
      <c r="E26" s="34"/>
      <c r="F26" s="34" t="s">
        <v>153</v>
      </c>
      <c r="G26" s="34"/>
      <c r="H26" s="34" t="s">
        <v>208</v>
      </c>
      <c r="I26" s="29"/>
      <c r="J26" s="29"/>
      <c r="K26" s="30"/>
      <c r="L26" s="30"/>
      <c r="M26" s="28"/>
      <c r="N26" s="131"/>
    </row>
    <row r="27" spans="1:14" ht="15.75">
      <c r="A27" s="27"/>
      <c r="B27" s="28" t="s">
        <v>15</v>
      </c>
      <c r="C27" s="28"/>
      <c r="D27" s="31"/>
      <c r="E27" s="29"/>
      <c r="F27" s="31" t="s">
        <v>154</v>
      </c>
      <c r="G27" s="29"/>
      <c r="H27" s="31" t="s">
        <v>167</v>
      </c>
      <c r="I27" s="29"/>
      <c r="J27" s="31"/>
      <c r="K27" s="30"/>
      <c r="L27" s="30"/>
      <c r="M27" s="28"/>
      <c r="N27" s="131"/>
    </row>
    <row r="28" spans="1:14" ht="15.75">
      <c r="A28" s="27"/>
      <c r="B28" s="28"/>
      <c r="C28" s="28"/>
      <c r="D28" s="28"/>
      <c r="E28" s="29"/>
      <c r="F28" s="29"/>
      <c r="G28" s="29"/>
      <c r="H28" s="29"/>
      <c r="I28" s="29"/>
      <c r="J28" s="29"/>
      <c r="K28" s="30"/>
      <c r="L28" s="30"/>
      <c r="M28" s="28"/>
      <c r="N28" s="131"/>
    </row>
    <row r="29" spans="1:14" ht="15.75">
      <c r="A29" s="27"/>
      <c r="B29" s="28" t="s">
        <v>16</v>
      </c>
      <c r="C29" s="28"/>
      <c r="D29" s="35"/>
      <c r="E29" s="36"/>
      <c r="F29" s="35">
        <v>168000</v>
      </c>
      <c r="G29" s="35"/>
      <c r="H29" s="35">
        <v>17000</v>
      </c>
      <c r="I29" s="35"/>
      <c r="J29" s="35"/>
      <c r="K29" s="37"/>
      <c r="L29" s="35">
        <f>H29+F29</f>
        <v>185000</v>
      </c>
      <c r="M29" s="38"/>
      <c r="N29" s="131"/>
    </row>
    <row r="30" spans="1:14" ht="15.75">
      <c r="A30" s="27"/>
      <c r="B30" s="28" t="s">
        <v>17</v>
      </c>
      <c r="C30" s="126">
        <v>0.812386</v>
      </c>
      <c r="D30" s="35"/>
      <c r="E30" s="36"/>
      <c r="F30" s="35">
        <f>168000*C30</f>
        <v>136480.848</v>
      </c>
      <c r="G30" s="35"/>
      <c r="H30" s="35">
        <v>17000</v>
      </c>
      <c r="I30" s="35"/>
      <c r="J30" s="35"/>
      <c r="K30" s="37"/>
      <c r="L30" s="35">
        <f>H30+F30</f>
        <v>153480.848</v>
      </c>
      <c r="M30" s="38"/>
      <c r="N30" s="131"/>
    </row>
    <row r="31" spans="1:14" ht="13.5" customHeight="1">
      <c r="A31" s="32"/>
      <c r="B31" s="33" t="s">
        <v>18</v>
      </c>
      <c r="C31" s="40">
        <v>0.776584</v>
      </c>
      <c r="D31" s="41"/>
      <c r="E31" s="42"/>
      <c r="F31" s="41">
        <f>168000*C31</f>
        <v>130466.11200000001</v>
      </c>
      <c r="G31" s="41"/>
      <c r="H31" s="41">
        <v>17000</v>
      </c>
      <c r="I31" s="41"/>
      <c r="J31" s="41"/>
      <c r="K31" s="43"/>
      <c r="L31" s="41">
        <f>H31+F31+D31</f>
        <v>147466.11200000002</v>
      </c>
      <c r="M31" s="38"/>
      <c r="N31" s="131"/>
    </row>
    <row r="32" spans="1:14" ht="15.75">
      <c r="A32" s="27"/>
      <c r="B32" s="28" t="s">
        <v>19</v>
      </c>
      <c r="C32" s="44"/>
      <c r="D32" s="31"/>
      <c r="E32" s="28"/>
      <c r="F32" s="31" t="s">
        <v>155</v>
      </c>
      <c r="G32" s="31"/>
      <c r="H32" s="31" t="s">
        <v>168</v>
      </c>
      <c r="I32" s="31"/>
      <c r="J32" s="31"/>
      <c r="K32" s="30"/>
      <c r="L32" s="30"/>
      <c r="M32" s="28"/>
      <c r="N32" s="131"/>
    </row>
    <row r="33" spans="1:14" ht="15.75">
      <c r="A33" s="27"/>
      <c r="B33" s="28" t="s">
        <v>20</v>
      </c>
      <c r="C33" s="28"/>
      <c r="D33" s="45"/>
      <c r="E33" s="28"/>
      <c r="F33" s="45">
        <v>0.04325</v>
      </c>
      <c r="G33" s="46"/>
      <c r="H33" s="45">
        <v>0.04845</v>
      </c>
      <c r="I33" s="46"/>
      <c r="J33" s="45"/>
      <c r="K33" s="30"/>
      <c r="L33" s="46">
        <f>SUMPRODUCT(F33:H33,F30:H30)/L30</f>
        <v>0.0438259676282216</v>
      </c>
      <c r="M33" s="28"/>
      <c r="N33" s="131"/>
    </row>
    <row r="34" spans="1:14" ht="15.75">
      <c r="A34" s="27"/>
      <c r="B34" s="28" t="s">
        <v>21</v>
      </c>
      <c r="C34" s="28"/>
      <c r="D34" s="45"/>
      <c r="E34" s="28"/>
      <c r="F34" s="45">
        <v>0.0475484</v>
      </c>
      <c r="G34" s="46"/>
      <c r="H34" s="45">
        <v>0.0527484</v>
      </c>
      <c r="I34" s="46"/>
      <c r="J34" s="45"/>
      <c r="K34" s="30"/>
      <c r="L34" s="30"/>
      <c r="M34" s="28"/>
      <c r="N34" s="131"/>
    </row>
    <row r="35" spans="1:14" ht="15.75">
      <c r="A35" s="27"/>
      <c r="B35" s="28" t="s">
        <v>22</v>
      </c>
      <c r="C35" s="28"/>
      <c r="D35" s="31"/>
      <c r="E35" s="28"/>
      <c r="F35" s="31" t="s">
        <v>157</v>
      </c>
      <c r="G35" s="31"/>
      <c r="H35" s="31" t="s">
        <v>157</v>
      </c>
      <c r="I35" s="31"/>
      <c r="J35" s="31"/>
      <c r="K35" s="30"/>
      <c r="L35" s="30"/>
      <c r="M35" s="28"/>
      <c r="N35" s="131"/>
    </row>
    <row r="36" spans="1:14" ht="15.75">
      <c r="A36" s="27"/>
      <c r="B36" s="28" t="s">
        <v>23</v>
      </c>
      <c r="C36" s="28"/>
      <c r="D36" s="31"/>
      <c r="E36" s="28"/>
      <c r="F36" s="31" t="s">
        <v>158</v>
      </c>
      <c r="G36" s="31"/>
      <c r="H36" s="31" t="s">
        <v>158</v>
      </c>
      <c r="I36" s="31"/>
      <c r="J36" s="31"/>
      <c r="K36" s="30"/>
      <c r="L36" s="30"/>
      <c r="M36" s="28"/>
      <c r="N36" s="131"/>
    </row>
    <row r="37" spans="1:14" ht="15.75">
      <c r="A37" s="27"/>
      <c r="B37" s="28" t="s">
        <v>24</v>
      </c>
      <c r="C37" s="28"/>
      <c r="D37" s="31"/>
      <c r="E37" s="28"/>
      <c r="F37" s="31" t="s">
        <v>159</v>
      </c>
      <c r="G37" s="31"/>
      <c r="H37" s="31" t="s">
        <v>169</v>
      </c>
      <c r="I37" s="31"/>
      <c r="J37" s="31"/>
      <c r="K37" s="30"/>
      <c r="L37" s="30"/>
      <c r="M37" s="28"/>
      <c r="N37" s="131"/>
    </row>
    <row r="38" spans="1:14" ht="15.75">
      <c r="A38" s="27"/>
      <c r="B38" s="28"/>
      <c r="C38" s="28"/>
      <c r="D38" s="47"/>
      <c r="E38" s="47"/>
      <c r="F38" s="28"/>
      <c r="G38" s="47"/>
      <c r="H38" s="47"/>
      <c r="I38" s="47"/>
      <c r="J38" s="47"/>
      <c r="K38" s="47"/>
      <c r="L38" s="47"/>
      <c r="M38" s="28"/>
      <c r="N38" s="131"/>
    </row>
    <row r="39" spans="1:14" ht="15.75">
      <c r="A39" s="27"/>
      <c r="B39" s="28" t="s">
        <v>25</v>
      </c>
      <c r="C39" s="28"/>
      <c r="D39" s="28"/>
      <c r="E39" s="28"/>
      <c r="F39" s="28"/>
      <c r="G39" s="28"/>
      <c r="H39" s="28"/>
      <c r="I39" s="28"/>
      <c r="J39" s="28"/>
      <c r="K39" s="28"/>
      <c r="L39" s="46">
        <f>H29/F29</f>
        <v>0.10119047619047619</v>
      </c>
      <c r="M39" s="28"/>
      <c r="N39" s="131"/>
    </row>
    <row r="40" spans="1:14" ht="15.75">
      <c r="A40" s="27"/>
      <c r="B40" s="28" t="s">
        <v>26</v>
      </c>
      <c r="C40" s="28"/>
      <c r="D40" s="28"/>
      <c r="E40" s="28"/>
      <c r="F40" s="28"/>
      <c r="G40" s="28"/>
      <c r="H40" s="28"/>
      <c r="I40" s="28"/>
      <c r="J40" s="28"/>
      <c r="K40" s="28"/>
      <c r="L40" s="46">
        <f>H31/F31</f>
        <v>0.13030203582674402</v>
      </c>
      <c r="M40" s="28"/>
      <c r="N40" s="131"/>
    </row>
    <row r="41" spans="1:14" ht="15.75">
      <c r="A41" s="27"/>
      <c r="B41" s="28" t="s">
        <v>27</v>
      </c>
      <c r="C41" s="28"/>
      <c r="D41" s="28"/>
      <c r="E41" s="28"/>
      <c r="F41" s="28"/>
      <c r="G41" s="28"/>
      <c r="H41" s="28"/>
      <c r="I41" s="28"/>
      <c r="J41" s="31" t="s">
        <v>151</v>
      </c>
      <c r="K41" s="31" t="s">
        <v>183</v>
      </c>
      <c r="L41" s="35">
        <v>75500</v>
      </c>
      <c r="M41" s="28"/>
      <c r="N41" s="131"/>
    </row>
    <row r="42" spans="1:14" ht="15.75">
      <c r="A42" s="27"/>
      <c r="B42" s="28"/>
      <c r="C42" s="28"/>
      <c r="D42" s="28"/>
      <c r="E42" s="28"/>
      <c r="F42" s="28"/>
      <c r="G42" s="28"/>
      <c r="H42" s="28"/>
      <c r="I42" s="28"/>
      <c r="J42" s="28" t="s">
        <v>175</v>
      </c>
      <c r="K42" s="28"/>
      <c r="L42" s="48"/>
      <c r="M42" s="28"/>
      <c r="N42" s="131"/>
    </row>
    <row r="43" spans="1:14" ht="15.75">
      <c r="A43" s="27"/>
      <c r="B43" s="28" t="s">
        <v>28</v>
      </c>
      <c r="C43" s="28"/>
      <c r="D43" s="28"/>
      <c r="E43" s="28"/>
      <c r="F43" s="28"/>
      <c r="G43" s="28"/>
      <c r="H43" s="28"/>
      <c r="I43" s="28"/>
      <c r="J43" s="31"/>
      <c r="K43" s="31"/>
      <c r="L43" s="31" t="s">
        <v>187</v>
      </c>
      <c r="M43" s="28"/>
      <c r="N43" s="131"/>
    </row>
    <row r="44" spans="1:14" ht="15.75">
      <c r="A44" s="32"/>
      <c r="B44" s="33" t="s">
        <v>29</v>
      </c>
      <c r="C44" s="33"/>
      <c r="D44" s="33"/>
      <c r="E44" s="33"/>
      <c r="F44" s="33"/>
      <c r="G44" s="33"/>
      <c r="H44" s="33"/>
      <c r="I44" s="33"/>
      <c r="J44" s="49"/>
      <c r="K44" s="49"/>
      <c r="L44" s="50">
        <v>37361</v>
      </c>
      <c r="M44" s="33"/>
      <c r="N44" s="131"/>
    </row>
    <row r="45" spans="1:14" ht="15.75">
      <c r="A45" s="27"/>
      <c r="B45" s="28" t="s">
        <v>30</v>
      </c>
      <c r="C45" s="28"/>
      <c r="D45" s="28"/>
      <c r="E45" s="28"/>
      <c r="F45" s="28"/>
      <c r="G45" s="28"/>
      <c r="H45" s="28"/>
      <c r="I45" s="28">
        <f>L45-J45+1</f>
        <v>92</v>
      </c>
      <c r="J45" s="51">
        <v>37179</v>
      </c>
      <c r="K45" s="52"/>
      <c r="L45" s="51">
        <v>37270</v>
      </c>
      <c r="M45" s="28"/>
      <c r="N45" s="131"/>
    </row>
    <row r="46" spans="1:14" ht="15.75">
      <c r="A46" s="27"/>
      <c r="B46" s="28" t="s">
        <v>31</v>
      </c>
      <c r="C46" s="28"/>
      <c r="D46" s="28"/>
      <c r="E46" s="28"/>
      <c r="F46" s="28"/>
      <c r="G46" s="28"/>
      <c r="H46" s="28"/>
      <c r="I46" s="28">
        <f>L46-J46+1</f>
        <v>90</v>
      </c>
      <c r="J46" s="51">
        <v>37271</v>
      </c>
      <c r="K46" s="52"/>
      <c r="L46" s="51">
        <v>37360</v>
      </c>
      <c r="M46" s="28"/>
      <c r="N46" s="131"/>
    </row>
    <row r="47" spans="1:14" ht="15.75">
      <c r="A47" s="27"/>
      <c r="B47" s="28" t="s">
        <v>32</v>
      </c>
      <c r="C47" s="28"/>
      <c r="D47" s="28"/>
      <c r="E47" s="28"/>
      <c r="F47" s="28"/>
      <c r="G47" s="28"/>
      <c r="H47" s="28"/>
      <c r="I47" s="28"/>
      <c r="J47" s="51"/>
      <c r="K47" s="52"/>
      <c r="L47" s="51" t="s">
        <v>188</v>
      </c>
      <c r="M47" s="28"/>
      <c r="N47" s="131"/>
    </row>
    <row r="48" spans="1:14" ht="15.75">
      <c r="A48" s="27"/>
      <c r="B48" s="28" t="s">
        <v>33</v>
      </c>
      <c r="C48" s="28"/>
      <c r="D48" s="28"/>
      <c r="E48" s="28"/>
      <c r="F48" s="28"/>
      <c r="G48" s="28"/>
      <c r="H48" s="28"/>
      <c r="I48" s="28"/>
      <c r="J48" s="51"/>
      <c r="K48" s="52"/>
      <c r="L48" s="51">
        <v>37353</v>
      </c>
      <c r="M48" s="28"/>
      <c r="N48" s="131"/>
    </row>
    <row r="49" spans="1:14" ht="15.75">
      <c r="A49" s="27"/>
      <c r="B49" s="28"/>
      <c r="C49" s="28"/>
      <c r="D49" s="28"/>
      <c r="E49" s="28"/>
      <c r="F49" s="28"/>
      <c r="G49" s="28"/>
      <c r="H49" s="28"/>
      <c r="I49" s="28"/>
      <c r="J49" s="51"/>
      <c r="K49" s="52"/>
      <c r="L49" s="51"/>
      <c r="M49" s="28"/>
      <c r="N49" s="131"/>
    </row>
    <row r="50" spans="1:14" ht="15.75">
      <c r="A50" s="8"/>
      <c r="B50" s="10"/>
      <c r="C50" s="10"/>
      <c r="D50" s="10"/>
      <c r="E50" s="10"/>
      <c r="F50" s="10"/>
      <c r="G50" s="10"/>
      <c r="H50" s="10"/>
      <c r="I50" s="10"/>
      <c r="J50" s="53"/>
      <c r="K50" s="54"/>
      <c r="L50" s="53"/>
      <c r="M50" s="10"/>
      <c r="N50" s="131"/>
    </row>
    <row r="51" spans="1:14" ht="19.5" thickBot="1">
      <c r="A51" s="138"/>
      <c r="B51" s="139" t="s">
        <v>210</v>
      </c>
      <c r="C51" s="140"/>
      <c r="D51" s="140"/>
      <c r="E51" s="140"/>
      <c r="F51" s="140"/>
      <c r="G51" s="140"/>
      <c r="H51" s="140"/>
      <c r="I51" s="140"/>
      <c r="J51" s="140"/>
      <c r="K51" s="140"/>
      <c r="L51" s="141"/>
      <c r="M51" s="142"/>
      <c r="N51" s="131"/>
    </row>
    <row r="52" spans="1:14" ht="15.75">
      <c r="A52" s="2"/>
      <c r="B52" s="5"/>
      <c r="C52" s="5"/>
      <c r="D52" s="5"/>
      <c r="E52" s="5"/>
      <c r="F52" s="5"/>
      <c r="G52" s="5"/>
      <c r="H52" s="5"/>
      <c r="I52" s="5"/>
      <c r="J52" s="5"/>
      <c r="K52" s="5"/>
      <c r="L52" s="57"/>
      <c r="M52" s="5"/>
      <c r="N52" s="131"/>
    </row>
    <row r="53" spans="1:14" ht="15.75">
      <c r="A53" s="8"/>
      <c r="B53" s="58" t="s">
        <v>35</v>
      </c>
      <c r="C53" s="16"/>
      <c r="D53" s="10"/>
      <c r="E53" s="10"/>
      <c r="F53" s="10"/>
      <c r="G53" s="10"/>
      <c r="H53" s="10"/>
      <c r="I53" s="10"/>
      <c r="J53" s="10"/>
      <c r="K53" s="10"/>
      <c r="L53" s="59"/>
      <c r="M53" s="10"/>
      <c r="N53" s="131"/>
    </row>
    <row r="54" spans="1:14" ht="15.75">
      <c r="A54" s="8"/>
      <c r="B54" s="16"/>
      <c r="C54" s="16"/>
      <c r="D54" s="10"/>
      <c r="E54" s="10"/>
      <c r="F54" s="10"/>
      <c r="G54" s="10"/>
      <c r="H54" s="10"/>
      <c r="I54" s="10"/>
      <c r="J54" s="10"/>
      <c r="K54" s="10"/>
      <c r="L54" s="59"/>
      <c r="M54" s="10"/>
      <c r="N54" s="131"/>
    </row>
    <row r="55" spans="1:14" s="165" customFormat="1" ht="63">
      <c r="A55" s="159"/>
      <c r="B55" s="160" t="s">
        <v>36</v>
      </c>
      <c r="C55" s="161" t="s">
        <v>145</v>
      </c>
      <c r="D55" s="161" t="s">
        <v>147</v>
      </c>
      <c r="E55" s="161"/>
      <c r="F55" s="161" t="s">
        <v>160</v>
      </c>
      <c r="G55" s="161"/>
      <c r="H55" s="161" t="s">
        <v>170</v>
      </c>
      <c r="I55" s="161"/>
      <c r="J55" s="161" t="s">
        <v>176</v>
      </c>
      <c r="K55" s="161"/>
      <c r="L55" s="162" t="s">
        <v>189</v>
      </c>
      <c r="M55" s="163"/>
      <c r="N55" s="171"/>
    </row>
    <row r="56" spans="1:14" ht="15.75">
      <c r="A56" s="27"/>
      <c r="B56" s="28" t="s">
        <v>37</v>
      </c>
      <c r="C56" s="38">
        <v>162582</v>
      </c>
      <c r="D56" s="60">
        <v>153481</v>
      </c>
      <c r="E56" s="38"/>
      <c r="F56" s="38">
        <v>7640</v>
      </c>
      <c r="G56" s="38"/>
      <c r="H56" s="38">
        <v>1595</v>
      </c>
      <c r="I56" s="38"/>
      <c r="J56" s="38">
        <v>0</v>
      </c>
      <c r="K56" s="38"/>
      <c r="L56" s="60">
        <f>D56-F56+H56-J56</f>
        <v>147436</v>
      </c>
      <c r="M56" s="28"/>
      <c r="N56" s="131"/>
    </row>
    <row r="57" spans="1:14" ht="15.75">
      <c r="A57" s="27"/>
      <c r="B57" s="28" t="s">
        <v>38</v>
      </c>
      <c r="C57" s="38">
        <v>66</v>
      </c>
      <c r="D57" s="60">
        <v>0</v>
      </c>
      <c r="E57" s="38"/>
      <c r="F57" s="38">
        <v>0</v>
      </c>
      <c r="G57" s="38"/>
      <c r="H57" s="38">
        <v>0</v>
      </c>
      <c r="I57" s="38"/>
      <c r="J57" s="38">
        <v>0</v>
      </c>
      <c r="K57" s="38"/>
      <c r="L57" s="60">
        <f>D57-F57</f>
        <v>0</v>
      </c>
      <c r="M57" s="28"/>
      <c r="N57" s="131"/>
    </row>
    <row r="58" spans="1:14" ht="15.75">
      <c r="A58" s="27"/>
      <c r="B58" s="28"/>
      <c r="C58" s="38"/>
      <c r="D58" s="60"/>
      <c r="E58" s="38"/>
      <c r="F58" s="38"/>
      <c r="G58" s="38"/>
      <c r="H58" s="38"/>
      <c r="I58" s="38"/>
      <c r="J58" s="38"/>
      <c r="K58" s="38"/>
      <c r="L58" s="60"/>
      <c r="M58" s="28"/>
      <c r="N58" s="131"/>
    </row>
    <row r="59" spans="1:14" ht="15.75">
      <c r="A59" s="27"/>
      <c r="B59" s="28" t="s">
        <v>39</v>
      </c>
      <c r="C59" s="38">
        <f>SUM(C56:C58)</f>
        <v>162648</v>
      </c>
      <c r="D59" s="38">
        <f>SUM(D56:D58)</f>
        <v>153481</v>
      </c>
      <c r="E59" s="38"/>
      <c r="F59" s="38">
        <f>SUM(F56:F58)</f>
        <v>7640</v>
      </c>
      <c r="G59" s="38"/>
      <c r="H59" s="38">
        <f>SUM(H56:H58)</f>
        <v>1595</v>
      </c>
      <c r="I59" s="38"/>
      <c r="J59" s="38">
        <f>SUM(J56:J58)</f>
        <v>0</v>
      </c>
      <c r="K59" s="38"/>
      <c r="L59" s="61">
        <f>SUM(L56:L58)</f>
        <v>147436</v>
      </c>
      <c r="M59" s="28"/>
      <c r="N59" s="131"/>
    </row>
    <row r="60" spans="1:14" ht="15.75">
      <c r="A60" s="27"/>
      <c r="B60" s="28"/>
      <c r="C60" s="38"/>
      <c r="D60" s="38"/>
      <c r="E60" s="38"/>
      <c r="F60" s="38"/>
      <c r="G60" s="38"/>
      <c r="H60" s="38"/>
      <c r="I60" s="38"/>
      <c r="J60" s="38"/>
      <c r="K60" s="38"/>
      <c r="L60" s="61"/>
      <c r="M60" s="28"/>
      <c r="N60" s="131"/>
    </row>
    <row r="61" spans="1:14" ht="15.75">
      <c r="A61" s="8"/>
      <c r="B61" s="154" t="s">
        <v>40</v>
      </c>
      <c r="C61" s="62"/>
      <c r="D61" s="62"/>
      <c r="E61" s="62"/>
      <c r="F61" s="62"/>
      <c r="G61" s="62"/>
      <c r="H61" s="62"/>
      <c r="I61" s="62"/>
      <c r="J61" s="62"/>
      <c r="K61" s="62"/>
      <c r="L61" s="63"/>
      <c r="M61" s="10"/>
      <c r="N61" s="131"/>
    </row>
    <row r="62" spans="1:14" ht="15.75">
      <c r="A62" s="8"/>
      <c r="B62" s="10"/>
      <c r="C62" s="62"/>
      <c r="D62" s="62"/>
      <c r="E62" s="62"/>
      <c r="F62" s="62"/>
      <c r="G62" s="62"/>
      <c r="H62" s="62"/>
      <c r="I62" s="62"/>
      <c r="J62" s="62"/>
      <c r="K62" s="62"/>
      <c r="L62" s="63"/>
      <c r="M62" s="10"/>
      <c r="N62" s="131"/>
    </row>
    <row r="63" spans="1:14" ht="15.75">
      <c r="A63" s="27"/>
      <c r="B63" s="28" t="s">
        <v>37</v>
      </c>
      <c r="C63" s="38"/>
      <c r="D63" s="38"/>
      <c r="E63" s="38"/>
      <c r="F63" s="38"/>
      <c r="G63" s="38"/>
      <c r="H63" s="38"/>
      <c r="I63" s="38"/>
      <c r="J63" s="38"/>
      <c r="K63" s="38"/>
      <c r="L63" s="61"/>
      <c r="M63" s="28"/>
      <c r="N63" s="131"/>
    </row>
    <row r="64" spans="1:14" ht="15.75">
      <c r="A64" s="27"/>
      <c r="B64" s="28" t="s">
        <v>38</v>
      </c>
      <c r="C64" s="38"/>
      <c r="D64" s="38"/>
      <c r="E64" s="38"/>
      <c r="F64" s="38"/>
      <c r="G64" s="38"/>
      <c r="H64" s="38"/>
      <c r="I64" s="38"/>
      <c r="J64" s="38"/>
      <c r="K64" s="38"/>
      <c r="L64" s="61"/>
      <c r="M64" s="28"/>
      <c r="N64" s="131"/>
    </row>
    <row r="65" spans="1:14" ht="15.75">
      <c r="A65" s="27"/>
      <c r="B65" s="28"/>
      <c r="C65" s="38"/>
      <c r="D65" s="38"/>
      <c r="E65" s="38"/>
      <c r="F65" s="38"/>
      <c r="G65" s="38"/>
      <c r="H65" s="38"/>
      <c r="I65" s="38"/>
      <c r="J65" s="38"/>
      <c r="K65" s="38"/>
      <c r="L65" s="61"/>
      <c r="M65" s="28"/>
      <c r="N65" s="131"/>
    </row>
    <row r="66" spans="1:14" ht="15.75">
      <c r="A66" s="27"/>
      <c r="B66" s="28" t="s">
        <v>39</v>
      </c>
      <c r="C66" s="38"/>
      <c r="D66" s="38"/>
      <c r="E66" s="38"/>
      <c r="F66" s="38"/>
      <c r="G66" s="38"/>
      <c r="H66" s="38"/>
      <c r="I66" s="38"/>
      <c r="J66" s="38"/>
      <c r="K66" s="38"/>
      <c r="L66" s="38"/>
      <c r="M66" s="28"/>
      <c r="N66" s="131"/>
    </row>
    <row r="67" spans="1:14" ht="15.75">
      <c r="A67" s="27"/>
      <c r="B67" s="28"/>
      <c r="C67" s="38"/>
      <c r="D67" s="38"/>
      <c r="E67" s="38"/>
      <c r="F67" s="38"/>
      <c r="G67" s="38"/>
      <c r="H67" s="38"/>
      <c r="I67" s="38"/>
      <c r="J67" s="38"/>
      <c r="K67" s="38"/>
      <c r="L67" s="38"/>
      <c r="M67" s="28"/>
      <c r="N67" s="131"/>
    </row>
    <row r="68" spans="1:14" ht="15.75">
      <c r="A68" s="27"/>
      <c r="B68" s="28" t="s">
        <v>41</v>
      </c>
      <c r="C68" s="38">
        <v>0</v>
      </c>
      <c r="D68" s="38">
        <v>0</v>
      </c>
      <c r="E68" s="38"/>
      <c r="F68" s="38"/>
      <c r="G68" s="38"/>
      <c r="H68" s="38"/>
      <c r="I68" s="38"/>
      <c r="J68" s="38"/>
      <c r="K68" s="38"/>
      <c r="L68" s="60">
        <f>D68-F68+H68-J68</f>
        <v>0</v>
      </c>
      <c r="M68" s="28"/>
      <c r="N68" s="131"/>
    </row>
    <row r="69" spans="1:14" ht="15.75">
      <c r="A69" s="27"/>
      <c r="B69" s="28" t="s">
        <v>42</v>
      </c>
      <c r="C69" s="38">
        <v>22352</v>
      </c>
      <c r="D69" s="38">
        <v>0</v>
      </c>
      <c r="E69" s="38"/>
      <c r="F69" s="38"/>
      <c r="G69" s="38"/>
      <c r="H69" s="38"/>
      <c r="I69" s="38"/>
      <c r="J69" s="38"/>
      <c r="K69" s="38"/>
      <c r="L69" s="61">
        <v>0</v>
      </c>
      <c r="M69" s="28"/>
      <c r="N69" s="131"/>
    </row>
    <row r="70" spans="1:14" ht="15.75">
      <c r="A70" s="27"/>
      <c r="B70" s="28" t="s">
        <v>43</v>
      </c>
      <c r="C70" s="38">
        <v>0</v>
      </c>
      <c r="D70" s="38">
        <f>L127</f>
        <v>0</v>
      </c>
      <c r="E70" s="38"/>
      <c r="F70" s="38"/>
      <c r="G70" s="38"/>
      <c r="H70" s="38"/>
      <c r="I70" s="38"/>
      <c r="J70" s="38"/>
      <c r="K70" s="38"/>
      <c r="L70" s="61">
        <v>30</v>
      </c>
      <c r="M70" s="28"/>
      <c r="N70" s="131"/>
    </row>
    <row r="71" spans="1:14" ht="15.75">
      <c r="A71" s="27"/>
      <c r="B71" s="28" t="s">
        <v>44</v>
      </c>
      <c r="C71" s="61">
        <f>SUM(C59:C70)</f>
        <v>185000</v>
      </c>
      <c r="D71" s="61">
        <f>SUM(D59:D70)</f>
        <v>153481</v>
      </c>
      <c r="E71" s="38"/>
      <c r="F71" s="61"/>
      <c r="G71" s="38"/>
      <c r="H71" s="61"/>
      <c r="I71" s="38"/>
      <c r="J71" s="61"/>
      <c r="K71" s="38"/>
      <c r="L71" s="61">
        <f>SUM(L59:L70)</f>
        <v>147466</v>
      </c>
      <c r="M71" s="28"/>
      <c r="N71" s="131"/>
    </row>
    <row r="72" spans="1:14" ht="15.75">
      <c r="A72" s="27"/>
      <c r="B72" s="28"/>
      <c r="C72" s="38"/>
      <c r="D72" s="38"/>
      <c r="E72" s="38"/>
      <c r="F72" s="38"/>
      <c r="G72" s="38"/>
      <c r="H72" s="38"/>
      <c r="I72" s="38"/>
      <c r="J72" s="38"/>
      <c r="K72" s="38"/>
      <c r="L72" s="61"/>
      <c r="M72" s="28"/>
      <c r="N72" s="131"/>
    </row>
    <row r="73" spans="1:14" ht="15.75">
      <c r="A73" s="8"/>
      <c r="B73" s="10"/>
      <c r="C73" s="10"/>
      <c r="D73" s="10"/>
      <c r="E73" s="10"/>
      <c r="F73" s="10"/>
      <c r="G73" s="10"/>
      <c r="H73" s="10"/>
      <c r="I73" s="10"/>
      <c r="J73" s="10"/>
      <c r="K73" s="10"/>
      <c r="L73" s="10"/>
      <c r="M73" s="10"/>
      <c r="N73" s="131"/>
    </row>
    <row r="74" spans="1:14" ht="15.75">
      <c r="A74" s="8"/>
      <c r="B74" s="58" t="s">
        <v>45</v>
      </c>
      <c r="C74" s="17"/>
      <c r="D74" s="17"/>
      <c r="E74" s="17"/>
      <c r="F74" s="17"/>
      <c r="G74" s="17"/>
      <c r="H74" s="17"/>
      <c r="I74" s="20"/>
      <c r="J74" s="20" t="s">
        <v>177</v>
      </c>
      <c r="K74" s="20"/>
      <c r="L74" s="20" t="s">
        <v>190</v>
      </c>
      <c r="M74" s="10"/>
      <c r="N74" s="131"/>
    </row>
    <row r="75" spans="1:14" ht="15.75">
      <c r="A75" s="27"/>
      <c r="B75" s="28" t="s">
        <v>46</v>
      </c>
      <c r="C75" s="28"/>
      <c r="D75" s="28"/>
      <c r="E75" s="28"/>
      <c r="F75" s="28"/>
      <c r="G75" s="28"/>
      <c r="H75" s="28"/>
      <c r="I75" s="28"/>
      <c r="J75" s="38">
        <v>0</v>
      </c>
      <c r="K75" s="28"/>
      <c r="L75" s="60">
        <v>0</v>
      </c>
      <c r="M75" s="28"/>
      <c r="N75" s="131"/>
    </row>
    <row r="76" spans="1:14" ht="15.75">
      <c r="A76" s="27"/>
      <c r="B76" s="28" t="s">
        <v>47</v>
      </c>
      <c r="C76" s="47" t="s">
        <v>146</v>
      </c>
      <c r="D76" s="65">
        <v>37346</v>
      </c>
      <c r="E76" s="28"/>
      <c r="F76" s="28"/>
      <c r="G76" s="28"/>
      <c r="H76" s="28"/>
      <c r="I76" s="28"/>
      <c r="J76" s="38">
        <v>7610</v>
      </c>
      <c r="K76" s="28"/>
      <c r="L76" s="60"/>
      <c r="M76" s="28"/>
      <c r="N76" s="131"/>
    </row>
    <row r="77" spans="1:14" ht="15.75">
      <c r="A77" s="27"/>
      <c r="B77" s="28" t="s">
        <v>48</v>
      </c>
      <c r="C77" s="28"/>
      <c r="D77" s="28"/>
      <c r="E77" s="28"/>
      <c r="F77" s="28"/>
      <c r="G77" s="28"/>
      <c r="H77" s="28"/>
      <c r="I77" s="28"/>
      <c r="J77" s="38"/>
      <c r="K77" s="28"/>
      <c r="L77" s="60">
        <f>2282+297-4+30</f>
        <v>2605</v>
      </c>
      <c r="M77" s="28"/>
      <c r="N77" s="131"/>
    </row>
    <row r="78" spans="1:14" ht="15.75">
      <c r="A78" s="27"/>
      <c r="B78" s="28" t="s">
        <v>49</v>
      </c>
      <c r="C78" s="28"/>
      <c r="D78" s="28"/>
      <c r="E78" s="28"/>
      <c r="F78" s="28"/>
      <c r="G78" s="28"/>
      <c r="H78" s="28"/>
      <c r="I78" s="28"/>
      <c r="J78" s="38"/>
      <c r="K78" s="28"/>
      <c r="L78" s="60">
        <v>0</v>
      </c>
      <c r="M78" s="28"/>
      <c r="N78" s="131"/>
    </row>
    <row r="79" spans="1:14" ht="15.75">
      <c r="A79" s="27"/>
      <c r="B79" s="28" t="s">
        <v>50</v>
      </c>
      <c r="C79" s="28"/>
      <c r="D79" s="28"/>
      <c r="E79" s="28"/>
      <c r="F79" s="28"/>
      <c r="G79" s="28"/>
      <c r="H79" s="28"/>
      <c r="I79" s="28"/>
      <c r="J79" s="38">
        <f>SUM(J75:J78)</f>
        <v>7610</v>
      </c>
      <c r="K79" s="28"/>
      <c r="L79" s="61">
        <f>SUM(L75:L78)</f>
        <v>2605</v>
      </c>
      <c r="M79" s="28"/>
      <c r="N79" s="131"/>
    </row>
    <row r="80" spans="1:14" ht="15.75">
      <c r="A80" s="27"/>
      <c r="B80" s="28" t="s">
        <v>51</v>
      </c>
      <c r="C80" s="28"/>
      <c r="D80" s="28"/>
      <c r="E80" s="28"/>
      <c r="F80" s="28"/>
      <c r="G80" s="28"/>
      <c r="H80" s="28"/>
      <c r="I80" s="28"/>
      <c r="J80" s="38">
        <v>0</v>
      </c>
      <c r="K80" s="28"/>
      <c r="L80" s="60">
        <v>0</v>
      </c>
      <c r="M80" s="28"/>
      <c r="N80" s="131"/>
    </row>
    <row r="81" spans="1:14" ht="15.75">
      <c r="A81" s="27"/>
      <c r="B81" s="28" t="s">
        <v>52</v>
      </c>
      <c r="C81" s="28"/>
      <c r="D81" s="28"/>
      <c r="E81" s="28"/>
      <c r="F81" s="28"/>
      <c r="G81" s="28"/>
      <c r="H81" s="28"/>
      <c r="I81" s="28"/>
      <c r="J81" s="38">
        <f>J79+J80</f>
        <v>7610</v>
      </c>
      <c r="K81" s="28"/>
      <c r="L81" s="61">
        <f>L79+L80</f>
        <v>2605</v>
      </c>
      <c r="M81" s="28"/>
      <c r="N81" s="131"/>
    </row>
    <row r="82" spans="1:14" ht="15.75">
      <c r="A82" s="27"/>
      <c r="B82" s="166" t="s">
        <v>53</v>
      </c>
      <c r="C82" s="66"/>
      <c r="D82" s="28"/>
      <c r="E82" s="28"/>
      <c r="F82" s="28"/>
      <c r="G82" s="28"/>
      <c r="H82" s="28"/>
      <c r="I82" s="28"/>
      <c r="J82" s="38"/>
      <c r="K82" s="28"/>
      <c r="L82" s="60"/>
      <c r="M82" s="28"/>
      <c r="N82" s="131"/>
    </row>
    <row r="83" spans="1:14" ht="15.75">
      <c r="A83" s="27">
        <v>1</v>
      </c>
      <c r="B83" s="28" t="s">
        <v>54</v>
      </c>
      <c r="C83" s="28"/>
      <c r="D83" s="28"/>
      <c r="E83" s="28"/>
      <c r="F83" s="28"/>
      <c r="G83" s="28"/>
      <c r="H83" s="28"/>
      <c r="I83" s="28"/>
      <c r="J83" s="28"/>
      <c r="K83" s="28"/>
      <c r="L83" s="60">
        <v>0</v>
      </c>
      <c r="M83" s="28"/>
      <c r="N83" s="131"/>
    </row>
    <row r="84" spans="1:14" ht="15.75">
      <c r="A84" s="27">
        <v>2</v>
      </c>
      <c r="B84" s="28" t="s">
        <v>55</v>
      </c>
      <c r="C84" s="28"/>
      <c r="D84" s="28"/>
      <c r="E84" s="28"/>
      <c r="F84" s="28"/>
      <c r="G84" s="28"/>
      <c r="H84" s="28"/>
      <c r="I84" s="28"/>
      <c r="J84" s="28"/>
      <c r="K84" s="28"/>
      <c r="L84" s="60">
        <v>-3</v>
      </c>
      <c r="M84" s="28"/>
      <c r="N84" s="131"/>
    </row>
    <row r="85" spans="1:14" ht="15.75">
      <c r="A85" s="27">
        <v>3</v>
      </c>
      <c r="B85" s="28" t="s">
        <v>56</v>
      </c>
      <c r="C85" s="28"/>
      <c r="D85" s="28"/>
      <c r="E85" s="28"/>
      <c r="F85" s="28"/>
      <c r="G85" s="28"/>
      <c r="H85" s="28"/>
      <c r="I85" s="28"/>
      <c r="J85" s="28"/>
      <c r="K85" s="28"/>
      <c r="L85" s="60">
        <f>-113-4-11</f>
        <v>-128</v>
      </c>
      <c r="M85" s="28"/>
      <c r="N85" s="131"/>
    </row>
    <row r="86" spans="1:14" ht="15.75">
      <c r="A86" s="27">
        <v>4</v>
      </c>
      <c r="B86" s="28" t="s">
        <v>57</v>
      </c>
      <c r="C86" s="28"/>
      <c r="D86" s="28"/>
      <c r="E86" s="28"/>
      <c r="F86" s="28"/>
      <c r="G86" s="28"/>
      <c r="H86" s="28"/>
      <c r="I86" s="28"/>
      <c r="J86" s="28"/>
      <c r="K86" s="28"/>
      <c r="L86" s="60">
        <v>-208</v>
      </c>
      <c r="M86" s="28"/>
      <c r="N86" s="131"/>
    </row>
    <row r="87" spans="1:14" ht="15.75">
      <c r="A87" s="27">
        <v>5</v>
      </c>
      <c r="B87" s="28" t="s">
        <v>58</v>
      </c>
      <c r="C87" s="28"/>
      <c r="D87" s="28"/>
      <c r="E87" s="28"/>
      <c r="F87" s="28"/>
      <c r="G87" s="28"/>
      <c r="H87" s="28"/>
      <c r="I87" s="28"/>
      <c r="J87" s="28"/>
      <c r="K87" s="28"/>
      <c r="L87" s="60">
        <v>-1456</v>
      </c>
      <c r="M87" s="28"/>
      <c r="N87" s="131"/>
    </row>
    <row r="88" spans="1:14" ht="15.75">
      <c r="A88" s="27">
        <v>6</v>
      </c>
      <c r="B88" s="28" t="s">
        <v>59</v>
      </c>
      <c r="C88" s="28"/>
      <c r="D88" s="28"/>
      <c r="E88" s="28"/>
      <c r="F88" s="28"/>
      <c r="G88" s="28"/>
      <c r="H88" s="28"/>
      <c r="I88" s="28"/>
      <c r="J88" s="28"/>
      <c r="K88" s="28"/>
      <c r="L88" s="60">
        <v>-203</v>
      </c>
      <c r="M88" s="28"/>
      <c r="N88" s="131"/>
    </row>
    <row r="89" spans="1:14" ht="15.75">
      <c r="A89" s="27">
        <v>7</v>
      </c>
      <c r="B89" s="28" t="s">
        <v>60</v>
      </c>
      <c r="C89" s="28"/>
      <c r="D89" s="28"/>
      <c r="E89" s="28"/>
      <c r="F89" s="28"/>
      <c r="G89" s="28"/>
      <c r="H89" s="28"/>
      <c r="I89" s="28"/>
      <c r="J89" s="28"/>
      <c r="K89" s="28"/>
      <c r="L89" s="60">
        <v>-3</v>
      </c>
      <c r="M89" s="28"/>
      <c r="N89" s="131"/>
    </row>
    <row r="90" spans="1:14" ht="15.75">
      <c r="A90" s="27">
        <v>8</v>
      </c>
      <c r="B90" s="28" t="s">
        <v>61</v>
      </c>
      <c r="C90" s="28"/>
      <c r="D90" s="28"/>
      <c r="E90" s="28"/>
      <c r="F90" s="28"/>
      <c r="G90" s="28"/>
      <c r="H90" s="28"/>
      <c r="I90" s="28"/>
      <c r="J90" s="28"/>
      <c r="K90" s="28"/>
      <c r="L90" s="60">
        <v>0</v>
      </c>
      <c r="M90" s="28"/>
      <c r="N90" s="131"/>
    </row>
    <row r="91" spans="1:14" ht="15.75">
      <c r="A91" s="27">
        <v>9</v>
      </c>
      <c r="B91" s="28" t="s">
        <v>62</v>
      </c>
      <c r="C91" s="28"/>
      <c r="D91" s="28"/>
      <c r="E91" s="28"/>
      <c r="F91" s="28"/>
      <c r="G91" s="28"/>
      <c r="H91" s="28"/>
      <c r="I91" s="28"/>
      <c r="J91" s="28"/>
      <c r="K91" s="28"/>
      <c r="L91" s="60">
        <v>-30</v>
      </c>
      <c r="M91" s="28"/>
      <c r="N91" s="131"/>
    </row>
    <row r="92" spans="1:14" ht="15.75">
      <c r="A92" s="27">
        <v>10</v>
      </c>
      <c r="B92" s="28" t="s">
        <v>63</v>
      </c>
      <c r="C92" s="28"/>
      <c r="D92" s="28"/>
      <c r="E92" s="28"/>
      <c r="F92" s="28"/>
      <c r="G92" s="28"/>
      <c r="H92" s="28"/>
      <c r="I92" s="28"/>
      <c r="J92" s="28"/>
      <c r="K92" s="28"/>
      <c r="L92" s="60">
        <v>0</v>
      </c>
      <c r="M92" s="28"/>
      <c r="N92" s="131"/>
    </row>
    <row r="93" spans="1:14" ht="15.75">
      <c r="A93" s="27">
        <v>11</v>
      </c>
      <c r="B93" s="28" t="s">
        <v>64</v>
      </c>
      <c r="C93" s="28"/>
      <c r="D93" s="28"/>
      <c r="E93" s="28"/>
      <c r="F93" s="28"/>
      <c r="G93" s="28"/>
      <c r="H93" s="28"/>
      <c r="I93" s="28"/>
      <c r="J93" s="28"/>
      <c r="K93" s="28"/>
      <c r="L93" s="60">
        <v>0</v>
      </c>
      <c r="M93" s="28"/>
      <c r="N93" s="131"/>
    </row>
    <row r="94" spans="1:14" ht="15.75">
      <c r="A94" s="27">
        <v>12</v>
      </c>
      <c r="B94" s="28" t="s">
        <v>65</v>
      </c>
      <c r="C94" s="28"/>
      <c r="D94" s="28"/>
      <c r="E94" s="28"/>
      <c r="F94" s="28"/>
      <c r="G94" s="28"/>
      <c r="H94" s="28"/>
      <c r="I94" s="28"/>
      <c r="J94" s="28"/>
      <c r="K94" s="28"/>
      <c r="L94" s="60">
        <f>-13-114</f>
        <v>-127</v>
      </c>
      <c r="M94" s="28"/>
      <c r="N94" s="131"/>
    </row>
    <row r="95" spans="1:14" ht="15.75">
      <c r="A95" s="27">
        <v>13</v>
      </c>
      <c r="B95" s="28" t="s">
        <v>66</v>
      </c>
      <c r="C95" s="28"/>
      <c r="D95" s="28"/>
      <c r="E95" s="28"/>
      <c r="F95" s="28"/>
      <c r="G95" s="28"/>
      <c r="H95" s="28"/>
      <c r="I95" s="28"/>
      <c r="J95" s="28"/>
      <c r="K95" s="28"/>
      <c r="L95" s="60">
        <f>-SUM(L81:L94)</f>
        <v>-447</v>
      </c>
      <c r="M95" s="28"/>
      <c r="N95" s="131"/>
    </row>
    <row r="96" spans="1:14" ht="15.75">
      <c r="A96" s="27"/>
      <c r="B96" s="166" t="s">
        <v>67</v>
      </c>
      <c r="C96" s="66"/>
      <c r="D96" s="28"/>
      <c r="E96" s="28"/>
      <c r="F96" s="28"/>
      <c r="G96" s="28"/>
      <c r="H96" s="28"/>
      <c r="I96" s="28"/>
      <c r="J96" s="28"/>
      <c r="K96" s="28"/>
      <c r="L96" s="67"/>
      <c r="M96" s="28"/>
      <c r="N96" s="131"/>
    </row>
    <row r="97" spans="1:14" ht="15.75">
      <c r="A97" s="27"/>
      <c r="B97" s="28" t="s">
        <v>68</v>
      </c>
      <c r="C97" s="66"/>
      <c r="D97" s="28"/>
      <c r="E97" s="28"/>
      <c r="F97" s="28"/>
      <c r="G97" s="28"/>
      <c r="H97" s="28"/>
      <c r="I97" s="28"/>
      <c r="J97" s="38">
        <f>-J143</f>
        <v>-3</v>
      </c>
      <c r="K97" s="38"/>
      <c r="L97" s="60"/>
      <c r="M97" s="28"/>
      <c r="N97" s="131"/>
    </row>
    <row r="98" spans="1:14" ht="15.75">
      <c r="A98" s="27"/>
      <c r="B98" s="28" t="s">
        <v>69</v>
      </c>
      <c r="C98" s="28"/>
      <c r="D98" s="28"/>
      <c r="E98" s="28"/>
      <c r="F98" s="28"/>
      <c r="G98" s="28"/>
      <c r="H98" s="28"/>
      <c r="I98" s="28"/>
      <c r="J98" s="38">
        <f>-H143</f>
        <v>-1592</v>
      </c>
      <c r="K98" s="38"/>
      <c r="L98" s="60"/>
      <c r="M98" s="28"/>
      <c r="N98" s="131"/>
    </row>
    <row r="99" spans="1:14" ht="15.75">
      <c r="A99" s="27"/>
      <c r="B99" s="28" t="s">
        <v>70</v>
      </c>
      <c r="C99" s="28"/>
      <c r="D99" s="28"/>
      <c r="E99" s="28"/>
      <c r="F99" s="28"/>
      <c r="G99" s="28"/>
      <c r="H99" s="28"/>
      <c r="I99" s="28"/>
      <c r="J99" s="38">
        <v>-6015</v>
      </c>
      <c r="K99" s="38"/>
      <c r="L99" s="60"/>
      <c r="M99" s="28"/>
      <c r="N99" s="131"/>
    </row>
    <row r="100" spans="1:14" ht="15.75">
      <c r="A100" s="27"/>
      <c r="B100" s="28" t="s">
        <v>71</v>
      </c>
      <c r="C100" s="28"/>
      <c r="D100" s="28"/>
      <c r="E100" s="28"/>
      <c r="F100" s="28"/>
      <c r="G100" s="28"/>
      <c r="H100" s="28"/>
      <c r="I100" s="28"/>
      <c r="J100" s="38">
        <v>0</v>
      </c>
      <c r="K100" s="38"/>
      <c r="L100" s="60"/>
      <c r="M100" s="28"/>
      <c r="N100" s="131"/>
    </row>
    <row r="101" spans="1:14" ht="15.75">
      <c r="A101" s="27"/>
      <c r="B101" s="28" t="s">
        <v>72</v>
      </c>
      <c r="C101" s="28"/>
      <c r="D101" s="28"/>
      <c r="E101" s="28"/>
      <c r="F101" s="28"/>
      <c r="G101" s="28"/>
      <c r="H101" s="28"/>
      <c r="I101" s="28"/>
      <c r="J101" s="38">
        <f>SUM(J82:J100)</f>
        <v>-7610</v>
      </c>
      <c r="K101" s="38"/>
      <c r="L101" s="38">
        <f>SUM(L82:L100)</f>
        <v>-2605</v>
      </c>
      <c r="M101" s="28"/>
      <c r="N101" s="131"/>
    </row>
    <row r="102" spans="1:14" ht="15.75">
      <c r="A102" s="27"/>
      <c r="B102" s="28" t="s">
        <v>73</v>
      </c>
      <c r="C102" s="28"/>
      <c r="D102" s="28"/>
      <c r="E102" s="28"/>
      <c r="F102" s="28"/>
      <c r="G102" s="28"/>
      <c r="H102" s="28"/>
      <c r="I102" s="28"/>
      <c r="J102" s="38">
        <f>J81+J101</f>
        <v>0</v>
      </c>
      <c r="K102" s="38"/>
      <c r="L102" s="38">
        <f>L81+L101</f>
        <v>0</v>
      </c>
      <c r="M102" s="28"/>
      <c r="N102" s="131"/>
    </row>
    <row r="103" spans="1:14" ht="15.75">
      <c r="A103" s="27"/>
      <c r="B103" s="28"/>
      <c r="C103" s="28"/>
      <c r="D103" s="28"/>
      <c r="E103" s="28"/>
      <c r="F103" s="28"/>
      <c r="G103" s="28"/>
      <c r="H103" s="28"/>
      <c r="I103" s="28"/>
      <c r="J103" s="38"/>
      <c r="K103" s="38"/>
      <c r="L103" s="38"/>
      <c r="M103" s="28"/>
      <c r="N103" s="131"/>
    </row>
    <row r="104" spans="1:14" ht="15.75">
      <c r="A104" s="8"/>
      <c r="B104" s="10"/>
      <c r="C104" s="10"/>
      <c r="D104" s="10"/>
      <c r="E104" s="10"/>
      <c r="F104" s="10"/>
      <c r="G104" s="10"/>
      <c r="H104" s="10"/>
      <c r="I104" s="10"/>
      <c r="J104" s="62"/>
      <c r="K104" s="62"/>
      <c r="L104" s="62"/>
      <c r="M104" s="10"/>
      <c r="N104" s="131"/>
    </row>
    <row r="105" spans="1:14" ht="19.5" thickBot="1">
      <c r="A105" s="138"/>
      <c r="B105" s="139" t="s">
        <v>210</v>
      </c>
      <c r="C105" s="140"/>
      <c r="D105" s="140"/>
      <c r="E105" s="140"/>
      <c r="F105" s="140"/>
      <c r="G105" s="140"/>
      <c r="H105" s="140"/>
      <c r="I105" s="140"/>
      <c r="J105" s="143"/>
      <c r="K105" s="143"/>
      <c r="L105" s="143"/>
      <c r="M105" s="142"/>
      <c r="N105" s="131"/>
    </row>
    <row r="106" spans="1:14" ht="12" customHeight="1">
      <c r="A106" s="2"/>
      <c r="B106" s="5"/>
      <c r="C106" s="5"/>
      <c r="D106" s="5"/>
      <c r="E106" s="5"/>
      <c r="F106" s="5"/>
      <c r="G106" s="5"/>
      <c r="H106" s="5"/>
      <c r="I106" s="5"/>
      <c r="J106" s="5"/>
      <c r="K106" s="5"/>
      <c r="L106" s="57"/>
      <c r="M106" s="5"/>
      <c r="N106" s="131"/>
    </row>
    <row r="107" spans="1:14" ht="12" customHeight="1">
      <c r="A107" s="8"/>
      <c r="B107" s="10"/>
      <c r="C107" s="10"/>
      <c r="D107" s="10"/>
      <c r="E107" s="10"/>
      <c r="F107" s="10"/>
      <c r="G107" s="10"/>
      <c r="H107" s="10"/>
      <c r="I107" s="10"/>
      <c r="J107" s="10"/>
      <c r="K107" s="10"/>
      <c r="L107" s="59"/>
      <c r="M107" s="10"/>
      <c r="N107" s="131"/>
    </row>
    <row r="108" spans="1:14" ht="15.75">
      <c r="A108" s="8"/>
      <c r="B108" s="58" t="s">
        <v>74</v>
      </c>
      <c r="C108" s="16"/>
      <c r="D108" s="10"/>
      <c r="E108" s="10"/>
      <c r="F108" s="10"/>
      <c r="G108" s="10"/>
      <c r="H108" s="10"/>
      <c r="I108" s="10"/>
      <c r="J108" s="10"/>
      <c r="K108" s="10"/>
      <c r="L108" s="59"/>
      <c r="M108" s="10"/>
      <c r="N108" s="131"/>
    </row>
    <row r="109" spans="1:14" ht="15.75">
      <c r="A109" s="8"/>
      <c r="B109" s="23"/>
      <c r="C109" s="16"/>
      <c r="D109" s="10"/>
      <c r="E109" s="10"/>
      <c r="F109" s="10"/>
      <c r="G109" s="10"/>
      <c r="H109" s="10"/>
      <c r="I109" s="10"/>
      <c r="J109" s="10"/>
      <c r="K109" s="10"/>
      <c r="L109" s="59"/>
      <c r="M109" s="10"/>
      <c r="N109" s="131"/>
    </row>
    <row r="110" spans="1:14" ht="15.75">
      <c r="A110" s="8"/>
      <c r="B110" s="167" t="s">
        <v>75</v>
      </c>
      <c r="C110" s="16"/>
      <c r="D110" s="10"/>
      <c r="E110" s="10"/>
      <c r="F110" s="10"/>
      <c r="G110" s="10"/>
      <c r="H110" s="10"/>
      <c r="I110" s="10"/>
      <c r="J110" s="10"/>
      <c r="K110" s="10"/>
      <c r="L110" s="59"/>
      <c r="M110" s="10"/>
      <c r="N110" s="131"/>
    </row>
    <row r="111" spans="1:14" ht="15.75">
      <c r="A111" s="27"/>
      <c r="B111" s="28" t="s">
        <v>76</v>
      </c>
      <c r="C111" s="28"/>
      <c r="D111" s="28"/>
      <c r="E111" s="28"/>
      <c r="F111" s="28"/>
      <c r="G111" s="28"/>
      <c r="H111" s="28"/>
      <c r="I111" s="28"/>
      <c r="J111" s="28"/>
      <c r="K111" s="28"/>
      <c r="L111" s="60">
        <v>4625</v>
      </c>
      <c r="M111" s="28"/>
      <c r="N111" s="131"/>
    </row>
    <row r="112" spans="1:14" ht="15.75">
      <c r="A112" s="27"/>
      <c r="B112" s="28" t="s">
        <v>77</v>
      </c>
      <c r="C112" s="28"/>
      <c r="D112" s="28"/>
      <c r="E112" s="28"/>
      <c r="F112" s="28"/>
      <c r="G112" s="28"/>
      <c r="H112" s="28"/>
      <c r="I112" s="28"/>
      <c r="J112" s="28"/>
      <c r="K112" s="28"/>
      <c r="L112" s="60">
        <v>4625</v>
      </c>
      <c r="M112" s="28"/>
      <c r="N112" s="131"/>
    </row>
    <row r="113" spans="1:14" ht="15.75">
      <c r="A113" s="27"/>
      <c r="B113" s="28" t="s">
        <v>78</v>
      </c>
      <c r="C113" s="28"/>
      <c r="D113" s="28"/>
      <c r="E113" s="28"/>
      <c r="F113" s="28"/>
      <c r="G113" s="28"/>
      <c r="H113" s="28"/>
      <c r="I113" s="28"/>
      <c r="J113" s="28"/>
      <c r="K113" s="28"/>
      <c r="L113" s="60">
        <v>0</v>
      </c>
      <c r="M113" s="28"/>
      <c r="N113" s="131"/>
    </row>
    <row r="114" spans="1:14" ht="15.75">
      <c r="A114" s="27"/>
      <c r="B114" s="28" t="s">
        <v>79</v>
      </c>
      <c r="C114" s="28"/>
      <c r="D114" s="28"/>
      <c r="E114" s="28"/>
      <c r="F114" s="28"/>
      <c r="G114" s="28"/>
      <c r="H114" s="28"/>
      <c r="I114" s="28"/>
      <c r="J114" s="28"/>
      <c r="K114" s="28"/>
      <c r="L114" s="60">
        <v>0</v>
      </c>
      <c r="M114" s="28"/>
      <c r="N114" s="131"/>
    </row>
    <row r="115" spans="1:14" ht="15.75">
      <c r="A115" s="27"/>
      <c r="B115" s="28" t="s">
        <v>80</v>
      </c>
      <c r="C115" s="28"/>
      <c r="D115" s="28"/>
      <c r="E115" s="28"/>
      <c r="F115" s="28"/>
      <c r="G115" s="28"/>
      <c r="H115" s="28"/>
      <c r="I115" s="28"/>
      <c r="J115" s="28"/>
      <c r="K115" s="28"/>
      <c r="L115" s="60">
        <v>0</v>
      </c>
      <c r="M115" s="28"/>
      <c r="N115" s="131"/>
    </row>
    <row r="116" spans="1:14" ht="15.75">
      <c r="A116" s="27"/>
      <c r="B116" s="28" t="s">
        <v>58</v>
      </c>
      <c r="C116" s="28"/>
      <c r="D116" s="28"/>
      <c r="E116" s="28"/>
      <c r="F116" s="28"/>
      <c r="G116" s="28"/>
      <c r="H116" s="28"/>
      <c r="I116" s="28"/>
      <c r="J116" s="28"/>
      <c r="K116" s="28"/>
      <c r="L116" s="60">
        <v>0</v>
      </c>
      <c r="M116" s="28"/>
      <c r="N116" s="131"/>
    </row>
    <row r="117" spans="1:14" ht="15.75">
      <c r="A117" s="27"/>
      <c r="B117" s="28" t="s">
        <v>59</v>
      </c>
      <c r="C117" s="28"/>
      <c r="D117" s="28"/>
      <c r="E117" s="28"/>
      <c r="F117" s="28"/>
      <c r="G117" s="28"/>
      <c r="H117" s="28"/>
      <c r="I117" s="28"/>
      <c r="J117" s="28"/>
      <c r="K117" s="28"/>
      <c r="L117" s="60">
        <v>0</v>
      </c>
      <c r="M117" s="28"/>
      <c r="N117" s="131"/>
    </row>
    <row r="118" spans="1:14" ht="15.75">
      <c r="A118" s="27"/>
      <c r="B118" s="28" t="s">
        <v>81</v>
      </c>
      <c r="C118" s="28"/>
      <c r="D118" s="28"/>
      <c r="E118" s="28"/>
      <c r="F118" s="28"/>
      <c r="G118" s="28"/>
      <c r="H118" s="28"/>
      <c r="I118" s="28"/>
      <c r="J118" s="28"/>
      <c r="K118" s="28"/>
      <c r="L118" s="60">
        <f>SUM(L112:L116)</f>
        <v>4625</v>
      </c>
      <c r="M118" s="28"/>
      <c r="N118" s="131"/>
    </row>
    <row r="119" spans="1:14" ht="15.75">
      <c r="A119" s="27"/>
      <c r="B119" s="28"/>
      <c r="C119" s="28"/>
      <c r="D119" s="28"/>
      <c r="E119" s="28"/>
      <c r="F119" s="28"/>
      <c r="G119" s="28"/>
      <c r="H119" s="28"/>
      <c r="I119" s="28"/>
      <c r="J119" s="28"/>
      <c r="K119" s="28"/>
      <c r="L119" s="68"/>
      <c r="M119" s="28"/>
      <c r="N119" s="131"/>
    </row>
    <row r="120" spans="1:14" ht="15.75">
      <c r="A120" s="8"/>
      <c r="B120" s="167" t="s">
        <v>82</v>
      </c>
      <c r="C120" s="10"/>
      <c r="D120" s="10"/>
      <c r="E120" s="10"/>
      <c r="F120" s="10"/>
      <c r="G120" s="10"/>
      <c r="H120" s="10"/>
      <c r="I120" s="10"/>
      <c r="J120" s="10"/>
      <c r="K120" s="10"/>
      <c r="L120" s="59"/>
      <c r="M120" s="10"/>
      <c r="N120" s="131"/>
    </row>
    <row r="121" spans="1:14" ht="15.75">
      <c r="A121" s="27"/>
      <c r="B121" s="28" t="s">
        <v>83</v>
      </c>
      <c r="C121" s="28"/>
      <c r="D121" s="69"/>
      <c r="E121" s="28"/>
      <c r="F121" s="28"/>
      <c r="G121" s="28"/>
      <c r="H121" s="28"/>
      <c r="I121" s="28"/>
      <c r="J121" s="28"/>
      <c r="K121" s="28"/>
      <c r="L121" s="70" t="s">
        <v>156</v>
      </c>
      <c r="M121" s="28"/>
      <c r="N121" s="131"/>
    </row>
    <row r="122" spans="1:14" ht="15.75">
      <c r="A122" s="27"/>
      <c r="B122" s="28" t="s">
        <v>84</v>
      </c>
      <c r="C122" s="30"/>
      <c r="D122" s="30"/>
      <c r="E122" s="30"/>
      <c r="F122" s="30"/>
      <c r="G122" s="30"/>
      <c r="H122" s="30"/>
      <c r="I122" s="30"/>
      <c r="J122" s="30"/>
      <c r="K122" s="30"/>
      <c r="L122" s="70" t="s">
        <v>156</v>
      </c>
      <c r="M122" s="28"/>
      <c r="N122" s="131"/>
    </row>
    <row r="123" spans="1:14" ht="15.75">
      <c r="A123" s="27"/>
      <c r="B123" s="28" t="s">
        <v>85</v>
      </c>
      <c r="C123" s="28"/>
      <c r="D123" s="28"/>
      <c r="E123" s="28"/>
      <c r="F123" s="28"/>
      <c r="G123" s="28"/>
      <c r="H123" s="28"/>
      <c r="I123" s="28"/>
      <c r="J123" s="28"/>
      <c r="K123" s="28"/>
      <c r="L123" s="70" t="s">
        <v>156</v>
      </c>
      <c r="M123" s="28"/>
      <c r="N123" s="131"/>
    </row>
    <row r="124" spans="1:14" ht="15.75">
      <c r="A124" s="27"/>
      <c r="B124" s="28" t="s">
        <v>86</v>
      </c>
      <c r="C124" s="28"/>
      <c r="D124" s="28"/>
      <c r="E124" s="28"/>
      <c r="F124" s="28"/>
      <c r="G124" s="28"/>
      <c r="H124" s="28"/>
      <c r="I124" s="28"/>
      <c r="J124" s="28"/>
      <c r="K124" s="28"/>
      <c r="L124" s="70" t="s">
        <v>156</v>
      </c>
      <c r="M124" s="28"/>
      <c r="N124" s="131"/>
    </row>
    <row r="125" spans="1:14" ht="15.75">
      <c r="A125" s="27"/>
      <c r="B125" s="28"/>
      <c r="C125" s="28"/>
      <c r="D125" s="28"/>
      <c r="E125" s="28"/>
      <c r="F125" s="28"/>
      <c r="G125" s="28"/>
      <c r="H125" s="28"/>
      <c r="I125" s="28"/>
      <c r="J125" s="28"/>
      <c r="K125" s="28"/>
      <c r="L125" s="68"/>
      <c r="M125" s="28"/>
      <c r="N125" s="131"/>
    </row>
    <row r="126" spans="1:14" ht="15.75">
      <c r="A126" s="8"/>
      <c r="B126" s="167" t="s">
        <v>87</v>
      </c>
      <c r="C126" s="16"/>
      <c r="D126" s="10"/>
      <c r="E126" s="10"/>
      <c r="F126" s="10"/>
      <c r="G126" s="10"/>
      <c r="H126" s="10"/>
      <c r="I126" s="10"/>
      <c r="J126" s="10"/>
      <c r="K126" s="10"/>
      <c r="L126" s="71"/>
      <c r="M126" s="10"/>
      <c r="N126" s="131"/>
    </row>
    <row r="127" spans="1:14" ht="15.75">
      <c r="A127" s="27"/>
      <c r="B127" s="28" t="s">
        <v>88</v>
      </c>
      <c r="C127" s="28"/>
      <c r="D127" s="28"/>
      <c r="E127" s="28"/>
      <c r="F127" s="28"/>
      <c r="G127" s="28"/>
      <c r="H127" s="28"/>
      <c r="I127" s="28"/>
      <c r="J127" s="28"/>
      <c r="K127" s="28"/>
      <c r="L127" s="60">
        <v>0</v>
      </c>
      <c r="M127" s="28"/>
      <c r="N127" s="131"/>
    </row>
    <row r="128" spans="1:14" ht="15.75">
      <c r="A128" s="27"/>
      <c r="B128" s="28" t="s">
        <v>89</v>
      </c>
      <c r="C128" s="28"/>
      <c r="D128" s="28"/>
      <c r="E128" s="28"/>
      <c r="F128" s="28"/>
      <c r="G128" s="28"/>
      <c r="H128" s="28"/>
      <c r="I128" s="28"/>
      <c r="J128" s="28"/>
      <c r="K128" s="28"/>
      <c r="L128" s="60">
        <v>30</v>
      </c>
      <c r="M128" s="28"/>
      <c r="N128" s="131"/>
    </row>
    <row r="129" spans="1:14" ht="15.75">
      <c r="A129" s="27"/>
      <c r="B129" s="28" t="s">
        <v>90</v>
      </c>
      <c r="C129" s="28"/>
      <c r="D129" s="28"/>
      <c r="E129" s="28"/>
      <c r="F129" s="28"/>
      <c r="G129" s="28"/>
      <c r="H129" s="28"/>
      <c r="I129" s="28"/>
      <c r="J129" s="28"/>
      <c r="K129" s="28"/>
      <c r="L129" s="60">
        <f>L128+L127</f>
        <v>30</v>
      </c>
      <c r="M129" s="28"/>
      <c r="N129" s="131"/>
    </row>
    <row r="130" spans="1:14" ht="15.75">
      <c r="A130" s="27"/>
      <c r="B130" s="28" t="s">
        <v>91</v>
      </c>
      <c r="C130" s="28"/>
      <c r="D130" s="28"/>
      <c r="E130" s="28"/>
      <c r="F130" s="28"/>
      <c r="G130" s="28"/>
      <c r="H130" s="72"/>
      <c r="I130" s="28"/>
      <c r="J130" s="28"/>
      <c r="K130" s="28"/>
      <c r="L130" s="60">
        <v>-30</v>
      </c>
      <c r="M130" s="28"/>
      <c r="N130" s="131"/>
    </row>
    <row r="131" spans="1:14" ht="15.75">
      <c r="A131" s="27"/>
      <c r="B131" s="28" t="s">
        <v>92</v>
      </c>
      <c r="C131" s="28"/>
      <c r="D131" s="28"/>
      <c r="E131" s="28"/>
      <c r="F131" s="28"/>
      <c r="G131" s="28"/>
      <c r="H131" s="28"/>
      <c r="I131" s="28"/>
      <c r="J131" s="28"/>
      <c r="K131" s="28"/>
      <c r="L131" s="60">
        <f>L129+L130</f>
        <v>0</v>
      </c>
      <c r="M131" s="28"/>
      <c r="N131" s="131"/>
    </row>
    <row r="132" spans="1:14" ht="7.5" customHeight="1">
      <c r="A132" s="27"/>
      <c r="B132" s="28"/>
      <c r="C132" s="28"/>
      <c r="D132" s="28"/>
      <c r="E132" s="28"/>
      <c r="F132" s="28"/>
      <c r="G132" s="28"/>
      <c r="H132" s="28"/>
      <c r="I132" s="28"/>
      <c r="J132" s="28"/>
      <c r="K132" s="28"/>
      <c r="L132" s="68"/>
      <c r="M132" s="28"/>
      <c r="N132" s="131"/>
    </row>
    <row r="133" spans="1:14" ht="6" customHeight="1">
      <c r="A133" s="2"/>
      <c r="B133" s="5"/>
      <c r="C133" s="5"/>
      <c r="D133" s="5"/>
      <c r="E133" s="5"/>
      <c r="F133" s="5"/>
      <c r="G133" s="5"/>
      <c r="H133" s="5"/>
      <c r="I133" s="5"/>
      <c r="J133" s="5"/>
      <c r="K133" s="5"/>
      <c r="L133" s="57"/>
      <c r="M133" s="5"/>
      <c r="N133" s="131"/>
    </row>
    <row r="134" spans="1:14" ht="15.75">
      <c r="A134" s="8"/>
      <c r="B134" s="167" t="s">
        <v>93</v>
      </c>
      <c r="C134" s="16"/>
      <c r="D134" s="10"/>
      <c r="E134" s="10"/>
      <c r="F134" s="10"/>
      <c r="G134" s="10"/>
      <c r="H134" s="10"/>
      <c r="I134" s="10"/>
      <c r="J134" s="10"/>
      <c r="K134" s="10"/>
      <c r="L134" s="59"/>
      <c r="M134" s="10"/>
      <c r="N134" s="131"/>
    </row>
    <row r="135" spans="1:14" ht="15.75">
      <c r="A135" s="8"/>
      <c r="B135" s="23"/>
      <c r="C135" s="16"/>
      <c r="D135" s="10"/>
      <c r="E135" s="10"/>
      <c r="F135" s="10"/>
      <c r="G135" s="10"/>
      <c r="H135" s="10"/>
      <c r="I135" s="10"/>
      <c r="J135" s="10"/>
      <c r="K135" s="10"/>
      <c r="L135" s="59"/>
      <c r="M135" s="10"/>
      <c r="N135" s="131"/>
    </row>
    <row r="136" spans="1:14" ht="15.75">
      <c r="A136" s="27"/>
      <c r="B136" s="28" t="s">
        <v>94</v>
      </c>
      <c r="C136" s="73"/>
      <c r="D136" s="28"/>
      <c r="E136" s="28"/>
      <c r="F136" s="28"/>
      <c r="G136" s="28"/>
      <c r="H136" s="28"/>
      <c r="I136" s="28"/>
      <c r="J136" s="28"/>
      <c r="K136" s="28"/>
      <c r="L136" s="60">
        <f>L59</f>
        <v>147436</v>
      </c>
      <c r="M136" s="28"/>
      <c r="N136" s="131"/>
    </row>
    <row r="137" spans="1:14" ht="15.75">
      <c r="A137" s="27"/>
      <c r="B137" s="28" t="s">
        <v>95</v>
      </c>
      <c r="C137" s="73"/>
      <c r="D137" s="28"/>
      <c r="E137" s="28"/>
      <c r="F137" s="28"/>
      <c r="G137" s="28"/>
      <c r="H137" s="28"/>
      <c r="I137" s="28"/>
      <c r="J137" s="28"/>
      <c r="K137" s="28"/>
      <c r="L137" s="60">
        <f>L71</f>
        <v>147466</v>
      </c>
      <c r="M137" s="28"/>
      <c r="N137" s="131"/>
    </row>
    <row r="138" spans="1:14" ht="7.5" customHeight="1">
      <c r="A138" s="27"/>
      <c r="B138" s="28"/>
      <c r="C138" s="28"/>
      <c r="D138" s="28"/>
      <c r="E138" s="28"/>
      <c r="F138" s="28"/>
      <c r="G138" s="28"/>
      <c r="H138" s="28"/>
      <c r="I138" s="28"/>
      <c r="J138" s="28"/>
      <c r="K138" s="28"/>
      <c r="L138" s="68"/>
      <c r="M138" s="28"/>
      <c r="N138" s="131"/>
    </row>
    <row r="139" spans="1:14" ht="15.75">
      <c r="A139" s="2"/>
      <c r="B139" s="5"/>
      <c r="C139" s="5"/>
      <c r="D139" s="5"/>
      <c r="E139" s="5"/>
      <c r="F139" s="5"/>
      <c r="G139" s="5"/>
      <c r="H139" s="5"/>
      <c r="I139" s="5"/>
      <c r="J139" s="5"/>
      <c r="K139" s="5"/>
      <c r="L139" s="57"/>
      <c r="M139" s="5"/>
      <c r="N139" s="131"/>
    </row>
    <row r="140" spans="1:14" ht="15.75">
      <c r="A140" s="132"/>
      <c r="B140" s="167" t="s">
        <v>96</v>
      </c>
      <c r="C140" s="154"/>
      <c r="D140" s="154"/>
      <c r="E140" s="154"/>
      <c r="F140" s="154"/>
      <c r="G140" s="154"/>
      <c r="H140" s="168" t="s">
        <v>171</v>
      </c>
      <c r="I140" s="168"/>
      <c r="J140" s="168" t="s">
        <v>178</v>
      </c>
      <c r="K140" s="154"/>
      <c r="L140" s="169" t="s">
        <v>191</v>
      </c>
      <c r="M140" s="12"/>
      <c r="N140" s="131"/>
    </row>
    <row r="141" spans="1:14" ht="15.75">
      <c r="A141" s="27"/>
      <c r="B141" s="28" t="s">
        <v>97</v>
      </c>
      <c r="C141" s="28"/>
      <c r="D141" s="28"/>
      <c r="E141" s="28"/>
      <c r="F141" s="28"/>
      <c r="G141" s="28"/>
      <c r="H141" s="60">
        <v>20000</v>
      </c>
      <c r="I141" s="28"/>
      <c r="J141" s="47"/>
      <c r="K141" s="28"/>
      <c r="L141" s="60"/>
      <c r="M141" s="28"/>
      <c r="N141" s="131"/>
    </row>
    <row r="142" spans="1:14" ht="15.75">
      <c r="A142" s="27"/>
      <c r="B142" s="28" t="s">
        <v>98</v>
      </c>
      <c r="C142" s="28"/>
      <c r="D142" s="28"/>
      <c r="E142" s="28"/>
      <c r="F142" s="28"/>
      <c r="G142" s="28"/>
      <c r="H142" s="60">
        <v>13899</v>
      </c>
      <c r="I142" s="28"/>
      <c r="J142" s="28">
        <v>544</v>
      </c>
      <c r="K142" s="28"/>
      <c r="L142" s="60">
        <f>J142+H142</f>
        <v>14443</v>
      </c>
      <c r="M142" s="28"/>
      <c r="N142" s="131"/>
    </row>
    <row r="143" spans="1:14" ht="15.75">
      <c r="A143" s="27"/>
      <c r="B143" s="28" t="s">
        <v>99</v>
      </c>
      <c r="C143" s="28"/>
      <c r="D143" s="28"/>
      <c r="E143" s="28"/>
      <c r="F143" s="28"/>
      <c r="G143" s="28"/>
      <c r="H143" s="38">
        <v>1592</v>
      </c>
      <c r="I143" s="28"/>
      <c r="J143" s="28">
        <v>3</v>
      </c>
      <c r="K143" s="28"/>
      <c r="L143" s="60">
        <f>J143+H143</f>
        <v>1595</v>
      </c>
      <c r="M143" s="28"/>
      <c r="N143" s="131"/>
    </row>
    <row r="144" spans="1:14" ht="15.75">
      <c r="A144" s="27"/>
      <c r="B144" s="28" t="s">
        <v>100</v>
      </c>
      <c r="C144" s="28"/>
      <c r="D144" s="28"/>
      <c r="E144" s="28"/>
      <c r="F144" s="28"/>
      <c r="G144" s="28"/>
      <c r="H144" s="60">
        <f>H142+H143</f>
        <v>15491</v>
      </c>
      <c r="I144" s="28"/>
      <c r="J144" s="60">
        <f>J143+J142</f>
        <v>547</v>
      </c>
      <c r="K144" s="28"/>
      <c r="L144" s="60">
        <f>J144+H144</f>
        <v>16038</v>
      </c>
      <c r="M144" s="28"/>
      <c r="N144" s="131"/>
    </row>
    <row r="145" spans="1:14" ht="15.75">
      <c r="A145" s="27"/>
      <c r="B145" s="28" t="s">
        <v>101</v>
      </c>
      <c r="C145" s="28"/>
      <c r="D145" s="28"/>
      <c r="E145" s="28"/>
      <c r="F145" s="28"/>
      <c r="G145" s="28"/>
      <c r="H145" s="60">
        <f>H141-H144-J144</f>
        <v>3962</v>
      </c>
      <c r="I145" s="28"/>
      <c r="J145" s="47"/>
      <c r="K145" s="28"/>
      <c r="L145" s="60"/>
      <c r="M145" s="28"/>
      <c r="N145" s="131"/>
    </row>
    <row r="146" spans="1:14" ht="7.5" customHeight="1">
      <c r="A146" s="27"/>
      <c r="B146" s="28"/>
      <c r="C146" s="28"/>
      <c r="D146" s="28"/>
      <c r="E146" s="28"/>
      <c r="F146" s="28"/>
      <c r="G146" s="28"/>
      <c r="H146" s="28"/>
      <c r="I146" s="28"/>
      <c r="J146" s="28"/>
      <c r="K146" s="28"/>
      <c r="L146" s="68"/>
      <c r="M146" s="28"/>
      <c r="N146" s="131"/>
    </row>
    <row r="147" spans="1:14" ht="9" customHeight="1">
      <c r="A147" s="2"/>
      <c r="B147" s="5"/>
      <c r="C147" s="5"/>
      <c r="D147" s="5"/>
      <c r="E147" s="5"/>
      <c r="F147" s="5"/>
      <c r="G147" s="5"/>
      <c r="H147" s="5"/>
      <c r="I147" s="5"/>
      <c r="J147" s="5"/>
      <c r="K147" s="5"/>
      <c r="L147" s="57"/>
      <c r="M147" s="5"/>
      <c r="N147" s="131"/>
    </row>
    <row r="148" spans="1:14" ht="15.75">
      <c r="A148" s="8"/>
      <c r="B148" s="167" t="s">
        <v>102</v>
      </c>
      <c r="C148" s="16"/>
      <c r="D148" s="10"/>
      <c r="E148" s="10"/>
      <c r="F148" s="10"/>
      <c r="G148" s="10"/>
      <c r="H148" s="10"/>
      <c r="I148" s="10"/>
      <c r="J148" s="10"/>
      <c r="K148" s="10"/>
      <c r="L148" s="74"/>
      <c r="M148" s="10"/>
      <c r="N148" s="131"/>
    </row>
    <row r="149" spans="1:14" ht="15.75">
      <c r="A149" s="27"/>
      <c r="B149" s="28" t="s">
        <v>103</v>
      </c>
      <c r="C149" s="28"/>
      <c r="D149" s="28"/>
      <c r="E149" s="28"/>
      <c r="F149" s="28"/>
      <c r="G149" s="28"/>
      <c r="H149" s="28"/>
      <c r="I149" s="28"/>
      <c r="J149" s="28"/>
      <c r="K149" s="28"/>
      <c r="L149" s="67">
        <f>(L81+L83+L84+L85+L86)/-L87</f>
        <v>1.5563186813186813</v>
      </c>
      <c r="M149" s="28" t="s">
        <v>192</v>
      </c>
      <c r="N149" s="131"/>
    </row>
    <row r="150" spans="1:14" ht="15.75">
      <c r="A150" s="27"/>
      <c r="B150" s="28" t="s">
        <v>104</v>
      </c>
      <c r="C150" s="28"/>
      <c r="D150" s="28"/>
      <c r="E150" s="28"/>
      <c r="F150" s="28"/>
      <c r="G150" s="28"/>
      <c r="H150" s="28"/>
      <c r="I150" s="28"/>
      <c r="J150" s="28"/>
      <c r="K150" s="28"/>
      <c r="L150" s="67">
        <v>1.38</v>
      </c>
      <c r="M150" s="28" t="s">
        <v>192</v>
      </c>
      <c r="N150" s="131"/>
    </row>
    <row r="151" spans="1:14" ht="15.75">
      <c r="A151" s="27"/>
      <c r="B151" s="28" t="s">
        <v>105</v>
      </c>
      <c r="C151" s="28"/>
      <c r="D151" s="28"/>
      <c r="E151" s="28"/>
      <c r="F151" s="28"/>
      <c r="G151" s="28"/>
      <c r="H151" s="28"/>
      <c r="I151" s="28"/>
      <c r="J151" s="28"/>
      <c r="K151" s="28"/>
      <c r="L151" s="67">
        <f>(L81+SUM(L83:L87))/-L88</f>
        <v>3.9901477832512313</v>
      </c>
      <c r="M151" s="28" t="s">
        <v>192</v>
      </c>
      <c r="N151" s="131"/>
    </row>
    <row r="152" spans="1:14" ht="15.75">
      <c r="A152" s="27"/>
      <c r="B152" s="28" t="s">
        <v>106</v>
      </c>
      <c r="C152" s="28"/>
      <c r="D152" s="28"/>
      <c r="E152" s="28"/>
      <c r="F152" s="28"/>
      <c r="G152" s="28"/>
      <c r="H152" s="28"/>
      <c r="I152" s="28"/>
      <c r="J152" s="28"/>
      <c r="K152" s="28"/>
      <c r="L152" s="75">
        <v>3.15</v>
      </c>
      <c r="M152" s="28" t="s">
        <v>192</v>
      </c>
      <c r="N152" s="131"/>
    </row>
    <row r="153" spans="1:14" ht="7.5" customHeight="1">
      <c r="A153" s="27"/>
      <c r="B153" s="28"/>
      <c r="C153" s="28"/>
      <c r="D153" s="28"/>
      <c r="E153" s="28"/>
      <c r="F153" s="28"/>
      <c r="G153" s="28"/>
      <c r="H153" s="28"/>
      <c r="I153" s="28"/>
      <c r="J153" s="28"/>
      <c r="K153" s="28"/>
      <c r="L153" s="28"/>
      <c r="M153" s="28"/>
      <c r="N153" s="131"/>
    </row>
    <row r="154" spans="1:14" ht="15.75">
      <c r="A154" s="8"/>
      <c r="B154" s="15"/>
      <c r="C154" s="15"/>
      <c r="D154" s="15"/>
      <c r="E154" s="15"/>
      <c r="F154" s="15"/>
      <c r="G154" s="15"/>
      <c r="H154" s="15"/>
      <c r="I154" s="15"/>
      <c r="J154" s="15"/>
      <c r="K154" s="15"/>
      <c r="L154" s="15"/>
      <c r="M154" s="15"/>
      <c r="N154" s="131"/>
    </row>
    <row r="155" spans="1:14" ht="15.75">
      <c r="A155" s="8"/>
      <c r="B155" s="15"/>
      <c r="C155" s="15"/>
      <c r="D155" s="15"/>
      <c r="E155" s="15"/>
      <c r="F155" s="15"/>
      <c r="G155" s="15"/>
      <c r="H155" s="15"/>
      <c r="I155" s="15"/>
      <c r="J155" s="15"/>
      <c r="K155" s="15"/>
      <c r="L155" s="15"/>
      <c r="M155" s="15"/>
      <c r="N155" s="131"/>
    </row>
    <row r="156" spans="1:14" ht="19.5" thickBot="1">
      <c r="A156" s="138"/>
      <c r="B156" s="139" t="s">
        <v>210</v>
      </c>
      <c r="C156" s="144"/>
      <c r="D156" s="144"/>
      <c r="E156" s="144"/>
      <c r="F156" s="144"/>
      <c r="G156" s="144"/>
      <c r="H156" s="144"/>
      <c r="I156" s="144"/>
      <c r="J156" s="144"/>
      <c r="K156" s="144"/>
      <c r="L156" s="144"/>
      <c r="M156" s="145"/>
      <c r="N156" s="131"/>
    </row>
    <row r="157" spans="1:14" ht="15.75">
      <c r="A157" s="133"/>
      <c r="B157" s="77" t="s">
        <v>107</v>
      </c>
      <c r="C157" s="78"/>
      <c r="D157" s="78"/>
      <c r="E157" s="78"/>
      <c r="F157" s="78"/>
      <c r="G157" s="79"/>
      <c r="H157" s="79"/>
      <c r="I157" s="79"/>
      <c r="J157" s="79">
        <v>37346</v>
      </c>
      <c r="K157" s="80"/>
      <c r="L157" s="5"/>
      <c r="M157" s="5"/>
      <c r="N157" s="131"/>
    </row>
    <row r="158" spans="1:14" ht="15.75">
      <c r="A158" s="82"/>
      <c r="B158" s="83"/>
      <c r="C158" s="84"/>
      <c r="D158" s="84"/>
      <c r="E158" s="84"/>
      <c r="F158" s="84"/>
      <c r="G158" s="85"/>
      <c r="H158" s="85"/>
      <c r="I158" s="85"/>
      <c r="J158" s="85"/>
      <c r="K158" s="10"/>
      <c r="L158" s="10"/>
      <c r="M158" s="10"/>
      <c r="N158" s="131"/>
    </row>
    <row r="159" spans="1:14" ht="15.75">
      <c r="A159" s="86"/>
      <c r="B159" s="87" t="s">
        <v>108</v>
      </c>
      <c r="C159" s="88"/>
      <c r="D159" s="88"/>
      <c r="E159" s="88"/>
      <c r="F159" s="88"/>
      <c r="G159" s="72"/>
      <c r="H159" s="72"/>
      <c r="I159" s="72"/>
      <c r="J159" s="89">
        <v>0.0714</v>
      </c>
      <c r="K159" s="28"/>
      <c r="L159" s="28"/>
      <c r="M159" s="28"/>
      <c r="N159" s="131"/>
    </row>
    <row r="160" spans="1:14" ht="15.75">
      <c r="A160" s="86"/>
      <c r="B160" s="87" t="s">
        <v>109</v>
      </c>
      <c r="C160" s="88"/>
      <c r="D160" s="88"/>
      <c r="E160" s="88"/>
      <c r="F160" s="88"/>
      <c r="G160" s="72"/>
      <c r="H160" s="72"/>
      <c r="I160" s="72"/>
      <c r="J160" s="46">
        <v>0.0553</v>
      </c>
      <c r="K160" s="28"/>
      <c r="L160" s="28"/>
      <c r="M160" s="28"/>
      <c r="N160" s="131"/>
    </row>
    <row r="161" spans="1:14" ht="15.75">
      <c r="A161" s="86"/>
      <c r="B161" s="87" t="s">
        <v>110</v>
      </c>
      <c r="C161" s="88"/>
      <c r="D161" s="88"/>
      <c r="E161" s="88"/>
      <c r="F161" s="88"/>
      <c r="G161" s="72"/>
      <c r="H161" s="72"/>
      <c r="I161" s="72"/>
      <c r="J161" s="89">
        <f>J159-J160</f>
        <v>0.016100000000000003</v>
      </c>
      <c r="K161" s="28"/>
      <c r="L161" s="28"/>
      <c r="M161" s="28"/>
      <c r="N161" s="131"/>
    </row>
    <row r="162" spans="1:14" ht="15.75">
      <c r="A162" s="86"/>
      <c r="B162" s="87" t="s">
        <v>111</v>
      </c>
      <c r="C162" s="88"/>
      <c r="D162" s="88"/>
      <c r="E162" s="88"/>
      <c r="F162" s="88"/>
      <c r="G162" s="72"/>
      <c r="H162" s="72"/>
      <c r="I162" s="72"/>
      <c r="J162" s="89">
        <v>0.0642</v>
      </c>
      <c r="K162" s="28"/>
      <c r="L162" s="28"/>
      <c r="M162" s="28"/>
      <c r="N162" s="131"/>
    </row>
    <row r="163" spans="1:14" ht="15.75">
      <c r="A163" s="86"/>
      <c r="B163" s="87" t="s">
        <v>112</v>
      </c>
      <c r="C163" s="88"/>
      <c r="D163" s="88"/>
      <c r="E163" s="88"/>
      <c r="F163" s="88"/>
      <c r="G163" s="72"/>
      <c r="H163" s="72"/>
      <c r="I163" s="72"/>
      <c r="J163" s="89">
        <f>L33</f>
        <v>0.0438259676282216</v>
      </c>
      <c r="K163" s="28"/>
      <c r="L163" s="28"/>
      <c r="M163" s="28"/>
      <c r="N163" s="131"/>
    </row>
    <row r="164" spans="1:14" ht="15.75">
      <c r="A164" s="86"/>
      <c r="B164" s="87" t="s">
        <v>113</v>
      </c>
      <c r="C164" s="88"/>
      <c r="D164" s="88"/>
      <c r="E164" s="88"/>
      <c r="F164" s="88"/>
      <c r="G164" s="72"/>
      <c r="H164" s="72"/>
      <c r="I164" s="72"/>
      <c r="J164" s="89">
        <f>J162-J163</f>
        <v>0.020374032371778393</v>
      </c>
      <c r="K164" s="28"/>
      <c r="L164" s="28"/>
      <c r="M164" s="28"/>
      <c r="N164" s="131"/>
    </row>
    <row r="165" spans="1:14" ht="15.75">
      <c r="A165" s="86"/>
      <c r="B165" s="87" t="s">
        <v>114</v>
      </c>
      <c r="C165" s="88"/>
      <c r="D165" s="88"/>
      <c r="E165" s="88"/>
      <c r="F165" s="88"/>
      <c r="G165" s="72"/>
      <c r="H165" s="72"/>
      <c r="I165" s="72"/>
      <c r="J165" s="90" t="s">
        <v>179</v>
      </c>
      <c r="K165" s="28"/>
      <c r="L165" s="28"/>
      <c r="M165" s="28"/>
      <c r="N165" s="131"/>
    </row>
    <row r="166" spans="1:14" ht="15.75">
      <c r="A166" s="86"/>
      <c r="B166" s="87" t="s">
        <v>115</v>
      </c>
      <c r="C166" s="88"/>
      <c r="D166" s="88"/>
      <c r="E166" s="88"/>
      <c r="F166" s="88"/>
      <c r="G166" s="72"/>
      <c r="H166" s="72"/>
      <c r="I166" s="72"/>
      <c r="J166" s="90" t="s">
        <v>180</v>
      </c>
      <c r="K166" s="28"/>
      <c r="L166" s="28"/>
      <c r="M166" s="28"/>
      <c r="N166" s="131"/>
    </row>
    <row r="167" spans="1:14" ht="15.75">
      <c r="A167" s="86"/>
      <c r="B167" s="87" t="s">
        <v>116</v>
      </c>
      <c r="C167" s="88"/>
      <c r="D167" s="88"/>
      <c r="E167" s="88"/>
      <c r="F167" s="88"/>
      <c r="G167" s="72"/>
      <c r="H167" s="72"/>
      <c r="I167" s="72"/>
      <c r="J167" s="91">
        <v>18.53</v>
      </c>
      <c r="K167" s="28" t="s">
        <v>184</v>
      </c>
      <c r="L167" s="28"/>
      <c r="M167" s="28"/>
      <c r="N167" s="131"/>
    </row>
    <row r="168" spans="1:14" ht="15.75">
      <c r="A168" s="86"/>
      <c r="B168" s="87" t="s">
        <v>117</v>
      </c>
      <c r="C168" s="88"/>
      <c r="D168" s="88"/>
      <c r="E168" s="88"/>
      <c r="F168" s="88"/>
      <c r="G168" s="72"/>
      <c r="H168" s="72"/>
      <c r="I168" s="72"/>
      <c r="J168" s="91">
        <v>16.14</v>
      </c>
      <c r="K168" s="28" t="s">
        <v>184</v>
      </c>
      <c r="L168" s="28"/>
      <c r="M168" s="28"/>
      <c r="N168" s="131"/>
    </row>
    <row r="169" spans="1:14" ht="15.75">
      <c r="A169" s="86"/>
      <c r="B169" s="87" t="s">
        <v>118</v>
      </c>
      <c r="C169" s="88"/>
      <c r="D169" s="88"/>
      <c r="E169" s="88"/>
      <c r="F169" s="88"/>
      <c r="G169" s="72"/>
      <c r="H169" s="72"/>
      <c r="I169" s="72"/>
      <c r="J169" s="89">
        <f>F56/Dec01!L56</f>
        <v>0.04977814843531121</v>
      </c>
      <c r="K169" s="28"/>
      <c r="L169" s="28"/>
      <c r="M169" s="28"/>
      <c r="N169" s="131"/>
    </row>
    <row r="170" spans="1:14" ht="15.75">
      <c r="A170" s="86"/>
      <c r="B170" s="87" t="s">
        <v>119</v>
      </c>
      <c r="C170" s="88"/>
      <c r="D170" s="88"/>
      <c r="E170" s="88"/>
      <c r="F170" s="88"/>
      <c r="G170" s="72"/>
      <c r="H170" s="72"/>
      <c r="I170" s="72"/>
      <c r="J170" s="89">
        <v>0.1112</v>
      </c>
      <c r="K170" s="28"/>
      <c r="L170" s="28"/>
      <c r="M170" s="28"/>
      <c r="N170" s="131"/>
    </row>
    <row r="171" spans="1:14" ht="15.75">
      <c r="A171" s="86"/>
      <c r="B171" s="87"/>
      <c r="C171" s="87"/>
      <c r="D171" s="87"/>
      <c r="E171" s="87"/>
      <c r="F171" s="87"/>
      <c r="G171" s="28"/>
      <c r="H171" s="28"/>
      <c r="I171" s="28"/>
      <c r="J171" s="68"/>
      <c r="K171" s="28"/>
      <c r="L171" s="92"/>
      <c r="M171" s="28"/>
      <c r="N171" s="131"/>
    </row>
    <row r="172" spans="1:14" ht="15.75">
      <c r="A172" s="93"/>
      <c r="B172" s="17" t="s">
        <v>120</v>
      </c>
      <c r="C172" s="20"/>
      <c r="D172" s="94"/>
      <c r="E172" s="20"/>
      <c r="F172" s="94"/>
      <c r="G172" s="20"/>
      <c r="H172" s="94"/>
      <c r="I172" s="20" t="s">
        <v>172</v>
      </c>
      <c r="J172" s="94" t="s">
        <v>181</v>
      </c>
      <c r="K172" s="18"/>
      <c r="L172" s="18"/>
      <c r="M172" s="10"/>
      <c r="N172" s="131"/>
    </row>
    <row r="173" spans="1:14" ht="15.75">
      <c r="A173" s="95"/>
      <c r="B173" s="87" t="s">
        <v>121</v>
      </c>
      <c r="C173" s="61"/>
      <c r="D173" s="61"/>
      <c r="E173" s="61"/>
      <c r="F173" s="28"/>
      <c r="G173" s="28"/>
      <c r="H173" s="28"/>
      <c r="I173" s="31">
        <v>29</v>
      </c>
      <c r="J173" s="96">
        <v>991</v>
      </c>
      <c r="K173" s="28"/>
      <c r="L173" s="92"/>
      <c r="M173" s="97"/>
      <c r="N173" s="131"/>
    </row>
    <row r="174" spans="1:14" ht="15.75">
      <c r="A174" s="95"/>
      <c r="B174" s="87" t="s">
        <v>122</v>
      </c>
      <c r="C174" s="61"/>
      <c r="D174" s="61"/>
      <c r="E174" s="61"/>
      <c r="F174" s="28"/>
      <c r="G174" s="28"/>
      <c r="H174" s="28"/>
      <c r="I174" s="31">
        <v>0</v>
      </c>
      <c r="J174" s="96">
        <v>0</v>
      </c>
      <c r="K174" s="28"/>
      <c r="L174" s="92"/>
      <c r="M174" s="97"/>
      <c r="N174" s="131"/>
    </row>
    <row r="175" spans="1:14" ht="15.75">
      <c r="A175" s="95"/>
      <c r="B175" s="170" t="s">
        <v>123</v>
      </c>
      <c r="C175" s="61"/>
      <c r="D175" s="61"/>
      <c r="E175" s="61"/>
      <c r="F175" s="28"/>
      <c r="G175" s="28"/>
      <c r="H175" s="28"/>
      <c r="I175" s="28"/>
      <c r="J175" s="96">
        <v>0</v>
      </c>
      <c r="K175" s="28"/>
      <c r="L175" s="92"/>
      <c r="M175" s="97"/>
      <c r="N175" s="131"/>
    </row>
    <row r="176" spans="1:14" ht="15.75">
      <c r="A176" s="95"/>
      <c r="B176" s="170" t="s">
        <v>124</v>
      </c>
      <c r="C176" s="61"/>
      <c r="D176" s="61"/>
      <c r="E176" s="61"/>
      <c r="F176" s="28"/>
      <c r="G176" s="28"/>
      <c r="H176" s="28"/>
      <c r="I176" s="28"/>
      <c r="J176" s="96">
        <v>22352</v>
      </c>
      <c r="K176" s="28"/>
      <c r="L176" s="92"/>
      <c r="M176" s="97"/>
      <c r="N176" s="131"/>
    </row>
    <row r="177" spans="1:14" ht="15.75">
      <c r="A177" s="98"/>
      <c r="B177" s="170" t="s">
        <v>125</v>
      </c>
      <c r="C177" s="61"/>
      <c r="D177" s="87"/>
      <c r="E177" s="87"/>
      <c r="F177" s="87"/>
      <c r="G177" s="28"/>
      <c r="H177" s="28"/>
      <c r="I177" s="28"/>
      <c r="J177" s="96">
        <v>0</v>
      </c>
      <c r="K177" s="28"/>
      <c r="L177" s="92"/>
      <c r="M177" s="99"/>
      <c r="N177" s="131"/>
    </row>
    <row r="178" spans="1:14" ht="15.75">
      <c r="A178" s="95"/>
      <c r="B178" s="87" t="s">
        <v>126</v>
      </c>
      <c r="C178" s="61"/>
      <c r="D178" s="61"/>
      <c r="E178" s="61"/>
      <c r="F178" s="61"/>
      <c r="G178" s="28"/>
      <c r="H178" s="28"/>
      <c r="I178" s="28">
        <v>2</v>
      </c>
      <c r="J178" s="96">
        <v>30</v>
      </c>
      <c r="K178" s="28"/>
      <c r="L178" s="92"/>
      <c r="M178" s="99"/>
      <c r="N178" s="131"/>
    </row>
    <row r="179" spans="1:14" ht="15.75">
      <c r="A179" s="95"/>
      <c r="B179" s="87" t="s">
        <v>127</v>
      </c>
      <c r="C179" s="61"/>
      <c r="D179" s="61"/>
      <c r="E179" s="61"/>
      <c r="F179" s="61"/>
      <c r="G179" s="28"/>
      <c r="H179" s="28"/>
      <c r="I179" s="28">
        <v>2</v>
      </c>
      <c r="J179" s="96">
        <v>30</v>
      </c>
      <c r="K179" s="28"/>
      <c r="L179" s="92"/>
      <c r="M179" s="99"/>
      <c r="N179" s="131"/>
    </row>
    <row r="180" spans="1:14" ht="15.75">
      <c r="A180" s="95"/>
      <c r="B180" s="87" t="s">
        <v>204</v>
      </c>
      <c r="C180" s="61"/>
      <c r="D180" s="61"/>
      <c r="E180" s="61"/>
      <c r="F180" s="61"/>
      <c r="G180" s="28"/>
      <c r="H180" s="28"/>
      <c r="I180" s="28"/>
      <c r="J180" s="96">
        <v>0</v>
      </c>
      <c r="K180" s="28"/>
      <c r="L180" s="92"/>
      <c r="M180" s="99"/>
      <c r="N180" s="131"/>
    </row>
    <row r="181" spans="1:14" ht="15.75">
      <c r="A181" s="98"/>
      <c r="B181" s="170" t="s">
        <v>128</v>
      </c>
      <c r="C181" s="61"/>
      <c r="D181" s="87"/>
      <c r="E181" s="87"/>
      <c r="F181" s="87"/>
      <c r="G181" s="28"/>
      <c r="H181" s="28"/>
      <c r="I181" s="28"/>
      <c r="J181" s="96"/>
      <c r="K181" s="28"/>
      <c r="L181" s="92"/>
      <c r="M181" s="99"/>
      <c r="N181" s="131"/>
    </row>
    <row r="182" spans="1:14" ht="15.75">
      <c r="A182" s="98"/>
      <c r="B182" s="87" t="s">
        <v>129</v>
      </c>
      <c r="C182" s="61"/>
      <c r="D182" s="87"/>
      <c r="E182" s="87"/>
      <c r="F182" s="87"/>
      <c r="G182" s="28"/>
      <c r="H182" s="28"/>
      <c r="I182" s="28"/>
      <c r="J182" s="96">
        <v>2</v>
      </c>
      <c r="K182" s="28"/>
      <c r="L182" s="92"/>
      <c r="M182" s="99"/>
      <c r="N182" s="131"/>
    </row>
    <row r="183" spans="1:14" ht="15.75">
      <c r="A183" s="95"/>
      <c r="B183" s="87" t="s">
        <v>130</v>
      </c>
      <c r="C183" s="61"/>
      <c r="D183" s="100"/>
      <c r="E183" s="100"/>
      <c r="F183" s="101"/>
      <c r="G183" s="28"/>
      <c r="H183" s="28"/>
      <c r="I183" s="28"/>
      <c r="J183" s="96">
        <v>7</v>
      </c>
      <c r="K183" s="28"/>
      <c r="L183" s="92"/>
      <c r="M183" s="99"/>
      <c r="N183" s="131"/>
    </row>
    <row r="184" spans="1:14" ht="15.75">
      <c r="A184" s="95"/>
      <c r="B184" s="87" t="s">
        <v>131</v>
      </c>
      <c r="C184" s="61"/>
      <c r="D184" s="100"/>
      <c r="E184" s="100"/>
      <c r="F184" s="101"/>
      <c r="G184" s="28"/>
      <c r="H184" s="28"/>
      <c r="I184" s="28"/>
      <c r="J184" s="96">
        <v>0</v>
      </c>
      <c r="K184" s="28"/>
      <c r="L184" s="92"/>
      <c r="M184" s="99"/>
      <c r="N184" s="131"/>
    </row>
    <row r="185" spans="1:14" ht="15.75">
      <c r="A185" s="95"/>
      <c r="B185" s="87" t="s">
        <v>132</v>
      </c>
      <c r="C185" s="61"/>
      <c r="D185" s="102"/>
      <c r="E185" s="100"/>
      <c r="F185" s="101"/>
      <c r="G185" s="28"/>
      <c r="H185" s="28"/>
      <c r="I185" s="28"/>
      <c r="J185" s="103">
        <v>0.25</v>
      </c>
      <c r="K185" s="28"/>
      <c r="L185" s="92"/>
      <c r="M185" s="99"/>
      <c r="N185" s="131"/>
    </row>
    <row r="186" spans="1:14" ht="15.75">
      <c r="A186" s="95"/>
      <c r="B186" s="87"/>
      <c r="C186" s="61"/>
      <c r="D186" s="102"/>
      <c r="E186" s="100"/>
      <c r="F186" s="101"/>
      <c r="G186" s="28"/>
      <c r="H186" s="28"/>
      <c r="I186" s="28"/>
      <c r="J186" s="103"/>
      <c r="K186" s="28"/>
      <c r="L186" s="92"/>
      <c r="M186" s="99"/>
      <c r="N186" s="131"/>
    </row>
    <row r="187" spans="1:14" ht="15.75">
      <c r="A187" s="8"/>
      <c r="B187" s="17" t="s">
        <v>133</v>
      </c>
      <c r="C187" s="20"/>
      <c r="D187" s="94"/>
      <c r="E187" s="20"/>
      <c r="F187" s="94"/>
      <c r="G187" s="20"/>
      <c r="H187" s="94" t="s">
        <v>172</v>
      </c>
      <c r="I187" s="20" t="s">
        <v>173</v>
      </c>
      <c r="J187" s="94" t="s">
        <v>182</v>
      </c>
      <c r="K187" s="20" t="s">
        <v>173</v>
      </c>
      <c r="L187" s="18"/>
      <c r="M187" s="104"/>
      <c r="N187" s="131"/>
    </row>
    <row r="188" spans="1:14" ht="15.75">
      <c r="A188" s="27"/>
      <c r="B188" s="61" t="s">
        <v>134</v>
      </c>
      <c r="C188" s="105"/>
      <c r="D188" s="61"/>
      <c r="E188" s="105"/>
      <c r="F188" s="28"/>
      <c r="G188" s="105"/>
      <c r="H188" s="61">
        <v>2863</v>
      </c>
      <c r="I188" s="105">
        <f>H188/H194</f>
        <v>0.9678837052062205</v>
      </c>
      <c r="J188" s="60">
        <v>143727</v>
      </c>
      <c r="K188" s="106">
        <f>J188/J194</f>
        <v>0.9748367099167781</v>
      </c>
      <c r="L188" s="92"/>
      <c r="M188" s="99"/>
      <c r="N188" s="131"/>
    </row>
    <row r="189" spans="1:14" ht="15.75">
      <c r="A189" s="27"/>
      <c r="B189" s="61" t="s">
        <v>135</v>
      </c>
      <c r="C189" s="105"/>
      <c r="D189" s="61"/>
      <c r="E189" s="105"/>
      <c r="F189" s="28"/>
      <c r="G189" s="107"/>
      <c r="H189" s="61">
        <v>33</v>
      </c>
      <c r="I189" s="105">
        <f>H189/$H194</f>
        <v>0.011156186612576065</v>
      </c>
      <c r="J189" s="60">
        <v>1028</v>
      </c>
      <c r="K189" s="106">
        <f>J189/J194</f>
        <v>0.006972469597183882</v>
      </c>
      <c r="L189" s="92"/>
      <c r="M189" s="99"/>
      <c r="N189" s="131"/>
    </row>
    <row r="190" spans="1:14" ht="15.75">
      <c r="A190" s="27"/>
      <c r="B190" s="61" t="s">
        <v>136</v>
      </c>
      <c r="C190" s="105"/>
      <c r="D190" s="61"/>
      <c r="E190" s="105"/>
      <c r="F190" s="28"/>
      <c r="G190" s="107"/>
      <c r="H190" s="61">
        <v>12</v>
      </c>
      <c r="I190" s="105">
        <f>H190/H194</f>
        <v>0.004056795131845842</v>
      </c>
      <c r="J190" s="60">
        <v>725</v>
      </c>
      <c r="K190" s="106">
        <f>J190/J194</f>
        <v>0.004917354531087855</v>
      </c>
      <c r="L190" s="92"/>
      <c r="M190" s="99"/>
      <c r="N190" s="131"/>
    </row>
    <row r="191" spans="1:14" ht="15.75">
      <c r="A191" s="27"/>
      <c r="B191" s="61" t="s">
        <v>137</v>
      </c>
      <c r="C191" s="105"/>
      <c r="D191" s="61"/>
      <c r="E191" s="105"/>
      <c r="F191" s="28"/>
      <c r="G191" s="107"/>
      <c r="H191" s="61">
        <f>5+8+13+24</f>
        <v>50</v>
      </c>
      <c r="I191" s="105">
        <f>H191/H194</f>
        <v>0.016903313049357674</v>
      </c>
      <c r="J191" s="60">
        <f>115+206+377+1259</f>
        <v>1957</v>
      </c>
      <c r="K191" s="106">
        <f>J191/J194</f>
        <v>0.01327346595495025</v>
      </c>
      <c r="L191" s="92"/>
      <c r="M191" s="99"/>
      <c r="N191" s="131"/>
    </row>
    <row r="192" spans="1:14" ht="15.75">
      <c r="A192" s="27"/>
      <c r="B192" s="30"/>
      <c r="C192" s="105"/>
      <c r="D192" s="61"/>
      <c r="E192" s="105"/>
      <c r="F192" s="28"/>
      <c r="G192" s="107"/>
      <c r="H192" s="61"/>
      <c r="I192" s="105"/>
      <c r="J192" s="60"/>
      <c r="K192" s="106"/>
      <c r="L192" s="92"/>
      <c r="M192" s="99"/>
      <c r="N192" s="131"/>
    </row>
    <row r="193" spans="1:14" ht="15.75">
      <c r="A193" s="27"/>
      <c r="B193" s="61"/>
      <c r="C193" s="108"/>
      <c r="D193" s="97"/>
      <c r="E193" s="108"/>
      <c r="F193" s="28"/>
      <c r="G193" s="108"/>
      <c r="H193" s="97"/>
      <c r="I193" s="108"/>
      <c r="J193" s="60"/>
      <c r="K193" s="106"/>
      <c r="L193" s="92"/>
      <c r="M193" s="99"/>
      <c r="N193" s="131"/>
    </row>
    <row r="194" spans="1:14" ht="15.75">
      <c r="A194" s="27"/>
      <c r="B194" s="28"/>
      <c r="C194" s="28"/>
      <c r="D194" s="28"/>
      <c r="E194" s="28"/>
      <c r="F194" s="28"/>
      <c r="G194" s="28"/>
      <c r="H194" s="38">
        <f>SUM(H188:H192)</f>
        <v>2958</v>
      </c>
      <c r="I194" s="109">
        <f>SUM(I188:I193)</f>
        <v>1.0000000000000002</v>
      </c>
      <c r="J194" s="60">
        <f>SUM(J188:J193)</f>
        <v>147437</v>
      </c>
      <c r="K194" s="127">
        <f>SUM(K188:K193)</f>
        <v>1</v>
      </c>
      <c r="L194" s="28"/>
      <c r="M194" s="28"/>
      <c r="N194" s="131"/>
    </row>
    <row r="195" spans="1:14" ht="15.75">
      <c r="A195" s="27"/>
      <c r="B195" s="28"/>
      <c r="C195" s="28"/>
      <c r="D195" s="28"/>
      <c r="E195" s="28"/>
      <c r="F195" s="28"/>
      <c r="G195" s="28"/>
      <c r="H195" s="38"/>
      <c r="I195" s="109"/>
      <c r="J195" s="60"/>
      <c r="K195" s="127"/>
      <c r="L195" s="28"/>
      <c r="M195" s="28"/>
      <c r="N195" s="131"/>
    </row>
    <row r="196" spans="1:14" ht="15.75">
      <c r="A196" s="27"/>
      <c r="B196" s="28"/>
      <c r="C196" s="28"/>
      <c r="D196" s="28"/>
      <c r="E196" s="28"/>
      <c r="F196" s="28"/>
      <c r="G196" s="28"/>
      <c r="H196" s="38"/>
      <c r="I196" s="109"/>
      <c r="J196" s="60"/>
      <c r="K196" s="127"/>
      <c r="L196" s="28"/>
      <c r="M196" s="28"/>
      <c r="N196" s="131"/>
    </row>
    <row r="197" spans="1:14" ht="15.75">
      <c r="A197" s="114"/>
      <c r="B197" s="17" t="s">
        <v>139</v>
      </c>
      <c r="C197" s="115"/>
      <c r="D197" s="20" t="s">
        <v>148</v>
      </c>
      <c r="E197" s="18"/>
      <c r="F197" s="17" t="s">
        <v>161</v>
      </c>
      <c r="G197" s="116"/>
      <c r="H197" s="116"/>
      <c r="I197" s="15"/>
      <c r="J197" s="15"/>
      <c r="K197" s="15"/>
      <c r="L197" s="15"/>
      <c r="M197" s="15"/>
      <c r="N197" s="131"/>
    </row>
    <row r="198" spans="1:14" ht="15.75">
      <c r="A198" s="114"/>
      <c r="B198" s="15"/>
      <c r="C198" s="15"/>
      <c r="D198" s="10"/>
      <c r="E198" s="10"/>
      <c r="F198" s="10"/>
      <c r="G198" s="15"/>
      <c r="H198" s="15"/>
      <c r="I198" s="15"/>
      <c r="J198" s="15"/>
      <c r="K198" s="15"/>
      <c r="L198" s="15"/>
      <c r="M198" s="15"/>
      <c r="N198" s="131"/>
    </row>
    <row r="199" spans="1:14" ht="15.75">
      <c r="A199" s="114"/>
      <c r="B199" s="16" t="s">
        <v>140</v>
      </c>
      <c r="C199" s="117"/>
      <c r="D199" s="118" t="s">
        <v>149</v>
      </c>
      <c r="E199" s="16"/>
      <c r="F199" s="16" t="s">
        <v>162</v>
      </c>
      <c r="G199" s="117"/>
      <c r="H199" s="117"/>
      <c r="I199" s="15"/>
      <c r="J199" s="15"/>
      <c r="K199" s="15"/>
      <c r="L199" s="15"/>
      <c r="M199" s="15"/>
      <c r="N199" s="131"/>
    </row>
    <row r="200" spans="1:14" ht="15.75">
      <c r="A200" s="114"/>
      <c r="B200" s="16" t="s">
        <v>141</v>
      </c>
      <c r="C200" s="117"/>
      <c r="D200" s="118" t="s">
        <v>150</v>
      </c>
      <c r="E200" s="16"/>
      <c r="F200" s="16" t="s">
        <v>163</v>
      </c>
      <c r="G200" s="117"/>
      <c r="H200" s="117"/>
      <c r="I200" s="15"/>
      <c r="J200" s="15"/>
      <c r="K200" s="15"/>
      <c r="L200" s="15"/>
      <c r="M200" s="15"/>
      <c r="N200" s="131"/>
    </row>
    <row r="201" spans="1:14" ht="15.75">
      <c r="A201" s="114"/>
      <c r="B201" s="16"/>
      <c r="C201" s="117"/>
      <c r="D201" s="118"/>
      <c r="E201" s="16"/>
      <c r="F201" s="16"/>
      <c r="G201" s="117"/>
      <c r="H201" s="117"/>
      <c r="I201" s="15"/>
      <c r="J201" s="15"/>
      <c r="K201" s="15"/>
      <c r="L201" s="15"/>
      <c r="M201" s="15"/>
      <c r="N201" s="131"/>
    </row>
    <row r="202" spans="1:14" ht="15.75">
      <c r="A202" s="114"/>
      <c r="B202" s="16"/>
      <c r="C202" s="117"/>
      <c r="D202" s="118"/>
      <c r="E202" s="16"/>
      <c r="F202" s="16"/>
      <c r="G202" s="117"/>
      <c r="H202" s="117"/>
      <c r="I202" s="15"/>
      <c r="J202" s="15"/>
      <c r="K202" s="15"/>
      <c r="L202" s="15"/>
      <c r="M202" s="15"/>
      <c r="N202" s="131"/>
    </row>
    <row r="203" spans="1:14" ht="18.75">
      <c r="A203" s="114"/>
      <c r="B203" s="55" t="s">
        <v>210</v>
      </c>
      <c r="C203" s="117"/>
      <c r="D203" s="118"/>
      <c r="E203" s="16"/>
      <c r="F203" s="16"/>
      <c r="G203" s="117"/>
      <c r="H203" s="117"/>
      <c r="I203" s="15"/>
      <c r="J203" s="15"/>
      <c r="K203" s="15"/>
      <c r="L203" s="15"/>
      <c r="M203" s="15"/>
      <c r="N203" s="131"/>
    </row>
    <row r="204" spans="1:13" ht="15">
      <c r="A204" s="130"/>
      <c r="B204" s="130"/>
      <c r="C204" s="130"/>
      <c r="D204" s="130"/>
      <c r="E204" s="130"/>
      <c r="F204" s="130"/>
      <c r="G204" s="130"/>
      <c r="H204" s="130"/>
      <c r="I204" s="130"/>
      <c r="J204" s="130"/>
      <c r="K204" s="130"/>
      <c r="L204" s="130"/>
      <c r="M204" s="130"/>
    </row>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5" manualBreakCount="5">
    <brk id="51" min="105" max="156" man="1"/>
    <brk id="51" max="13" man="1"/>
    <brk id="105" max="13" man="1"/>
    <brk id="156" max="13" man="1"/>
    <brk id="204" max="0" man="1"/>
  </rowBreaks>
  <drawing r:id="rId1"/>
</worksheet>
</file>

<file path=xl/worksheets/sheet12.xml><?xml version="1.0" encoding="utf-8"?>
<worksheet xmlns="http://schemas.openxmlformats.org/spreadsheetml/2006/main" xmlns:r="http://schemas.openxmlformats.org/officeDocument/2006/relationships">
  <dimension ref="A1:N204"/>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31.10546875" style="1" customWidth="1"/>
    <col min="14" max="15" width="9.6640625" style="1" customWidth="1"/>
    <col min="16" max="16" width="9.10546875" style="1" customWidth="1"/>
    <col min="17" max="16384" width="9.6640625" style="1" customWidth="1"/>
  </cols>
  <sheetData>
    <row r="1" spans="1:14" ht="20.25">
      <c r="A1" s="2"/>
      <c r="B1" s="3" t="s">
        <v>0</v>
      </c>
      <c r="C1" s="4"/>
      <c r="D1" s="5"/>
      <c r="E1" s="5"/>
      <c r="F1" s="5"/>
      <c r="G1" s="5"/>
      <c r="H1" s="5"/>
      <c r="I1" s="5"/>
      <c r="J1" s="5"/>
      <c r="K1" s="5"/>
      <c r="L1" s="5"/>
      <c r="M1" s="5"/>
      <c r="N1" s="131"/>
    </row>
    <row r="2" spans="1:14" ht="15.75">
      <c r="A2" s="8"/>
      <c r="B2" s="9"/>
      <c r="C2" s="9"/>
      <c r="D2" s="10"/>
      <c r="E2" s="10"/>
      <c r="F2" s="10"/>
      <c r="G2" s="10"/>
      <c r="H2" s="10"/>
      <c r="I2" s="10"/>
      <c r="J2" s="10"/>
      <c r="K2" s="10"/>
      <c r="L2" s="10"/>
      <c r="M2" s="10"/>
      <c r="N2" s="131"/>
    </row>
    <row r="3" spans="1:14" ht="15.75">
      <c r="A3" s="11"/>
      <c r="B3" s="154" t="s">
        <v>1</v>
      </c>
      <c r="C3" s="10"/>
      <c r="D3" s="10"/>
      <c r="E3" s="10"/>
      <c r="F3" s="10"/>
      <c r="G3" s="10"/>
      <c r="H3" s="10"/>
      <c r="I3" s="10"/>
      <c r="J3" s="10"/>
      <c r="K3" s="10"/>
      <c r="L3" s="10"/>
      <c r="M3" s="10"/>
      <c r="N3" s="131"/>
    </row>
    <row r="4" spans="1:14" ht="15.75">
      <c r="A4" s="8"/>
      <c r="B4" s="9"/>
      <c r="C4" s="9"/>
      <c r="D4" s="10"/>
      <c r="E4" s="10"/>
      <c r="F4" s="10"/>
      <c r="G4" s="10"/>
      <c r="H4" s="10"/>
      <c r="I4" s="10"/>
      <c r="J4" s="10"/>
      <c r="K4" s="10"/>
      <c r="L4" s="10"/>
      <c r="M4" s="10"/>
      <c r="N4" s="131"/>
    </row>
    <row r="5" spans="1:14" ht="12" customHeight="1">
      <c r="A5" s="8"/>
      <c r="B5" s="13" t="s">
        <v>2</v>
      </c>
      <c r="C5" s="14"/>
      <c r="D5" s="10"/>
      <c r="E5" s="10"/>
      <c r="F5" s="10"/>
      <c r="G5" s="10"/>
      <c r="H5" s="10"/>
      <c r="I5" s="10"/>
      <c r="J5" s="10"/>
      <c r="K5" s="10"/>
      <c r="L5" s="10"/>
      <c r="M5" s="10"/>
      <c r="N5" s="131"/>
    </row>
    <row r="6" spans="1:14" ht="12" customHeight="1">
      <c r="A6" s="8"/>
      <c r="B6" s="13" t="s">
        <v>3</v>
      </c>
      <c r="C6" s="14"/>
      <c r="D6" s="10"/>
      <c r="E6" s="10"/>
      <c r="F6" s="10"/>
      <c r="G6" s="10"/>
      <c r="H6" s="10"/>
      <c r="I6" s="10"/>
      <c r="J6" s="10"/>
      <c r="K6" s="10"/>
      <c r="L6" s="10"/>
      <c r="M6" s="10"/>
      <c r="N6" s="131"/>
    </row>
    <row r="7" spans="1:14" ht="12" customHeight="1">
      <c r="A7" s="8"/>
      <c r="B7" s="13" t="s">
        <v>4</v>
      </c>
      <c r="C7" s="14"/>
      <c r="D7" s="10"/>
      <c r="E7" s="10"/>
      <c r="F7" s="10"/>
      <c r="G7" s="10"/>
      <c r="H7" s="10"/>
      <c r="I7" s="10"/>
      <c r="J7" s="10"/>
      <c r="K7" s="10"/>
      <c r="L7" s="10"/>
      <c r="M7" s="10"/>
      <c r="N7" s="131"/>
    </row>
    <row r="8" spans="1:14" ht="12" customHeight="1">
      <c r="A8" s="8"/>
      <c r="B8" s="13" t="s">
        <v>5</v>
      </c>
      <c r="C8" s="14"/>
      <c r="D8" s="10"/>
      <c r="E8" s="10"/>
      <c r="F8" s="10"/>
      <c r="G8" s="10"/>
      <c r="H8" s="10"/>
      <c r="I8" s="10"/>
      <c r="J8" s="10"/>
      <c r="K8" s="10"/>
      <c r="L8" s="10"/>
      <c r="M8" s="10"/>
      <c r="N8" s="131"/>
    </row>
    <row r="9" spans="1:14" ht="12" customHeight="1">
      <c r="A9" s="8"/>
      <c r="B9" s="15"/>
      <c r="C9" s="14"/>
      <c r="D9" s="10"/>
      <c r="E9" s="10"/>
      <c r="F9" s="10"/>
      <c r="G9" s="10"/>
      <c r="H9" s="10"/>
      <c r="I9" s="10"/>
      <c r="J9" s="10"/>
      <c r="K9" s="10"/>
      <c r="L9" s="10"/>
      <c r="M9" s="10"/>
      <c r="N9" s="131"/>
    </row>
    <row r="10" spans="1:14" ht="15.75">
      <c r="A10" s="8"/>
      <c r="B10" s="13"/>
      <c r="C10" s="14"/>
      <c r="D10" s="16"/>
      <c r="E10" s="16"/>
      <c r="F10" s="10"/>
      <c r="G10" s="10"/>
      <c r="H10" s="10"/>
      <c r="I10" s="10"/>
      <c r="J10" s="10"/>
      <c r="K10" s="10"/>
      <c r="L10" s="10"/>
      <c r="M10" s="10"/>
      <c r="N10" s="131"/>
    </row>
    <row r="11" spans="1:14" ht="15.75">
      <c r="A11" s="8"/>
      <c r="B11" s="16" t="s">
        <v>6</v>
      </c>
      <c r="C11" s="16"/>
      <c r="D11" s="10"/>
      <c r="E11" s="10"/>
      <c r="F11" s="10"/>
      <c r="G11" s="10"/>
      <c r="H11" s="10"/>
      <c r="I11" s="10"/>
      <c r="J11" s="10"/>
      <c r="K11" s="10"/>
      <c r="L11" s="10"/>
      <c r="M11" s="10"/>
      <c r="N11" s="131"/>
    </row>
    <row r="12" spans="1:14" ht="15.75">
      <c r="A12" s="8"/>
      <c r="B12" s="16"/>
      <c r="C12" s="16"/>
      <c r="D12" s="10"/>
      <c r="E12" s="10"/>
      <c r="F12" s="10"/>
      <c r="G12" s="10"/>
      <c r="H12" s="10"/>
      <c r="I12" s="10"/>
      <c r="J12" s="10"/>
      <c r="K12" s="10"/>
      <c r="L12" s="10"/>
      <c r="M12" s="10"/>
      <c r="N12" s="131"/>
    </row>
    <row r="13" spans="1:14" ht="15.75">
      <c r="A13" s="2"/>
      <c r="B13" s="5"/>
      <c r="C13" s="5"/>
      <c r="D13" s="5"/>
      <c r="E13" s="5"/>
      <c r="F13" s="5"/>
      <c r="G13" s="5"/>
      <c r="H13" s="5"/>
      <c r="I13" s="5"/>
      <c r="J13" s="5"/>
      <c r="K13" s="5"/>
      <c r="L13" s="5"/>
      <c r="M13" s="5"/>
      <c r="N13" s="131"/>
    </row>
    <row r="14" spans="1:14" ht="15.75">
      <c r="A14" s="8"/>
      <c r="B14" s="17" t="s">
        <v>7</v>
      </c>
      <c r="C14" s="17"/>
      <c r="D14" s="18"/>
      <c r="E14" s="18"/>
      <c r="F14" s="18"/>
      <c r="G14" s="18"/>
      <c r="H14" s="18"/>
      <c r="I14" s="18"/>
      <c r="J14" s="18"/>
      <c r="K14" s="18"/>
      <c r="L14" s="19" t="s">
        <v>185</v>
      </c>
      <c r="M14" s="18"/>
      <c r="N14" s="131"/>
    </row>
    <row r="15" spans="1:14" ht="15.75">
      <c r="A15" s="8"/>
      <c r="B15" s="17" t="s">
        <v>199</v>
      </c>
      <c r="C15" s="17"/>
      <c r="D15" s="18"/>
      <c r="E15" s="18"/>
      <c r="F15" s="18"/>
      <c r="G15" s="18"/>
      <c r="H15" s="20"/>
      <c r="I15" s="135"/>
      <c r="J15" s="20" t="s">
        <v>202</v>
      </c>
      <c r="K15" s="135">
        <v>1</v>
      </c>
      <c r="L15" s="19"/>
      <c r="M15" s="18"/>
      <c r="N15" s="131"/>
    </row>
    <row r="16" spans="1:14" ht="15.75">
      <c r="A16" s="8"/>
      <c r="B16" s="17" t="s">
        <v>200</v>
      </c>
      <c r="C16" s="17"/>
      <c r="D16" s="18"/>
      <c r="E16" s="18"/>
      <c r="F16" s="18"/>
      <c r="G16" s="18"/>
      <c r="H16" s="20"/>
      <c r="I16" s="135"/>
      <c r="J16" s="20" t="s">
        <v>202</v>
      </c>
      <c r="K16" s="135">
        <v>1</v>
      </c>
      <c r="L16" s="19"/>
      <c r="M16" s="18"/>
      <c r="N16" s="131"/>
    </row>
    <row r="17" spans="1:14" ht="15.75">
      <c r="A17" s="8"/>
      <c r="B17" s="17" t="s">
        <v>8</v>
      </c>
      <c r="C17" s="17"/>
      <c r="D17" s="18"/>
      <c r="E17" s="18"/>
      <c r="F17" s="18"/>
      <c r="G17" s="18"/>
      <c r="H17" s="18"/>
      <c r="I17" s="18"/>
      <c r="J17" s="18"/>
      <c r="K17" s="18"/>
      <c r="L17" s="20" t="s">
        <v>186</v>
      </c>
      <c r="M17" s="18"/>
      <c r="N17" s="131"/>
    </row>
    <row r="18" spans="1:14" ht="15.75">
      <c r="A18" s="8"/>
      <c r="B18" s="17" t="s">
        <v>9</v>
      </c>
      <c r="C18" s="17"/>
      <c r="D18" s="18"/>
      <c r="E18" s="18"/>
      <c r="F18" s="18"/>
      <c r="G18" s="18"/>
      <c r="H18" s="18"/>
      <c r="I18" s="18"/>
      <c r="J18" s="18"/>
      <c r="K18" s="18"/>
      <c r="L18" s="21">
        <v>37455</v>
      </c>
      <c r="M18" s="18"/>
      <c r="N18" s="131"/>
    </row>
    <row r="19" spans="1:14" ht="15.75">
      <c r="A19" s="8"/>
      <c r="B19" s="10"/>
      <c r="C19" s="10"/>
      <c r="D19" s="10"/>
      <c r="E19" s="10"/>
      <c r="F19" s="10"/>
      <c r="G19" s="10"/>
      <c r="H19" s="10"/>
      <c r="I19" s="10"/>
      <c r="J19" s="10"/>
      <c r="K19" s="10"/>
      <c r="L19" s="22"/>
      <c r="M19" s="10"/>
      <c r="N19" s="131"/>
    </row>
    <row r="20" spans="1:14" ht="15.75">
      <c r="A20" s="8"/>
      <c r="B20" s="23" t="s">
        <v>10</v>
      </c>
      <c r="C20" s="10"/>
      <c r="D20" s="10"/>
      <c r="E20" s="10"/>
      <c r="F20" s="10"/>
      <c r="G20" s="10"/>
      <c r="H20" s="10"/>
      <c r="I20" s="10"/>
      <c r="J20" s="22" t="s">
        <v>174</v>
      </c>
      <c r="K20" s="10"/>
      <c r="L20" s="15"/>
      <c r="M20" s="10"/>
      <c r="N20" s="131"/>
    </row>
    <row r="21" spans="1:14" ht="15.75">
      <c r="A21" s="8"/>
      <c r="B21" s="10"/>
      <c r="C21" s="10"/>
      <c r="D21" s="10"/>
      <c r="E21" s="10"/>
      <c r="F21" s="10"/>
      <c r="G21" s="10"/>
      <c r="H21" s="10"/>
      <c r="I21" s="10"/>
      <c r="J21" s="10"/>
      <c r="K21" s="10"/>
      <c r="L21" s="24"/>
      <c r="M21" s="10"/>
      <c r="N21" s="131"/>
    </row>
    <row r="22" spans="1:14" ht="15.75">
      <c r="A22" s="8"/>
      <c r="B22" s="10"/>
      <c r="C22" s="155" t="s">
        <v>143</v>
      </c>
      <c r="D22" s="25"/>
      <c r="E22" s="25"/>
      <c r="F22" s="157" t="s">
        <v>151</v>
      </c>
      <c r="G22" s="157"/>
      <c r="H22" s="157" t="s">
        <v>164</v>
      </c>
      <c r="I22" s="25"/>
      <c r="J22" s="25"/>
      <c r="K22" s="15"/>
      <c r="L22" s="15"/>
      <c r="M22" s="10"/>
      <c r="N22" s="131"/>
    </row>
    <row r="23" spans="1:14" ht="15.75">
      <c r="A23" s="27"/>
      <c r="B23" s="28" t="s">
        <v>11</v>
      </c>
      <c r="C23" s="156" t="s">
        <v>144</v>
      </c>
      <c r="D23" s="29"/>
      <c r="E23" s="29"/>
      <c r="F23" s="29" t="s">
        <v>152</v>
      </c>
      <c r="G23" s="29"/>
      <c r="H23" s="29" t="s">
        <v>165</v>
      </c>
      <c r="I23" s="29"/>
      <c r="J23" s="29"/>
      <c r="K23" s="30"/>
      <c r="L23" s="30"/>
      <c r="M23" s="28"/>
      <c r="N23" s="131"/>
    </row>
    <row r="24" spans="1:14" ht="15.75">
      <c r="A24" s="27"/>
      <c r="B24" s="28" t="s">
        <v>12</v>
      </c>
      <c r="C24" s="31"/>
      <c r="D24" s="29"/>
      <c r="E24" s="29"/>
      <c r="F24" s="29" t="s">
        <v>153</v>
      </c>
      <c r="G24" s="29"/>
      <c r="H24" s="29" t="s">
        <v>166</v>
      </c>
      <c r="I24" s="29"/>
      <c r="J24" s="29"/>
      <c r="K24" s="30"/>
      <c r="L24" s="30"/>
      <c r="M24" s="28"/>
      <c r="N24" s="131"/>
    </row>
    <row r="25" spans="1:14" ht="15.75">
      <c r="A25" s="32"/>
      <c r="B25" s="33" t="s">
        <v>13</v>
      </c>
      <c r="C25" s="33"/>
      <c r="D25" s="34"/>
      <c r="E25" s="34"/>
      <c r="F25" s="34" t="s">
        <v>152</v>
      </c>
      <c r="G25" s="34"/>
      <c r="H25" s="34" t="s">
        <v>207</v>
      </c>
      <c r="I25" s="29"/>
      <c r="J25" s="29"/>
      <c r="K25" s="30"/>
      <c r="L25" s="30"/>
      <c r="M25" s="28"/>
      <c r="N25" s="131"/>
    </row>
    <row r="26" spans="1:14" ht="15.75">
      <c r="A26" s="32"/>
      <c r="B26" s="33" t="s">
        <v>14</v>
      </c>
      <c r="C26" s="33"/>
      <c r="D26" s="34"/>
      <c r="E26" s="34"/>
      <c r="F26" s="34" t="s">
        <v>153</v>
      </c>
      <c r="G26" s="34"/>
      <c r="H26" s="34" t="s">
        <v>208</v>
      </c>
      <c r="I26" s="29"/>
      <c r="J26" s="29"/>
      <c r="K26" s="30"/>
      <c r="L26" s="30"/>
      <c r="M26" s="28"/>
      <c r="N26" s="131"/>
    </row>
    <row r="27" spans="1:14" ht="15.75">
      <c r="A27" s="27"/>
      <c r="B27" s="28" t="s">
        <v>15</v>
      </c>
      <c r="C27" s="28"/>
      <c r="D27" s="31"/>
      <c r="E27" s="29"/>
      <c r="F27" s="31" t="s">
        <v>154</v>
      </c>
      <c r="G27" s="29"/>
      <c r="H27" s="31" t="s">
        <v>167</v>
      </c>
      <c r="I27" s="29"/>
      <c r="J27" s="31"/>
      <c r="K27" s="30"/>
      <c r="L27" s="30"/>
      <c r="M27" s="28"/>
      <c r="N27" s="131"/>
    </row>
    <row r="28" spans="1:14" ht="15.75">
      <c r="A28" s="27"/>
      <c r="B28" s="28"/>
      <c r="C28" s="28"/>
      <c r="D28" s="28"/>
      <c r="E28" s="29"/>
      <c r="F28" s="29"/>
      <c r="G28" s="29"/>
      <c r="H28" s="29"/>
      <c r="I28" s="29"/>
      <c r="J28" s="29"/>
      <c r="K28" s="30"/>
      <c r="L28" s="30"/>
      <c r="M28" s="28"/>
      <c r="N28" s="131"/>
    </row>
    <row r="29" spans="1:14" ht="15.75">
      <c r="A29" s="27"/>
      <c r="B29" s="28" t="s">
        <v>16</v>
      </c>
      <c r="C29" s="28"/>
      <c r="D29" s="35"/>
      <c r="E29" s="36"/>
      <c r="F29" s="35">
        <v>168000</v>
      </c>
      <c r="G29" s="35"/>
      <c r="H29" s="35">
        <v>17000</v>
      </c>
      <c r="I29" s="35"/>
      <c r="J29" s="35"/>
      <c r="K29" s="37"/>
      <c r="L29" s="35">
        <f>H29+F29</f>
        <v>185000</v>
      </c>
      <c r="M29" s="38"/>
      <c r="N29" s="131"/>
    </row>
    <row r="30" spans="1:14" ht="15.75">
      <c r="A30" s="27"/>
      <c r="B30" s="28" t="s">
        <v>17</v>
      </c>
      <c r="C30" s="126">
        <v>0.776584</v>
      </c>
      <c r="D30" s="35"/>
      <c r="E30" s="36"/>
      <c r="F30" s="35">
        <f>168000*C30</f>
        <v>130466.11200000001</v>
      </c>
      <c r="G30" s="35"/>
      <c r="H30" s="35">
        <v>17000</v>
      </c>
      <c r="I30" s="35"/>
      <c r="J30" s="35"/>
      <c r="K30" s="37"/>
      <c r="L30" s="35">
        <f>H30+F30</f>
        <v>147466.11200000002</v>
      </c>
      <c r="M30" s="38"/>
      <c r="N30" s="131"/>
    </row>
    <row r="31" spans="1:14" ht="13.5" customHeight="1">
      <c r="A31" s="32"/>
      <c r="B31" s="33" t="s">
        <v>18</v>
      </c>
      <c r="C31" s="40">
        <v>0.738455</v>
      </c>
      <c r="D31" s="41"/>
      <c r="E31" s="42"/>
      <c r="F31" s="41">
        <f>168000*C31</f>
        <v>124060.44</v>
      </c>
      <c r="G31" s="41"/>
      <c r="H31" s="41">
        <v>17000</v>
      </c>
      <c r="I31" s="41"/>
      <c r="J31" s="41"/>
      <c r="K31" s="43"/>
      <c r="L31" s="41">
        <f>H31+F31+D31</f>
        <v>141060.44</v>
      </c>
      <c r="M31" s="38"/>
      <c r="N31" s="131"/>
    </row>
    <row r="32" spans="1:14" ht="15.75">
      <c r="A32" s="27"/>
      <c r="B32" s="28" t="s">
        <v>19</v>
      </c>
      <c r="C32" s="44"/>
      <c r="D32" s="31"/>
      <c r="E32" s="28"/>
      <c r="F32" s="31" t="s">
        <v>155</v>
      </c>
      <c r="G32" s="31"/>
      <c r="H32" s="31" t="s">
        <v>168</v>
      </c>
      <c r="I32" s="31"/>
      <c r="J32" s="31"/>
      <c r="K32" s="30"/>
      <c r="L32" s="30"/>
      <c r="M32" s="28"/>
      <c r="N32" s="131"/>
    </row>
    <row r="33" spans="1:14" ht="15.75">
      <c r="A33" s="27"/>
      <c r="B33" s="28" t="s">
        <v>20</v>
      </c>
      <c r="C33" s="28"/>
      <c r="D33" s="45"/>
      <c r="E33" s="28"/>
      <c r="F33" s="45">
        <v>0.0443578</v>
      </c>
      <c r="G33" s="46"/>
      <c r="H33" s="45">
        <v>0.0495578</v>
      </c>
      <c r="I33" s="46"/>
      <c r="J33" s="45"/>
      <c r="K33" s="30"/>
      <c r="L33" s="46">
        <f>SUMPRODUCT(F33:H33,F30:H30)/L30</f>
        <v>0.04495725975926999</v>
      </c>
      <c r="M33" s="28"/>
      <c r="N33" s="131"/>
    </row>
    <row r="34" spans="1:14" ht="15.75">
      <c r="A34" s="27"/>
      <c r="B34" s="28" t="s">
        <v>21</v>
      </c>
      <c r="C34" s="28"/>
      <c r="D34" s="45"/>
      <c r="E34" s="28"/>
      <c r="F34" s="45">
        <v>0.04325</v>
      </c>
      <c r="G34" s="46"/>
      <c r="H34" s="45">
        <v>0.04845</v>
      </c>
      <c r="I34" s="46"/>
      <c r="J34" s="45"/>
      <c r="K34" s="30"/>
      <c r="L34" s="30"/>
      <c r="M34" s="28"/>
      <c r="N34" s="131"/>
    </row>
    <row r="35" spans="1:14" ht="15.75">
      <c r="A35" s="27"/>
      <c r="B35" s="28" t="s">
        <v>22</v>
      </c>
      <c r="C35" s="28"/>
      <c r="D35" s="31"/>
      <c r="E35" s="28"/>
      <c r="F35" s="31" t="s">
        <v>157</v>
      </c>
      <c r="G35" s="31"/>
      <c r="H35" s="31" t="s">
        <v>157</v>
      </c>
      <c r="I35" s="31"/>
      <c r="J35" s="31"/>
      <c r="K35" s="30"/>
      <c r="L35" s="30"/>
      <c r="M35" s="28"/>
      <c r="N35" s="131"/>
    </row>
    <row r="36" spans="1:14" ht="15.75">
      <c r="A36" s="27"/>
      <c r="B36" s="28" t="s">
        <v>23</v>
      </c>
      <c r="C36" s="28"/>
      <c r="D36" s="31"/>
      <c r="E36" s="28"/>
      <c r="F36" s="31" t="s">
        <v>158</v>
      </c>
      <c r="G36" s="31"/>
      <c r="H36" s="31" t="s">
        <v>158</v>
      </c>
      <c r="I36" s="31"/>
      <c r="J36" s="31"/>
      <c r="K36" s="30"/>
      <c r="L36" s="30"/>
      <c r="M36" s="28"/>
      <c r="N36" s="131"/>
    </row>
    <row r="37" spans="1:14" ht="15.75">
      <c r="A37" s="27"/>
      <c r="B37" s="28" t="s">
        <v>24</v>
      </c>
      <c r="C37" s="28"/>
      <c r="D37" s="31"/>
      <c r="E37" s="28"/>
      <c r="F37" s="31" t="s">
        <v>159</v>
      </c>
      <c r="G37" s="31"/>
      <c r="H37" s="31" t="s">
        <v>169</v>
      </c>
      <c r="I37" s="31"/>
      <c r="J37" s="31"/>
      <c r="K37" s="30"/>
      <c r="L37" s="30"/>
      <c r="M37" s="28"/>
      <c r="N37" s="131"/>
    </row>
    <row r="38" spans="1:14" ht="15.75">
      <c r="A38" s="27"/>
      <c r="B38" s="28"/>
      <c r="C38" s="28"/>
      <c r="D38" s="47"/>
      <c r="E38" s="47"/>
      <c r="F38" s="28"/>
      <c r="G38" s="47"/>
      <c r="H38" s="47"/>
      <c r="I38" s="47"/>
      <c r="J38" s="47"/>
      <c r="K38" s="47"/>
      <c r="L38" s="47"/>
      <c r="M38" s="28"/>
      <c r="N38" s="131"/>
    </row>
    <row r="39" spans="1:14" ht="15.75">
      <c r="A39" s="27"/>
      <c r="B39" s="28" t="s">
        <v>25</v>
      </c>
      <c r="C39" s="28"/>
      <c r="D39" s="28"/>
      <c r="E39" s="28"/>
      <c r="F39" s="28"/>
      <c r="G39" s="28"/>
      <c r="H39" s="136"/>
      <c r="I39" s="28"/>
      <c r="J39" s="28"/>
      <c r="K39" s="28"/>
      <c r="L39" s="46">
        <f>H29/F29</f>
        <v>0.10119047619047619</v>
      </c>
      <c r="M39" s="28"/>
      <c r="N39" s="131"/>
    </row>
    <row r="40" spans="1:14" ht="15.75">
      <c r="A40" s="27"/>
      <c r="B40" s="28" t="s">
        <v>26</v>
      </c>
      <c r="C40" s="28"/>
      <c r="D40" s="28"/>
      <c r="E40" s="28"/>
      <c r="F40" s="136"/>
      <c r="G40" s="28"/>
      <c r="H40" s="136"/>
      <c r="I40" s="28"/>
      <c r="J40" s="28"/>
      <c r="K40" s="28"/>
      <c r="L40" s="46">
        <f>H31/F31</f>
        <v>0.13702998312757877</v>
      </c>
      <c r="M40" s="28"/>
      <c r="N40" s="131"/>
    </row>
    <row r="41" spans="1:14" ht="15.75">
      <c r="A41" s="27"/>
      <c r="B41" s="28" t="s">
        <v>27</v>
      </c>
      <c r="C41" s="28"/>
      <c r="D41" s="28"/>
      <c r="E41" s="28"/>
      <c r="F41" s="136"/>
      <c r="G41" s="28"/>
      <c r="H41" s="28"/>
      <c r="I41" s="28"/>
      <c r="J41" s="31" t="s">
        <v>151</v>
      </c>
      <c r="K41" s="31" t="s">
        <v>183</v>
      </c>
      <c r="L41" s="35">
        <v>75500</v>
      </c>
      <c r="M41" s="28"/>
      <c r="N41" s="131"/>
    </row>
    <row r="42" spans="1:14" ht="15.75">
      <c r="A42" s="27"/>
      <c r="B42" s="28"/>
      <c r="C42" s="28"/>
      <c r="D42" s="28"/>
      <c r="E42" s="28"/>
      <c r="F42" s="28"/>
      <c r="G42" s="28"/>
      <c r="H42" s="28"/>
      <c r="I42" s="28"/>
      <c r="J42" s="28" t="s">
        <v>175</v>
      </c>
      <c r="K42" s="28"/>
      <c r="L42" s="48"/>
      <c r="M42" s="28"/>
      <c r="N42" s="131"/>
    </row>
    <row r="43" spans="1:14" ht="15.75">
      <c r="A43" s="27"/>
      <c r="B43" s="28" t="s">
        <v>28</v>
      </c>
      <c r="C43" s="28"/>
      <c r="D43" s="28"/>
      <c r="E43" s="28"/>
      <c r="F43" s="28"/>
      <c r="G43" s="28"/>
      <c r="H43" s="28"/>
      <c r="I43" s="28"/>
      <c r="J43" s="31"/>
      <c r="K43" s="31"/>
      <c r="L43" s="31" t="s">
        <v>187</v>
      </c>
      <c r="M43" s="28"/>
      <c r="N43" s="131"/>
    </row>
    <row r="44" spans="1:14" ht="15.75">
      <c r="A44" s="32"/>
      <c r="B44" s="33" t="s">
        <v>29</v>
      </c>
      <c r="C44" s="33"/>
      <c r="D44" s="33"/>
      <c r="E44" s="33"/>
      <c r="F44" s="33"/>
      <c r="G44" s="33"/>
      <c r="H44" s="33"/>
      <c r="I44" s="33"/>
      <c r="J44" s="49"/>
      <c r="K44" s="49"/>
      <c r="L44" s="50">
        <v>37452</v>
      </c>
      <c r="M44" s="33"/>
      <c r="N44" s="131"/>
    </row>
    <row r="45" spans="1:14" ht="15.75">
      <c r="A45" s="27"/>
      <c r="B45" s="28" t="s">
        <v>30</v>
      </c>
      <c r="C45" s="28"/>
      <c r="D45" s="28"/>
      <c r="E45" s="28"/>
      <c r="F45" s="28"/>
      <c r="G45" s="28"/>
      <c r="H45" s="28"/>
      <c r="I45" s="28">
        <f>L45-J45+1</f>
        <v>90</v>
      </c>
      <c r="J45" s="51">
        <v>37271</v>
      </c>
      <c r="K45" s="52"/>
      <c r="L45" s="51">
        <v>37360</v>
      </c>
      <c r="M45" s="28"/>
      <c r="N45" s="131"/>
    </row>
    <row r="46" spans="1:14" ht="15.75">
      <c r="A46" s="27"/>
      <c r="B46" s="28" t="s">
        <v>31</v>
      </c>
      <c r="C46" s="28"/>
      <c r="D46" s="28"/>
      <c r="E46" s="28"/>
      <c r="F46" s="28"/>
      <c r="G46" s="28"/>
      <c r="H46" s="28"/>
      <c r="I46" s="28">
        <f>L46-J46+1</f>
        <v>91</v>
      </c>
      <c r="J46" s="51">
        <v>37361</v>
      </c>
      <c r="K46" s="52"/>
      <c r="L46" s="51">
        <v>37451</v>
      </c>
      <c r="M46" s="28"/>
      <c r="N46" s="131"/>
    </row>
    <row r="47" spans="1:14" ht="15.75">
      <c r="A47" s="27"/>
      <c r="B47" s="28" t="s">
        <v>32</v>
      </c>
      <c r="C47" s="28"/>
      <c r="D47" s="28"/>
      <c r="E47" s="28"/>
      <c r="F47" s="28"/>
      <c r="G47" s="28"/>
      <c r="H47" s="28"/>
      <c r="I47" s="28"/>
      <c r="J47" s="51"/>
      <c r="K47" s="52"/>
      <c r="L47" s="51" t="s">
        <v>188</v>
      </c>
      <c r="M47" s="28"/>
      <c r="N47" s="131"/>
    </row>
    <row r="48" spans="1:14" ht="15.75">
      <c r="A48" s="27"/>
      <c r="B48" s="28" t="s">
        <v>33</v>
      </c>
      <c r="C48" s="28"/>
      <c r="D48" s="28"/>
      <c r="E48" s="28"/>
      <c r="F48" s="28"/>
      <c r="G48" s="28"/>
      <c r="H48" s="28"/>
      <c r="I48" s="28"/>
      <c r="J48" s="51"/>
      <c r="K48" s="52"/>
      <c r="L48" s="51">
        <v>37444</v>
      </c>
      <c r="M48" s="28"/>
      <c r="N48" s="131"/>
    </row>
    <row r="49" spans="1:14" ht="15.75">
      <c r="A49" s="27"/>
      <c r="B49" s="28"/>
      <c r="C49" s="28"/>
      <c r="D49" s="28"/>
      <c r="E49" s="28"/>
      <c r="F49" s="28"/>
      <c r="G49" s="28"/>
      <c r="H49" s="28"/>
      <c r="I49" s="28"/>
      <c r="J49" s="51"/>
      <c r="K49" s="52"/>
      <c r="L49" s="51"/>
      <c r="M49" s="28"/>
      <c r="N49" s="131"/>
    </row>
    <row r="50" spans="1:14" ht="15.75">
      <c r="A50" s="8"/>
      <c r="B50" s="10"/>
      <c r="C50" s="10"/>
      <c r="D50" s="10"/>
      <c r="E50" s="10"/>
      <c r="F50" s="10"/>
      <c r="G50" s="10"/>
      <c r="H50" s="10"/>
      <c r="I50" s="10"/>
      <c r="J50" s="53"/>
      <c r="K50" s="54"/>
      <c r="L50" s="53"/>
      <c r="M50" s="10"/>
      <c r="N50" s="131"/>
    </row>
    <row r="51" spans="1:14" ht="19.5" thickBot="1">
      <c r="A51" s="138"/>
      <c r="B51" s="139" t="s">
        <v>211</v>
      </c>
      <c r="C51" s="140"/>
      <c r="D51" s="140"/>
      <c r="E51" s="140"/>
      <c r="F51" s="140"/>
      <c r="G51" s="140"/>
      <c r="H51" s="140"/>
      <c r="I51" s="140"/>
      <c r="J51" s="140"/>
      <c r="K51" s="140"/>
      <c r="L51" s="141"/>
      <c r="M51" s="142"/>
      <c r="N51" s="131"/>
    </row>
    <row r="52" spans="1:14" ht="15.75">
      <c r="A52" s="2"/>
      <c r="B52" s="5"/>
      <c r="C52" s="5"/>
      <c r="D52" s="5"/>
      <c r="E52" s="5"/>
      <c r="F52" s="5"/>
      <c r="G52" s="5"/>
      <c r="H52" s="5"/>
      <c r="I52" s="5"/>
      <c r="J52" s="5"/>
      <c r="K52" s="5"/>
      <c r="L52" s="57"/>
      <c r="M52" s="5"/>
      <c r="N52" s="131"/>
    </row>
    <row r="53" spans="1:14" ht="15.75">
      <c r="A53" s="8"/>
      <c r="B53" s="58" t="s">
        <v>35</v>
      </c>
      <c r="C53" s="16"/>
      <c r="D53" s="10"/>
      <c r="E53" s="10"/>
      <c r="F53" s="10"/>
      <c r="G53" s="10"/>
      <c r="H53" s="10"/>
      <c r="I53" s="10"/>
      <c r="J53" s="10"/>
      <c r="K53" s="10"/>
      <c r="L53" s="59"/>
      <c r="M53" s="10"/>
      <c r="N53" s="131"/>
    </row>
    <row r="54" spans="1:14" ht="15.75">
      <c r="A54" s="8"/>
      <c r="B54" s="16"/>
      <c r="C54" s="16"/>
      <c r="D54" s="10"/>
      <c r="E54" s="10"/>
      <c r="F54" s="10"/>
      <c r="G54" s="10"/>
      <c r="H54" s="10"/>
      <c r="I54" s="10"/>
      <c r="J54" s="10"/>
      <c r="K54" s="10"/>
      <c r="L54" s="59"/>
      <c r="M54" s="10"/>
      <c r="N54" s="131"/>
    </row>
    <row r="55" spans="1:14" s="165" customFormat="1" ht="63">
      <c r="A55" s="159"/>
      <c r="B55" s="160" t="s">
        <v>36</v>
      </c>
      <c r="C55" s="161" t="s">
        <v>145</v>
      </c>
      <c r="D55" s="161" t="s">
        <v>147</v>
      </c>
      <c r="E55" s="161"/>
      <c r="F55" s="161" t="s">
        <v>160</v>
      </c>
      <c r="G55" s="161"/>
      <c r="H55" s="161" t="s">
        <v>170</v>
      </c>
      <c r="I55" s="161"/>
      <c r="J55" s="161" t="s">
        <v>176</v>
      </c>
      <c r="K55" s="161"/>
      <c r="L55" s="162" t="s">
        <v>189</v>
      </c>
      <c r="M55" s="163"/>
      <c r="N55" s="171"/>
    </row>
    <row r="56" spans="1:14" ht="15.75">
      <c r="A56" s="27"/>
      <c r="B56" s="28" t="s">
        <v>37</v>
      </c>
      <c r="C56" s="38">
        <v>162582</v>
      </c>
      <c r="D56" s="60">
        <v>147436</v>
      </c>
      <c r="E56" s="38"/>
      <c r="F56" s="38">
        <v>8489</v>
      </c>
      <c r="G56" s="38"/>
      <c r="H56" s="38">
        <v>2113</v>
      </c>
      <c r="I56" s="38"/>
      <c r="J56" s="38">
        <v>0</v>
      </c>
      <c r="K56" s="38"/>
      <c r="L56" s="60">
        <f>D56-F56+H56-J56</f>
        <v>141060</v>
      </c>
      <c r="M56" s="28"/>
      <c r="N56" s="131"/>
    </row>
    <row r="57" spans="1:14" ht="15.75">
      <c r="A57" s="27"/>
      <c r="B57" s="28" t="s">
        <v>38</v>
      </c>
      <c r="C57" s="38">
        <v>66</v>
      </c>
      <c r="D57" s="60">
        <v>0</v>
      </c>
      <c r="E57" s="38"/>
      <c r="F57" s="38">
        <v>0</v>
      </c>
      <c r="G57" s="38"/>
      <c r="H57" s="38">
        <v>0</v>
      </c>
      <c r="I57" s="38"/>
      <c r="J57" s="38">
        <v>0</v>
      </c>
      <c r="K57" s="38"/>
      <c r="L57" s="60">
        <f>D57-F57</f>
        <v>0</v>
      </c>
      <c r="M57" s="28"/>
      <c r="N57" s="131"/>
    </row>
    <row r="58" spans="1:14" ht="15.75">
      <c r="A58" s="27"/>
      <c r="B58" s="28"/>
      <c r="C58" s="38"/>
      <c r="D58" s="60"/>
      <c r="E58" s="38"/>
      <c r="F58" s="38"/>
      <c r="G58" s="38"/>
      <c r="H58" s="38"/>
      <c r="I58" s="38"/>
      <c r="J58" s="38"/>
      <c r="K58" s="38"/>
      <c r="L58" s="60"/>
      <c r="M58" s="28"/>
      <c r="N58" s="131"/>
    </row>
    <row r="59" spans="1:14" ht="15.75">
      <c r="A59" s="27"/>
      <c r="B59" s="28" t="s">
        <v>39</v>
      </c>
      <c r="C59" s="38">
        <f>SUM(C56:C58)</f>
        <v>162648</v>
      </c>
      <c r="D59" s="38">
        <f>SUM(D56:D58)</f>
        <v>147436</v>
      </c>
      <c r="E59" s="38"/>
      <c r="F59" s="38">
        <f>SUM(F56:F58)</f>
        <v>8489</v>
      </c>
      <c r="G59" s="38"/>
      <c r="H59" s="38">
        <f>SUM(H56:H58)</f>
        <v>2113</v>
      </c>
      <c r="I59" s="38"/>
      <c r="J59" s="38">
        <f>SUM(J56:J58)</f>
        <v>0</v>
      </c>
      <c r="K59" s="38"/>
      <c r="L59" s="61">
        <f>SUM(L56:L58)</f>
        <v>141060</v>
      </c>
      <c r="M59" s="28"/>
      <c r="N59" s="131"/>
    </row>
    <row r="60" spans="1:14" ht="15.75">
      <c r="A60" s="27"/>
      <c r="B60" s="28"/>
      <c r="C60" s="38"/>
      <c r="D60" s="38"/>
      <c r="E60" s="38"/>
      <c r="F60" s="38"/>
      <c r="G60" s="38"/>
      <c r="H60" s="38"/>
      <c r="I60" s="38"/>
      <c r="J60" s="38"/>
      <c r="K60" s="38"/>
      <c r="L60" s="61"/>
      <c r="M60" s="28"/>
      <c r="N60" s="131"/>
    </row>
    <row r="61" spans="1:14" ht="15.75">
      <c r="A61" s="8"/>
      <c r="B61" s="154" t="s">
        <v>40</v>
      </c>
      <c r="C61" s="62"/>
      <c r="D61" s="62"/>
      <c r="E61" s="62"/>
      <c r="F61" s="62"/>
      <c r="G61" s="62"/>
      <c r="H61" s="62"/>
      <c r="I61" s="62"/>
      <c r="J61" s="62"/>
      <c r="K61" s="62"/>
      <c r="L61" s="63"/>
      <c r="M61" s="10"/>
      <c r="N61" s="131"/>
    </row>
    <row r="62" spans="1:14" ht="15.75">
      <c r="A62" s="8"/>
      <c r="B62" s="10"/>
      <c r="C62" s="62"/>
      <c r="D62" s="62"/>
      <c r="E62" s="62"/>
      <c r="F62" s="62"/>
      <c r="G62" s="62"/>
      <c r="H62" s="62"/>
      <c r="I62" s="62"/>
      <c r="J62" s="62"/>
      <c r="K62" s="62"/>
      <c r="L62" s="63"/>
      <c r="M62" s="10"/>
      <c r="N62" s="131"/>
    </row>
    <row r="63" spans="1:14" ht="15.75">
      <c r="A63" s="27"/>
      <c r="B63" s="28" t="s">
        <v>37</v>
      </c>
      <c r="C63" s="38"/>
      <c r="D63" s="38"/>
      <c r="E63" s="38"/>
      <c r="F63" s="38"/>
      <c r="G63" s="38"/>
      <c r="H63" s="38"/>
      <c r="I63" s="38"/>
      <c r="J63" s="38"/>
      <c r="K63" s="38"/>
      <c r="L63" s="61"/>
      <c r="M63" s="28"/>
      <c r="N63" s="131"/>
    </row>
    <row r="64" spans="1:14" ht="15.75">
      <c r="A64" s="27"/>
      <c r="B64" s="28" t="s">
        <v>38</v>
      </c>
      <c r="C64" s="38"/>
      <c r="D64" s="38"/>
      <c r="E64" s="38"/>
      <c r="F64" s="38"/>
      <c r="G64" s="38"/>
      <c r="H64" s="38"/>
      <c r="I64" s="38"/>
      <c r="J64" s="38"/>
      <c r="K64" s="38"/>
      <c r="L64" s="61"/>
      <c r="M64" s="28"/>
      <c r="N64" s="131"/>
    </row>
    <row r="65" spans="1:14" ht="15.75">
      <c r="A65" s="27"/>
      <c r="B65" s="28"/>
      <c r="C65" s="38"/>
      <c r="D65" s="38"/>
      <c r="E65" s="38"/>
      <c r="F65" s="38"/>
      <c r="G65" s="38"/>
      <c r="H65" s="38"/>
      <c r="I65" s="38"/>
      <c r="J65" s="38"/>
      <c r="K65" s="38"/>
      <c r="L65" s="61"/>
      <c r="M65" s="28"/>
      <c r="N65" s="131"/>
    </row>
    <row r="66" spans="1:14" ht="15.75">
      <c r="A66" s="27"/>
      <c r="B66" s="28" t="s">
        <v>39</v>
      </c>
      <c r="C66" s="38"/>
      <c r="D66" s="38"/>
      <c r="E66" s="38"/>
      <c r="F66" s="38"/>
      <c r="G66" s="38"/>
      <c r="H66" s="38"/>
      <c r="I66" s="38"/>
      <c r="J66" s="38"/>
      <c r="K66" s="38"/>
      <c r="L66" s="38"/>
      <c r="M66" s="28"/>
      <c r="N66" s="131"/>
    </row>
    <row r="67" spans="1:14" ht="15.75">
      <c r="A67" s="27"/>
      <c r="B67" s="28"/>
      <c r="C67" s="38"/>
      <c r="D67" s="38"/>
      <c r="E67" s="38"/>
      <c r="F67" s="38"/>
      <c r="G67" s="38"/>
      <c r="H67" s="38"/>
      <c r="I67" s="38"/>
      <c r="J67" s="38"/>
      <c r="K67" s="38"/>
      <c r="L67" s="38"/>
      <c r="M67" s="28"/>
      <c r="N67" s="131"/>
    </row>
    <row r="68" spans="1:14" ht="15.75">
      <c r="A68" s="27"/>
      <c r="B68" s="28" t="s">
        <v>41</v>
      </c>
      <c r="C68" s="38">
        <v>0</v>
      </c>
      <c r="D68" s="38">
        <v>0</v>
      </c>
      <c r="E68" s="38"/>
      <c r="F68" s="38"/>
      <c r="G68" s="38"/>
      <c r="H68" s="38"/>
      <c r="I68" s="38"/>
      <c r="J68" s="38"/>
      <c r="K68" s="38"/>
      <c r="L68" s="60">
        <f>D68-F68+H68-J68</f>
        <v>0</v>
      </c>
      <c r="M68" s="28"/>
      <c r="N68" s="131"/>
    </row>
    <row r="69" spans="1:14" ht="15.75">
      <c r="A69" s="27"/>
      <c r="B69" s="28" t="s">
        <v>42</v>
      </c>
      <c r="C69" s="38">
        <v>22352</v>
      </c>
      <c r="D69" s="38">
        <v>0</v>
      </c>
      <c r="E69" s="38"/>
      <c r="F69" s="38"/>
      <c r="G69" s="38"/>
      <c r="H69" s="38"/>
      <c r="I69" s="38"/>
      <c r="J69" s="38"/>
      <c r="K69" s="38"/>
      <c r="L69" s="61">
        <v>0</v>
      </c>
      <c r="M69" s="28"/>
      <c r="N69" s="131"/>
    </row>
    <row r="70" spans="1:14" ht="15.75">
      <c r="A70" s="27"/>
      <c r="B70" s="28" t="s">
        <v>43</v>
      </c>
      <c r="C70" s="38">
        <v>0</v>
      </c>
      <c r="D70" s="38">
        <v>30</v>
      </c>
      <c r="E70" s="38"/>
      <c r="F70" s="38"/>
      <c r="G70" s="38"/>
      <c r="H70" s="38"/>
      <c r="I70" s="38"/>
      <c r="J70" s="38"/>
      <c r="K70" s="38"/>
      <c r="L70" s="61">
        <v>0</v>
      </c>
      <c r="M70" s="28"/>
      <c r="N70" s="131"/>
    </row>
    <row r="71" spans="1:14" ht="15.75">
      <c r="A71" s="27"/>
      <c r="B71" s="28" t="s">
        <v>44</v>
      </c>
      <c r="C71" s="61">
        <f>SUM(C59:C70)</f>
        <v>185000</v>
      </c>
      <c r="D71" s="61">
        <f>SUM(D59:D70)</f>
        <v>147466</v>
      </c>
      <c r="E71" s="38"/>
      <c r="F71" s="61"/>
      <c r="G71" s="38"/>
      <c r="H71" s="61"/>
      <c r="I71" s="38"/>
      <c r="J71" s="61"/>
      <c r="K71" s="38"/>
      <c r="L71" s="61">
        <f>SUM(L59:L70)</f>
        <v>141060</v>
      </c>
      <c r="M71" s="28"/>
      <c r="N71" s="131"/>
    </row>
    <row r="72" spans="1:14" ht="15.75">
      <c r="A72" s="27"/>
      <c r="B72" s="28"/>
      <c r="C72" s="38"/>
      <c r="D72" s="38"/>
      <c r="E72" s="38"/>
      <c r="F72" s="38"/>
      <c r="G72" s="38"/>
      <c r="H72" s="38"/>
      <c r="I72" s="38"/>
      <c r="J72" s="38"/>
      <c r="K72" s="38"/>
      <c r="L72" s="61"/>
      <c r="M72" s="28"/>
      <c r="N72" s="131"/>
    </row>
    <row r="73" spans="1:14" ht="15.75">
      <c r="A73" s="8"/>
      <c r="B73" s="10"/>
      <c r="C73" s="10"/>
      <c r="D73" s="10"/>
      <c r="E73" s="10"/>
      <c r="F73" s="10"/>
      <c r="G73" s="10"/>
      <c r="H73" s="10"/>
      <c r="I73" s="10"/>
      <c r="J73" s="10"/>
      <c r="K73" s="10"/>
      <c r="L73" s="10"/>
      <c r="M73" s="10"/>
      <c r="N73" s="131"/>
    </row>
    <row r="74" spans="1:14" ht="15.75">
      <c r="A74" s="8"/>
      <c r="B74" s="58" t="s">
        <v>45</v>
      </c>
      <c r="C74" s="17"/>
      <c r="D74" s="17"/>
      <c r="E74" s="17"/>
      <c r="F74" s="17"/>
      <c r="G74" s="17"/>
      <c r="H74" s="17"/>
      <c r="I74" s="20"/>
      <c r="J74" s="20" t="s">
        <v>177</v>
      </c>
      <c r="K74" s="20"/>
      <c r="L74" s="20" t="s">
        <v>190</v>
      </c>
      <c r="M74" s="10"/>
      <c r="N74" s="131"/>
    </row>
    <row r="75" spans="1:14" ht="15.75">
      <c r="A75" s="27"/>
      <c r="B75" s="28" t="s">
        <v>46</v>
      </c>
      <c r="C75" s="28"/>
      <c r="D75" s="28"/>
      <c r="E75" s="28"/>
      <c r="F75" s="28"/>
      <c r="G75" s="28"/>
      <c r="H75" s="28"/>
      <c r="I75" s="28"/>
      <c r="J75" s="38">
        <v>0</v>
      </c>
      <c r="K75" s="28"/>
      <c r="L75" s="60">
        <v>0</v>
      </c>
      <c r="M75" s="28"/>
      <c r="N75" s="131"/>
    </row>
    <row r="76" spans="1:14" ht="15.75">
      <c r="A76" s="27"/>
      <c r="B76" s="28" t="s">
        <v>47</v>
      </c>
      <c r="C76" s="47" t="s">
        <v>146</v>
      </c>
      <c r="D76" s="65">
        <v>37437</v>
      </c>
      <c r="E76" s="28"/>
      <c r="F76" s="28"/>
      <c r="G76" s="28"/>
      <c r="H76" s="28"/>
      <c r="I76" s="28"/>
      <c r="J76" s="38">
        <f>8489+30</f>
        <v>8519</v>
      </c>
      <c r="K76" s="28"/>
      <c r="L76" s="60"/>
      <c r="M76" s="28"/>
      <c r="N76" s="131"/>
    </row>
    <row r="77" spans="1:14" ht="15.75">
      <c r="A77" s="27"/>
      <c r="B77" s="28" t="s">
        <v>48</v>
      </c>
      <c r="C77" s="28"/>
      <c r="D77" s="28"/>
      <c r="E77" s="28"/>
      <c r="F77" s="28"/>
      <c r="G77" s="28"/>
      <c r="H77" s="28"/>
      <c r="I77" s="28"/>
      <c r="J77" s="38"/>
      <c r="K77" s="28"/>
      <c r="L77" s="60">
        <f>2287+336-4</f>
        <v>2619</v>
      </c>
      <c r="M77" s="28"/>
      <c r="N77" s="131"/>
    </row>
    <row r="78" spans="1:14" ht="15.75">
      <c r="A78" s="27"/>
      <c r="B78" s="28" t="s">
        <v>49</v>
      </c>
      <c r="C78" s="28"/>
      <c r="D78" s="28"/>
      <c r="E78" s="28"/>
      <c r="F78" s="28"/>
      <c r="G78" s="28"/>
      <c r="H78" s="28"/>
      <c r="I78" s="28"/>
      <c r="J78" s="38"/>
      <c r="K78" s="28"/>
      <c r="L78" s="60">
        <v>0</v>
      </c>
      <c r="M78" s="28"/>
      <c r="N78" s="131"/>
    </row>
    <row r="79" spans="1:14" ht="15.75">
      <c r="A79" s="27"/>
      <c r="B79" s="28" t="s">
        <v>50</v>
      </c>
      <c r="C79" s="28"/>
      <c r="D79" s="28"/>
      <c r="E79" s="28"/>
      <c r="F79" s="28"/>
      <c r="G79" s="28"/>
      <c r="H79" s="28"/>
      <c r="I79" s="28"/>
      <c r="J79" s="38">
        <f>SUM(J75:J78)</f>
        <v>8519</v>
      </c>
      <c r="K79" s="28"/>
      <c r="L79" s="61">
        <f>SUM(L75:L78)</f>
        <v>2619</v>
      </c>
      <c r="M79" s="28"/>
      <c r="N79" s="131"/>
    </row>
    <row r="80" spans="1:14" ht="15.75">
      <c r="A80" s="27"/>
      <c r="B80" s="28" t="s">
        <v>51</v>
      </c>
      <c r="C80" s="28"/>
      <c r="D80" s="28"/>
      <c r="E80" s="28"/>
      <c r="F80" s="28"/>
      <c r="G80" s="28"/>
      <c r="H80" s="28"/>
      <c r="I80" s="28"/>
      <c r="J80" s="38">
        <v>0</v>
      </c>
      <c r="K80" s="28"/>
      <c r="L80" s="60">
        <v>0</v>
      </c>
      <c r="M80" s="28"/>
      <c r="N80" s="131"/>
    </row>
    <row r="81" spans="1:14" ht="15.75">
      <c r="A81" s="27"/>
      <c r="B81" s="28" t="s">
        <v>52</v>
      </c>
      <c r="C81" s="28"/>
      <c r="D81" s="28"/>
      <c r="E81" s="28"/>
      <c r="F81" s="28"/>
      <c r="G81" s="28"/>
      <c r="H81" s="28"/>
      <c r="I81" s="28"/>
      <c r="J81" s="38">
        <f>J79+J80</f>
        <v>8519</v>
      </c>
      <c r="K81" s="28"/>
      <c r="L81" s="61">
        <f>L79+L80</f>
        <v>2619</v>
      </c>
      <c r="M81" s="28"/>
      <c r="N81" s="131"/>
    </row>
    <row r="82" spans="1:14" ht="15.75">
      <c r="A82" s="27"/>
      <c r="B82" s="166" t="s">
        <v>53</v>
      </c>
      <c r="C82" s="66"/>
      <c r="D82" s="28"/>
      <c r="E82" s="28"/>
      <c r="F82" s="28"/>
      <c r="G82" s="28"/>
      <c r="H82" s="28"/>
      <c r="I82" s="28"/>
      <c r="J82" s="38"/>
      <c r="K82" s="28"/>
      <c r="L82" s="60"/>
      <c r="M82" s="28"/>
      <c r="N82" s="131"/>
    </row>
    <row r="83" spans="1:14" ht="15.75">
      <c r="A83" s="27">
        <v>1</v>
      </c>
      <c r="B83" s="28" t="s">
        <v>54</v>
      </c>
      <c r="C83" s="28"/>
      <c r="D83" s="28"/>
      <c r="E83" s="28"/>
      <c r="F83" s="28"/>
      <c r="G83" s="28"/>
      <c r="H83" s="28"/>
      <c r="I83" s="28"/>
      <c r="J83" s="28"/>
      <c r="K83" s="28"/>
      <c r="L83" s="60">
        <v>0</v>
      </c>
      <c r="M83" s="28"/>
      <c r="N83" s="131"/>
    </row>
    <row r="84" spans="1:14" ht="15.75">
      <c r="A84" s="27">
        <v>2</v>
      </c>
      <c r="B84" s="28" t="s">
        <v>55</v>
      </c>
      <c r="C84" s="28"/>
      <c r="D84" s="28"/>
      <c r="E84" s="28"/>
      <c r="F84" s="28"/>
      <c r="G84" s="28"/>
      <c r="H84" s="28"/>
      <c r="I84" s="28"/>
      <c r="J84" s="28"/>
      <c r="K84" s="28"/>
      <c r="L84" s="60">
        <v>-3</v>
      </c>
      <c r="M84" s="28"/>
      <c r="N84" s="131"/>
    </row>
    <row r="85" spans="1:14" ht="15.75">
      <c r="A85" s="27">
        <v>3</v>
      </c>
      <c r="B85" s="28" t="s">
        <v>56</v>
      </c>
      <c r="C85" s="28"/>
      <c r="D85" s="28"/>
      <c r="E85" s="28"/>
      <c r="F85" s="28"/>
      <c r="G85" s="28"/>
      <c r="H85" s="28"/>
      <c r="I85" s="28"/>
      <c r="J85" s="28"/>
      <c r="K85" s="28"/>
      <c r="L85" s="60">
        <f>-93-20-4</f>
        <v>-117</v>
      </c>
      <c r="M85" s="28"/>
      <c r="N85" s="131"/>
    </row>
    <row r="86" spans="1:14" ht="15.75">
      <c r="A86" s="27">
        <v>4</v>
      </c>
      <c r="B86" s="28" t="s">
        <v>57</v>
      </c>
      <c r="C86" s="28"/>
      <c r="D86" s="28"/>
      <c r="E86" s="28"/>
      <c r="F86" s="28"/>
      <c r="G86" s="28"/>
      <c r="H86" s="28"/>
      <c r="I86" s="28"/>
      <c r="J86" s="28"/>
      <c r="K86" s="28"/>
      <c r="L86" s="60">
        <v>-160</v>
      </c>
      <c r="M86" s="28"/>
      <c r="N86" s="131"/>
    </row>
    <row r="87" spans="1:14" ht="15.75">
      <c r="A87" s="27">
        <v>5</v>
      </c>
      <c r="B87" s="28" t="s">
        <v>58</v>
      </c>
      <c r="C87" s="28"/>
      <c r="D87" s="28"/>
      <c r="E87" s="28"/>
      <c r="F87" s="28"/>
      <c r="G87" s="28"/>
      <c r="H87" s="28"/>
      <c r="I87" s="28"/>
      <c r="J87" s="28"/>
      <c r="K87" s="28"/>
      <c r="L87" s="60">
        <v>-1443</v>
      </c>
      <c r="M87" s="28"/>
      <c r="N87" s="131"/>
    </row>
    <row r="88" spans="1:14" ht="15.75">
      <c r="A88" s="27">
        <v>6</v>
      </c>
      <c r="B88" s="28" t="s">
        <v>59</v>
      </c>
      <c r="C88" s="28"/>
      <c r="D88" s="28"/>
      <c r="E88" s="28"/>
      <c r="F88" s="28"/>
      <c r="G88" s="28"/>
      <c r="H88" s="28"/>
      <c r="I88" s="28"/>
      <c r="J88" s="28"/>
      <c r="K88" s="28"/>
      <c r="L88" s="60">
        <v>-210</v>
      </c>
      <c r="M88" s="28"/>
      <c r="N88" s="131"/>
    </row>
    <row r="89" spans="1:14" ht="15.75">
      <c r="A89" s="27">
        <v>7</v>
      </c>
      <c r="B89" s="28" t="s">
        <v>60</v>
      </c>
      <c r="C89" s="28"/>
      <c r="D89" s="28"/>
      <c r="E89" s="28"/>
      <c r="F89" s="28"/>
      <c r="G89" s="28"/>
      <c r="H89" s="28"/>
      <c r="I89" s="28"/>
      <c r="J89" s="28"/>
      <c r="K89" s="28"/>
      <c r="L89" s="60">
        <v>-5</v>
      </c>
      <c r="M89" s="28"/>
      <c r="N89" s="131"/>
    </row>
    <row r="90" spans="1:14" ht="15.75">
      <c r="A90" s="27">
        <v>8</v>
      </c>
      <c r="B90" s="28" t="s">
        <v>61</v>
      </c>
      <c r="C90" s="28"/>
      <c r="D90" s="28"/>
      <c r="E90" s="28"/>
      <c r="F90" s="28"/>
      <c r="G90" s="28"/>
      <c r="H90" s="28"/>
      <c r="I90" s="28"/>
      <c r="J90" s="28"/>
      <c r="K90" s="28"/>
      <c r="L90" s="60">
        <v>0</v>
      </c>
      <c r="M90" s="28"/>
      <c r="N90" s="131"/>
    </row>
    <row r="91" spans="1:14" ht="15.75">
      <c r="A91" s="27">
        <v>9</v>
      </c>
      <c r="B91" s="28" t="s">
        <v>62</v>
      </c>
      <c r="C91" s="28"/>
      <c r="D91" s="28"/>
      <c r="E91" s="28"/>
      <c r="F91" s="28"/>
      <c r="G91" s="28"/>
      <c r="H91" s="28"/>
      <c r="I91" s="28"/>
      <c r="J91" s="28"/>
      <c r="K91" s="28"/>
      <c r="L91" s="60">
        <v>0</v>
      </c>
      <c r="M91" s="28"/>
      <c r="N91" s="131"/>
    </row>
    <row r="92" spans="1:14" ht="15.75">
      <c r="A92" s="27">
        <v>10</v>
      </c>
      <c r="B92" s="28" t="s">
        <v>63</v>
      </c>
      <c r="C92" s="28"/>
      <c r="D92" s="28"/>
      <c r="E92" s="28"/>
      <c r="F92" s="28"/>
      <c r="G92" s="28"/>
      <c r="H92" s="28"/>
      <c r="I92" s="28"/>
      <c r="J92" s="28"/>
      <c r="K92" s="28"/>
      <c r="L92" s="60">
        <v>0</v>
      </c>
      <c r="M92" s="28"/>
      <c r="N92" s="131"/>
    </row>
    <row r="93" spans="1:14" ht="15.75">
      <c r="A93" s="27">
        <v>11</v>
      </c>
      <c r="B93" s="28" t="s">
        <v>64</v>
      </c>
      <c r="C93" s="28"/>
      <c r="D93" s="28"/>
      <c r="E93" s="28"/>
      <c r="F93" s="28"/>
      <c r="G93" s="28"/>
      <c r="H93" s="28"/>
      <c r="I93" s="28"/>
      <c r="J93" s="28"/>
      <c r="K93" s="28"/>
      <c r="L93" s="60">
        <v>0</v>
      </c>
      <c r="M93" s="28"/>
      <c r="N93" s="131"/>
    </row>
    <row r="94" spans="1:14" ht="15.75">
      <c r="A94" s="27">
        <v>12</v>
      </c>
      <c r="B94" s="28" t="s">
        <v>65</v>
      </c>
      <c r="C94" s="28"/>
      <c r="D94" s="28"/>
      <c r="E94" s="28"/>
      <c r="F94" s="28"/>
      <c r="G94" s="28"/>
      <c r="H94" s="28"/>
      <c r="I94" s="28"/>
      <c r="J94" s="28"/>
      <c r="K94" s="28"/>
      <c r="L94" s="60">
        <f>-11-114</f>
        <v>-125</v>
      </c>
      <c r="M94" s="28"/>
      <c r="N94" s="131"/>
    </row>
    <row r="95" spans="1:14" ht="15.75">
      <c r="A95" s="27">
        <v>13</v>
      </c>
      <c r="B95" s="28" t="s">
        <v>66</v>
      </c>
      <c r="C95" s="28"/>
      <c r="D95" s="28"/>
      <c r="E95" s="28"/>
      <c r="F95" s="28"/>
      <c r="G95" s="28"/>
      <c r="H95" s="28"/>
      <c r="I95" s="28"/>
      <c r="J95" s="28"/>
      <c r="K95" s="28"/>
      <c r="L95" s="60">
        <f>-SUM(L81:L94)</f>
        <v>-556</v>
      </c>
      <c r="M95" s="28"/>
      <c r="N95" s="131"/>
    </row>
    <row r="96" spans="1:14" ht="15.75">
      <c r="A96" s="27"/>
      <c r="B96" s="166" t="s">
        <v>67</v>
      </c>
      <c r="C96" s="66"/>
      <c r="D96" s="28"/>
      <c r="E96" s="28"/>
      <c r="F96" s="28"/>
      <c r="G96" s="28"/>
      <c r="H96" s="28"/>
      <c r="I96" s="28"/>
      <c r="J96" s="28"/>
      <c r="K96" s="28"/>
      <c r="L96" s="67"/>
      <c r="M96" s="28"/>
      <c r="N96" s="131"/>
    </row>
    <row r="97" spans="1:14" ht="15.75">
      <c r="A97" s="27"/>
      <c r="B97" s="28" t="s">
        <v>68</v>
      </c>
      <c r="C97" s="66"/>
      <c r="D97" s="28"/>
      <c r="E97" s="28"/>
      <c r="F97" s="28"/>
      <c r="G97" s="28"/>
      <c r="H97" s="28"/>
      <c r="I97" s="28"/>
      <c r="J97" s="38">
        <f>-J143</f>
        <v>-3</v>
      </c>
      <c r="K97" s="38"/>
      <c r="L97" s="60"/>
      <c r="M97" s="28"/>
      <c r="N97" s="131"/>
    </row>
    <row r="98" spans="1:14" ht="15.75">
      <c r="A98" s="27"/>
      <c r="B98" s="28" t="s">
        <v>69</v>
      </c>
      <c r="C98" s="28"/>
      <c r="D98" s="28"/>
      <c r="E98" s="28"/>
      <c r="F98" s="28"/>
      <c r="G98" s="28"/>
      <c r="H98" s="28"/>
      <c r="I98" s="28"/>
      <c r="J98" s="38">
        <f>-H143</f>
        <v>-2110</v>
      </c>
      <c r="K98" s="38"/>
      <c r="L98" s="60"/>
      <c r="M98" s="28"/>
      <c r="N98" s="131"/>
    </row>
    <row r="99" spans="1:14" ht="15.75">
      <c r="A99" s="27"/>
      <c r="B99" s="28" t="s">
        <v>70</v>
      </c>
      <c r="C99" s="28"/>
      <c r="D99" s="28"/>
      <c r="E99" s="28"/>
      <c r="F99" s="28"/>
      <c r="G99" s="28"/>
      <c r="H99" s="28"/>
      <c r="I99" s="28"/>
      <c r="J99" s="38">
        <v>-6406</v>
      </c>
      <c r="K99" s="38"/>
      <c r="L99" s="60"/>
      <c r="M99" s="28"/>
      <c r="N99" s="131"/>
    </row>
    <row r="100" spans="1:14" ht="15.75">
      <c r="A100" s="27"/>
      <c r="B100" s="28" t="s">
        <v>71</v>
      </c>
      <c r="C100" s="28"/>
      <c r="D100" s="28"/>
      <c r="E100" s="28"/>
      <c r="F100" s="28"/>
      <c r="G100" s="28"/>
      <c r="H100" s="28"/>
      <c r="I100" s="28"/>
      <c r="J100" s="38">
        <v>0</v>
      </c>
      <c r="K100" s="38"/>
      <c r="L100" s="60"/>
      <c r="M100" s="28"/>
      <c r="N100" s="131"/>
    </row>
    <row r="101" spans="1:14" ht="15.75">
      <c r="A101" s="27"/>
      <c r="B101" s="28" t="s">
        <v>72</v>
      </c>
      <c r="C101" s="28"/>
      <c r="D101" s="28"/>
      <c r="E101" s="28"/>
      <c r="F101" s="28"/>
      <c r="G101" s="28"/>
      <c r="H101" s="28"/>
      <c r="I101" s="28"/>
      <c r="J101" s="38">
        <f>SUM(J82:J100)</f>
        <v>-8519</v>
      </c>
      <c r="K101" s="38"/>
      <c r="L101" s="38">
        <f>SUM(L82:L100)</f>
        <v>-2619</v>
      </c>
      <c r="M101" s="28"/>
      <c r="N101" s="131"/>
    </row>
    <row r="102" spans="1:14" ht="15.75">
      <c r="A102" s="27"/>
      <c r="B102" s="28" t="s">
        <v>73</v>
      </c>
      <c r="C102" s="28"/>
      <c r="D102" s="28"/>
      <c r="E102" s="28"/>
      <c r="F102" s="28"/>
      <c r="G102" s="28"/>
      <c r="H102" s="28"/>
      <c r="I102" s="28"/>
      <c r="J102" s="38">
        <f>J81+J101</f>
        <v>0</v>
      </c>
      <c r="K102" s="38"/>
      <c r="L102" s="38">
        <f>L81+L101</f>
        <v>0</v>
      </c>
      <c r="M102" s="28"/>
      <c r="N102" s="131"/>
    </row>
    <row r="103" spans="1:14" ht="15.75">
      <c r="A103" s="27"/>
      <c r="B103" s="28"/>
      <c r="C103" s="28"/>
      <c r="D103" s="28"/>
      <c r="E103" s="28"/>
      <c r="F103" s="28"/>
      <c r="G103" s="28"/>
      <c r="H103" s="28"/>
      <c r="I103" s="28"/>
      <c r="J103" s="38"/>
      <c r="K103" s="38"/>
      <c r="L103" s="38"/>
      <c r="M103" s="28"/>
      <c r="N103" s="131"/>
    </row>
    <row r="104" spans="1:14" ht="15.75">
      <c r="A104" s="8"/>
      <c r="B104" s="10"/>
      <c r="C104" s="10"/>
      <c r="D104" s="10"/>
      <c r="E104" s="10"/>
      <c r="F104" s="10"/>
      <c r="G104" s="10"/>
      <c r="H104" s="10"/>
      <c r="I104" s="10"/>
      <c r="J104" s="62"/>
      <c r="K104" s="62"/>
      <c r="L104" s="62"/>
      <c r="M104" s="10"/>
      <c r="N104" s="131"/>
    </row>
    <row r="105" spans="1:14" ht="19.5" thickBot="1">
      <c r="A105" s="138"/>
      <c r="B105" s="139" t="s">
        <v>211</v>
      </c>
      <c r="C105" s="140"/>
      <c r="D105" s="140"/>
      <c r="E105" s="140"/>
      <c r="F105" s="140"/>
      <c r="G105" s="140"/>
      <c r="H105" s="140"/>
      <c r="I105" s="140"/>
      <c r="J105" s="143"/>
      <c r="K105" s="143"/>
      <c r="L105" s="143"/>
      <c r="M105" s="142"/>
      <c r="N105" s="131"/>
    </row>
    <row r="106" spans="1:14" ht="12" customHeight="1">
      <c r="A106" s="2"/>
      <c r="B106" s="5"/>
      <c r="C106" s="5"/>
      <c r="D106" s="5"/>
      <c r="E106" s="5"/>
      <c r="F106" s="5"/>
      <c r="G106" s="5"/>
      <c r="H106" s="5"/>
      <c r="I106" s="5"/>
      <c r="J106" s="5"/>
      <c r="K106" s="5"/>
      <c r="L106" s="57"/>
      <c r="M106" s="5"/>
      <c r="N106" s="131"/>
    </row>
    <row r="107" spans="1:14" ht="12" customHeight="1">
      <c r="A107" s="8"/>
      <c r="B107" s="10"/>
      <c r="C107" s="10"/>
      <c r="D107" s="10"/>
      <c r="E107" s="10"/>
      <c r="F107" s="10"/>
      <c r="G107" s="10"/>
      <c r="H107" s="10"/>
      <c r="I107" s="10"/>
      <c r="J107" s="10"/>
      <c r="K107" s="10"/>
      <c r="L107" s="59"/>
      <c r="M107" s="10"/>
      <c r="N107" s="131"/>
    </row>
    <row r="108" spans="1:14" ht="15.75">
      <c r="A108" s="8"/>
      <c r="B108" s="58" t="s">
        <v>74</v>
      </c>
      <c r="C108" s="16"/>
      <c r="D108" s="10"/>
      <c r="E108" s="10"/>
      <c r="F108" s="10"/>
      <c r="G108" s="10"/>
      <c r="H108" s="10"/>
      <c r="I108" s="10"/>
      <c r="J108" s="10"/>
      <c r="K108" s="10"/>
      <c r="L108" s="59"/>
      <c r="M108" s="10"/>
      <c r="N108" s="131"/>
    </row>
    <row r="109" spans="1:14" ht="15.75">
      <c r="A109" s="8"/>
      <c r="B109" s="23"/>
      <c r="C109" s="16"/>
      <c r="D109" s="10"/>
      <c r="E109" s="10"/>
      <c r="F109" s="10"/>
      <c r="G109" s="10"/>
      <c r="H109" s="10"/>
      <c r="I109" s="10"/>
      <c r="J109" s="10"/>
      <c r="K109" s="10"/>
      <c r="L109" s="59"/>
      <c r="M109" s="10"/>
      <c r="N109" s="131"/>
    </row>
    <row r="110" spans="1:14" ht="15.75">
      <c r="A110" s="8"/>
      <c r="B110" s="167" t="s">
        <v>75</v>
      </c>
      <c r="C110" s="16"/>
      <c r="D110" s="10"/>
      <c r="E110" s="10"/>
      <c r="F110" s="10"/>
      <c r="G110" s="10"/>
      <c r="H110" s="10"/>
      <c r="I110" s="10"/>
      <c r="J110" s="10"/>
      <c r="K110" s="10"/>
      <c r="L110" s="59"/>
      <c r="M110" s="10"/>
      <c r="N110" s="131"/>
    </row>
    <row r="111" spans="1:14" ht="15.75">
      <c r="A111" s="27"/>
      <c r="B111" s="28" t="s">
        <v>76</v>
      </c>
      <c r="C111" s="28"/>
      <c r="D111" s="28"/>
      <c r="E111" s="28"/>
      <c r="F111" s="28"/>
      <c r="G111" s="28"/>
      <c r="H111" s="28"/>
      <c r="I111" s="28"/>
      <c r="J111" s="28"/>
      <c r="K111" s="28"/>
      <c r="L111" s="60">
        <v>4625</v>
      </c>
      <c r="M111" s="28"/>
      <c r="N111" s="131"/>
    </row>
    <row r="112" spans="1:14" ht="15.75">
      <c r="A112" s="27"/>
      <c r="B112" s="28" t="s">
        <v>77</v>
      </c>
      <c r="C112" s="28"/>
      <c r="D112" s="28"/>
      <c r="E112" s="28"/>
      <c r="F112" s="28"/>
      <c r="G112" s="28"/>
      <c r="H112" s="28"/>
      <c r="I112" s="28"/>
      <c r="J112" s="28"/>
      <c r="K112" s="28"/>
      <c r="L112" s="60">
        <v>4625</v>
      </c>
      <c r="M112" s="28"/>
      <c r="N112" s="131"/>
    </row>
    <row r="113" spans="1:14" ht="15.75">
      <c r="A113" s="27"/>
      <c r="B113" s="28" t="s">
        <v>78</v>
      </c>
      <c r="C113" s="28"/>
      <c r="D113" s="28"/>
      <c r="E113" s="28"/>
      <c r="F113" s="28"/>
      <c r="G113" s="28"/>
      <c r="H113" s="28"/>
      <c r="I113" s="28"/>
      <c r="J113" s="28"/>
      <c r="K113" s="28"/>
      <c r="L113" s="60">
        <v>0</v>
      </c>
      <c r="M113" s="28"/>
      <c r="N113" s="131"/>
    </row>
    <row r="114" spans="1:14" ht="15.75">
      <c r="A114" s="27"/>
      <c r="B114" s="28" t="s">
        <v>79</v>
      </c>
      <c r="C114" s="28"/>
      <c r="D114" s="28"/>
      <c r="E114" s="28"/>
      <c r="F114" s="28"/>
      <c r="G114" s="28"/>
      <c r="H114" s="28"/>
      <c r="I114" s="28"/>
      <c r="J114" s="28"/>
      <c r="K114" s="28"/>
      <c r="L114" s="60">
        <v>0</v>
      </c>
      <c r="M114" s="28"/>
      <c r="N114" s="131"/>
    </row>
    <row r="115" spans="1:14" ht="15.75">
      <c r="A115" s="27"/>
      <c r="B115" s="28" t="s">
        <v>80</v>
      </c>
      <c r="C115" s="28"/>
      <c r="D115" s="28"/>
      <c r="E115" s="28"/>
      <c r="F115" s="28"/>
      <c r="G115" s="28"/>
      <c r="H115" s="28"/>
      <c r="I115" s="28"/>
      <c r="J115" s="28"/>
      <c r="K115" s="28"/>
      <c r="L115" s="60">
        <v>0</v>
      </c>
      <c r="M115" s="28"/>
      <c r="N115" s="131"/>
    </row>
    <row r="116" spans="1:14" ht="15.75">
      <c r="A116" s="27"/>
      <c r="B116" s="28" t="s">
        <v>58</v>
      </c>
      <c r="C116" s="28"/>
      <c r="D116" s="28"/>
      <c r="E116" s="28"/>
      <c r="F116" s="28"/>
      <c r="G116" s="28"/>
      <c r="H116" s="28"/>
      <c r="I116" s="28"/>
      <c r="J116" s="28"/>
      <c r="K116" s="28"/>
      <c r="L116" s="60">
        <v>0</v>
      </c>
      <c r="M116" s="28"/>
      <c r="N116" s="131"/>
    </row>
    <row r="117" spans="1:14" ht="15.75">
      <c r="A117" s="27"/>
      <c r="B117" s="28" t="s">
        <v>59</v>
      </c>
      <c r="C117" s="28"/>
      <c r="D117" s="28"/>
      <c r="E117" s="28"/>
      <c r="F117" s="28"/>
      <c r="G117" s="28"/>
      <c r="H117" s="28"/>
      <c r="I117" s="28"/>
      <c r="J117" s="28"/>
      <c r="K117" s="28"/>
      <c r="L117" s="60">
        <v>0</v>
      </c>
      <c r="M117" s="28"/>
      <c r="N117" s="131"/>
    </row>
    <row r="118" spans="1:14" ht="15.75">
      <c r="A118" s="27"/>
      <c r="B118" s="28" t="s">
        <v>81</v>
      </c>
      <c r="C118" s="28"/>
      <c r="D118" s="28"/>
      <c r="E118" s="28"/>
      <c r="F118" s="28"/>
      <c r="G118" s="28"/>
      <c r="H118" s="28"/>
      <c r="I118" s="28"/>
      <c r="J118" s="28"/>
      <c r="K118" s="28"/>
      <c r="L118" s="60">
        <f>SUM(L112:L116)</f>
        <v>4625</v>
      </c>
      <c r="M118" s="28"/>
      <c r="N118" s="131"/>
    </row>
    <row r="119" spans="1:14" ht="15.75">
      <c r="A119" s="27"/>
      <c r="B119" s="28"/>
      <c r="C119" s="28"/>
      <c r="D119" s="28"/>
      <c r="E119" s="28"/>
      <c r="F119" s="28"/>
      <c r="G119" s="28"/>
      <c r="H119" s="28"/>
      <c r="I119" s="28"/>
      <c r="J119" s="28"/>
      <c r="K119" s="28"/>
      <c r="L119" s="68"/>
      <c r="M119" s="28"/>
      <c r="N119" s="131"/>
    </row>
    <row r="120" spans="1:14" ht="15.75">
      <c r="A120" s="8"/>
      <c r="B120" s="167" t="s">
        <v>82</v>
      </c>
      <c r="C120" s="10"/>
      <c r="D120" s="10"/>
      <c r="E120" s="10"/>
      <c r="F120" s="10"/>
      <c r="G120" s="10"/>
      <c r="H120" s="10"/>
      <c r="I120" s="10"/>
      <c r="J120" s="10"/>
      <c r="K120" s="10"/>
      <c r="L120" s="59"/>
      <c r="M120" s="10"/>
      <c r="N120" s="131"/>
    </row>
    <row r="121" spans="1:14" ht="15.75">
      <c r="A121" s="27"/>
      <c r="B121" s="28" t="s">
        <v>83</v>
      </c>
      <c r="C121" s="28"/>
      <c r="D121" s="69"/>
      <c r="E121" s="28"/>
      <c r="F121" s="28"/>
      <c r="G121" s="28"/>
      <c r="H121" s="28"/>
      <c r="I121" s="28"/>
      <c r="J121" s="28"/>
      <c r="K121" s="28"/>
      <c r="L121" s="70" t="s">
        <v>156</v>
      </c>
      <c r="M121" s="28"/>
      <c r="N121" s="131"/>
    </row>
    <row r="122" spans="1:14" ht="15.75">
      <c r="A122" s="27"/>
      <c r="B122" s="28" t="s">
        <v>84</v>
      </c>
      <c r="C122" s="30"/>
      <c r="D122" s="30"/>
      <c r="E122" s="30"/>
      <c r="F122" s="30"/>
      <c r="G122" s="30"/>
      <c r="H122" s="30"/>
      <c r="I122" s="30"/>
      <c r="J122" s="30"/>
      <c r="K122" s="30"/>
      <c r="L122" s="70" t="s">
        <v>156</v>
      </c>
      <c r="M122" s="28"/>
      <c r="N122" s="131"/>
    </row>
    <row r="123" spans="1:14" ht="15.75">
      <c r="A123" s="27"/>
      <c r="B123" s="28" t="s">
        <v>85</v>
      </c>
      <c r="C123" s="28"/>
      <c r="D123" s="28"/>
      <c r="E123" s="28"/>
      <c r="F123" s="28"/>
      <c r="G123" s="28"/>
      <c r="H123" s="28"/>
      <c r="I123" s="28"/>
      <c r="J123" s="28"/>
      <c r="K123" s="28"/>
      <c r="L123" s="70" t="s">
        <v>156</v>
      </c>
      <c r="M123" s="28"/>
      <c r="N123" s="131"/>
    </row>
    <row r="124" spans="1:14" ht="15.75">
      <c r="A124" s="27"/>
      <c r="B124" s="28" t="s">
        <v>86</v>
      </c>
      <c r="C124" s="28"/>
      <c r="D124" s="28"/>
      <c r="E124" s="28"/>
      <c r="F124" s="28"/>
      <c r="G124" s="28"/>
      <c r="H124" s="28"/>
      <c r="I124" s="28"/>
      <c r="J124" s="28"/>
      <c r="K124" s="28"/>
      <c r="L124" s="70" t="s">
        <v>156</v>
      </c>
      <c r="M124" s="28"/>
      <c r="N124" s="131"/>
    </row>
    <row r="125" spans="1:14" ht="15.75">
      <c r="A125" s="27"/>
      <c r="B125" s="28"/>
      <c r="C125" s="28"/>
      <c r="D125" s="28"/>
      <c r="E125" s="28"/>
      <c r="F125" s="28"/>
      <c r="G125" s="28"/>
      <c r="H125" s="28"/>
      <c r="I125" s="28"/>
      <c r="J125" s="28"/>
      <c r="K125" s="28"/>
      <c r="L125" s="68"/>
      <c r="M125" s="28"/>
      <c r="N125" s="131"/>
    </row>
    <row r="126" spans="1:14" ht="15.75">
      <c r="A126" s="8"/>
      <c r="B126" s="167" t="s">
        <v>87</v>
      </c>
      <c r="C126" s="16"/>
      <c r="D126" s="10"/>
      <c r="E126" s="10"/>
      <c r="F126" s="10"/>
      <c r="G126" s="10"/>
      <c r="H126" s="10"/>
      <c r="I126" s="10"/>
      <c r="J126" s="10"/>
      <c r="K126" s="10"/>
      <c r="L126" s="71"/>
      <c r="M126" s="10"/>
      <c r="N126" s="131"/>
    </row>
    <row r="127" spans="1:14" ht="15.75">
      <c r="A127" s="27"/>
      <c r="B127" s="28" t="s">
        <v>88</v>
      </c>
      <c r="C127" s="28"/>
      <c r="D127" s="28"/>
      <c r="E127" s="28"/>
      <c r="F127" s="28"/>
      <c r="G127" s="28"/>
      <c r="H127" s="28"/>
      <c r="I127" s="28"/>
      <c r="J127" s="28"/>
      <c r="K127" s="28"/>
      <c r="L127" s="60">
        <v>0</v>
      </c>
      <c r="M127" s="28"/>
      <c r="N127" s="131"/>
    </row>
    <row r="128" spans="1:14" ht="15.75">
      <c r="A128" s="27"/>
      <c r="B128" s="28" t="s">
        <v>89</v>
      </c>
      <c r="C128" s="28"/>
      <c r="D128" s="28"/>
      <c r="E128" s="28"/>
      <c r="F128" s="28"/>
      <c r="G128" s="28"/>
      <c r="H128" s="28"/>
      <c r="I128" s="28"/>
      <c r="J128" s="28"/>
      <c r="K128" s="28"/>
      <c r="L128" s="60">
        <v>0</v>
      </c>
      <c r="M128" s="28"/>
      <c r="N128" s="131"/>
    </row>
    <row r="129" spans="1:14" ht="15.75">
      <c r="A129" s="27"/>
      <c r="B129" s="28" t="s">
        <v>90</v>
      </c>
      <c r="C129" s="28"/>
      <c r="D129" s="28"/>
      <c r="E129" s="28"/>
      <c r="F129" s="28"/>
      <c r="G129" s="28"/>
      <c r="H129" s="28"/>
      <c r="I129" s="28"/>
      <c r="J129" s="28"/>
      <c r="K129" s="28"/>
      <c r="L129" s="60">
        <f>L127+L128</f>
        <v>0</v>
      </c>
      <c r="M129" s="28"/>
      <c r="N129" s="131"/>
    </row>
    <row r="130" spans="1:14" ht="15.75">
      <c r="A130" s="27"/>
      <c r="B130" s="28" t="s">
        <v>91</v>
      </c>
      <c r="C130" s="28"/>
      <c r="D130" s="28"/>
      <c r="E130" s="28"/>
      <c r="F130" s="28"/>
      <c r="G130" s="28"/>
      <c r="H130" s="72"/>
      <c r="I130" s="28"/>
      <c r="J130" s="28"/>
      <c r="K130" s="28"/>
      <c r="L130" s="60">
        <v>0</v>
      </c>
      <c r="M130" s="28"/>
      <c r="N130" s="131"/>
    </row>
    <row r="131" spans="1:14" ht="15.75">
      <c r="A131" s="27"/>
      <c r="B131" s="28" t="s">
        <v>92</v>
      </c>
      <c r="C131" s="28"/>
      <c r="D131" s="28"/>
      <c r="E131" s="28"/>
      <c r="F131" s="28"/>
      <c r="G131" s="28"/>
      <c r="H131" s="28"/>
      <c r="I131" s="28"/>
      <c r="J131" s="28"/>
      <c r="K131" s="28"/>
      <c r="L131" s="60">
        <f>L129+L130</f>
        <v>0</v>
      </c>
      <c r="M131" s="28"/>
      <c r="N131" s="131"/>
    </row>
    <row r="132" spans="1:14" ht="7.5" customHeight="1">
      <c r="A132" s="27"/>
      <c r="B132" s="28"/>
      <c r="C132" s="28"/>
      <c r="D132" s="28"/>
      <c r="E132" s="28"/>
      <c r="F132" s="28"/>
      <c r="G132" s="28"/>
      <c r="H132" s="28"/>
      <c r="I132" s="28"/>
      <c r="J132" s="28"/>
      <c r="K132" s="28"/>
      <c r="L132" s="68"/>
      <c r="M132" s="28"/>
      <c r="N132" s="131"/>
    </row>
    <row r="133" spans="1:14" ht="6" customHeight="1">
      <c r="A133" s="2"/>
      <c r="B133" s="5"/>
      <c r="C133" s="5"/>
      <c r="D133" s="5"/>
      <c r="E133" s="5"/>
      <c r="F133" s="5"/>
      <c r="G133" s="5"/>
      <c r="H133" s="5"/>
      <c r="I133" s="5"/>
      <c r="J133" s="5"/>
      <c r="K133" s="5"/>
      <c r="L133" s="57"/>
      <c r="M133" s="5"/>
      <c r="N133" s="131"/>
    </row>
    <row r="134" spans="1:14" ht="15.75">
      <c r="A134" s="8"/>
      <c r="B134" s="167" t="s">
        <v>93</v>
      </c>
      <c r="C134" s="16"/>
      <c r="D134" s="10"/>
      <c r="E134" s="10"/>
      <c r="F134" s="10"/>
      <c r="G134" s="10"/>
      <c r="H134" s="10"/>
      <c r="I134" s="10"/>
      <c r="J134" s="10"/>
      <c r="K134" s="10"/>
      <c r="L134" s="59"/>
      <c r="M134" s="10"/>
      <c r="N134" s="131"/>
    </row>
    <row r="135" spans="1:14" ht="15.75">
      <c r="A135" s="8"/>
      <c r="B135" s="23"/>
      <c r="C135" s="16"/>
      <c r="D135" s="10"/>
      <c r="E135" s="10"/>
      <c r="F135" s="10"/>
      <c r="G135" s="10"/>
      <c r="H135" s="10"/>
      <c r="I135" s="10"/>
      <c r="J135" s="10"/>
      <c r="K135" s="10"/>
      <c r="L135" s="59"/>
      <c r="M135" s="10"/>
      <c r="N135" s="131"/>
    </row>
    <row r="136" spans="1:14" ht="15.75">
      <c r="A136" s="27"/>
      <c r="B136" s="28" t="s">
        <v>94</v>
      </c>
      <c r="C136" s="73"/>
      <c r="D136" s="28"/>
      <c r="E136" s="28"/>
      <c r="F136" s="28"/>
      <c r="G136" s="28"/>
      <c r="H136" s="28"/>
      <c r="I136" s="28"/>
      <c r="J136" s="28"/>
      <c r="K136" s="28"/>
      <c r="L136" s="60">
        <f>L59</f>
        <v>141060</v>
      </c>
      <c r="M136" s="28"/>
      <c r="N136" s="131"/>
    </row>
    <row r="137" spans="1:14" ht="15.75">
      <c r="A137" s="27"/>
      <c r="B137" s="28" t="s">
        <v>95</v>
      </c>
      <c r="C137" s="73"/>
      <c r="D137" s="28"/>
      <c r="E137" s="28"/>
      <c r="F137" s="28"/>
      <c r="G137" s="28"/>
      <c r="H137" s="28"/>
      <c r="I137" s="28"/>
      <c r="J137" s="28"/>
      <c r="K137" s="28"/>
      <c r="L137" s="60">
        <f>L71</f>
        <v>141060</v>
      </c>
      <c r="M137" s="28"/>
      <c r="N137" s="131"/>
    </row>
    <row r="138" spans="1:14" ht="7.5" customHeight="1">
      <c r="A138" s="27"/>
      <c r="B138" s="28"/>
      <c r="C138" s="28"/>
      <c r="D138" s="28"/>
      <c r="E138" s="28"/>
      <c r="F138" s="28"/>
      <c r="G138" s="28"/>
      <c r="H138" s="28"/>
      <c r="I138" s="28"/>
      <c r="J138" s="28"/>
      <c r="K138" s="28"/>
      <c r="L138" s="68"/>
      <c r="M138" s="28"/>
      <c r="N138" s="131"/>
    </row>
    <row r="139" spans="1:14" ht="15.75">
      <c r="A139" s="2"/>
      <c r="B139" s="5"/>
      <c r="C139" s="5"/>
      <c r="D139" s="5"/>
      <c r="E139" s="5"/>
      <c r="F139" s="5"/>
      <c r="G139" s="5"/>
      <c r="H139" s="5"/>
      <c r="I139" s="5"/>
      <c r="J139" s="5"/>
      <c r="K139" s="5"/>
      <c r="L139" s="57"/>
      <c r="M139" s="5"/>
      <c r="N139" s="131"/>
    </row>
    <row r="140" spans="1:14" ht="15.75">
      <c r="A140" s="132"/>
      <c r="B140" s="167" t="s">
        <v>96</v>
      </c>
      <c r="C140" s="154"/>
      <c r="D140" s="154"/>
      <c r="E140" s="154"/>
      <c r="F140" s="154"/>
      <c r="G140" s="154"/>
      <c r="H140" s="168" t="s">
        <v>171</v>
      </c>
      <c r="I140" s="168"/>
      <c r="J140" s="168" t="s">
        <v>178</v>
      </c>
      <c r="K140" s="154"/>
      <c r="L140" s="169" t="s">
        <v>191</v>
      </c>
      <c r="M140" s="12"/>
      <c r="N140" s="131"/>
    </row>
    <row r="141" spans="1:14" ht="15.75">
      <c r="A141" s="27"/>
      <c r="B141" s="28" t="s">
        <v>97</v>
      </c>
      <c r="C141" s="28"/>
      <c r="D141" s="28"/>
      <c r="E141" s="28"/>
      <c r="F141" s="28"/>
      <c r="G141" s="28"/>
      <c r="H141" s="60">
        <v>20000</v>
      </c>
      <c r="I141" s="28"/>
      <c r="J141" s="47"/>
      <c r="K141" s="28"/>
      <c r="L141" s="60"/>
      <c r="M141" s="28"/>
      <c r="N141" s="131"/>
    </row>
    <row r="142" spans="1:14" ht="15.75">
      <c r="A142" s="27"/>
      <c r="B142" s="28" t="s">
        <v>98</v>
      </c>
      <c r="C142" s="28"/>
      <c r="D142" s="28"/>
      <c r="E142" s="28"/>
      <c r="F142" s="28"/>
      <c r="G142" s="28"/>
      <c r="H142" s="60">
        <v>15491</v>
      </c>
      <c r="I142" s="28"/>
      <c r="J142" s="28">
        <v>547</v>
      </c>
      <c r="K142" s="28"/>
      <c r="L142" s="60">
        <f>J142+H142</f>
        <v>16038</v>
      </c>
      <c r="M142" s="28"/>
      <c r="N142" s="131"/>
    </row>
    <row r="143" spans="1:14" ht="15.75">
      <c r="A143" s="27"/>
      <c r="B143" s="28" t="s">
        <v>99</v>
      </c>
      <c r="C143" s="28"/>
      <c r="D143" s="28"/>
      <c r="E143" s="28"/>
      <c r="F143" s="28"/>
      <c r="G143" s="28"/>
      <c r="H143" s="38">
        <v>2110</v>
      </c>
      <c r="I143" s="28"/>
      <c r="J143" s="28">
        <v>3</v>
      </c>
      <c r="K143" s="28"/>
      <c r="L143" s="60">
        <f>J143+H143</f>
        <v>2113</v>
      </c>
      <c r="M143" s="28"/>
      <c r="N143" s="131"/>
    </row>
    <row r="144" spans="1:14" ht="15.75">
      <c r="A144" s="27"/>
      <c r="B144" s="28" t="s">
        <v>100</v>
      </c>
      <c r="C144" s="28"/>
      <c r="D144" s="28"/>
      <c r="E144" s="28"/>
      <c r="F144" s="28"/>
      <c r="G144" s="28"/>
      <c r="H144" s="60">
        <f>H142+H143</f>
        <v>17601</v>
      </c>
      <c r="I144" s="28"/>
      <c r="J144" s="60">
        <f>J143+J142</f>
        <v>550</v>
      </c>
      <c r="K144" s="28"/>
      <c r="L144" s="60">
        <f>J144+H144</f>
        <v>18151</v>
      </c>
      <c r="M144" s="28"/>
      <c r="N144" s="131"/>
    </row>
    <row r="145" spans="1:14" ht="15.75">
      <c r="A145" s="27"/>
      <c r="B145" s="28" t="s">
        <v>101</v>
      </c>
      <c r="C145" s="28"/>
      <c r="D145" s="28"/>
      <c r="E145" s="28"/>
      <c r="F145" s="28"/>
      <c r="G145" s="28"/>
      <c r="H145" s="60">
        <f>H141-H144-J144</f>
        <v>1849</v>
      </c>
      <c r="I145" s="28"/>
      <c r="J145" s="47"/>
      <c r="K145" s="28"/>
      <c r="L145" s="60"/>
      <c r="M145" s="28"/>
      <c r="N145" s="131"/>
    </row>
    <row r="146" spans="1:14" ht="7.5" customHeight="1">
      <c r="A146" s="27"/>
      <c r="B146" s="28"/>
      <c r="C146" s="28"/>
      <c r="D146" s="28"/>
      <c r="E146" s="28"/>
      <c r="F146" s="28"/>
      <c r="G146" s="28"/>
      <c r="H146" s="28"/>
      <c r="I146" s="28"/>
      <c r="J146" s="28"/>
      <c r="K146" s="28"/>
      <c r="L146" s="68"/>
      <c r="M146" s="28"/>
      <c r="N146" s="131"/>
    </row>
    <row r="147" spans="1:14" ht="9" customHeight="1">
      <c r="A147" s="2"/>
      <c r="B147" s="5"/>
      <c r="C147" s="5"/>
      <c r="D147" s="5"/>
      <c r="E147" s="5"/>
      <c r="F147" s="5"/>
      <c r="G147" s="5"/>
      <c r="H147" s="5"/>
      <c r="I147" s="5"/>
      <c r="J147" s="5"/>
      <c r="K147" s="5"/>
      <c r="L147" s="57"/>
      <c r="M147" s="5"/>
      <c r="N147" s="131"/>
    </row>
    <row r="148" spans="1:14" ht="15.75">
      <c r="A148" s="8"/>
      <c r="B148" s="167" t="s">
        <v>102</v>
      </c>
      <c r="C148" s="16"/>
      <c r="D148" s="10"/>
      <c r="E148" s="10"/>
      <c r="F148" s="10"/>
      <c r="G148" s="10"/>
      <c r="H148" s="10"/>
      <c r="I148" s="10"/>
      <c r="J148" s="10"/>
      <c r="K148" s="10"/>
      <c r="L148" s="74"/>
      <c r="M148" s="10"/>
      <c r="N148" s="131"/>
    </row>
    <row r="149" spans="1:14" ht="15.75">
      <c r="A149" s="27"/>
      <c r="B149" s="28" t="s">
        <v>103</v>
      </c>
      <c r="C149" s="28"/>
      <c r="D149" s="28"/>
      <c r="E149" s="28"/>
      <c r="F149" s="28"/>
      <c r="G149" s="28"/>
      <c r="H149" s="28"/>
      <c r="I149" s="28"/>
      <c r="J149" s="28"/>
      <c r="K149" s="28"/>
      <c r="L149" s="67">
        <f>(L81+L83+L84+L85+L86)/-L87</f>
        <v>1.620928620928621</v>
      </c>
      <c r="M149" s="28" t="s">
        <v>192</v>
      </c>
      <c r="N149" s="131"/>
    </row>
    <row r="150" spans="1:14" ht="15.75">
      <c r="A150" s="27"/>
      <c r="B150" s="28" t="s">
        <v>104</v>
      </c>
      <c r="C150" s="28"/>
      <c r="D150" s="28"/>
      <c r="E150" s="28"/>
      <c r="F150" s="28"/>
      <c r="G150" s="28"/>
      <c r="H150" s="28"/>
      <c r="I150" s="28"/>
      <c r="J150" s="28"/>
      <c r="K150" s="28"/>
      <c r="L150" s="67">
        <v>1.39</v>
      </c>
      <c r="M150" s="28" t="s">
        <v>192</v>
      </c>
      <c r="N150" s="131"/>
    </row>
    <row r="151" spans="1:14" ht="15.75">
      <c r="A151" s="27"/>
      <c r="B151" s="28" t="s">
        <v>105</v>
      </c>
      <c r="C151" s="28"/>
      <c r="D151" s="28"/>
      <c r="E151" s="28"/>
      <c r="F151" s="28"/>
      <c r="G151" s="28"/>
      <c r="H151" s="28"/>
      <c r="I151" s="28"/>
      <c r="J151" s="28"/>
      <c r="K151" s="28"/>
      <c r="L151" s="67">
        <f>(L81+SUM(L83:L87))/-L88</f>
        <v>4.266666666666667</v>
      </c>
      <c r="M151" s="28" t="s">
        <v>192</v>
      </c>
      <c r="N151" s="131"/>
    </row>
    <row r="152" spans="1:14" ht="15.75">
      <c r="A152" s="27"/>
      <c r="B152" s="28" t="s">
        <v>106</v>
      </c>
      <c r="C152" s="28"/>
      <c r="D152" s="28"/>
      <c r="E152" s="28"/>
      <c r="F152" s="28"/>
      <c r="G152" s="28"/>
      <c r="H152" s="28"/>
      <c r="I152" s="28"/>
      <c r="J152" s="28"/>
      <c r="K152" s="28"/>
      <c r="L152" s="75">
        <v>3.22</v>
      </c>
      <c r="M152" s="28" t="s">
        <v>192</v>
      </c>
      <c r="N152" s="131"/>
    </row>
    <row r="153" spans="1:14" ht="7.5" customHeight="1">
      <c r="A153" s="27"/>
      <c r="B153" s="28"/>
      <c r="C153" s="28"/>
      <c r="D153" s="28"/>
      <c r="E153" s="28"/>
      <c r="F153" s="28"/>
      <c r="G153" s="28"/>
      <c r="H153" s="28"/>
      <c r="I153" s="28"/>
      <c r="J153" s="28"/>
      <c r="K153" s="28"/>
      <c r="L153" s="28"/>
      <c r="M153" s="28"/>
      <c r="N153" s="131"/>
    </row>
    <row r="154" spans="1:14" ht="15.75">
      <c r="A154" s="8"/>
      <c r="B154" s="15"/>
      <c r="C154" s="15"/>
      <c r="D154" s="15"/>
      <c r="E154" s="15"/>
      <c r="F154" s="15"/>
      <c r="G154" s="15"/>
      <c r="H154" s="15"/>
      <c r="I154" s="15"/>
      <c r="J154" s="15"/>
      <c r="K154" s="15"/>
      <c r="L154" s="15"/>
      <c r="M154" s="15"/>
      <c r="N154" s="131"/>
    </row>
    <row r="155" spans="1:14" ht="15.75">
      <c r="A155" s="8"/>
      <c r="B155" s="15"/>
      <c r="C155" s="15"/>
      <c r="D155" s="15"/>
      <c r="E155" s="15"/>
      <c r="F155" s="15"/>
      <c r="G155" s="15"/>
      <c r="H155" s="15"/>
      <c r="I155" s="15"/>
      <c r="J155" s="15"/>
      <c r="K155" s="15"/>
      <c r="L155" s="15"/>
      <c r="M155" s="15"/>
      <c r="N155" s="131"/>
    </row>
    <row r="156" spans="1:14" ht="19.5" thickBot="1">
      <c r="A156" s="138"/>
      <c r="B156" s="139" t="s">
        <v>211</v>
      </c>
      <c r="C156" s="144"/>
      <c r="D156" s="144"/>
      <c r="E156" s="144"/>
      <c r="F156" s="144"/>
      <c r="G156" s="144"/>
      <c r="H156" s="144"/>
      <c r="I156" s="144"/>
      <c r="J156" s="144"/>
      <c r="K156" s="144"/>
      <c r="L156" s="144"/>
      <c r="M156" s="145"/>
      <c r="N156" s="131"/>
    </row>
    <row r="157" spans="1:14" ht="15.75">
      <c r="A157" s="133"/>
      <c r="B157" s="77" t="s">
        <v>107</v>
      </c>
      <c r="C157" s="78"/>
      <c r="D157" s="78"/>
      <c r="E157" s="78"/>
      <c r="F157" s="78"/>
      <c r="G157" s="79"/>
      <c r="H157" s="79"/>
      <c r="I157" s="79"/>
      <c r="J157" s="79">
        <f>D76</f>
        <v>37437</v>
      </c>
      <c r="K157" s="80"/>
      <c r="L157" s="5"/>
      <c r="M157" s="5"/>
      <c r="N157" s="131"/>
    </row>
    <row r="158" spans="1:14" ht="15.75">
      <c r="A158" s="82"/>
      <c r="B158" s="83"/>
      <c r="C158" s="84"/>
      <c r="D158" s="84"/>
      <c r="E158" s="84"/>
      <c r="F158" s="84"/>
      <c r="G158" s="85"/>
      <c r="H158" s="85"/>
      <c r="I158" s="85"/>
      <c r="J158" s="85"/>
      <c r="K158" s="10"/>
      <c r="L158" s="10"/>
      <c r="M158" s="10"/>
      <c r="N158" s="131"/>
    </row>
    <row r="159" spans="1:14" ht="15.75">
      <c r="A159" s="86"/>
      <c r="B159" s="87" t="s">
        <v>108</v>
      </c>
      <c r="C159" s="88"/>
      <c r="D159" s="88"/>
      <c r="E159" s="88"/>
      <c r="F159" s="88"/>
      <c r="G159" s="72"/>
      <c r="H159" s="72"/>
      <c r="I159" s="72"/>
      <c r="J159" s="89">
        <v>0.0714</v>
      </c>
      <c r="K159" s="28"/>
      <c r="L159" s="28"/>
      <c r="M159" s="28"/>
      <c r="N159" s="131"/>
    </row>
    <row r="160" spans="1:14" ht="15.75">
      <c r="A160" s="86"/>
      <c r="B160" s="87" t="s">
        <v>109</v>
      </c>
      <c r="C160" s="88"/>
      <c r="D160" s="88"/>
      <c r="E160" s="88"/>
      <c r="F160" s="88"/>
      <c r="G160" s="72"/>
      <c r="H160" s="72"/>
      <c r="I160" s="72"/>
      <c r="J160" s="46">
        <v>0.0553</v>
      </c>
      <c r="K160" s="28"/>
      <c r="L160" s="28"/>
      <c r="M160" s="28"/>
      <c r="N160" s="131"/>
    </row>
    <row r="161" spans="1:14" ht="15.75">
      <c r="A161" s="86"/>
      <c r="B161" s="87" t="s">
        <v>110</v>
      </c>
      <c r="C161" s="88"/>
      <c r="D161" s="88"/>
      <c r="E161" s="88"/>
      <c r="F161" s="88"/>
      <c r="G161" s="72"/>
      <c r="H161" s="72"/>
      <c r="I161" s="72"/>
      <c r="J161" s="89">
        <f>J159-J160</f>
        <v>0.016100000000000003</v>
      </c>
      <c r="K161" s="28"/>
      <c r="L161" s="28"/>
      <c r="M161" s="28"/>
      <c r="N161" s="131"/>
    </row>
    <row r="162" spans="1:14" ht="15.75">
      <c r="A162" s="86"/>
      <c r="B162" s="87" t="s">
        <v>111</v>
      </c>
      <c r="C162" s="88"/>
      <c r="D162" s="88"/>
      <c r="E162" s="88"/>
      <c r="F162" s="88"/>
      <c r="G162" s="72"/>
      <c r="H162" s="72"/>
      <c r="I162" s="72"/>
      <c r="J162" s="89">
        <v>0.0635</v>
      </c>
      <c r="K162" s="28"/>
      <c r="L162" s="28"/>
      <c r="M162" s="28"/>
      <c r="N162" s="131"/>
    </row>
    <row r="163" spans="1:14" ht="15.75">
      <c r="A163" s="86"/>
      <c r="B163" s="87" t="s">
        <v>112</v>
      </c>
      <c r="C163" s="88"/>
      <c r="D163" s="88"/>
      <c r="E163" s="88"/>
      <c r="F163" s="88"/>
      <c r="G163" s="72"/>
      <c r="H163" s="72"/>
      <c r="I163" s="72"/>
      <c r="J163" s="89">
        <f>L33</f>
        <v>0.04495725975926999</v>
      </c>
      <c r="K163" s="28"/>
      <c r="L163" s="28"/>
      <c r="M163" s="28"/>
      <c r="N163" s="131"/>
    </row>
    <row r="164" spans="1:14" ht="15.75">
      <c r="A164" s="86"/>
      <c r="B164" s="87" t="s">
        <v>113</v>
      </c>
      <c r="C164" s="88"/>
      <c r="D164" s="88"/>
      <c r="E164" s="88"/>
      <c r="F164" s="88"/>
      <c r="G164" s="72"/>
      <c r="H164" s="72"/>
      <c r="I164" s="72"/>
      <c r="J164" s="89">
        <f>J162-J163</f>
        <v>0.018542740240730014</v>
      </c>
      <c r="K164" s="28"/>
      <c r="L164" s="28"/>
      <c r="M164" s="28"/>
      <c r="N164" s="131"/>
    </row>
    <row r="165" spans="1:14" ht="15.75">
      <c r="A165" s="86"/>
      <c r="B165" s="87" t="s">
        <v>114</v>
      </c>
      <c r="C165" s="88"/>
      <c r="D165" s="88"/>
      <c r="E165" s="88"/>
      <c r="F165" s="88"/>
      <c r="G165" s="72"/>
      <c r="H165" s="72"/>
      <c r="I165" s="72"/>
      <c r="J165" s="90" t="s">
        <v>179</v>
      </c>
      <c r="K165" s="28"/>
      <c r="L165" s="28"/>
      <c r="M165" s="28"/>
      <c r="N165" s="131"/>
    </row>
    <row r="166" spans="1:14" ht="15.75">
      <c r="A166" s="86"/>
      <c r="B166" s="87" t="s">
        <v>115</v>
      </c>
      <c r="C166" s="88"/>
      <c r="D166" s="88"/>
      <c r="E166" s="88"/>
      <c r="F166" s="88"/>
      <c r="G166" s="72"/>
      <c r="H166" s="72"/>
      <c r="I166" s="72"/>
      <c r="J166" s="90" t="s">
        <v>180</v>
      </c>
      <c r="K166" s="28"/>
      <c r="L166" s="28"/>
      <c r="M166" s="28"/>
      <c r="N166" s="131"/>
    </row>
    <row r="167" spans="1:14" ht="15.75">
      <c r="A167" s="86"/>
      <c r="B167" s="87" t="s">
        <v>116</v>
      </c>
      <c r="C167" s="88"/>
      <c r="D167" s="88"/>
      <c r="E167" s="88"/>
      <c r="F167" s="88"/>
      <c r="G167" s="72"/>
      <c r="H167" s="72"/>
      <c r="I167" s="72"/>
      <c r="J167" s="91">
        <v>18.53</v>
      </c>
      <c r="K167" s="28" t="s">
        <v>184</v>
      </c>
      <c r="L167" s="28"/>
      <c r="M167" s="28"/>
      <c r="N167" s="131"/>
    </row>
    <row r="168" spans="1:14" ht="15.75">
      <c r="A168" s="86"/>
      <c r="B168" s="87" t="s">
        <v>117</v>
      </c>
      <c r="C168" s="88"/>
      <c r="D168" s="88"/>
      <c r="E168" s="88"/>
      <c r="F168" s="88"/>
      <c r="G168" s="72"/>
      <c r="H168" s="72"/>
      <c r="I168" s="72"/>
      <c r="J168" s="91">
        <v>15.91</v>
      </c>
      <c r="K168" s="28" t="s">
        <v>184</v>
      </c>
      <c r="L168" s="28"/>
      <c r="M168" s="28"/>
      <c r="N168" s="131"/>
    </row>
    <row r="169" spans="1:14" ht="15.75">
      <c r="A169" s="86"/>
      <c r="B169" s="87" t="s">
        <v>118</v>
      </c>
      <c r="C169" s="88"/>
      <c r="D169" s="88"/>
      <c r="E169" s="88"/>
      <c r="F169" s="88"/>
      <c r="G169" s="72"/>
      <c r="H169" s="72"/>
      <c r="I169" s="72"/>
      <c r="J169" s="89">
        <f>F56/'March 02'!L56</f>
        <v>0.057577525163460756</v>
      </c>
      <c r="K169" s="28"/>
      <c r="L169" s="28"/>
      <c r="M169" s="28"/>
      <c r="N169" s="131"/>
    </row>
    <row r="170" spans="1:14" ht="15.75">
      <c r="A170" s="86"/>
      <c r="B170" s="87" t="s">
        <v>119</v>
      </c>
      <c r="C170" s="88"/>
      <c r="D170" s="88"/>
      <c r="E170" s="88"/>
      <c r="F170" s="88"/>
      <c r="G170" s="72"/>
      <c r="H170" s="72"/>
      <c r="I170" s="72"/>
      <c r="J170" s="89">
        <v>0.12</v>
      </c>
      <c r="K170" s="28"/>
      <c r="L170" s="28"/>
      <c r="M170" s="28"/>
      <c r="N170" s="131"/>
    </row>
    <row r="171" spans="1:14" ht="15.75">
      <c r="A171" s="86"/>
      <c r="B171" s="87"/>
      <c r="C171" s="87"/>
      <c r="D171" s="87"/>
      <c r="E171" s="87"/>
      <c r="F171" s="87"/>
      <c r="G171" s="28"/>
      <c r="H171" s="28"/>
      <c r="I171" s="28"/>
      <c r="J171" s="68"/>
      <c r="K171" s="28"/>
      <c r="L171" s="92"/>
      <c r="M171" s="28"/>
      <c r="N171" s="131"/>
    </row>
    <row r="172" spans="1:14" ht="15.75">
      <c r="A172" s="93"/>
      <c r="B172" s="17" t="s">
        <v>120</v>
      </c>
      <c r="C172" s="20"/>
      <c r="D172" s="94"/>
      <c r="E172" s="20"/>
      <c r="F172" s="94"/>
      <c r="G172" s="20"/>
      <c r="H172" s="94"/>
      <c r="I172" s="20" t="s">
        <v>172</v>
      </c>
      <c r="J172" s="94" t="s">
        <v>181</v>
      </c>
      <c r="K172" s="18"/>
      <c r="L172" s="18"/>
      <c r="M172" s="10"/>
      <c r="N172" s="131"/>
    </row>
    <row r="173" spans="1:14" ht="15.75">
      <c r="A173" s="95"/>
      <c r="B173" s="87" t="s">
        <v>121</v>
      </c>
      <c r="C173" s="61"/>
      <c r="D173" s="61"/>
      <c r="E173" s="61"/>
      <c r="F173" s="28"/>
      <c r="G173" s="28"/>
      <c r="H173" s="28"/>
      <c r="I173" s="31">
        <v>21</v>
      </c>
      <c r="J173" s="96">
        <v>819</v>
      </c>
      <c r="K173" s="28"/>
      <c r="L173" s="92"/>
      <c r="M173" s="97"/>
      <c r="N173" s="131"/>
    </row>
    <row r="174" spans="1:14" ht="15.75">
      <c r="A174" s="95"/>
      <c r="B174" s="87" t="s">
        <v>122</v>
      </c>
      <c r="C174" s="61"/>
      <c r="D174" s="61"/>
      <c r="E174" s="61"/>
      <c r="F174" s="28"/>
      <c r="G174" s="28"/>
      <c r="H174" s="28"/>
      <c r="I174" s="31">
        <v>0</v>
      </c>
      <c r="J174" s="96">
        <v>0</v>
      </c>
      <c r="K174" s="28"/>
      <c r="L174" s="92"/>
      <c r="M174" s="97"/>
      <c r="N174" s="131"/>
    </row>
    <row r="175" spans="1:14" ht="15.75">
      <c r="A175" s="95"/>
      <c r="B175" s="170" t="s">
        <v>123</v>
      </c>
      <c r="C175" s="61"/>
      <c r="D175" s="61"/>
      <c r="E175" s="61"/>
      <c r="F175" s="28"/>
      <c r="G175" s="28"/>
      <c r="H175" s="28"/>
      <c r="I175" s="28"/>
      <c r="J175" s="96">
        <v>0</v>
      </c>
      <c r="K175" s="28"/>
      <c r="L175" s="92"/>
      <c r="M175" s="97"/>
      <c r="N175" s="131"/>
    </row>
    <row r="176" spans="1:14" ht="15.75">
      <c r="A176" s="95"/>
      <c r="B176" s="170" t="s">
        <v>124</v>
      </c>
      <c r="C176" s="61"/>
      <c r="D176" s="61"/>
      <c r="E176" s="61"/>
      <c r="F176" s="28"/>
      <c r="G176" s="28"/>
      <c r="H176" s="28"/>
      <c r="I176" s="28"/>
      <c r="J176" s="96">
        <v>22352</v>
      </c>
      <c r="K176" s="28"/>
      <c r="L176" s="92"/>
      <c r="M176" s="97"/>
      <c r="N176" s="131"/>
    </row>
    <row r="177" spans="1:14" ht="15.75">
      <c r="A177" s="98"/>
      <c r="B177" s="170" t="s">
        <v>125</v>
      </c>
      <c r="C177" s="61"/>
      <c r="D177" s="87"/>
      <c r="E177" s="87"/>
      <c r="F177" s="87"/>
      <c r="G177" s="28"/>
      <c r="H177" s="28"/>
      <c r="I177" s="28"/>
      <c r="J177" s="96">
        <v>0</v>
      </c>
      <c r="K177" s="28"/>
      <c r="L177" s="92"/>
      <c r="M177" s="99"/>
      <c r="N177" s="131"/>
    </row>
    <row r="178" spans="1:14" ht="15.75">
      <c r="A178" s="95"/>
      <c r="B178" s="87" t="s">
        <v>126</v>
      </c>
      <c r="C178" s="61"/>
      <c r="D178" s="61"/>
      <c r="E178" s="61"/>
      <c r="F178" s="61"/>
      <c r="G178" s="28"/>
      <c r="H178" s="28"/>
      <c r="I178" s="28">
        <v>0</v>
      </c>
      <c r="J178" s="96">
        <v>0</v>
      </c>
      <c r="K178" s="28"/>
      <c r="L178" s="92"/>
      <c r="M178" s="99"/>
      <c r="N178" s="131"/>
    </row>
    <row r="179" spans="1:14" ht="15.75">
      <c r="A179" s="95"/>
      <c r="B179" s="87" t="s">
        <v>127</v>
      </c>
      <c r="C179" s="61"/>
      <c r="D179" s="61"/>
      <c r="E179" s="61"/>
      <c r="F179" s="61"/>
      <c r="G179" s="28"/>
      <c r="H179" s="28"/>
      <c r="I179" s="28">
        <v>2</v>
      </c>
      <c r="J179" s="96">
        <v>30</v>
      </c>
      <c r="K179" s="28"/>
      <c r="L179" s="92"/>
      <c r="M179" s="99"/>
      <c r="N179" s="131"/>
    </row>
    <row r="180" spans="1:14" ht="15.75">
      <c r="A180" s="95"/>
      <c r="B180" s="87" t="s">
        <v>204</v>
      </c>
      <c r="C180" s="61"/>
      <c r="D180" s="61"/>
      <c r="E180" s="61"/>
      <c r="F180" s="61"/>
      <c r="G180" s="28"/>
      <c r="H180" s="28"/>
      <c r="I180" s="28"/>
      <c r="J180" s="96">
        <v>0</v>
      </c>
      <c r="K180" s="28"/>
      <c r="L180" s="92"/>
      <c r="M180" s="99"/>
      <c r="N180" s="131"/>
    </row>
    <row r="181" spans="1:14" ht="15.75">
      <c r="A181" s="98"/>
      <c r="B181" s="170" t="s">
        <v>128</v>
      </c>
      <c r="C181" s="61"/>
      <c r="D181" s="87"/>
      <c r="E181" s="87"/>
      <c r="F181" s="87"/>
      <c r="G181" s="28"/>
      <c r="H181" s="28"/>
      <c r="I181" s="28"/>
      <c r="J181" s="96"/>
      <c r="K181" s="28"/>
      <c r="L181" s="92"/>
      <c r="M181" s="99"/>
      <c r="N181" s="131"/>
    </row>
    <row r="182" spans="1:14" ht="15.75">
      <c r="A182" s="98"/>
      <c r="B182" s="87" t="s">
        <v>129</v>
      </c>
      <c r="C182" s="61"/>
      <c r="D182" s="87"/>
      <c r="E182" s="87"/>
      <c r="F182" s="87"/>
      <c r="G182" s="28"/>
      <c r="H182" s="28"/>
      <c r="I182" s="28"/>
      <c r="J182" s="96">
        <v>0</v>
      </c>
      <c r="K182" s="28"/>
      <c r="L182" s="92"/>
      <c r="M182" s="99"/>
      <c r="N182" s="131"/>
    </row>
    <row r="183" spans="1:14" ht="15.75">
      <c r="A183" s="95"/>
      <c r="B183" s="87" t="s">
        <v>130</v>
      </c>
      <c r="C183" s="61"/>
      <c r="D183" s="100"/>
      <c r="E183" s="100"/>
      <c r="F183" s="101"/>
      <c r="G183" s="28"/>
      <c r="H183" s="28"/>
      <c r="I183" s="28"/>
      <c r="J183" s="96">
        <v>0</v>
      </c>
      <c r="K183" s="28"/>
      <c r="L183" s="92"/>
      <c r="M183" s="99"/>
      <c r="N183" s="131"/>
    </row>
    <row r="184" spans="1:14" ht="15.75">
      <c r="A184" s="95"/>
      <c r="B184" s="87" t="s">
        <v>131</v>
      </c>
      <c r="C184" s="61"/>
      <c r="D184" s="100"/>
      <c r="E184" s="100"/>
      <c r="F184" s="101"/>
      <c r="G184" s="28"/>
      <c r="H184" s="28"/>
      <c r="I184" s="28"/>
      <c r="J184" s="96">
        <v>0</v>
      </c>
      <c r="K184" s="28"/>
      <c r="L184" s="92"/>
      <c r="M184" s="99"/>
      <c r="N184" s="131"/>
    </row>
    <row r="185" spans="1:14" ht="15.75">
      <c r="A185" s="95"/>
      <c r="B185" s="87" t="s">
        <v>132</v>
      </c>
      <c r="C185" s="61"/>
      <c r="D185" s="102"/>
      <c r="E185" s="100"/>
      <c r="F185" s="101"/>
      <c r="G185" s="28"/>
      <c r="H185" s="28"/>
      <c r="I185" s="28"/>
      <c r="J185" s="103">
        <v>0</v>
      </c>
      <c r="K185" s="28"/>
      <c r="L185" s="92"/>
      <c r="M185" s="99"/>
      <c r="N185" s="131"/>
    </row>
    <row r="186" spans="1:14" ht="15.75">
      <c r="A186" s="95"/>
      <c r="B186" s="87"/>
      <c r="C186" s="61"/>
      <c r="D186" s="102"/>
      <c r="E186" s="100"/>
      <c r="F186" s="101"/>
      <c r="G186" s="28"/>
      <c r="H186" s="28"/>
      <c r="I186" s="28"/>
      <c r="J186" s="103"/>
      <c r="K186" s="28"/>
      <c r="L186" s="92"/>
      <c r="M186" s="99"/>
      <c r="N186" s="131"/>
    </row>
    <row r="187" spans="1:14" ht="15.75">
      <c r="A187" s="8"/>
      <c r="B187" s="17" t="s">
        <v>133</v>
      </c>
      <c r="C187" s="20"/>
      <c r="D187" s="94"/>
      <c r="E187" s="20"/>
      <c r="F187" s="94"/>
      <c r="G187" s="20"/>
      <c r="H187" s="94" t="s">
        <v>172</v>
      </c>
      <c r="I187" s="20" t="s">
        <v>173</v>
      </c>
      <c r="J187" s="94" t="s">
        <v>182</v>
      </c>
      <c r="K187" s="20" t="s">
        <v>173</v>
      </c>
      <c r="L187" s="18"/>
      <c r="M187" s="104"/>
      <c r="N187" s="131"/>
    </row>
    <row r="188" spans="1:14" ht="15.75">
      <c r="A188" s="27"/>
      <c r="B188" s="61" t="s">
        <v>134</v>
      </c>
      <c r="C188" s="105"/>
      <c r="D188" s="61"/>
      <c r="E188" s="105"/>
      <c r="F188" s="28"/>
      <c r="G188" s="105"/>
      <c r="H188" s="61">
        <v>2696</v>
      </c>
      <c r="I188" s="105">
        <f>H188/H194</f>
        <v>0.9670014347202296</v>
      </c>
      <c r="J188" s="60">
        <v>137192</v>
      </c>
      <c r="K188" s="106">
        <f>J188/J194</f>
        <v>0.9725790443782788</v>
      </c>
      <c r="L188" s="92"/>
      <c r="M188" s="99"/>
      <c r="N188" s="131"/>
    </row>
    <row r="189" spans="1:14" ht="15.75">
      <c r="A189" s="27"/>
      <c r="B189" s="61" t="s">
        <v>135</v>
      </c>
      <c r="C189" s="105"/>
      <c r="D189" s="61"/>
      <c r="E189" s="105"/>
      <c r="F189" s="28"/>
      <c r="G189" s="107"/>
      <c r="H189" s="61">
        <v>29</v>
      </c>
      <c r="I189" s="105">
        <f>H189/$H194</f>
        <v>0.010401721664275465</v>
      </c>
      <c r="J189" s="60">
        <v>1148</v>
      </c>
      <c r="K189" s="106">
        <f>J189/J194</f>
        <v>0.00813838083085212</v>
      </c>
      <c r="L189" s="92"/>
      <c r="M189" s="99"/>
      <c r="N189" s="131"/>
    </row>
    <row r="190" spans="1:14" ht="15.75">
      <c r="A190" s="27"/>
      <c r="B190" s="61" t="s">
        <v>136</v>
      </c>
      <c r="C190" s="105"/>
      <c r="D190" s="61"/>
      <c r="E190" s="105"/>
      <c r="F190" s="28"/>
      <c r="G190" s="107"/>
      <c r="H190" s="61">
        <v>19</v>
      </c>
      <c r="I190" s="105">
        <f>H190/H194</f>
        <v>0.0068149210903873745</v>
      </c>
      <c r="J190" s="60">
        <v>678</v>
      </c>
      <c r="K190" s="106">
        <f>J190/J194</f>
        <v>0.004806465333900468</v>
      </c>
      <c r="L190" s="92"/>
      <c r="M190" s="99"/>
      <c r="N190" s="131"/>
    </row>
    <row r="191" spans="1:14" ht="15.75">
      <c r="A191" s="27"/>
      <c r="B191" s="61" t="s">
        <v>137</v>
      </c>
      <c r="C191" s="105"/>
      <c r="D191" s="61"/>
      <c r="E191" s="105"/>
      <c r="F191" s="28"/>
      <c r="G191" s="107"/>
      <c r="H191" s="61">
        <f>17+2+1+24</f>
        <v>44</v>
      </c>
      <c r="I191" s="105">
        <f>H191/H194</f>
        <v>0.015781922525107604</v>
      </c>
      <c r="J191" s="60">
        <f>594+64+47+1337</f>
        <v>2042</v>
      </c>
      <c r="K191" s="106">
        <f>J191/J194</f>
        <v>0.014476109456968665</v>
      </c>
      <c r="L191" s="92"/>
      <c r="M191" s="99"/>
      <c r="N191" s="131"/>
    </row>
    <row r="192" spans="1:14" ht="15.75">
      <c r="A192" s="27"/>
      <c r="B192" s="30"/>
      <c r="C192" s="105"/>
      <c r="D192" s="61"/>
      <c r="E192" s="105"/>
      <c r="F192" s="28"/>
      <c r="G192" s="107"/>
      <c r="H192" s="61"/>
      <c r="I192" s="105"/>
      <c r="J192" s="60"/>
      <c r="K192" s="106"/>
      <c r="L192" s="92"/>
      <c r="M192" s="99"/>
      <c r="N192" s="131"/>
    </row>
    <row r="193" spans="1:14" ht="15.75">
      <c r="A193" s="27"/>
      <c r="B193" s="61"/>
      <c r="C193" s="108"/>
      <c r="D193" s="97"/>
      <c r="E193" s="108"/>
      <c r="F193" s="28"/>
      <c r="G193" s="108"/>
      <c r="H193" s="97"/>
      <c r="I193" s="108"/>
      <c r="J193" s="60"/>
      <c r="K193" s="106"/>
      <c r="L193" s="92"/>
      <c r="M193" s="99"/>
      <c r="N193" s="131"/>
    </row>
    <row r="194" spans="1:14" ht="15.75">
      <c r="A194" s="27"/>
      <c r="B194" s="28"/>
      <c r="C194" s="28"/>
      <c r="D194" s="28"/>
      <c r="E194" s="28"/>
      <c r="F194" s="28"/>
      <c r="G194" s="28"/>
      <c r="H194" s="38">
        <f>SUM(H188:H192)</f>
        <v>2788</v>
      </c>
      <c r="I194" s="109">
        <f>SUM(I188:I193)</f>
        <v>1</v>
      </c>
      <c r="J194" s="60">
        <f>SUM(J188:J193)</f>
        <v>141060</v>
      </c>
      <c r="K194" s="127">
        <f>SUM(K188:K193)</f>
        <v>1.0000000000000002</v>
      </c>
      <c r="L194" s="28"/>
      <c r="M194" s="28"/>
      <c r="N194" s="131"/>
    </row>
    <row r="195" spans="1:14" ht="15.75">
      <c r="A195" s="27"/>
      <c r="B195" s="28"/>
      <c r="C195" s="28"/>
      <c r="D195" s="28"/>
      <c r="E195" s="28"/>
      <c r="F195" s="28"/>
      <c r="G195" s="28"/>
      <c r="H195" s="38"/>
      <c r="I195" s="109"/>
      <c r="J195" s="60"/>
      <c r="K195" s="127"/>
      <c r="L195" s="28"/>
      <c r="M195" s="28"/>
      <c r="N195" s="131"/>
    </row>
    <row r="196" spans="1:14" ht="15.75">
      <c r="A196" s="27"/>
      <c r="B196" s="28"/>
      <c r="C196" s="28"/>
      <c r="D196" s="28"/>
      <c r="E196" s="28"/>
      <c r="F196" s="28"/>
      <c r="G196" s="28"/>
      <c r="H196" s="38"/>
      <c r="I196" s="109"/>
      <c r="J196" s="60"/>
      <c r="K196" s="127"/>
      <c r="L196" s="28"/>
      <c r="M196" s="28"/>
      <c r="N196" s="131"/>
    </row>
    <row r="197" spans="1:14" ht="15.75">
      <c r="A197" s="114"/>
      <c r="B197" s="17" t="s">
        <v>139</v>
      </c>
      <c r="C197" s="115"/>
      <c r="D197" s="20" t="s">
        <v>148</v>
      </c>
      <c r="E197" s="18"/>
      <c r="F197" s="17" t="s">
        <v>161</v>
      </c>
      <c r="G197" s="116"/>
      <c r="H197" s="116"/>
      <c r="I197" s="15"/>
      <c r="J197" s="15"/>
      <c r="K197" s="15"/>
      <c r="L197" s="15"/>
      <c r="M197" s="15"/>
      <c r="N197" s="131"/>
    </row>
    <row r="198" spans="1:14" ht="15.75">
      <c r="A198" s="114"/>
      <c r="B198" s="15"/>
      <c r="C198" s="15"/>
      <c r="D198" s="10"/>
      <c r="E198" s="10"/>
      <c r="F198" s="10"/>
      <c r="G198" s="15"/>
      <c r="H198" s="15"/>
      <c r="I198" s="15"/>
      <c r="J198" s="15"/>
      <c r="K198" s="15"/>
      <c r="L198" s="15"/>
      <c r="M198" s="15"/>
      <c r="N198" s="131"/>
    </row>
    <row r="199" spans="1:14" ht="15.75">
      <c r="A199" s="114"/>
      <c r="B199" s="16" t="s">
        <v>140</v>
      </c>
      <c r="C199" s="117"/>
      <c r="D199" s="118" t="s">
        <v>149</v>
      </c>
      <c r="E199" s="16"/>
      <c r="F199" s="16" t="s">
        <v>162</v>
      </c>
      <c r="G199" s="117"/>
      <c r="H199" s="117"/>
      <c r="I199" s="15"/>
      <c r="J199" s="15"/>
      <c r="K199" s="15"/>
      <c r="L199" s="15"/>
      <c r="M199" s="15"/>
      <c r="N199" s="131"/>
    </row>
    <row r="200" spans="1:14" ht="15.75">
      <c r="A200" s="114"/>
      <c r="B200" s="16" t="s">
        <v>141</v>
      </c>
      <c r="C200" s="117"/>
      <c r="D200" s="118" t="s">
        <v>150</v>
      </c>
      <c r="E200" s="16"/>
      <c r="F200" s="16" t="s">
        <v>163</v>
      </c>
      <c r="G200" s="117"/>
      <c r="H200" s="117"/>
      <c r="I200" s="15"/>
      <c r="J200" s="15"/>
      <c r="K200" s="15"/>
      <c r="L200" s="15"/>
      <c r="M200" s="15"/>
      <c r="N200" s="131"/>
    </row>
    <row r="201" spans="1:14" ht="15.75">
      <c r="A201" s="114"/>
      <c r="B201" s="16"/>
      <c r="C201" s="117"/>
      <c r="D201" s="118"/>
      <c r="E201" s="16"/>
      <c r="F201" s="16"/>
      <c r="G201" s="117"/>
      <c r="H201" s="117"/>
      <c r="I201" s="15"/>
      <c r="J201" s="15"/>
      <c r="K201" s="15"/>
      <c r="L201" s="15"/>
      <c r="M201" s="15"/>
      <c r="N201" s="131"/>
    </row>
    <row r="202" spans="1:14" ht="15.75">
      <c r="A202" s="114"/>
      <c r="B202" s="16"/>
      <c r="C202" s="117"/>
      <c r="D202" s="118"/>
      <c r="E202" s="16"/>
      <c r="F202" s="16"/>
      <c r="G202" s="117"/>
      <c r="H202" s="117"/>
      <c r="I202" s="15"/>
      <c r="J202" s="15"/>
      <c r="K202" s="15"/>
      <c r="L202" s="15"/>
      <c r="M202" s="15"/>
      <c r="N202" s="131"/>
    </row>
    <row r="203" spans="1:14" ht="18.75">
      <c r="A203" s="114"/>
      <c r="B203" s="55" t="s">
        <v>211</v>
      </c>
      <c r="C203" s="117"/>
      <c r="D203" s="118"/>
      <c r="E203" s="16"/>
      <c r="F203" s="16"/>
      <c r="G203" s="117"/>
      <c r="H203" s="117"/>
      <c r="I203" s="15"/>
      <c r="J203" s="15"/>
      <c r="K203" s="15"/>
      <c r="L203" s="15"/>
      <c r="M203" s="15"/>
      <c r="N203" s="131"/>
    </row>
    <row r="204" spans="1:13" ht="15">
      <c r="A204" s="130"/>
      <c r="B204" s="130"/>
      <c r="C204" s="130"/>
      <c r="D204" s="130"/>
      <c r="E204" s="130"/>
      <c r="F204" s="130"/>
      <c r="G204" s="130"/>
      <c r="H204" s="130"/>
      <c r="I204" s="130"/>
      <c r="J204" s="130"/>
      <c r="K204" s="130"/>
      <c r="L204" s="130"/>
      <c r="M204" s="130"/>
    </row>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5" manualBreakCount="5">
    <brk id="51" min="105" max="156" man="1"/>
    <brk id="51" max="13" man="1"/>
    <brk id="105" max="13" man="1"/>
    <brk id="156" max="13" man="1"/>
    <brk id="204" max="0" man="1"/>
  </rowBreaks>
  <drawing r:id="rId1"/>
</worksheet>
</file>

<file path=xl/worksheets/sheet13.xml><?xml version="1.0" encoding="utf-8"?>
<worksheet xmlns="http://schemas.openxmlformats.org/spreadsheetml/2006/main" xmlns:r="http://schemas.openxmlformats.org/officeDocument/2006/relationships">
  <dimension ref="A1:O204"/>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33.5546875" style="1" customWidth="1"/>
    <col min="14" max="16384" width="9.6640625" style="1" customWidth="1"/>
  </cols>
  <sheetData>
    <row r="1" spans="1:14" ht="20.25">
      <c r="A1" s="2"/>
      <c r="B1" s="3" t="s">
        <v>0</v>
      </c>
      <c r="C1" s="4"/>
      <c r="D1" s="5"/>
      <c r="E1" s="5"/>
      <c r="F1" s="5"/>
      <c r="G1" s="5"/>
      <c r="H1" s="5"/>
      <c r="I1" s="5"/>
      <c r="J1" s="5"/>
      <c r="K1" s="5"/>
      <c r="L1" s="5"/>
      <c r="M1" s="5"/>
      <c r="N1" s="131"/>
    </row>
    <row r="2" spans="1:14" ht="15.75">
      <c r="A2" s="8"/>
      <c r="B2" s="9"/>
      <c r="C2" s="9"/>
      <c r="D2" s="10"/>
      <c r="E2" s="10"/>
      <c r="F2" s="10"/>
      <c r="G2" s="10"/>
      <c r="H2" s="10"/>
      <c r="I2" s="10"/>
      <c r="J2" s="10"/>
      <c r="K2" s="10"/>
      <c r="L2" s="10"/>
      <c r="M2" s="10"/>
      <c r="N2" s="131"/>
    </row>
    <row r="3" spans="1:14" ht="15.75">
      <c r="A3" s="11"/>
      <c r="B3" s="154" t="s">
        <v>1</v>
      </c>
      <c r="C3" s="10"/>
      <c r="D3" s="10"/>
      <c r="E3" s="10"/>
      <c r="F3" s="10"/>
      <c r="G3" s="10"/>
      <c r="H3" s="10"/>
      <c r="I3" s="10"/>
      <c r="J3" s="10"/>
      <c r="K3" s="10"/>
      <c r="L3" s="10"/>
      <c r="M3" s="10"/>
      <c r="N3" s="131"/>
    </row>
    <row r="4" spans="1:14" ht="15.75">
      <c r="A4" s="8"/>
      <c r="B4" s="9"/>
      <c r="C4" s="9"/>
      <c r="D4" s="10"/>
      <c r="E4" s="10"/>
      <c r="F4" s="10"/>
      <c r="G4" s="10"/>
      <c r="H4" s="10"/>
      <c r="I4" s="10"/>
      <c r="J4" s="10"/>
      <c r="K4" s="10"/>
      <c r="L4" s="10"/>
      <c r="M4" s="10"/>
      <c r="N4" s="131"/>
    </row>
    <row r="5" spans="1:14" ht="12" customHeight="1">
      <c r="A5" s="8"/>
      <c r="B5" s="13" t="s">
        <v>2</v>
      </c>
      <c r="C5" s="14"/>
      <c r="D5" s="10"/>
      <c r="E5" s="10"/>
      <c r="F5" s="10"/>
      <c r="G5" s="10"/>
      <c r="H5" s="10"/>
      <c r="I5" s="10"/>
      <c r="J5" s="10"/>
      <c r="K5" s="10"/>
      <c r="L5" s="10"/>
      <c r="M5" s="10"/>
      <c r="N5" s="131"/>
    </row>
    <row r="6" spans="1:14" ht="12" customHeight="1">
      <c r="A6" s="8"/>
      <c r="B6" s="13" t="s">
        <v>3</v>
      </c>
      <c r="C6" s="14"/>
      <c r="D6" s="10"/>
      <c r="E6" s="10"/>
      <c r="F6" s="10"/>
      <c r="G6" s="10"/>
      <c r="H6" s="10"/>
      <c r="I6" s="10"/>
      <c r="J6" s="10"/>
      <c r="K6" s="10"/>
      <c r="L6" s="10"/>
      <c r="M6" s="10"/>
      <c r="N6" s="131"/>
    </row>
    <row r="7" spans="1:14" ht="12" customHeight="1">
      <c r="A7" s="8"/>
      <c r="B7" s="13" t="s">
        <v>4</v>
      </c>
      <c r="C7" s="14"/>
      <c r="D7" s="10"/>
      <c r="E7" s="10"/>
      <c r="F7" s="10"/>
      <c r="G7" s="10"/>
      <c r="H7" s="10"/>
      <c r="I7" s="10"/>
      <c r="J7" s="10"/>
      <c r="K7" s="10"/>
      <c r="L7" s="10"/>
      <c r="M7" s="10"/>
      <c r="N7" s="131"/>
    </row>
    <row r="8" spans="1:14" ht="12" customHeight="1">
      <c r="A8" s="8"/>
      <c r="B8" s="13" t="s">
        <v>5</v>
      </c>
      <c r="C8" s="14"/>
      <c r="D8" s="10"/>
      <c r="E8" s="10"/>
      <c r="F8" s="10"/>
      <c r="G8" s="10"/>
      <c r="H8" s="10"/>
      <c r="I8" s="10"/>
      <c r="J8" s="10"/>
      <c r="K8" s="10"/>
      <c r="L8" s="10"/>
      <c r="M8" s="10"/>
      <c r="N8" s="131"/>
    </row>
    <row r="9" spans="1:14" ht="12" customHeight="1">
      <c r="A9" s="8"/>
      <c r="B9" s="15"/>
      <c r="C9" s="14"/>
      <c r="D9" s="10"/>
      <c r="E9" s="10"/>
      <c r="F9" s="10"/>
      <c r="G9" s="10"/>
      <c r="H9" s="10"/>
      <c r="I9" s="10"/>
      <c r="J9" s="10"/>
      <c r="K9" s="10"/>
      <c r="L9" s="10"/>
      <c r="M9" s="10"/>
      <c r="N9" s="131"/>
    </row>
    <row r="10" spans="1:14" ht="15.75">
      <c r="A10" s="8"/>
      <c r="B10" s="13"/>
      <c r="C10" s="14"/>
      <c r="D10" s="16"/>
      <c r="E10" s="16"/>
      <c r="F10" s="10"/>
      <c r="G10" s="10"/>
      <c r="H10" s="10"/>
      <c r="I10" s="10"/>
      <c r="J10" s="10"/>
      <c r="K10" s="10"/>
      <c r="L10" s="10"/>
      <c r="M10" s="10"/>
      <c r="N10" s="131"/>
    </row>
    <row r="11" spans="1:14" ht="15.75">
      <c r="A11" s="8"/>
      <c r="B11" s="16" t="s">
        <v>6</v>
      </c>
      <c r="C11" s="16"/>
      <c r="D11" s="10"/>
      <c r="E11" s="10"/>
      <c r="F11" s="10"/>
      <c r="G11" s="10"/>
      <c r="H11" s="10"/>
      <c r="I11" s="10"/>
      <c r="J11" s="10"/>
      <c r="K11" s="10"/>
      <c r="L11" s="10"/>
      <c r="M11" s="10"/>
      <c r="N11" s="131"/>
    </row>
    <row r="12" spans="1:14" ht="15.75">
      <c r="A12" s="8"/>
      <c r="B12" s="16"/>
      <c r="C12" s="16"/>
      <c r="D12" s="10"/>
      <c r="E12" s="10"/>
      <c r="F12" s="10"/>
      <c r="G12" s="10"/>
      <c r="H12" s="10"/>
      <c r="I12" s="10"/>
      <c r="J12" s="10"/>
      <c r="K12" s="10"/>
      <c r="L12" s="10"/>
      <c r="M12" s="10"/>
      <c r="N12" s="131"/>
    </row>
    <row r="13" spans="1:14" ht="15.75">
      <c r="A13" s="2"/>
      <c r="B13" s="5"/>
      <c r="C13" s="5"/>
      <c r="D13" s="5"/>
      <c r="E13" s="5"/>
      <c r="F13" s="5"/>
      <c r="G13" s="5"/>
      <c r="H13" s="5"/>
      <c r="I13" s="5"/>
      <c r="J13" s="5"/>
      <c r="K13" s="5"/>
      <c r="L13" s="5"/>
      <c r="M13" s="5"/>
      <c r="N13" s="131"/>
    </row>
    <row r="14" spans="1:14" ht="15.75">
      <c r="A14" s="8"/>
      <c r="B14" s="17" t="s">
        <v>7</v>
      </c>
      <c r="C14" s="17"/>
      <c r="D14" s="18"/>
      <c r="E14" s="18"/>
      <c r="F14" s="18"/>
      <c r="G14" s="18"/>
      <c r="H14" s="18"/>
      <c r="I14" s="18"/>
      <c r="J14" s="18"/>
      <c r="K14" s="18"/>
      <c r="L14" s="19" t="s">
        <v>185</v>
      </c>
      <c r="M14" s="18"/>
      <c r="N14" s="131"/>
    </row>
    <row r="15" spans="1:14" ht="15.75">
      <c r="A15" s="8"/>
      <c r="B15" s="17" t="s">
        <v>199</v>
      </c>
      <c r="C15" s="17"/>
      <c r="D15" s="18"/>
      <c r="E15" s="18"/>
      <c r="F15" s="18"/>
      <c r="G15" s="18"/>
      <c r="H15" s="20"/>
      <c r="I15" s="135"/>
      <c r="J15" s="20" t="s">
        <v>202</v>
      </c>
      <c r="K15" s="135">
        <v>1</v>
      </c>
      <c r="L15" s="19"/>
      <c r="M15" s="18"/>
      <c r="N15" s="131"/>
    </row>
    <row r="16" spans="1:14" ht="15.75">
      <c r="A16" s="8"/>
      <c r="B16" s="17" t="s">
        <v>200</v>
      </c>
      <c r="C16" s="17"/>
      <c r="D16" s="18"/>
      <c r="E16" s="18"/>
      <c r="F16" s="18"/>
      <c r="G16" s="18"/>
      <c r="H16" s="20"/>
      <c r="I16" s="135"/>
      <c r="J16" s="20" t="s">
        <v>202</v>
      </c>
      <c r="K16" s="135">
        <v>1</v>
      </c>
      <c r="L16" s="19"/>
      <c r="M16" s="18"/>
      <c r="N16" s="131"/>
    </row>
    <row r="17" spans="1:14" ht="15.75">
      <c r="A17" s="8"/>
      <c r="B17" s="17" t="s">
        <v>8</v>
      </c>
      <c r="C17" s="17"/>
      <c r="D17" s="18"/>
      <c r="E17" s="18"/>
      <c r="F17" s="18"/>
      <c r="G17" s="18"/>
      <c r="H17" s="18"/>
      <c r="I17" s="18"/>
      <c r="J17" s="18"/>
      <c r="K17" s="18"/>
      <c r="L17" s="20" t="s">
        <v>186</v>
      </c>
      <c r="M17" s="18"/>
      <c r="N17" s="131"/>
    </row>
    <row r="18" spans="1:14" ht="15.75">
      <c r="A18" s="8"/>
      <c r="B18" s="17" t="s">
        <v>9</v>
      </c>
      <c r="C18" s="17"/>
      <c r="D18" s="18"/>
      <c r="E18" s="18"/>
      <c r="F18" s="18"/>
      <c r="G18" s="18"/>
      <c r="H18" s="18"/>
      <c r="I18" s="18"/>
      <c r="J18" s="18"/>
      <c r="K18" s="18"/>
      <c r="L18" s="21">
        <v>37546</v>
      </c>
      <c r="M18" s="18"/>
      <c r="N18" s="131"/>
    </row>
    <row r="19" spans="1:14" ht="15.75">
      <c r="A19" s="8"/>
      <c r="B19" s="10"/>
      <c r="C19" s="10"/>
      <c r="D19" s="10"/>
      <c r="E19" s="10"/>
      <c r="F19" s="10"/>
      <c r="G19" s="10"/>
      <c r="H19" s="10"/>
      <c r="I19" s="10"/>
      <c r="J19" s="10"/>
      <c r="K19" s="10"/>
      <c r="L19" s="22"/>
      <c r="M19" s="10"/>
      <c r="N19" s="131"/>
    </row>
    <row r="20" spans="1:14" ht="15.75">
      <c r="A20" s="8"/>
      <c r="B20" s="23" t="s">
        <v>10</v>
      </c>
      <c r="C20" s="10"/>
      <c r="D20" s="10"/>
      <c r="E20" s="10"/>
      <c r="F20" s="10"/>
      <c r="G20" s="10"/>
      <c r="H20" s="10"/>
      <c r="I20" s="10"/>
      <c r="J20" s="22" t="s">
        <v>174</v>
      </c>
      <c r="K20" s="10"/>
      <c r="L20" s="15"/>
      <c r="M20" s="10"/>
      <c r="N20" s="131"/>
    </row>
    <row r="21" spans="1:14" ht="15.75">
      <c r="A21" s="8"/>
      <c r="B21" s="10"/>
      <c r="C21" s="10"/>
      <c r="D21" s="10"/>
      <c r="E21" s="10"/>
      <c r="F21" s="10"/>
      <c r="G21" s="10"/>
      <c r="H21" s="10"/>
      <c r="I21" s="10"/>
      <c r="J21" s="10"/>
      <c r="K21" s="10"/>
      <c r="L21" s="24"/>
      <c r="M21" s="10"/>
      <c r="N21" s="131"/>
    </row>
    <row r="22" spans="1:14" ht="15.75">
      <c r="A22" s="8"/>
      <c r="B22" s="10"/>
      <c r="C22" s="155" t="s">
        <v>143</v>
      </c>
      <c r="D22" s="25"/>
      <c r="E22" s="25"/>
      <c r="F22" s="157" t="s">
        <v>151</v>
      </c>
      <c r="G22" s="157"/>
      <c r="H22" s="157" t="s">
        <v>164</v>
      </c>
      <c r="I22" s="25"/>
      <c r="J22" s="25"/>
      <c r="K22" s="15"/>
      <c r="L22" s="15"/>
      <c r="M22" s="10"/>
      <c r="N22" s="131"/>
    </row>
    <row r="23" spans="1:14" ht="15.75">
      <c r="A23" s="27"/>
      <c r="B23" s="28" t="s">
        <v>11</v>
      </c>
      <c r="C23" s="156" t="s">
        <v>144</v>
      </c>
      <c r="D23" s="29"/>
      <c r="E23" s="29"/>
      <c r="F23" s="29" t="s">
        <v>152</v>
      </c>
      <c r="G23" s="29"/>
      <c r="H23" s="29" t="s">
        <v>165</v>
      </c>
      <c r="I23" s="29"/>
      <c r="J23" s="29"/>
      <c r="K23" s="30"/>
      <c r="L23" s="30"/>
      <c r="M23" s="28"/>
      <c r="N23" s="131"/>
    </row>
    <row r="24" spans="1:14" ht="15.75">
      <c r="A24" s="27"/>
      <c r="B24" s="28" t="s">
        <v>12</v>
      </c>
      <c r="C24" s="31"/>
      <c r="D24" s="29"/>
      <c r="E24" s="29"/>
      <c r="F24" s="29" t="s">
        <v>153</v>
      </c>
      <c r="G24" s="29"/>
      <c r="H24" s="29" t="s">
        <v>166</v>
      </c>
      <c r="I24" s="29"/>
      <c r="J24" s="29"/>
      <c r="K24" s="30"/>
      <c r="L24" s="30"/>
      <c r="M24" s="28"/>
      <c r="N24" s="131"/>
    </row>
    <row r="25" spans="1:14" ht="15.75">
      <c r="A25" s="32"/>
      <c r="B25" s="33" t="s">
        <v>13</v>
      </c>
      <c r="C25" s="33"/>
      <c r="D25" s="34"/>
      <c r="E25" s="34"/>
      <c r="F25" s="34" t="s">
        <v>152</v>
      </c>
      <c r="G25" s="34"/>
      <c r="H25" s="34" t="s">
        <v>207</v>
      </c>
      <c r="I25" s="29"/>
      <c r="J25" s="29"/>
      <c r="K25" s="30"/>
      <c r="L25" s="30"/>
      <c r="M25" s="28"/>
      <c r="N25" s="131"/>
    </row>
    <row r="26" spans="1:14" ht="15.75">
      <c r="A26" s="32"/>
      <c r="B26" s="33" t="s">
        <v>14</v>
      </c>
      <c r="C26" s="33"/>
      <c r="D26" s="34"/>
      <c r="E26" s="34"/>
      <c r="F26" s="34" t="s">
        <v>153</v>
      </c>
      <c r="G26" s="34"/>
      <c r="H26" s="34" t="s">
        <v>208</v>
      </c>
      <c r="I26" s="29"/>
      <c r="J26" s="29"/>
      <c r="K26" s="30"/>
      <c r="L26" s="30"/>
      <c r="M26" s="28"/>
      <c r="N26" s="131"/>
    </row>
    <row r="27" spans="1:14" ht="15.75">
      <c r="A27" s="27"/>
      <c r="B27" s="28" t="s">
        <v>15</v>
      </c>
      <c r="C27" s="28"/>
      <c r="D27" s="31"/>
      <c r="E27" s="29"/>
      <c r="F27" s="31" t="s">
        <v>154</v>
      </c>
      <c r="G27" s="29"/>
      <c r="H27" s="31" t="s">
        <v>167</v>
      </c>
      <c r="I27" s="29"/>
      <c r="J27" s="31"/>
      <c r="K27" s="30"/>
      <c r="L27" s="30"/>
      <c r="M27" s="28"/>
      <c r="N27" s="131"/>
    </row>
    <row r="28" spans="1:14" ht="15.75">
      <c r="A28" s="27"/>
      <c r="B28" s="28"/>
      <c r="C28" s="28"/>
      <c r="D28" s="28"/>
      <c r="E28" s="29"/>
      <c r="F28" s="29"/>
      <c r="G28" s="29"/>
      <c r="H28" s="29"/>
      <c r="I28" s="29"/>
      <c r="J28" s="29"/>
      <c r="K28" s="30"/>
      <c r="L28" s="30"/>
      <c r="M28" s="28"/>
      <c r="N28" s="131"/>
    </row>
    <row r="29" spans="1:14" ht="15.75">
      <c r="A29" s="27"/>
      <c r="B29" s="28" t="s">
        <v>16</v>
      </c>
      <c r="C29" s="28"/>
      <c r="D29" s="35"/>
      <c r="E29" s="36"/>
      <c r="F29" s="35">
        <v>168000</v>
      </c>
      <c r="G29" s="35"/>
      <c r="H29" s="35">
        <v>17000</v>
      </c>
      <c r="I29" s="35"/>
      <c r="J29" s="35"/>
      <c r="K29" s="37"/>
      <c r="L29" s="35">
        <f>H29+F29</f>
        <v>185000</v>
      </c>
      <c r="M29" s="38"/>
      <c r="N29" s="131"/>
    </row>
    <row r="30" spans="1:14" ht="15.75">
      <c r="A30" s="27"/>
      <c r="B30" s="28" t="s">
        <v>17</v>
      </c>
      <c r="C30" s="126">
        <v>0.738455</v>
      </c>
      <c r="D30" s="35"/>
      <c r="E30" s="36"/>
      <c r="F30" s="35">
        <f>168000*C30</f>
        <v>124060.44</v>
      </c>
      <c r="G30" s="35"/>
      <c r="H30" s="35">
        <v>17000</v>
      </c>
      <c r="I30" s="35"/>
      <c r="J30" s="35"/>
      <c r="K30" s="37"/>
      <c r="L30" s="35">
        <f>H30+F30</f>
        <v>141060.44</v>
      </c>
      <c r="M30" s="38"/>
      <c r="N30" s="131"/>
    </row>
    <row r="31" spans="1:14" ht="13.5" customHeight="1">
      <c r="A31" s="32"/>
      <c r="B31" s="33" t="s">
        <v>18</v>
      </c>
      <c r="C31" s="40">
        <v>0.685797</v>
      </c>
      <c r="D31" s="41"/>
      <c r="E31" s="42"/>
      <c r="F31" s="41">
        <f>168000*C31</f>
        <v>115213.896</v>
      </c>
      <c r="G31" s="41"/>
      <c r="H31" s="41">
        <v>17000</v>
      </c>
      <c r="I31" s="41"/>
      <c r="J31" s="41"/>
      <c r="K31" s="43"/>
      <c r="L31" s="41">
        <f>H31+F31+D31</f>
        <v>132213.896</v>
      </c>
      <c r="M31" s="38"/>
      <c r="N31" s="131"/>
    </row>
    <row r="32" spans="1:14" ht="15.75">
      <c r="A32" s="27"/>
      <c r="B32" s="28" t="s">
        <v>19</v>
      </c>
      <c r="C32" s="44"/>
      <c r="D32" s="31"/>
      <c r="E32" s="28"/>
      <c r="F32" s="31" t="s">
        <v>155</v>
      </c>
      <c r="G32" s="31"/>
      <c r="H32" s="31" t="s">
        <v>168</v>
      </c>
      <c r="I32" s="31"/>
      <c r="J32" s="31"/>
      <c r="K32" s="30"/>
      <c r="L32" s="30"/>
      <c r="M32" s="28"/>
      <c r="N32" s="131"/>
    </row>
    <row r="33" spans="1:14" ht="15.75">
      <c r="A33" s="27"/>
      <c r="B33" s="28" t="s">
        <v>20</v>
      </c>
      <c r="C33" s="28"/>
      <c r="D33" s="45"/>
      <c r="E33" s="28"/>
      <c r="F33" s="45">
        <v>0.0434813</v>
      </c>
      <c r="G33" s="46"/>
      <c r="H33" s="45">
        <v>0.0486813</v>
      </c>
      <c r="I33" s="46"/>
      <c r="J33" s="45"/>
      <c r="K33" s="30"/>
      <c r="L33" s="46">
        <f>SUMPRODUCT(F33:H33,F30:H30)/L30</f>
        <v>0.04410798172593251</v>
      </c>
      <c r="M33" s="28"/>
      <c r="N33" s="131"/>
    </row>
    <row r="34" spans="1:14" ht="15.75">
      <c r="A34" s="27"/>
      <c r="B34" s="28" t="s">
        <v>21</v>
      </c>
      <c r="C34" s="28"/>
      <c r="D34" s="45"/>
      <c r="E34" s="28"/>
      <c r="F34" s="45">
        <v>0.0443578</v>
      </c>
      <c r="G34" s="46"/>
      <c r="H34" s="45">
        <v>0.0495578</v>
      </c>
      <c r="I34" s="46"/>
      <c r="J34" s="45"/>
      <c r="K34" s="30"/>
      <c r="L34" s="30"/>
      <c r="M34" s="28"/>
      <c r="N34" s="131"/>
    </row>
    <row r="35" spans="1:14" ht="15.75">
      <c r="A35" s="27"/>
      <c r="B35" s="28" t="s">
        <v>22</v>
      </c>
      <c r="C35" s="28"/>
      <c r="D35" s="31"/>
      <c r="E35" s="28"/>
      <c r="F35" s="31" t="s">
        <v>157</v>
      </c>
      <c r="G35" s="31"/>
      <c r="H35" s="31" t="s">
        <v>157</v>
      </c>
      <c r="I35" s="31"/>
      <c r="J35" s="31"/>
      <c r="K35" s="30"/>
      <c r="L35" s="30"/>
      <c r="M35" s="28"/>
      <c r="N35" s="131"/>
    </row>
    <row r="36" spans="1:14" ht="15.75">
      <c r="A36" s="27"/>
      <c r="B36" s="28" t="s">
        <v>23</v>
      </c>
      <c r="C36" s="28"/>
      <c r="D36" s="31"/>
      <c r="E36" s="28"/>
      <c r="F36" s="31" t="s">
        <v>158</v>
      </c>
      <c r="G36" s="31"/>
      <c r="H36" s="31" t="s">
        <v>158</v>
      </c>
      <c r="I36" s="31"/>
      <c r="J36" s="31"/>
      <c r="K36" s="30"/>
      <c r="L36" s="30"/>
      <c r="M36" s="28"/>
      <c r="N36" s="131"/>
    </row>
    <row r="37" spans="1:14" ht="15.75">
      <c r="A37" s="27"/>
      <c r="B37" s="28" t="s">
        <v>24</v>
      </c>
      <c r="C37" s="28"/>
      <c r="D37" s="31"/>
      <c r="E37" s="28"/>
      <c r="F37" s="31" t="s">
        <v>159</v>
      </c>
      <c r="G37" s="31"/>
      <c r="H37" s="31" t="s">
        <v>169</v>
      </c>
      <c r="I37" s="31"/>
      <c r="J37" s="31"/>
      <c r="K37" s="30"/>
      <c r="L37" s="30"/>
      <c r="M37" s="28"/>
      <c r="N37" s="131"/>
    </row>
    <row r="38" spans="1:14" ht="15.75">
      <c r="A38" s="27"/>
      <c r="B38" s="28"/>
      <c r="C38" s="28"/>
      <c r="D38" s="47"/>
      <c r="E38" s="47"/>
      <c r="F38" s="28"/>
      <c r="G38" s="47"/>
      <c r="H38" s="47"/>
      <c r="I38" s="47"/>
      <c r="J38" s="47"/>
      <c r="K38" s="47"/>
      <c r="L38" s="47"/>
      <c r="M38" s="28"/>
      <c r="N38" s="131"/>
    </row>
    <row r="39" spans="1:14" ht="15.75">
      <c r="A39" s="27"/>
      <c r="B39" s="28" t="s">
        <v>25</v>
      </c>
      <c r="C39" s="28"/>
      <c r="D39" s="28"/>
      <c r="E39" s="28"/>
      <c r="F39" s="28"/>
      <c r="G39" s="28"/>
      <c r="H39" s="136"/>
      <c r="I39" s="28"/>
      <c r="J39" s="28"/>
      <c r="K39" s="28"/>
      <c r="L39" s="46">
        <f>H29/F29</f>
        <v>0.10119047619047619</v>
      </c>
      <c r="M39" s="28"/>
      <c r="N39" s="131"/>
    </row>
    <row r="40" spans="1:14" ht="15.75">
      <c r="A40" s="27"/>
      <c r="B40" s="28" t="s">
        <v>26</v>
      </c>
      <c r="C40" s="28"/>
      <c r="D40" s="28"/>
      <c r="E40" s="28"/>
      <c r="F40" s="136"/>
      <c r="G40" s="28"/>
      <c r="H40" s="136"/>
      <c r="I40" s="28"/>
      <c r="J40" s="28"/>
      <c r="K40" s="28"/>
      <c r="L40" s="46">
        <f>H31/F31</f>
        <v>0.14755164602714244</v>
      </c>
      <c r="M40" s="28"/>
      <c r="N40" s="131"/>
    </row>
    <row r="41" spans="1:14" ht="15.75">
      <c r="A41" s="27"/>
      <c r="B41" s="28" t="s">
        <v>27</v>
      </c>
      <c r="C41" s="28"/>
      <c r="D41" s="28"/>
      <c r="E41" s="28"/>
      <c r="F41" s="136"/>
      <c r="G41" s="28"/>
      <c r="H41" s="28"/>
      <c r="I41" s="28"/>
      <c r="J41" s="31" t="s">
        <v>151</v>
      </c>
      <c r="K41" s="31" t="s">
        <v>183</v>
      </c>
      <c r="L41" s="35">
        <v>75500</v>
      </c>
      <c r="M41" s="28"/>
      <c r="N41" s="131"/>
    </row>
    <row r="42" spans="1:14" ht="15.75">
      <c r="A42" s="27"/>
      <c r="B42" s="28"/>
      <c r="C42" s="28"/>
      <c r="D42" s="28"/>
      <c r="E42" s="28"/>
      <c r="F42" s="28"/>
      <c r="G42" s="28"/>
      <c r="H42" s="28"/>
      <c r="I42" s="28"/>
      <c r="J42" s="28" t="s">
        <v>175</v>
      </c>
      <c r="K42" s="28"/>
      <c r="L42" s="48"/>
      <c r="M42" s="28"/>
      <c r="N42" s="131"/>
    </row>
    <row r="43" spans="1:14" ht="15.75">
      <c r="A43" s="27"/>
      <c r="B43" s="28" t="s">
        <v>28</v>
      </c>
      <c r="C43" s="28"/>
      <c r="D43" s="28"/>
      <c r="E43" s="28"/>
      <c r="F43" s="28"/>
      <c r="G43" s="28"/>
      <c r="H43" s="28"/>
      <c r="I43" s="28"/>
      <c r="J43" s="31"/>
      <c r="K43" s="31"/>
      <c r="L43" s="31" t="s">
        <v>187</v>
      </c>
      <c r="M43" s="28"/>
      <c r="N43" s="131"/>
    </row>
    <row r="44" spans="1:14" ht="15.75">
      <c r="A44" s="32"/>
      <c r="B44" s="33" t="s">
        <v>29</v>
      </c>
      <c r="C44" s="33"/>
      <c r="D44" s="33"/>
      <c r="E44" s="33"/>
      <c r="F44" s="33"/>
      <c r="G44" s="33"/>
      <c r="H44" s="33"/>
      <c r="I44" s="33"/>
      <c r="J44" s="49"/>
      <c r="K44" s="49"/>
      <c r="L44" s="50">
        <v>37544</v>
      </c>
      <c r="M44" s="33"/>
      <c r="N44" s="131"/>
    </row>
    <row r="45" spans="1:14" ht="15.75">
      <c r="A45" s="27"/>
      <c r="B45" s="28" t="s">
        <v>30</v>
      </c>
      <c r="C45" s="28"/>
      <c r="D45" s="28"/>
      <c r="E45" s="28"/>
      <c r="F45" s="28"/>
      <c r="G45" s="28"/>
      <c r="H45" s="28"/>
      <c r="I45" s="28">
        <f>L45-J45+1</f>
        <v>91</v>
      </c>
      <c r="J45" s="51">
        <v>37361</v>
      </c>
      <c r="K45" s="52"/>
      <c r="L45" s="51">
        <v>37451</v>
      </c>
      <c r="M45" s="28"/>
      <c r="N45" s="131"/>
    </row>
    <row r="46" spans="1:14" ht="15.75">
      <c r="A46" s="27"/>
      <c r="B46" s="28" t="s">
        <v>31</v>
      </c>
      <c r="C46" s="28"/>
      <c r="D46" s="28"/>
      <c r="E46" s="28"/>
      <c r="F46" s="28"/>
      <c r="G46" s="28"/>
      <c r="H46" s="28"/>
      <c r="I46" s="28">
        <f>L46-J46+1</f>
        <v>92</v>
      </c>
      <c r="J46" s="51">
        <v>37452</v>
      </c>
      <c r="K46" s="52"/>
      <c r="L46" s="51">
        <v>37543</v>
      </c>
      <c r="M46" s="28"/>
      <c r="N46" s="131"/>
    </row>
    <row r="47" spans="1:14" ht="15.75">
      <c r="A47" s="27"/>
      <c r="B47" s="28" t="s">
        <v>32</v>
      </c>
      <c r="C47" s="28"/>
      <c r="D47" s="28"/>
      <c r="E47" s="28"/>
      <c r="F47" s="28"/>
      <c r="G47" s="28"/>
      <c r="H47" s="28"/>
      <c r="I47" s="28"/>
      <c r="J47" s="51"/>
      <c r="K47" s="52"/>
      <c r="L47" s="51" t="s">
        <v>188</v>
      </c>
      <c r="M47" s="28"/>
      <c r="N47" s="131"/>
    </row>
    <row r="48" spans="1:14" ht="15.75">
      <c r="A48" s="27"/>
      <c r="B48" s="28" t="s">
        <v>33</v>
      </c>
      <c r="C48" s="28"/>
      <c r="D48" s="28"/>
      <c r="E48" s="28"/>
      <c r="F48" s="28"/>
      <c r="G48" s="28"/>
      <c r="H48" s="28"/>
      <c r="I48" s="28"/>
      <c r="J48" s="51"/>
      <c r="K48" s="52"/>
      <c r="L48" s="51">
        <v>37536</v>
      </c>
      <c r="M48" s="28"/>
      <c r="N48" s="131"/>
    </row>
    <row r="49" spans="1:14" ht="15.75">
      <c r="A49" s="27"/>
      <c r="B49" s="28"/>
      <c r="C49" s="28"/>
      <c r="D49" s="28"/>
      <c r="E49" s="28"/>
      <c r="F49" s="28"/>
      <c r="G49" s="28"/>
      <c r="H49" s="28"/>
      <c r="I49" s="28"/>
      <c r="J49" s="51"/>
      <c r="K49" s="52"/>
      <c r="L49" s="51"/>
      <c r="M49" s="28"/>
      <c r="N49" s="131"/>
    </row>
    <row r="50" spans="1:14" ht="15.75">
      <c r="A50" s="8"/>
      <c r="B50" s="10"/>
      <c r="C50" s="10"/>
      <c r="D50" s="10"/>
      <c r="E50" s="10"/>
      <c r="F50" s="10"/>
      <c r="G50" s="10"/>
      <c r="H50" s="10"/>
      <c r="I50" s="10"/>
      <c r="J50" s="53"/>
      <c r="K50" s="54"/>
      <c r="L50" s="53"/>
      <c r="M50" s="10"/>
      <c r="N50" s="131"/>
    </row>
    <row r="51" spans="1:14" ht="19.5" thickBot="1">
      <c r="A51" s="138"/>
      <c r="B51" s="139" t="s">
        <v>212</v>
      </c>
      <c r="C51" s="140"/>
      <c r="D51" s="140"/>
      <c r="E51" s="140"/>
      <c r="F51" s="140"/>
      <c r="G51" s="140"/>
      <c r="H51" s="140"/>
      <c r="I51" s="140"/>
      <c r="J51" s="140"/>
      <c r="K51" s="140"/>
      <c r="L51" s="141"/>
      <c r="M51" s="142"/>
      <c r="N51" s="131"/>
    </row>
    <row r="52" spans="1:14" ht="15.75">
      <c r="A52" s="2"/>
      <c r="B52" s="5"/>
      <c r="C52" s="5"/>
      <c r="D52" s="5"/>
      <c r="E52" s="5"/>
      <c r="F52" s="5"/>
      <c r="G52" s="5"/>
      <c r="H52" s="5"/>
      <c r="I52" s="5"/>
      <c r="J52" s="5"/>
      <c r="K52" s="5"/>
      <c r="L52" s="57"/>
      <c r="M52" s="5"/>
      <c r="N52" s="131"/>
    </row>
    <row r="53" spans="1:14" ht="15.75">
      <c r="A53" s="8"/>
      <c r="B53" s="58" t="s">
        <v>35</v>
      </c>
      <c r="C53" s="16"/>
      <c r="D53" s="10"/>
      <c r="E53" s="10"/>
      <c r="F53" s="10"/>
      <c r="G53" s="10"/>
      <c r="H53" s="10"/>
      <c r="I53" s="10"/>
      <c r="J53" s="10"/>
      <c r="K53" s="10"/>
      <c r="L53" s="59"/>
      <c r="M53" s="10"/>
      <c r="N53" s="131"/>
    </row>
    <row r="54" spans="1:14" ht="15.75">
      <c r="A54" s="8"/>
      <c r="B54" s="16"/>
      <c r="C54" s="16"/>
      <c r="D54" s="10"/>
      <c r="E54" s="10"/>
      <c r="F54" s="10"/>
      <c r="G54" s="10"/>
      <c r="H54" s="10"/>
      <c r="I54" s="10"/>
      <c r="J54" s="10"/>
      <c r="K54" s="10"/>
      <c r="L54" s="59"/>
      <c r="M54" s="10"/>
      <c r="N54" s="131"/>
    </row>
    <row r="55" spans="1:14" s="165" customFormat="1" ht="63">
      <c r="A55" s="159"/>
      <c r="B55" s="160" t="s">
        <v>36</v>
      </c>
      <c r="C55" s="161" t="s">
        <v>145</v>
      </c>
      <c r="D55" s="161" t="s">
        <v>147</v>
      </c>
      <c r="E55" s="161"/>
      <c r="F55" s="161" t="s">
        <v>160</v>
      </c>
      <c r="G55" s="161"/>
      <c r="H55" s="161" t="s">
        <v>170</v>
      </c>
      <c r="I55" s="161"/>
      <c r="J55" s="161" t="s">
        <v>176</v>
      </c>
      <c r="K55" s="161"/>
      <c r="L55" s="162" t="s">
        <v>189</v>
      </c>
      <c r="M55" s="163"/>
      <c r="N55" s="171"/>
    </row>
    <row r="56" spans="1:14" ht="15.75">
      <c r="A56" s="27"/>
      <c r="B56" s="28" t="s">
        <v>37</v>
      </c>
      <c r="C56" s="38">
        <v>162582</v>
      </c>
      <c r="D56" s="60">
        <v>141060</v>
      </c>
      <c r="E56" s="38"/>
      <c r="F56" s="38">
        <f>10696+9</f>
        <v>10705</v>
      </c>
      <c r="G56" s="38"/>
      <c r="H56" s="38">
        <v>1850</v>
      </c>
      <c r="I56" s="38"/>
      <c r="J56" s="38">
        <v>0</v>
      </c>
      <c r="K56" s="38"/>
      <c r="L56" s="60">
        <f>D56-F56+H56-J56</f>
        <v>132205</v>
      </c>
      <c r="M56" s="28"/>
      <c r="N56" s="131"/>
    </row>
    <row r="57" spans="1:14" ht="15.75">
      <c r="A57" s="27"/>
      <c r="B57" s="28" t="s">
        <v>38</v>
      </c>
      <c r="C57" s="38">
        <v>66</v>
      </c>
      <c r="D57" s="60">
        <v>0</v>
      </c>
      <c r="E57" s="38"/>
      <c r="F57" s="38">
        <v>0</v>
      </c>
      <c r="G57" s="38"/>
      <c r="H57" s="38">
        <v>0</v>
      </c>
      <c r="I57" s="38"/>
      <c r="J57" s="38">
        <v>0</v>
      </c>
      <c r="K57" s="38"/>
      <c r="L57" s="60">
        <f>D57-F57</f>
        <v>0</v>
      </c>
      <c r="M57" s="28"/>
      <c r="N57" s="131"/>
    </row>
    <row r="58" spans="1:14" ht="15.75">
      <c r="A58" s="27"/>
      <c r="B58" s="28"/>
      <c r="C58" s="38"/>
      <c r="D58" s="60"/>
      <c r="E58" s="38"/>
      <c r="F58" s="38"/>
      <c r="G58" s="38"/>
      <c r="H58" s="38"/>
      <c r="I58" s="38"/>
      <c r="J58" s="38"/>
      <c r="K58" s="38"/>
      <c r="L58" s="60"/>
      <c r="M58" s="28"/>
      <c r="N58" s="131"/>
    </row>
    <row r="59" spans="1:14" ht="15.75">
      <c r="A59" s="27"/>
      <c r="B59" s="28" t="s">
        <v>39</v>
      </c>
      <c r="C59" s="38">
        <f>SUM(C56:C58)</f>
        <v>162648</v>
      </c>
      <c r="D59" s="38">
        <f>SUM(D56:D58)</f>
        <v>141060</v>
      </c>
      <c r="E59" s="38"/>
      <c r="F59" s="38">
        <f>SUM(F56:F58)</f>
        <v>10705</v>
      </c>
      <c r="G59" s="38"/>
      <c r="H59" s="38">
        <f>SUM(H56:H58)</f>
        <v>1850</v>
      </c>
      <c r="I59" s="38"/>
      <c r="J59" s="38">
        <f>SUM(J56:J58)</f>
        <v>0</v>
      </c>
      <c r="K59" s="38"/>
      <c r="L59" s="61">
        <f>SUM(L56:L58)</f>
        <v>132205</v>
      </c>
      <c r="M59" s="28"/>
      <c r="N59" s="131"/>
    </row>
    <row r="60" spans="1:14" ht="15.75">
      <c r="A60" s="27"/>
      <c r="B60" s="28"/>
      <c r="C60" s="38"/>
      <c r="D60" s="38"/>
      <c r="E60" s="38"/>
      <c r="F60" s="38"/>
      <c r="G60" s="38"/>
      <c r="H60" s="38"/>
      <c r="I60" s="38"/>
      <c r="J60" s="38"/>
      <c r="K60" s="38"/>
      <c r="L60" s="61"/>
      <c r="M60" s="28"/>
      <c r="N60" s="131"/>
    </row>
    <row r="61" spans="1:14" ht="15.75">
      <c r="A61" s="8"/>
      <c r="B61" s="154" t="s">
        <v>40</v>
      </c>
      <c r="C61" s="62"/>
      <c r="D61" s="62"/>
      <c r="E61" s="62"/>
      <c r="F61" s="62"/>
      <c r="G61" s="62"/>
      <c r="H61" s="62"/>
      <c r="I61" s="62"/>
      <c r="J61" s="62"/>
      <c r="K61" s="62"/>
      <c r="L61" s="63"/>
      <c r="M61" s="10"/>
      <c r="N61" s="131"/>
    </row>
    <row r="62" spans="1:14" ht="15.75">
      <c r="A62" s="8"/>
      <c r="B62" s="10"/>
      <c r="C62" s="62"/>
      <c r="D62" s="62"/>
      <c r="E62" s="62"/>
      <c r="F62" s="62"/>
      <c r="G62" s="62"/>
      <c r="H62" s="62"/>
      <c r="I62" s="62"/>
      <c r="J62" s="62"/>
      <c r="K62" s="62"/>
      <c r="L62" s="63"/>
      <c r="M62" s="10"/>
      <c r="N62" s="131"/>
    </row>
    <row r="63" spans="1:14" ht="15.75">
      <c r="A63" s="27"/>
      <c r="B63" s="28" t="s">
        <v>37</v>
      </c>
      <c r="C63" s="38"/>
      <c r="D63" s="38"/>
      <c r="E63" s="38"/>
      <c r="F63" s="38"/>
      <c r="G63" s="38"/>
      <c r="H63" s="38"/>
      <c r="I63" s="38"/>
      <c r="J63" s="38"/>
      <c r="K63" s="38"/>
      <c r="L63" s="61"/>
      <c r="M63" s="28"/>
      <c r="N63" s="131"/>
    </row>
    <row r="64" spans="1:14" ht="15.75">
      <c r="A64" s="27"/>
      <c r="B64" s="28" t="s">
        <v>38</v>
      </c>
      <c r="C64" s="38"/>
      <c r="D64" s="38"/>
      <c r="E64" s="38"/>
      <c r="F64" s="38"/>
      <c r="G64" s="38"/>
      <c r="H64" s="38"/>
      <c r="I64" s="38"/>
      <c r="J64" s="38"/>
      <c r="K64" s="38"/>
      <c r="L64" s="61"/>
      <c r="M64" s="28"/>
      <c r="N64" s="131"/>
    </row>
    <row r="65" spans="1:14" ht="15.75">
      <c r="A65" s="27"/>
      <c r="B65" s="28"/>
      <c r="C65" s="38"/>
      <c r="D65" s="38"/>
      <c r="E65" s="38"/>
      <c r="F65" s="38"/>
      <c r="G65" s="38"/>
      <c r="H65" s="38"/>
      <c r="I65" s="38"/>
      <c r="J65" s="38"/>
      <c r="K65" s="38"/>
      <c r="L65" s="61"/>
      <c r="M65" s="28"/>
      <c r="N65" s="131"/>
    </row>
    <row r="66" spans="1:14" ht="15.75">
      <c r="A66" s="27"/>
      <c r="B66" s="28" t="s">
        <v>39</v>
      </c>
      <c r="C66" s="38"/>
      <c r="D66" s="38"/>
      <c r="E66" s="38"/>
      <c r="F66" s="38"/>
      <c r="G66" s="38"/>
      <c r="H66" s="38"/>
      <c r="I66" s="38"/>
      <c r="J66" s="38"/>
      <c r="K66" s="38"/>
      <c r="L66" s="38"/>
      <c r="M66" s="28"/>
      <c r="N66" s="131"/>
    </row>
    <row r="67" spans="1:14" ht="15.75">
      <c r="A67" s="27"/>
      <c r="B67" s="28"/>
      <c r="C67" s="38"/>
      <c r="D67" s="38"/>
      <c r="E67" s="38"/>
      <c r="F67" s="38"/>
      <c r="G67" s="38"/>
      <c r="H67" s="38"/>
      <c r="I67" s="38"/>
      <c r="J67" s="38"/>
      <c r="K67" s="38"/>
      <c r="L67" s="38"/>
      <c r="M67" s="28"/>
      <c r="N67" s="131"/>
    </row>
    <row r="68" spans="1:14" ht="15.75">
      <c r="A68" s="27"/>
      <c r="B68" s="28" t="s">
        <v>41</v>
      </c>
      <c r="C68" s="38">
        <v>0</v>
      </c>
      <c r="D68" s="38">
        <v>0</v>
      </c>
      <c r="E68" s="38"/>
      <c r="F68" s="38"/>
      <c r="G68" s="38"/>
      <c r="H68" s="38"/>
      <c r="I68" s="38"/>
      <c r="J68" s="38"/>
      <c r="K68" s="38"/>
      <c r="L68" s="60">
        <f>D68-F68+H68-J68</f>
        <v>0</v>
      </c>
      <c r="M68" s="28"/>
      <c r="N68" s="131"/>
    </row>
    <row r="69" spans="1:14" ht="15.75">
      <c r="A69" s="27"/>
      <c r="B69" s="28" t="s">
        <v>42</v>
      </c>
      <c r="C69" s="38">
        <v>22352</v>
      </c>
      <c r="D69" s="38">
        <v>0</v>
      </c>
      <c r="E69" s="38"/>
      <c r="F69" s="38"/>
      <c r="G69" s="38"/>
      <c r="H69" s="38"/>
      <c r="I69" s="38"/>
      <c r="J69" s="38"/>
      <c r="K69" s="38"/>
      <c r="L69" s="61">
        <v>0</v>
      </c>
      <c r="M69" s="28"/>
      <c r="N69" s="131"/>
    </row>
    <row r="70" spans="1:14" ht="15.75">
      <c r="A70" s="27"/>
      <c r="B70" s="28" t="s">
        <v>43</v>
      </c>
      <c r="C70" s="38">
        <v>0</v>
      </c>
      <c r="D70" s="38">
        <v>0</v>
      </c>
      <c r="E70" s="38"/>
      <c r="F70" s="38"/>
      <c r="G70" s="38"/>
      <c r="H70" s="38"/>
      <c r="I70" s="38"/>
      <c r="J70" s="38"/>
      <c r="K70" s="38"/>
      <c r="L70" s="61">
        <v>9</v>
      </c>
      <c r="M70" s="28"/>
      <c r="N70" s="131"/>
    </row>
    <row r="71" spans="1:14" ht="15.75">
      <c r="A71" s="27"/>
      <c r="B71" s="28" t="s">
        <v>44</v>
      </c>
      <c r="C71" s="61">
        <f>SUM(C59:C70)</f>
        <v>185000</v>
      </c>
      <c r="D71" s="61">
        <f>SUM(D59:D70)</f>
        <v>141060</v>
      </c>
      <c r="E71" s="38"/>
      <c r="F71" s="61"/>
      <c r="G71" s="38"/>
      <c r="H71" s="61"/>
      <c r="I71" s="38"/>
      <c r="J71" s="61"/>
      <c r="K71" s="38"/>
      <c r="L71" s="61">
        <f>SUM(L59:L70)</f>
        <v>132214</v>
      </c>
      <c r="M71" s="28"/>
      <c r="N71" s="131"/>
    </row>
    <row r="72" spans="1:14" ht="15.75">
      <c r="A72" s="27"/>
      <c r="B72" s="28"/>
      <c r="C72" s="38"/>
      <c r="D72" s="38"/>
      <c r="E72" s="38"/>
      <c r="F72" s="38"/>
      <c r="G72" s="38"/>
      <c r="H72" s="38"/>
      <c r="I72" s="38"/>
      <c r="J72" s="38"/>
      <c r="K72" s="38"/>
      <c r="L72" s="61"/>
      <c r="M72" s="28"/>
      <c r="N72" s="131"/>
    </row>
    <row r="73" spans="1:14" ht="15.75">
      <c r="A73" s="8"/>
      <c r="B73" s="10"/>
      <c r="C73" s="10"/>
      <c r="D73" s="10"/>
      <c r="E73" s="10"/>
      <c r="F73" s="10"/>
      <c r="G73" s="10"/>
      <c r="H73" s="10"/>
      <c r="I73" s="10"/>
      <c r="J73" s="10"/>
      <c r="K73" s="10"/>
      <c r="L73" s="10"/>
      <c r="M73" s="10"/>
      <c r="N73" s="131"/>
    </row>
    <row r="74" spans="1:14" ht="15.75">
      <c r="A74" s="8"/>
      <c r="B74" s="58" t="s">
        <v>45</v>
      </c>
      <c r="C74" s="17"/>
      <c r="D74" s="17"/>
      <c r="E74" s="17"/>
      <c r="F74" s="17"/>
      <c r="G74" s="17"/>
      <c r="H74" s="17"/>
      <c r="I74" s="20"/>
      <c r="J74" s="20" t="s">
        <v>177</v>
      </c>
      <c r="K74" s="20"/>
      <c r="L74" s="20" t="s">
        <v>190</v>
      </c>
      <c r="M74" s="10"/>
      <c r="N74" s="131"/>
    </row>
    <row r="75" spans="1:14" ht="15.75">
      <c r="A75" s="27"/>
      <c r="B75" s="28" t="s">
        <v>46</v>
      </c>
      <c r="C75" s="28"/>
      <c r="D75" s="28"/>
      <c r="E75" s="28"/>
      <c r="F75" s="28"/>
      <c r="G75" s="28"/>
      <c r="H75" s="28"/>
      <c r="I75" s="28"/>
      <c r="J75" s="38">
        <v>0</v>
      </c>
      <c r="K75" s="28"/>
      <c r="L75" s="60">
        <v>0</v>
      </c>
      <c r="M75" s="28"/>
      <c r="N75" s="131"/>
    </row>
    <row r="76" spans="1:14" ht="15.75">
      <c r="A76" s="27"/>
      <c r="B76" s="28" t="s">
        <v>47</v>
      </c>
      <c r="C76" s="47" t="s">
        <v>146</v>
      </c>
      <c r="D76" s="65">
        <v>37529</v>
      </c>
      <c r="E76" s="28"/>
      <c r="F76" s="28"/>
      <c r="G76" s="28"/>
      <c r="H76" s="28"/>
      <c r="I76" s="28"/>
      <c r="J76" s="38">
        <f>10705-9</f>
        <v>10696</v>
      </c>
      <c r="K76" s="28"/>
      <c r="L76" s="60"/>
      <c r="M76" s="28"/>
      <c r="N76" s="131"/>
    </row>
    <row r="77" spans="1:14" ht="15.75">
      <c r="A77" s="27"/>
      <c r="B77" s="28" t="s">
        <v>48</v>
      </c>
      <c r="C77" s="28"/>
      <c r="D77" s="28"/>
      <c r="E77" s="28"/>
      <c r="F77" s="28"/>
      <c r="G77" s="28"/>
      <c r="H77" s="28"/>
      <c r="I77" s="28"/>
      <c r="J77" s="38"/>
      <c r="K77" s="28"/>
      <c r="L77" s="60">
        <f>2104-4+336</f>
        <v>2436</v>
      </c>
      <c r="M77" s="28"/>
      <c r="N77" s="131"/>
    </row>
    <row r="78" spans="1:14" ht="15.75">
      <c r="A78" s="27"/>
      <c r="B78" s="28" t="s">
        <v>49</v>
      </c>
      <c r="C78" s="28"/>
      <c r="D78" s="28"/>
      <c r="E78" s="28"/>
      <c r="F78" s="28"/>
      <c r="G78" s="28"/>
      <c r="H78" s="28"/>
      <c r="I78" s="28"/>
      <c r="J78" s="38"/>
      <c r="K78" s="28"/>
      <c r="L78" s="60">
        <v>0</v>
      </c>
      <c r="M78" s="28"/>
      <c r="N78" s="131"/>
    </row>
    <row r="79" spans="1:14" ht="15.75">
      <c r="A79" s="27"/>
      <c r="B79" s="28" t="s">
        <v>50</v>
      </c>
      <c r="C79" s="28"/>
      <c r="D79" s="28"/>
      <c r="E79" s="28"/>
      <c r="F79" s="28"/>
      <c r="G79" s="28"/>
      <c r="H79" s="28"/>
      <c r="I79" s="28"/>
      <c r="J79" s="38">
        <f>SUM(J75:J78)</f>
        <v>10696</v>
      </c>
      <c r="K79" s="28"/>
      <c r="L79" s="61">
        <f>SUM(L75:L78)</f>
        <v>2436</v>
      </c>
      <c r="M79" s="28"/>
      <c r="N79" s="131"/>
    </row>
    <row r="80" spans="1:14" ht="15.75">
      <c r="A80" s="27"/>
      <c r="B80" s="28" t="s">
        <v>51</v>
      </c>
      <c r="C80" s="28"/>
      <c r="D80" s="28"/>
      <c r="E80" s="28"/>
      <c r="F80" s="28"/>
      <c r="G80" s="28"/>
      <c r="H80" s="28"/>
      <c r="I80" s="28"/>
      <c r="J80" s="38">
        <v>0</v>
      </c>
      <c r="K80" s="28"/>
      <c r="L80" s="60">
        <v>0</v>
      </c>
      <c r="M80" s="28"/>
      <c r="N80" s="131"/>
    </row>
    <row r="81" spans="1:14" ht="15.75">
      <c r="A81" s="27"/>
      <c r="B81" s="28" t="s">
        <v>52</v>
      </c>
      <c r="C81" s="28"/>
      <c r="D81" s="28"/>
      <c r="E81" s="28"/>
      <c r="F81" s="28"/>
      <c r="G81" s="28"/>
      <c r="H81" s="28"/>
      <c r="I81" s="28"/>
      <c r="J81" s="38">
        <f>J79+J80</f>
        <v>10696</v>
      </c>
      <c r="K81" s="28"/>
      <c r="L81" s="61">
        <f>L79+L80</f>
        <v>2436</v>
      </c>
      <c r="M81" s="28"/>
      <c r="N81" s="131"/>
    </row>
    <row r="82" spans="1:14" ht="15.75">
      <c r="A82" s="27"/>
      <c r="B82" s="166" t="s">
        <v>53</v>
      </c>
      <c r="C82" s="66"/>
      <c r="D82" s="28"/>
      <c r="E82" s="28"/>
      <c r="F82" s="28"/>
      <c r="G82" s="28"/>
      <c r="H82" s="28"/>
      <c r="I82" s="28"/>
      <c r="J82" s="38"/>
      <c r="K82" s="28"/>
      <c r="L82" s="60"/>
      <c r="M82" s="28"/>
      <c r="N82" s="131"/>
    </row>
    <row r="83" spans="1:14" ht="15.75">
      <c r="A83" s="27">
        <v>1</v>
      </c>
      <c r="B83" s="28" t="s">
        <v>54</v>
      </c>
      <c r="C83" s="28"/>
      <c r="D83" s="28"/>
      <c r="E83" s="28"/>
      <c r="F83" s="28"/>
      <c r="G83" s="28"/>
      <c r="H83" s="28"/>
      <c r="I83" s="28"/>
      <c r="J83" s="28"/>
      <c r="K83" s="28"/>
      <c r="L83" s="60">
        <v>0</v>
      </c>
      <c r="M83" s="28"/>
      <c r="N83" s="131"/>
    </row>
    <row r="84" spans="1:14" ht="15.75">
      <c r="A84" s="27">
        <v>2</v>
      </c>
      <c r="B84" s="28" t="s">
        <v>55</v>
      </c>
      <c r="C84" s="28"/>
      <c r="D84" s="28"/>
      <c r="E84" s="28"/>
      <c r="F84" s="28"/>
      <c r="G84" s="28"/>
      <c r="H84" s="28"/>
      <c r="I84" s="28"/>
      <c r="J84" s="28"/>
      <c r="K84" s="28"/>
      <c r="L84" s="60">
        <v>-3</v>
      </c>
      <c r="M84" s="28"/>
      <c r="N84" s="131"/>
    </row>
    <row r="85" spans="1:14" ht="15.75">
      <c r="A85" s="27">
        <v>3</v>
      </c>
      <c r="B85" s="28" t="s">
        <v>56</v>
      </c>
      <c r="C85" s="28"/>
      <c r="D85" s="28"/>
      <c r="E85" s="28"/>
      <c r="F85" s="28"/>
      <c r="G85" s="28"/>
      <c r="H85" s="28"/>
      <c r="I85" s="28"/>
      <c r="J85" s="28"/>
      <c r="K85" s="28"/>
      <c r="L85" s="60">
        <f>-107-7-4</f>
        <v>-118</v>
      </c>
      <c r="M85" s="28"/>
      <c r="N85" s="131"/>
    </row>
    <row r="86" spans="1:14" ht="15.75">
      <c r="A86" s="27">
        <v>4</v>
      </c>
      <c r="B86" s="28" t="s">
        <v>57</v>
      </c>
      <c r="C86" s="28"/>
      <c r="D86" s="28"/>
      <c r="E86" s="28"/>
      <c r="F86" s="28"/>
      <c r="G86" s="28"/>
      <c r="H86" s="28"/>
      <c r="I86" s="28"/>
      <c r="J86" s="28"/>
      <c r="K86" s="28"/>
      <c r="L86" s="60">
        <v>-149</v>
      </c>
      <c r="M86" s="28"/>
      <c r="N86" s="131"/>
    </row>
    <row r="87" spans="1:14" ht="15.75">
      <c r="A87" s="27">
        <v>5</v>
      </c>
      <c r="B87" s="28" t="s">
        <v>58</v>
      </c>
      <c r="C87" s="28"/>
      <c r="D87" s="28"/>
      <c r="E87" s="28"/>
      <c r="F87" s="28"/>
      <c r="G87" s="28"/>
      <c r="H87" s="28"/>
      <c r="I87" s="28"/>
      <c r="J87" s="28"/>
      <c r="K87" s="28"/>
      <c r="L87" s="60">
        <v>-1360</v>
      </c>
      <c r="M87" s="28"/>
      <c r="N87" s="131"/>
    </row>
    <row r="88" spans="1:14" ht="15.75">
      <c r="A88" s="27">
        <v>6</v>
      </c>
      <c r="B88" s="28" t="s">
        <v>59</v>
      </c>
      <c r="C88" s="28"/>
      <c r="D88" s="28"/>
      <c r="E88" s="28"/>
      <c r="F88" s="28"/>
      <c r="G88" s="28"/>
      <c r="H88" s="28"/>
      <c r="I88" s="28"/>
      <c r="J88" s="28"/>
      <c r="K88" s="28"/>
      <c r="L88" s="60">
        <v>-209</v>
      </c>
      <c r="M88" s="28"/>
      <c r="N88" s="131"/>
    </row>
    <row r="89" spans="1:14" ht="15.75">
      <c r="A89" s="27">
        <v>7</v>
      </c>
      <c r="B89" s="28" t="s">
        <v>60</v>
      </c>
      <c r="C89" s="28"/>
      <c r="D89" s="28"/>
      <c r="E89" s="28"/>
      <c r="F89" s="28"/>
      <c r="G89" s="28"/>
      <c r="H89" s="28"/>
      <c r="I89" s="28"/>
      <c r="J89" s="28"/>
      <c r="K89" s="28"/>
      <c r="L89" s="60">
        <v>-5</v>
      </c>
      <c r="M89" s="28"/>
      <c r="N89" s="131"/>
    </row>
    <row r="90" spans="1:14" ht="15.75">
      <c r="A90" s="27">
        <v>8</v>
      </c>
      <c r="B90" s="28" t="s">
        <v>61</v>
      </c>
      <c r="C90" s="28"/>
      <c r="D90" s="28"/>
      <c r="E90" s="28"/>
      <c r="F90" s="28"/>
      <c r="G90" s="28"/>
      <c r="H90" s="28"/>
      <c r="I90" s="28"/>
      <c r="J90" s="28"/>
      <c r="K90" s="28"/>
      <c r="L90" s="60">
        <v>0</v>
      </c>
      <c r="M90" s="28"/>
      <c r="N90" s="131"/>
    </row>
    <row r="91" spans="1:14" ht="15.75">
      <c r="A91" s="27">
        <v>9</v>
      </c>
      <c r="B91" s="28" t="s">
        <v>62</v>
      </c>
      <c r="C91" s="28"/>
      <c r="D91" s="28"/>
      <c r="E91" s="28"/>
      <c r="F91" s="28"/>
      <c r="G91" s="28"/>
      <c r="H91" s="28"/>
      <c r="I91" s="28"/>
      <c r="J91" s="28"/>
      <c r="K91" s="28"/>
      <c r="L91" s="60">
        <v>-9</v>
      </c>
      <c r="M91" s="28"/>
      <c r="N91" s="131"/>
    </row>
    <row r="92" spans="1:14" ht="15.75">
      <c r="A92" s="27">
        <v>10</v>
      </c>
      <c r="B92" s="28" t="s">
        <v>63</v>
      </c>
      <c r="C92" s="28"/>
      <c r="D92" s="28"/>
      <c r="E92" s="28"/>
      <c r="F92" s="28"/>
      <c r="G92" s="28"/>
      <c r="H92" s="28"/>
      <c r="I92" s="28"/>
      <c r="J92" s="28"/>
      <c r="K92" s="28"/>
      <c r="L92" s="60">
        <v>0</v>
      </c>
      <c r="M92" s="28"/>
      <c r="N92" s="131"/>
    </row>
    <row r="93" spans="1:14" ht="15.75">
      <c r="A93" s="27">
        <v>11</v>
      </c>
      <c r="B93" s="28" t="s">
        <v>64</v>
      </c>
      <c r="C93" s="28"/>
      <c r="D93" s="28"/>
      <c r="E93" s="28"/>
      <c r="F93" s="28"/>
      <c r="G93" s="28"/>
      <c r="H93" s="28"/>
      <c r="I93" s="28"/>
      <c r="J93" s="28"/>
      <c r="K93" s="28"/>
      <c r="L93" s="60">
        <v>0</v>
      </c>
      <c r="M93" s="28"/>
      <c r="N93" s="131"/>
    </row>
    <row r="94" spans="1:14" ht="15.75">
      <c r="A94" s="27">
        <v>12</v>
      </c>
      <c r="B94" s="28" t="s">
        <v>65</v>
      </c>
      <c r="C94" s="28"/>
      <c r="D94" s="28"/>
      <c r="E94" s="28"/>
      <c r="F94" s="28"/>
      <c r="G94" s="28"/>
      <c r="H94" s="28"/>
      <c r="I94" s="28"/>
      <c r="J94" s="28"/>
      <c r="K94" s="28"/>
      <c r="L94" s="60">
        <f>-8-114</f>
        <v>-122</v>
      </c>
      <c r="M94" s="28"/>
      <c r="N94" s="131"/>
    </row>
    <row r="95" spans="1:14" ht="15.75">
      <c r="A95" s="27">
        <v>13</v>
      </c>
      <c r="B95" s="28" t="s">
        <v>66</v>
      </c>
      <c r="C95" s="28"/>
      <c r="D95" s="28"/>
      <c r="E95" s="28"/>
      <c r="F95" s="28"/>
      <c r="G95" s="28"/>
      <c r="H95" s="28"/>
      <c r="I95" s="28"/>
      <c r="J95" s="28"/>
      <c r="K95" s="28"/>
      <c r="L95" s="60">
        <f>-SUM(L81:L94)</f>
        <v>-461</v>
      </c>
      <c r="M95" s="28"/>
      <c r="N95" s="131"/>
    </row>
    <row r="96" spans="1:14" ht="15.75">
      <c r="A96" s="27"/>
      <c r="B96" s="166" t="s">
        <v>67</v>
      </c>
      <c r="C96" s="66"/>
      <c r="D96" s="28"/>
      <c r="E96" s="28"/>
      <c r="F96" s="28"/>
      <c r="G96" s="28"/>
      <c r="H96" s="28"/>
      <c r="I96" s="28"/>
      <c r="J96" s="28"/>
      <c r="K96" s="28"/>
      <c r="L96" s="67"/>
      <c r="M96" s="28"/>
      <c r="N96" s="131"/>
    </row>
    <row r="97" spans="1:14" ht="15.75">
      <c r="A97" s="27"/>
      <c r="B97" s="28" t="s">
        <v>68</v>
      </c>
      <c r="C97" s="66"/>
      <c r="D97" s="28"/>
      <c r="E97" s="28"/>
      <c r="F97" s="28"/>
      <c r="G97" s="28"/>
      <c r="H97" s="28"/>
      <c r="I97" s="28"/>
      <c r="J97" s="38">
        <f>-J143</f>
        <v>-2</v>
      </c>
      <c r="K97" s="38"/>
      <c r="L97" s="60"/>
      <c r="M97" s="28"/>
      <c r="N97" s="131"/>
    </row>
    <row r="98" spans="1:14" ht="15.75">
      <c r="A98" s="27"/>
      <c r="B98" s="28" t="s">
        <v>69</v>
      </c>
      <c r="C98" s="28"/>
      <c r="D98" s="28"/>
      <c r="E98" s="28"/>
      <c r="F98" s="28"/>
      <c r="G98" s="28"/>
      <c r="H98" s="28"/>
      <c r="I98" s="28"/>
      <c r="J98" s="38">
        <f>-H143</f>
        <v>-1847</v>
      </c>
      <c r="K98" s="38"/>
      <c r="L98" s="60"/>
      <c r="M98" s="28"/>
      <c r="N98" s="131"/>
    </row>
    <row r="99" spans="1:14" ht="15.75">
      <c r="A99" s="27"/>
      <c r="B99" s="28" t="s">
        <v>70</v>
      </c>
      <c r="C99" s="28"/>
      <c r="D99" s="28"/>
      <c r="E99" s="28"/>
      <c r="F99" s="28"/>
      <c r="G99" s="28"/>
      <c r="H99" s="28"/>
      <c r="I99" s="28"/>
      <c r="J99" s="38">
        <v>-8847</v>
      </c>
      <c r="K99" s="38"/>
      <c r="L99" s="60"/>
      <c r="M99" s="28"/>
      <c r="N99" s="131"/>
    </row>
    <row r="100" spans="1:14" ht="15.75">
      <c r="A100" s="27"/>
      <c r="B100" s="28" t="s">
        <v>71</v>
      </c>
      <c r="C100" s="28"/>
      <c r="D100" s="28"/>
      <c r="E100" s="28"/>
      <c r="F100" s="28"/>
      <c r="G100" s="28"/>
      <c r="H100" s="28"/>
      <c r="I100" s="28"/>
      <c r="J100" s="38">
        <v>0</v>
      </c>
      <c r="K100" s="38"/>
      <c r="L100" s="60"/>
      <c r="M100" s="28"/>
      <c r="N100" s="131"/>
    </row>
    <row r="101" spans="1:14" ht="15.75">
      <c r="A101" s="27"/>
      <c r="B101" s="28" t="s">
        <v>72</v>
      </c>
      <c r="C101" s="28"/>
      <c r="D101" s="28"/>
      <c r="E101" s="28"/>
      <c r="F101" s="28"/>
      <c r="G101" s="28"/>
      <c r="H101" s="28"/>
      <c r="I101" s="28"/>
      <c r="J101" s="38">
        <f>SUM(J82:J100)</f>
        <v>-10696</v>
      </c>
      <c r="K101" s="38"/>
      <c r="L101" s="38">
        <f>SUM(L82:L100)</f>
        <v>-2436</v>
      </c>
      <c r="M101" s="28"/>
      <c r="N101" s="131"/>
    </row>
    <row r="102" spans="1:14" ht="15.75">
      <c r="A102" s="27"/>
      <c r="B102" s="28" t="s">
        <v>73</v>
      </c>
      <c r="C102" s="28"/>
      <c r="D102" s="28"/>
      <c r="E102" s="28"/>
      <c r="F102" s="28"/>
      <c r="G102" s="28"/>
      <c r="H102" s="28"/>
      <c r="I102" s="28"/>
      <c r="J102" s="38">
        <f>J81+J101</f>
        <v>0</v>
      </c>
      <c r="K102" s="38"/>
      <c r="L102" s="38">
        <f>L81+L101</f>
        <v>0</v>
      </c>
      <c r="M102" s="28"/>
      <c r="N102" s="131"/>
    </row>
    <row r="103" spans="1:14" ht="15.75">
      <c r="A103" s="27"/>
      <c r="B103" s="28"/>
      <c r="C103" s="28"/>
      <c r="D103" s="28"/>
      <c r="E103" s="28"/>
      <c r="F103" s="28"/>
      <c r="G103" s="28"/>
      <c r="H103" s="28"/>
      <c r="I103" s="28"/>
      <c r="J103" s="38"/>
      <c r="K103" s="38"/>
      <c r="L103" s="38"/>
      <c r="M103" s="28"/>
      <c r="N103" s="131"/>
    </row>
    <row r="104" spans="1:14" ht="15.75">
      <c r="A104" s="8"/>
      <c r="B104" s="10"/>
      <c r="C104" s="10"/>
      <c r="D104" s="10"/>
      <c r="E104" s="10"/>
      <c r="F104" s="10"/>
      <c r="G104" s="10"/>
      <c r="H104" s="10"/>
      <c r="I104" s="10"/>
      <c r="J104" s="62"/>
      <c r="K104" s="62"/>
      <c r="L104" s="62"/>
      <c r="M104" s="10"/>
      <c r="N104" s="131"/>
    </row>
    <row r="105" spans="1:14" ht="19.5" thickBot="1">
      <c r="A105" s="138"/>
      <c r="B105" s="139" t="str">
        <f>B51</f>
        <v>PM1 INVESTOR REPORT QUARTER ENDING SEPTEMBER 2002</v>
      </c>
      <c r="C105" s="140"/>
      <c r="D105" s="140"/>
      <c r="E105" s="140"/>
      <c r="F105" s="140"/>
      <c r="G105" s="140"/>
      <c r="H105" s="140"/>
      <c r="I105" s="140"/>
      <c r="J105" s="143"/>
      <c r="K105" s="143"/>
      <c r="L105" s="143"/>
      <c r="M105" s="142"/>
      <c r="N105" s="131"/>
    </row>
    <row r="106" spans="1:14" ht="12" customHeight="1">
      <c r="A106" s="2"/>
      <c r="B106" s="5"/>
      <c r="C106" s="5"/>
      <c r="D106" s="5"/>
      <c r="E106" s="5"/>
      <c r="F106" s="5"/>
      <c r="G106" s="5"/>
      <c r="H106" s="5"/>
      <c r="I106" s="5"/>
      <c r="J106" s="5"/>
      <c r="K106" s="5"/>
      <c r="L106" s="57"/>
      <c r="M106" s="5"/>
      <c r="N106" s="131"/>
    </row>
    <row r="107" spans="1:14" ht="12" customHeight="1">
      <c r="A107" s="8"/>
      <c r="B107" s="10"/>
      <c r="C107" s="10"/>
      <c r="D107" s="10"/>
      <c r="E107" s="10"/>
      <c r="F107" s="10"/>
      <c r="G107" s="10"/>
      <c r="H107" s="10"/>
      <c r="I107" s="10"/>
      <c r="J107" s="10"/>
      <c r="K107" s="10"/>
      <c r="L107" s="59"/>
      <c r="M107" s="10"/>
      <c r="N107" s="131"/>
    </row>
    <row r="108" spans="1:14" ht="15.75">
      <c r="A108" s="8"/>
      <c r="B108" s="58" t="s">
        <v>74</v>
      </c>
      <c r="C108" s="16"/>
      <c r="D108" s="10"/>
      <c r="E108" s="10"/>
      <c r="F108" s="10"/>
      <c r="G108" s="10"/>
      <c r="H108" s="10"/>
      <c r="I108" s="10"/>
      <c r="J108" s="10"/>
      <c r="K108" s="10"/>
      <c r="L108" s="59"/>
      <c r="M108" s="10"/>
      <c r="N108" s="131"/>
    </row>
    <row r="109" spans="1:14" ht="15.75">
      <c r="A109" s="8"/>
      <c r="B109" s="23"/>
      <c r="C109" s="16"/>
      <c r="D109" s="10"/>
      <c r="E109" s="10"/>
      <c r="F109" s="10"/>
      <c r="G109" s="10"/>
      <c r="H109" s="10"/>
      <c r="I109" s="10"/>
      <c r="J109" s="10"/>
      <c r="K109" s="10"/>
      <c r="L109" s="59"/>
      <c r="M109" s="10"/>
      <c r="N109" s="131"/>
    </row>
    <row r="110" spans="1:14" ht="15.75">
      <c r="A110" s="8"/>
      <c r="B110" s="167" t="s">
        <v>75</v>
      </c>
      <c r="C110" s="16"/>
      <c r="D110" s="10"/>
      <c r="E110" s="10"/>
      <c r="F110" s="10"/>
      <c r="G110" s="10"/>
      <c r="H110" s="10"/>
      <c r="I110" s="10"/>
      <c r="J110" s="10"/>
      <c r="K110" s="10"/>
      <c r="L110" s="59"/>
      <c r="M110" s="10"/>
      <c r="N110" s="131"/>
    </row>
    <row r="111" spans="1:14" ht="15.75">
      <c r="A111" s="27"/>
      <c r="B111" s="28" t="s">
        <v>76</v>
      </c>
      <c r="C111" s="28"/>
      <c r="D111" s="28"/>
      <c r="E111" s="28"/>
      <c r="F111" s="28"/>
      <c r="G111" s="28"/>
      <c r="H111" s="28"/>
      <c r="I111" s="28"/>
      <c r="J111" s="28"/>
      <c r="K111" s="28"/>
      <c r="L111" s="60">
        <v>4625</v>
      </c>
      <c r="M111" s="28"/>
      <c r="N111" s="131"/>
    </row>
    <row r="112" spans="1:14" ht="15.75">
      <c r="A112" s="27"/>
      <c r="B112" s="28" t="s">
        <v>77</v>
      </c>
      <c r="C112" s="28"/>
      <c r="D112" s="28"/>
      <c r="E112" s="28"/>
      <c r="F112" s="28"/>
      <c r="G112" s="28"/>
      <c r="H112" s="28"/>
      <c r="I112" s="28"/>
      <c r="J112" s="28"/>
      <c r="K112" s="28"/>
      <c r="L112" s="60">
        <v>4625</v>
      </c>
      <c r="M112" s="28"/>
      <c r="N112" s="131"/>
    </row>
    <row r="113" spans="1:14" ht="15.75">
      <c r="A113" s="27"/>
      <c r="B113" s="28" t="s">
        <v>78</v>
      </c>
      <c r="C113" s="28"/>
      <c r="D113" s="28"/>
      <c r="E113" s="28"/>
      <c r="F113" s="28"/>
      <c r="G113" s="28"/>
      <c r="H113" s="28"/>
      <c r="I113" s="28"/>
      <c r="J113" s="28"/>
      <c r="K113" s="28"/>
      <c r="L113" s="60">
        <v>0</v>
      </c>
      <c r="M113" s="28"/>
      <c r="N113" s="131"/>
    </row>
    <row r="114" spans="1:14" ht="15.75">
      <c r="A114" s="27"/>
      <c r="B114" s="28" t="s">
        <v>79</v>
      </c>
      <c r="C114" s="28"/>
      <c r="D114" s="28"/>
      <c r="E114" s="28"/>
      <c r="F114" s="28"/>
      <c r="G114" s="28"/>
      <c r="H114" s="28"/>
      <c r="I114" s="28"/>
      <c r="J114" s="28"/>
      <c r="K114" s="28"/>
      <c r="L114" s="60">
        <v>0</v>
      </c>
      <c r="M114" s="28"/>
      <c r="N114" s="131"/>
    </row>
    <row r="115" spans="1:14" ht="15.75">
      <c r="A115" s="27"/>
      <c r="B115" s="28" t="s">
        <v>80</v>
      </c>
      <c r="C115" s="28"/>
      <c r="D115" s="28"/>
      <c r="E115" s="28"/>
      <c r="F115" s="28"/>
      <c r="G115" s="28"/>
      <c r="H115" s="28"/>
      <c r="I115" s="28"/>
      <c r="J115" s="28"/>
      <c r="K115" s="28"/>
      <c r="L115" s="60">
        <v>0</v>
      </c>
      <c r="M115" s="28"/>
      <c r="N115" s="131"/>
    </row>
    <row r="116" spans="1:14" ht="15.75">
      <c r="A116" s="27"/>
      <c r="B116" s="28" t="s">
        <v>58</v>
      </c>
      <c r="C116" s="28"/>
      <c r="D116" s="28"/>
      <c r="E116" s="28"/>
      <c r="F116" s="28"/>
      <c r="G116" s="28"/>
      <c r="H116" s="28"/>
      <c r="I116" s="28"/>
      <c r="J116" s="28"/>
      <c r="K116" s="28"/>
      <c r="L116" s="60">
        <v>0</v>
      </c>
      <c r="M116" s="28"/>
      <c r="N116" s="131"/>
    </row>
    <row r="117" spans="1:14" ht="15.75">
      <c r="A117" s="27"/>
      <c r="B117" s="28" t="s">
        <v>59</v>
      </c>
      <c r="C117" s="28"/>
      <c r="D117" s="28"/>
      <c r="E117" s="28"/>
      <c r="F117" s="28"/>
      <c r="G117" s="28"/>
      <c r="H117" s="28"/>
      <c r="I117" s="28"/>
      <c r="J117" s="28"/>
      <c r="K117" s="28"/>
      <c r="L117" s="60">
        <v>0</v>
      </c>
      <c r="M117" s="28"/>
      <c r="N117" s="131"/>
    </row>
    <row r="118" spans="1:14" ht="15.75">
      <c r="A118" s="27"/>
      <c r="B118" s="28" t="s">
        <v>81</v>
      </c>
      <c r="C118" s="28"/>
      <c r="D118" s="28"/>
      <c r="E118" s="28"/>
      <c r="F118" s="28"/>
      <c r="G118" s="28"/>
      <c r="H118" s="28"/>
      <c r="I118" s="28"/>
      <c r="J118" s="28"/>
      <c r="K118" s="28"/>
      <c r="L118" s="60">
        <f>SUM(L112:L116)</f>
        <v>4625</v>
      </c>
      <c r="M118" s="28"/>
      <c r="N118" s="131"/>
    </row>
    <row r="119" spans="1:14" ht="15.75">
      <c r="A119" s="27"/>
      <c r="B119" s="28"/>
      <c r="C119" s="28"/>
      <c r="D119" s="28"/>
      <c r="E119" s="28"/>
      <c r="F119" s="28"/>
      <c r="G119" s="28"/>
      <c r="H119" s="28"/>
      <c r="I119" s="28"/>
      <c r="J119" s="28"/>
      <c r="K119" s="28"/>
      <c r="L119" s="68"/>
      <c r="M119" s="28"/>
      <c r="N119" s="131"/>
    </row>
    <row r="120" spans="1:14" ht="15.75">
      <c r="A120" s="8"/>
      <c r="B120" s="167" t="s">
        <v>82</v>
      </c>
      <c r="C120" s="10"/>
      <c r="D120" s="10"/>
      <c r="E120" s="10"/>
      <c r="F120" s="10"/>
      <c r="G120" s="10"/>
      <c r="H120" s="10"/>
      <c r="I120" s="10"/>
      <c r="J120" s="10"/>
      <c r="K120" s="10"/>
      <c r="L120" s="59"/>
      <c r="M120" s="10"/>
      <c r="N120" s="131"/>
    </row>
    <row r="121" spans="1:14" ht="15.75">
      <c r="A121" s="27"/>
      <c r="B121" s="28" t="s">
        <v>83</v>
      </c>
      <c r="C121" s="28"/>
      <c r="D121" s="69"/>
      <c r="E121" s="28"/>
      <c r="F121" s="28"/>
      <c r="G121" s="28"/>
      <c r="H121" s="28"/>
      <c r="I121" s="28"/>
      <c r="J121" s="28"/>
      <c r="K121" s="28"/>
      <c r="L121" s="70" t="s">
        <v>156</v>
      </c>
      <c r="M121" s="28"/>
      <c r="N121" s="131"/>
    </row>
    <row r="122" spans="1:14" ht="15.75">
      <c r="A122" s="27"/>
      <c r="B122" s="28" t="s">
        <v>84</v>
      </c>
      <c r="C122" s="30"/>
      <c r="D122" s="30"/>
      <c r="E122" s="30"/>
      <c r="F122" s="30"/>
      <c r="G122" s="30"/>
      <c r="H122" s="30"/>
      <c r="I122" s="30"/>
      <c r="J122" s="30"/>
      <c r="K122" s="30"/>
      <c r="L122" s="70" t="s">
        <v>156</v>
      </c>
      <c r="M122" s="28"/>
      <c r="N122" s="131"/>
    </row>
    <row r="123" spans="1:14" ht="15.75">
      <c r="A123" s="27"/>
      <c r="B123" s="28" t="s">
        <v>85</v>
      </c>
      <c r="C123" s="28"/>
      <c r="D123" s="28"/>
      <c r="E123" s="28"/>
      <c r="F123" s="28"/>
      <c r="G123" s="28"/>
      <c r="H123" s="28"/>
      <c r="I123" s="28"/>
      <c r="J123" s="28"/>
      <c r="K123" s="28"/>
      <c r="L123" s="70" t="s">
        <v>156</v>
      </c>
      <c r="M123" s="28"/>
      <c r="N123" s="131"/>
    </row>
    <row r="124" spans="1:14" ht="15.75">
      <c r="A124" s="27"/>
      <c r="B124" s="28" t="s">
        <v>86</v>
      </c>
      <c r="C124" s="28"/>
      <c r="D124" s="28"/>
      <c r="E124" s="28"/>
      <c r="F124" s="28"/>
      <c r="G124" s="28"/>
      <c r="H124" s="28"/>
      <c r="I124" s="28"/>
      <c r="J124" s="28"/>
      <c r="K124" s="28"/>
      <c r="L124" s="70" t="s">
        <v>156</v>
      </c>
      <c r="M124" s="28"/>
      <c r="N124" s="131"/>
    </row>
    <row r="125" spans="1:14" ht="15.75">
      <c r="A125" s="27"/>
      <c r="B125" s="28"/>
      <c r="C125" s="28"/>
      <c r="D125" s="28"/>
      <c r="E125" s="28"/>
      <c r="F125" s="28"/>
      <c r="G125" s="28"/>
      <c r="H125" s="28"/>
      <c r="I125" s="28"/>
      <c r="J125" s="28"/>
      <c r="K125" s="28"/>
      <c r="L125" s="68"/>
      <c r="M125" s="28"/>
      <c r="N125" s="131"/>
    </row>
    <row r="126" spans="1:14" ht="15.75">
      <c r="A126" s="8"/>
      <c r="B126" s="167" t="s">
        <v>87</v>
      </c>
      <c r="C126" s="16"/>
      <c r="D126" s="10"/>
      <c r="E126" s="10"/>
      <c r="F126" s="10"/>
      <c r="G126" s="10"/>
      <c r="H126" s="10"/>
      <c r="I126" s="10"/>
      <c r="J126" s="10"/>
      <c r="K126" s="10"/>
      <c r="L126" s="71"/>
      <c r="M126" s="10"/>
      <c r="N126" s="131"/>
    </row>
    <row r="127" spans="1:14" ht="15.75">
      <c r="A127" s="27"/>
      <c r="B127" s="28" t="s">
        <v>88</v>
      </c>
      <c r="C127" s="28"/>
      <c r="D127" s="28"/>
      <c r="E127" s="28"/>
      <c r="F127" s="28"/>
      <c r="G127" s="28"/>
      <c r="H127" s="28"/>
      <c r="I127" s="28"/>
      <c r="J127" s="28"/>
      <c r="K127" s="28"/>
      <c r="L127" s="60">
        <v>0</v>
      </c>
      <c r="M127" s="28"/>
      <c r="N127" s="131"/>
    </row>
    <row r="128" spans="1:14" ht="15.75">
      <c r="A128" s="27"/>
      <c r="B128" s="28" t="s">
        <v>89</v>
      </c>
      <c r="C128" s="28"/>
      <c r="D128" s="28"/>
      <c r="E128" s="28"/>
      <c r="F128" s="28"/>
      <c r="G128" s="28"/>
      <c r="H128" s="28"/>
      <c r="I128" s="28"/>
      <c r="J128" s="28"/>
      <c r="K128" s="28"/>
      <c r="L128" s="60">
        <v>0</v>
      </c>
      <c r="M128" s="28"/>
      <c r="N128" s="131"/>
    </row>
    <row r="129" spans="1:14" ht="15.75">
      <c r="A129" s="27"/>
      <c r="B129" s="28" t="s">
        <v>90</v>
      </c>
      <c r="C129" s="28"/>
      <c r="D129" s="28"/>
      <c r="E129" s="28"/>
      <c r="F129" s="28"/>
      <c r="G129" s="28"/>
      <c r="H129" s="28"/>
      <c r="I129" s="28"/>
      <c r="J129" s="28"/>
      <c r="K129" s="28"/>
      <c r="L129" s="60">
        <f>L127+L128</f>
        <v>0</v>
      </c>
      <c r="M129" s="28"/>
      <c r="N129" s="131"/>
    </row>
    <row r="130" spans="1:14" ht="15.75">
      <c r="A130" s="27"/>
      <c r="B130" s="28" t="s">
        <v>91</v>
      </c>
      <c r="C130" s="28"/>
      <c r="D130" s="28"/>
      <c r="E130" s="28"/>
      <c r="F130" s="28"/>
      <c r="G130" s="28"/>
      <c r="H130" s="72"/>
      <c r="I130" s="28"/>
      <c r="J130" s="28"/>
      <c r="K130" s="28"/>
      <c r="L130" s="60">
        <v>0</v>
      </c>
      <c r="M130" s="28"/>
      <c r="N130" s="131"/>
    </row>
    <row r="131" spans="1:14" ht="15.75">
      <c r="A131" s="27"/>
      <c r="B131" s="28" t="s">
        <v>92</v>
      </c>
      <c r="C131" s="28"/>
      <c r="D131" s="28"/>
      <c r="E131" s="28"/>
      <c r="F131" s="28"/>
      <c r="G131" s="28"/>
      <c r="H131" s="28"/>
      <c r="I131" s="28"/>
      <c r="J131" s="28"/>
      <c r="K131" s="28"/>
      <c r="L131" s="60">
        <f>L129+L130</f>
        <v>0</v>
      </c>
      <c r="M131" s="28"/>
      <c r="N131" s="131"/>
    </row>
    <row r="132" spans="1:14" ht="7.5" customHeight="1">
      <c r="A132" s="27"/>
      <c r="B132" s="28"/>
      <c r="C132" s="28"/>
      <c r="D132" s="28"/>
      <c r="E132" s="28"/>
      <c r="F132" s="28"/>
      <c r="G132" s="28"/>
      <c r="H132" s="28"/>
      <c r="I132" s="28"/>
      <c r="J132" s="28"/>
      <c r="K132" s="28"/>
      <c r="L132" s="68"/>
      <c r="M132" s="28"/>
      <c r="N132" s="131"/>
    </row>
    <row r="133" spans="1:14" ht="6" customHeight="1">
      <c r="A133" s="2"/>
      <c r="B133" s="5"/>
      <c r="C133" s="5"/>
      <c r="D133" s="5"/>
      <c r="E133" s="5"/>
      <c r="F133" s="5"/>
      <c r="G133" s="5"/>
      <c r="H133" s="5"/>
      <c r="I133" s="5"/>
      <c r="J133" s="5"/>
      <c r="K133" s="5"/>
      <c r="L133" s="57"/>
      <c r="M133" s="5"/>
      <c r="N133" s="131"/>
    </row>
    <row r="134" spans="1:14" ht="15.75">
      <c r="A134" s="8"/>
      <c r="B134" s="167" t="s">
        <v>93</v>
      </c>
      <c r="C134" s="16"/>
      <c r="D134" s="10"/>
      <c r="E134" s="10"/>
      <c r="F134" s="10"/>
      <c r="G134" s="10"/>
      <c r="H134" s="10"/>
      <c r="I134" s="10"/>
      <c r="J134" s="10"/>
      <c r="K134" s="10"/>
      <c r="L134" s="59"/>
      <c r="M134" s="10"/>
      <c r="N134" s="131"/>
    </row>
    <row r="135" spans="1:14" ht="15.75">
      <c r="A135" s="8"/>
      <c r="B135" s="23"/>
      <c r="C135" s="16"/>
      <c r="D135" s="10"/>
      <c r="E135" s="10"/>
      <c r="F135" s="10"/>
      <c r="G135" s="10"/>
      <c r="H135" s="10"/>
      <c r="I135" s="10"/>
      <c r="J135" s="10"/>
      <c r="K135" s="10"/>
      <c r="L135" s="59"/>
      <c r="M135" s="10"/>
      <c r="N135" s="131"/>
    </row>
    <row r="136" spans="1:14" ht="15.75">
      <c r="A136" s="27"/>
      <c r="B136" s="28" t="s">
        <v>94</v>
      </c>
      <c r="C136" s="73"/>
      <c r="D136" s="28"/>
      <c r="E136" s="28"/>
      <c r="F136" s="28"/>
      <c r="G136" s="28"/>
      <c r="H136" s="28"/>
      <c r="I136" s="28"/>
      <c r="J136" s="28"/>
      <c r="K136" s="28"/>
      <c r="L136" s="60">
        <f>L59</f>
        <v>132205</v>
      </c>
      <c r="M136" s="28"/>
      <c r="N136" s="131"/>
    </row>
    <row r="137" spans="1:15" ht="15.75">
      <c r="A137" s="27"/>
      <c r="B137" s="28" t="s">
        <v>95</v>
      </c>
      <c r="C137" s="73"/>
      <c r="D137" s="28"/>
      <c r="E137" s="28"/>
      <c r="F137" s="28"/>
      <c r="G137" s="28"/>
      <c r="H137" s="28"/>
      <c r="I137" s="28"/>
      <c r="J137" s="28"/>
      <c r="K137" s="28"/>
      <c r="L137" s="60">
        <f>L71</f>
        <v>132214</v>
      </c>
      <c r="M137" s="28"/>
      <c r="N137" s="131"/>
      <c r="O137" s="137"/>
    </row>
    <row r="138" spans="1:14" ht="7.5" customHeight="1">
      <c r="A138" s="27"/>
      <c r="B138" s="28"/>
      <c r="C138" s="28"/>
      <c r="D138" s="28"/>
      <c r="E138" s="28"/>
      <c r="F138" s="28"/>
      <c r="G138" s="28"/>
      <c r="H138" s="28"/>
      <c r="I138" s="28"/>
      <c r="J138" s="28"/>
      <c r="K138" s="28"/>
      <c r="L138" s="68"/>
      <c r="M138" s="28"/>
      <c r="N138" s="131"/>
    </row>
    <row r="139" spans="1:14" ht="15.75">
      <c r="A139" s="2"/>
      <c r="B139" s="5"/>
      <c r="C139" s="5"/>
      <c r="D139" s="5"/>
      <c r="E139" s="5"/>
      <c r="F139" s="5"/>
      <c r="G139" s="5"/>
      <c r="H139" s="5"/>
      <c r="I139" s="5"/>
      <c r="J139" s="5"/>
      <c r="K139" s="5"/>
      <c r="L139" s="57"/>
      <c r="M139" s="5"/>
      <c r="N139" s="131"/>
    </row>
    <row r="140" spans="1:14" ht="15.75">
      <c r="A140" s="132"/>
      <c r="B140" s="167" t="s">
        <v>96</v>
      </c>
      <c r="C140" s="154"/>
      <c r="D140" s="154"/>
      <c r="E140" s="154"/>
      <c r="F140" s="154"/>
      <c r="G140" s="154"/>
      <c r="H140" s="168" t="s">
        <v>171</v>
      </c>
      <c r="I140" s="168"/>
      <c r="J140" s="168" t="s">
        <v>178</v>
      </c>
      <c r="K140" s="154"/>
      <c r="L140" s="169" t="s">
        <v>191</v>
      </c>
      <c r="M140" s="12"/>
      <c r="N140" s="131"/>
    </row>
    <row r="141" spans="1:14" ht="15.75">
      <c r="A141" s="27"/>
      <c r="B141" s="28" t="s">
        <v>97</v>
      </c>
      <c r="C141" s="28"/>
      <c r="D141" s="28"/>
      <c r="E141" s="28"/>
      <c r="F141" s="28"/>
      <c r="G141" s="28"/>
      <c r="H141" s="60">
        <v>20000</v>
      </c>
      <c r="I141" s="28"/>
      <c r="J141" s="47"/>
      <c r="K141" s="28"/>
      <c r="L141" s="60"/>
      <c r="M141" s="28"/>
      <c r="N141" s="131"/>
    </row>
    <row r="142" spans="1:14" ht="15.75">
      <c r="A142" s="27"/>
      <c r="B142" s="28" t="s">
        <v>98</v>
      </c>
      <c r="C142" s="28"/>
      <c r="D142" s="28"/>
      <c r="E142" s="28"/>
      <c r="F142" s="28"/>
      <c r="G142" s="28"/>
      <c r="H142" s="60">
        <v>17601</v>
      </c>
      <c r="I142" s="28"/>
      <c r="J142" s="28">
        <v>550</v>
      </c>
      <c r="K142" s="28"/>
      <c r="L142" s="60">
        <f>J142+H142</f>
        <v>18151</v>
      </c>
      <c r="M142" s="28"/>
      <c r="N142" s="131"/>
    </row>
    <row r="143" spans="1:14" ht="15.75">
      <c r="A143" s="27"/>
      <c r="B143" s="28" t="s">
        <v>99</v>
      </c>
      <c r="C143" s="28"/>
      <c r="D143" s="28"/>
      <c r="E143" s="28"/>
      <c r="F143" s="28"/>
      <c r="G143" s="28"/>
      <c r="H143" s="38">
        <f>2037-190</f>
        <v>1847</v>
      </c>
      <c r="I143" s="28"/>
      <c r="J143" s="28">
        <v>2</v>
      </c>
      <c r="K143" s="28"/>
      <c r="L143" s="60">
        <f>J143+H143</f>
        <v>1849</v>
      </c>
      <c r="M143" s="28"/>
      <c r="N143" s="131"/>
    </row>
    <row r="144" spans="1:14" ht="15.75">
      <c r="A144" s="27"/>
      <c r="B144" s="28" t="s">
        <v>100</v>
      </c>
      <c r="C144" s="28"/>
      <c r="D144" s="28"/>
      <c r="E144" s="28"/>
      <c r="F144" s="28"/>
      <c r="G144" s="28"/>
      <c r="H144" s="60">
        <f>H142+H143</f>
        <v>19448</v>
      </c>
      <c r="I144" s="28"/>
      <c r="J144" s="60">
        <f>J143+J142</f>
        <v>552</v>
      </c>
      <c r="K144" s="28"/>
      <c r="L144" s="60">
        <f>J144+H144</f>
        <v>20000</v>
      </c>
      <c r="M144" s="28"/>
      <c r="N144" s="131"/>
    </row>
    <row r="145" spans="1:14" ht="15.75">
      <c r="A145" s="27"/>
      <c r="B145" s="28" t="s">
        <v>101</v>
      </c>
      <c r="C145" s="28"/>
      <c r="D145" s="28"/>
      <c r="E145" s="28"/>
      <c r="F145" s="28"/>
      <c r="G145" s="28"/>
      <c r="H145" s="60">
        <f>H141-H144-J144</f>
        <v>0</v>
      </c>
      <c r="I145" s="28"/>
      <c r="J145" s="47"/>
      <c r="K145" s="28"/>
      <c r="L145" s="60"/>
      <c r="M145" s="28"/>
      <c r="N145" s="131"/>
    </row>
    <row r="146" spans="1:14" ht="7.5" customHeight="1">
      <c r="A146" s="27"/>
      <c r="B146" s="28"/>
      <c r="C146" s="28"/>
      <c r="D146" s="28"/>
      <c r="E146" s="28"/>
      <c r="F146" s="28"/>
      <c r="G146" s="28"/>
      <c r="H146" s="28"/>
      <c r="I146" s="28"/>
      <c r="J146" s="28"/>
      <c r="K146" s="28"/>
      <c r="L146" s="68"/>
      <c r="M146" s="28"/>
      <c r="N146" s="131"/>
    </row>
    <row r="147" spans="1:14" ht="9" customHeight="1">
      <c r="A147" s="2"/>
      <c r="B147" s="5"/>
      <c r="C147" s="5"/>
      <c r="D147" s="5"/>
      <c r="E147" s="5"/>
      <c r="F147" s="5"/>
      <c r="G147" s="5"/>
      <c r="H147" s="5"/>
      <c r="I147" s="5"/>
      <c r="J147" s="5"/>
      <c r="K147" s="5"/>
      <c r="L147" s="57"/>
      <c r="M147" s="5"/>
      <c r="N147" s="131"/>
    </row>
    <row r="148" spans="1:14" ht="15.75">
      <c r="A148" s="8"/>
      <c r="B148" s="167" t="s">
        <v>102</v>
      </c>
      <c r="C148" s="16"/>
      <c r="D148" s="10"/>
      <c r="E148" s="10"/>
      <c r="F148" s="10"/>
      <c r="G148" s="10"/>
      <c r="H148" s="10"/>
      <c r="I148" s="10"/>
      <c r="J148" s="10"/>
      <c r="K148" s="10"/>
      <c r="L148" s="74"/>
      <c r="M148" s="10"/>
      <c r="N148" s="131"/>
    </row>
    <row r="149" spans="1:14" ht="15.75">
      <c r="A149" s="27"/>
      <c r="B149" s="28" t="s">
        <v>103</v>
      </c>
      <c r="C149" s="28"/>
      <c r="D149" s="28"/>
      <c r="E149" s="28"/>
      <c r="F149" s="28"/>
      <c r="G149" s="28"/>
      <c r="H149" s="28"/>
      <c r="I149" s="28"/>
      <c r="J149" s="28"/>
      <c r="K149" s="28"/>
      <c r="L149" s="67">
        <f>(L81+L83+L84+L85+L86)/-L87</f>
        <v>1.5926470588235293</v>
      </c>
      <c r="M149" s="28" t="s">
        <v>192</v>
      </c>
      <c r="N149" s="131"/>
    </row>
    <row r="150" spans="1:14" ht="15.75">
      <c r="A150" s="27"/>
      <c r="B150" s="28" t="s">
        <v>104</v>
      </c>
      <c r="C150" s="28"/>
      <c r="D150" s="28"/>
      <c r="E150" s="28"/>
      <c r="F150" s="28"/>
      <c r="G150" s="28"/>
      <c r="H150" s="28"/>
      <c r="I150" s="28"/>
      <c r="J150" s="28"/>
      <c r="K150" s="28"/>
      <c r="L150" s="67">
        <v>1.4</v>
      </c>
      <c r="M150" s="28" t="s">
        <v>192</v>
      </c>
      <c r="N150" s="131"/>
    </row>
    <row r="151" spans="1:14" ht="15.75">
      <c r="A151" s="27"/>
      <c r="B151" s="28" t="s">
        <v>105</v>
      </c>
      <c r="C151" s="28"/>
      <c r="D151" s="28"/>
      <c r="E151" s="28"/>
      <c r="F151" s="28"/>
      <c r="G151" s="28"/>
      <c r="H151" s="28"/>
      <c r="I151" s="28"/>
      <c r="J151" s="28"/>
      <c r="K151" s="28"/>
      <c r="L151" s="67">
        <f>(L81+SUM(L83:L87))/-L88</f>
        <v>3.8564593301435406</v>
      </c>
      <c r="M151" s="28" t="s">
        <v>192</v>
      </c>
      <c r="N151" s="131"/>
    </row>
    <row r="152" spans="1:14" ht="15.75">
      <c r="A152" s="27"/>
      <c r="B152" s="28" t="s">
        <v>106</v>
      </c>
      <c r="C152" s="28"/>
      <c r="D152" s="28"/>
      <c r="E152" s="28"/>
      <c r="F152" s="28"/>
      <c r="G152" s="28"/>
      <c r="H152" s="28"/>
      <c r="I152" s="28"/>
      <c r="J152" s="28"/>
      <c r="K152" s="28"/>
      <c r="L152" s="75">
        <v>3.26</v>
      </c>
      <c r="M152" s="28" t="s">
        <v>192</v>
      </c>
      <c r="N152" s="131"/>
    </row>
    <row r="153" spans="1:14" ht="7.5" customHeight="1">
      <c r="A153" s="27"/>
      <c r="B153" s="28"/>
      <c r="C153" s="28"/>
      <c r="D153" s="28"/>
      <c r="E153" s="28"/>
      <c r="F153" s="28"/>
      <c r="G153" s="28"/>
      <c r="H153" s="28"/>
      <c r="I153" s="28"/>
      <c r="J153" s="28"/>
      <c r="K153" s="28"/>
      <c r="L153" s="28"/>
      <c r="M153" s="28"/>
      <c r="N153" s="131"/>
    </row>
    <row r="154" spans="1:14" ht="15.75">
      <c r="A154" s="8"/>
      <c r="B154" s="15"/>
      <c r="C154" s="15"/>
      <c r="D154" s="15"/>
      <c r="E154" s="15"/>
      <c r="F154" s="15"/>
      <c r="G154" s="15"/>
      <c r="H154" s="15"/>
      <c r="I154" s="15"/>
      <c r="J154" s="15"/>
      <c r="K154" s="15"/>
      <c r="L154" s="15"/>
      <c r="M154" s="15"/>
      <c r="N154" s="131"/>
    </row>
    <row r="155" spans="1:14" ht="15.75">
      <c r="A155" s="8"/>
      <c r="B155" s="15"/>
      <c r="C155" s="15"/>
      <c r="D155" s="15"/>
      <c r="E155" s="15"/>
      <c r="F155" s="15"/>
      <c r="G155" s="15"/>
      <c r="H155" s="15"/>
      <c r="I155" s="15"/>
      <c r="J155" s="15"/>
      <c r="K155" s="15"/>
      <c r="L155" s="15"/>
      <c r="M155" s="15"/>
      <c r="N155" s="131"/>
    </row>
    <row r="156" spans="1:14" ht="19.5" thickBot="1">
      <c r="A156" s="138"/>
      <c r="B156" s="139" t="str">
        <f>B105</f>
        <v>PM1 INVESTOR REPORT QUARTER ENDING SEPTEMBER 2002</v>
      </c>
      <c r="C156" s="144"/>
      <c r="D156" s="144"/>
      <c r="E156" s="144"/>
      <c r="F156" s="144"/>
      <c r="G156" s="144"/>
      <c r="H156" s="144"/>
      <c r="I156" s="144"/>
      <c r="J156" s="144"/>
      <c r="K156" s="144"/>
      <c r="L156" s="144"/>
      <c r="M156" s="145"/>
      <c r="N156" s="131"/>
    </row>
    <row r="157" spans="1:14" ht="15.75">
      <c r="A157" s="133"/>
      <c r="B157" s="77" t="s">
        <v>107</v>
      </c>
      <c r="C157" s="78"/>
      <c r="D157" s="78"/>
      <c r="E157" s="78"/>
      <c r="F157" s="78"/>
      <c r="G157" s="79"/>
      <c r="H157" s="79"/>
      <c r="I157" s="79"/>
      <c r="J157" s="79">
        <f>D76</f>
        <v>37529</v>
      </c>
      <c r="K157" s="80"/>
      <c r="L157" s="5"/>
      <c r="M157" s="5"/>
      <c r="N157" s="131"/>
    </row>
    <row r="158" spans="1:14" ht="15.75">
      <c r="A158" s="82"/>
      <c r="B158" s="83"/>
      <c r="C158" s="84"/>
      <c r="D158" s="84"/>
      <c r="E158" s="84"/>
      <c r="F158" s="84"/>
      <c r="G158" s="85"/>
      <c r="H158" s="85"/>
      <c r="I158" s="85"/>
      <c r="J158" s="85"/>
      <c r="K158" s="10"/>
      <c r="L158" s="10"/>
      <c r="M158" s="10"/>
      <c r="N158" s="131"/>
    </row>
    <row r="159" spans="1:14" ht="15.75">
      <c r="A159" s="86"/>
      <c r="B159" s="87" t="s">
        <v>108</v>
      </c>
      <c r="C159" s="88"/>
      <c r="D159" s="88"/>
      <c r="E159" s="88"/>
      <c r="F159" s="88"/>
      <c r="G159" s="72"/>
      <c r="H159" s="72"/>
      <c r="I159" s="72"/>
      <c r="J159" s="89">
        <v>0.0714</v>
      </c>
      <c r="K159" s="28"/>
      <c r="L159" s="28"/>
      <c r="M159" s="28"/>
      <c r="N159" s="131"/>
    </row>
    <row r="160" spans="1:14" ht="15.75">
      <c r="A160" s="86"/>
      <c r="B160" s="87" t="s">
        <v>109</v>
      </c>
      <c r="C160" s="88"/>
      <c r="D160" s="88"/>
      <c r="E160" s="88"/>
      <c r="F160" s="88"/>
      <c r="G160" s="72"/>
      <c r="H160" s="72"/>
      <c r="I160" s="72"/>
      <c r="J160" s="46">
        <v>0.0553</v>
      </c>
      <c r="K160" s="28"/>
      <c r="L160" s="28"/>
      <c r="M160" s="28"/>
      <c r="N160" s="131"/>
    </row>
    <row r="161" spans="1:14" ht="15.75">
      <c r="A161" s="86"/>
      <c r="B161" s="87" t="s">
        <v>110</v>
      </c>
      <c r="C161" s="88"/>
      <c r="D161" s="88"/>
      <c r="E161" s="88"/>
      <c r="F161" s="88"/>
      <c r="G161" s="72"/>
      <c r="H161" s="72"/>
      <c r="I161" s="72"/>
      <c r="J161" s="89">
        <f>J159-J160</f>
        <v>0.016100000000000003</v>
      </c>
      <c r="K161" s="28"/>
      <c r="L161" s="28"/>
      <c r="M161" s="28"/>
      <c r="N161" s="131"/>
    </row>
    <row r="162" spans="1:14" ht="15.75">
      <c r="A162" s="86"/>
      <c r="B162" s="87" t="s">
        <v>111</v>
      </c>
      <c r="C162" s="88"/>
      <c r="D162" s="88"/>
      <c r="E162" s="88"/>
      <c r="F162" s="88"/>
      <c r="G162" s="72"/>
      <c r="H162" s="72"/>
      <c r="I162" s="72"/>
      <c r="J162" s="89">
        <v>0.0631</v>
      </c>
      <c r="K162" s="28"/>
      <c r="L162" s="28"/>
      <c r="M162" s="28"/>
      <c r="N162" s="131"/>
    </row>
    <row r="163" spans="1:14" ht="15.75">
      <c r="A163" s="86"/>
      <c r="B163" s="87" t="s">
        <v>112</v>
      </c>
      <c r="C163" s="88"/>
      <c r="D163" s="88"/>
      <c r="E163" s="88"/>
      <c r="F163" s="88"/>
      <c r="G163" s="72"/>
      <c r="H163" s="72"/>
      <c r="I163" s="72"/>
      <c r="J163" s="89">
        <f>L33</f>
        <v>0.04410798172593251</v>
      </c>
      <c r="K163" s="28"/>
      <c r="L163" s="28"/>
      <c r="M163" s="28"/>
      <c r="N163" s="131"/>
    </row>
    <row r="164" spans="1:14" ht="15.75">
      <c r="A164" s="86"/>
      <c r="B164" s="87" t="s">
        <v>113</v>
      </c>
      <c r="C164" s="88"/>
      <c r="D164" s="88"/>
      <c r="E164" s="88"/>
      <c r="F164" s="88"/>
      <c r="G164" s="72"/>
      <c r="H164" s="72"/>
      <c r="I164" s="72"/>
      <c r="J164" s="89">
        <f>J162-J163</f>
        <v>0.01899201827406749</v>
      </c>
      <c r="K164" s="28"/>
      <c r="L164" s="28"/>
      <c r="M164" s="28"/>
      <c r="N164" s="131"/>
    </row>
    <row r="165" spans="1:14" ht="15.75">
      <c r="A165" s="86"/>
      <c r="B165" s="87" t="s">
        <v>114</v>
      </c>
      <c r="C165" s="88"/>
      <c r="D165" s="88"/>
      <c r="E165" s="88"/>
      <c r="F165" s="88"/>
      <c r="G165" s="72"/>
      <c r="H165" s="72"/>
      <c r="I165" s="72"/>
      <c r="J165" s="90" t="s">
        <v>179</v>
      </c>
      <c r="K165" s="28"/>
      <c r="L165" s="28"/>
      <c r="M165" s="28"/>
      <c r="N165" s="131"/>
    </row>
    <row r="166" spans="1:14" ht="15.75">
      <c r="A166" s="86"/>
      <c r="B166" s="87" t="s">
        <v>115</v>
      </c>
      <c r="C166" s="88"/>
      <c r="D166" s="88"/>
      <c r="E166" s="88"/>
      <c r="F166" s="88"/>
      <c r="G166" s="72"/>
      <c r="H166" s="72"/>
      <c r="I166" s="72"/>
      <c r="J166" s="90" t="s">
        <v>180</v>
      </c>
      <c r="K166" s="28"/>
      <c r="L166" s="28"/>
      <c r="M166" s="28"/>
      <c r="N166" s="131"/>
    </row>
    <row r="167" spans="1:14" ht="15.75">
      <c r="A167" s="86"/>
      <c r="B167" s="87" t="s">
        <v>116</v>
      </c>
      <c r="C167" s="88"/>
      <c r="D167" s="88"/>
      <c r="E167" s="88"/>
      <c r="F167" s="88"/>
      <c r="G167" s="72"/>
      <c r="H167" s="72"/>
      <c r="I167" s="72"/>
      <c r="J167" s="91">
        <v>18.53</v>
      </c>
      <c r="K167" s="28" t="s">
        <v>184</v>
      </c>
      <c r="L167" s="28"/>
      <c r="M167" s="28"/>
      <c r="N167" s="131"/>
    </row>
    <row r="168" spans="1:14" ht="15.75">
      <c r="A168" s="86"/>
      <c r="B168" s="87" t="s">
        <v>117</v>
      </c>
      <c r="C168" s="88"/>
      <c r="D168" s="88"/>
      <c r="E168" s="88"/>
      <c r="F168" s="88"/>
      <c r="G168" s="72"/>
      <c r="H168" s="72"/>
      <c r="I168" s="72"/>
      <c r="J168" s="91">
        <v>15.75</v>
      </c>
      <c r="K168" s="28" t="s">
        <v>184</v>
      </c>
      <c r="L168" s="28"/>
      <c r="M168" s="28"/>
      <c r="N168" s="131"/>
    </row>
    <row r="169" spans="1:14" ht="15.75">
      <c r="A169" s="86"/>
      <c r="B169" s="87" t="s">
        <v>118</v>
      </c>
      <c r="C169" s="88"/>
      <c r="D169" s="88"/>
      <c r="E169" s="88"/>
      <c r="F169" s="88"/>
      <c r="G169" s="72"/>
      <c r="H169" s="72"/>
      <c r="I169" s="72"/>
      <c r="J169" s="89">
        <f>F56/'June 02'!L56</f>
        <v>0.07588969232950518</v>
      </c>
      <c r="K169" s="28"/>
      <c r="L169" s="28"/>
      <c r="M169" s="28"/>
      <c r="N169" s="131"/>
    </row>
    <row r="170" spans="1:14" ht="15.75">
      <c r="A170" s="86"/>
      <c r="B170" s="87" t="s">
        <v>119</v>
      </c>
      <c r="C170" s="88"/>
      <c r="D170" s="88"/>
      <c r="E170" s="88"/>
      <c r="F170" s="88"/>
      <c r="G170" s="72"/>
      <c r="H170" s="72"/>
      <c r="I170" s="72"/>
      <c r="J170" s="89">
        <v>0.1326</v>
      </c>
      <c r="K170" s="28"/>
      <c r="L170" s="28"/>
      <c r="M170" s="28"/>
      <c r="N170" s="131"/>
    </row>
    <row r="171" spans="1:14" ht="15.75">
      <c r="A171" s="86"/>
      <c r="B171" s="87"/>
      <c r="C171" s="87"/>
      <c r="D171" s="87"/>
      <c r="E171" s="87"/>
      <c r="F171" s="87"/>
      <c r="G171" s="28"/>
      <c r="H171" s="28"/>
      <c r="I171" s="28"/>
      <c r="J171" s="68"/>
      <c r="K171" s="28"/>
      <c r="L171" s="92"/>
      <c r="M171" s="28"/>
      <c r="N171" s="131"/>
    </row>
    <row r="172" spans="1:14" ht="15.75">
      <c r="A172" s="93"/>
      <c r="B172" s="17" t="s">
        <v>120</v>
      </c>
      <c r="C172" s="20"/>
      <c r="D172" s="94"/>
      <c r="E172" s="20"/>
      <c r="F172" s="94"/>
      <c r="G172" s="20"/>
      <c r="H172" s="94"/>
      <c r="I172" s="20" t="s">
        <v>172</v>
      </c>
      <c r="J172" s="94" t="s">
        <v>181</v>
      </c>
      <c r="K172" s="18"/>
      <c r="L172" s="18"/>
      <c r="M172" s="10"/>
      <c r="N172" s="131"/>
    </row>
    <row r="173" spans="1:14" ht="15.75">
      <c r="A173" s="95"/>
      <c r="B173" s="87" t="s">
        <v>121</v>
      </c>
      <c r="C173" s="61"/>
      <c r="D173" s="61"/>
      <c r="E173" s="61"/>
      <c r="F173" s="28"/>
      <c r="G173" s="28"/>
      <c r="H173" s="28"/>
      <c r="I173" s="31">
        <v>21</v>
      </c>
      <c r="J173" s="96">
        <v>795</v>
      </c>
      <c r="K173" s="28"/>
      <c r="L173" s="92"/>
      <c r="M173" s="97"/>
      <c r="N173" s="131"/>
    </row>
    <row r="174" spans="1:14" ht="15.75">
      <c r="A174" s="95"/>
      <c r="B174" s="87" t="s">
        <v>122</v>
      </c>
      <c r="C174" s="61"/>
      <c r="D174" s="61"/>
      <c r="E174" s="61"/>
      <c r="F174" s="28"/>
      <c r="G174" s="28"/>
      <c r="H174" s="28"/>
      <c r="I174" s="31">
        <v>0</v>
      </c>
      <c r="J174" s="96">
        <v>0</v>
      </c>
      <c r="K174" s="28"/>
      <c r="L174" s="92"/>
      <c r="M174" s="97"/>
      <c r="N174" s="131"/>
    </row>
    <row r="175" spans="1:14" ht="15.75">
      <c r="A175" s="95"/>
      <c r="B175" s="170" t="s">
        <v>123</v>
      </c>
      <c r="C175" s="61"/>
      <c r="D175" s="61"/>
      <c r="E175" s="61"/>
      <c r="F175" s="28"/>
      <c r="G175" s="28"/>
      <c r="H175" s="28"/>
      <c r="I175" s="28"/>
      <c r="J175" s="96">
        <v>0</v>
      </c>
      <c r="K175" s="28"/>
      <c r="L175" s="92"/>
      <c r="M175" s="97"/>
      <c r="N175" s="131"/>
    </row>
    <row r="176" spans="1:14" ht="15.75">
      <c r="A176" s="95"/>
      <c r="B176" s="170" t="s">
        <v>124</v>
      </c>
      <c r="C176" s="61"/>
      <c r="D176" s="61"/>
      <c r="E176" s="61"/>
      <c r="F176" s="28"/>
      <c r="G176" s="28"/>
      <c r="H176" s="28"/>
      <c r="I176" s="28"/>
      <c r="J176" s="96">
        <v>22352</v>
      </c>
      <c r="K176" s="28"/>
      <c r="L176" s="92"/>
      <c r="M176" s="97"/>
      <c r="N176" s="131"/>
    </row>
    <row r="177" spans="1:14" ht="15.75">
      <c r="A177" s="98"/>
      <c r="B177" s="170" t="s">
        <v>125</v>
      </c>
      <c r="C177" s="61"/>
      <c r="D177" s="87"/>
      <c r="E177" s="87"/>
      <c r="F177" s="87"/>
      <c r="G177" s="28"/>
      <c r="H177" s="28"/>
      <c r="I177" s="28"/>
      <c r="J177" s="96">
        <v>0</v>
      </c>
      <c r="K177" s="28"/>
      <c r="L177" s="92"/>
      <c r="M177" s="99"/>
      <c r="N177" s="131"/>
    </row>
    <row r="178" spans="1:14" ht="15.75">
      <c r="A178" s="95"/>
      <c r="B178" s="87" t="s">
        <v>126</v>
      </c>
      <c r="C178" s="61"/>
      <c r="D178" s="61"/>
      <c r="E178" s="61"/>
      <c r="F178" s="61"/>
      <c r="G178" s="28"/>
      <c r="H178" s="28"/>
      <c r="I178" s="28">
        <v>1</v>
      </c>
      <c r="J178" s="96">
        <v>9</v>
      </c>
      <c r="K178" s="28"/>
      <c r="L178" s="92"/>
      <c r="M178" s="99"/>
      <c r="N178" s="131"/>
    </row>
    <row r="179" spans="1:14" ht="15.75">
      <c r="A179" s="95"/>
      <c r="B179" s="87" t="s">
        <v>127</v>
      </c>
      <c r="C179" s="61"/>
      <c r="D179" s="61"/>
      <c r="E179" s="61"/>
      <c r="F179" s="61"/>
      <c r="G179" s="28"/>
      <c r="H179" s="28"/>
      <c r="I179" s="28">
        <v>3</v>
      </c>
      <c r="J179" s="96">
        <v>39</v>
      </c>
      <c r="K179" s="28"/>
      <c r="L179" s="92"/>
      <c r="M179" s="99"/>
      <c r="N179" s="131"/>
    </row>
    <row r="180" spans="1:14" ht="15.75">
      <c r="A180" s="95"/>
      <c r="B180" s="87" t="s">
        <v>204</v>
      </c>
      <c r="C180" s="61"/>
      <c r="D180" s="61"/>
      <c r="E180" s="61"/>
      <c r="F180" s="61"/>
      <c r="G180" s="28"/>
      <c r="H180" s="28"/>
      <c r="I180" s="28"/>
      <c r="J180" s="96">
        <v>0</v>
      </c>
      <c r="K180" s="28"/>
      <c r="L180" s="92"/>
      <c r="M180" s="99"/>
      <c r="N180" s="131"/>
    </row>
    <row r="181" spans="1:14" ht="15.75">
      <c r="A181" s="98"/>
      <c r="B181" s="170" t="s">
        <v>128</v>
      </c>
      <c r="C181" s="61"/>
      <c r="D181" s="87"/>
      <c r="E181" s="87"/>
      <c r="F181" s="87"/>
      <c r="G181" s="28"/>
      <c r="H181" s="28"/>
      <c r="I181" s="28"/>
      <c r="J181" s="96"/>
      <c r="K181" s="28"/>
      <c r="L181" s="92"/>
      <c r="M181" s="99"/>
      <c r="N181" s="131"/>
    </row>
    <row r="182" spans="1:14" ht="15.75">
      <c r="A182" s="98"/>
      <c r="B182" s="87" t="s">
        <v>129</v>
      </c>
      <c r="C182" s="61"/>
      <c r="D182" s="87"/>
      <c r="E182" s="87"/>
      <c r="F182" s="87"/>
      <c r="G182" s="28"/>
      <c r="H182" s="28"/>
      <c r="I182" s="28"/>
      <c r="J182" s="96">
        <v>0</v>
      </c>
      <c r="K182" s="28"/>
      <c r="L182" s="92"/>
      <c r="M182" s="99"/>
      <c r="N182" s="131"/>
    </row>
    <row r="183" spans="1:14" ht="15.75">
      <c r="A183" s="95"/>
      <c r="B183" s="87" t="s">
        <v>130</v>
      </c>
      <c r="C183" s="61"/>
      <c r="D183" s="100"/>
      <c r="E183" s="100"/>
      <c r="F183" s="101"/>
      <c r="G183" s="28"/>
      <c r="H183" s="28"/>
      <c r="I183" s="28"/>
      <c r="J183" s="96">
        <v>0</v>
      </c>
      <c r="K183" s="28"/>
      <c r="L183" s="92"/>
      <c r="M183" s="99"/>
      <c r="N183" s="131"/>
    </row>
    <row r="184" spans="1:14" ht="15.75">
      <c r="A184" s="95"/>
      <c r="B184" s="87" t="s">
        <v>131</v>
      </c>
      <c r="C184" s="61"/>
      <c r="D184" s="100"/>
      <c r="E184" s="100"/>
      <c r="F184" s="101"/>
      <c r="G184" s="28"/>
      <c r="H184" s="28"/>
      <c r="I184" s="28"/>
      <c r="J184" s="96">
        <v>0</v>
      </c>
      <c r="K184" s="28"/>
      <c r="L184" s="92"/>
      <c r="M184" s="99"/>
      <c r="N184" s="131"/>
    </row>
    <row r="185" spans="1:14" ht="15.75">
      <c r="A185" s="95"/>
      <c r="B185" s="87" t="s">
        <v>132</v>
      </c>
      <c r="C185" s="61"/>
      <c r="D185" s="102"/>
      <c r="E185" s="100"/>
      <c r="F185" s="101"/>
      <c r="G185" s="28"/>
      <c r="H185" s="28"/>
      <c r="I185" s="28"/>
      <c r="J185" s="103">
        <v>0</v>
      </c>
      <c r="K185" s="28"/>
      <c r="L185" s="92"/>
      <c r="M185" s="99"/>
      <c r="N185" s="131"/>
    </row>
    <row r="186" spans="1:14" ht="15.75">
      <c r="A186" s="95"/>
      <c r="B186" s="87"/>
      <c r="C186" s="61"/>
      <c r="D186" s="102"/>
      <c r="E186" s="100"/>
      <c r="F186" s="101"/>
      <c r="G186" s="28"/>
      <c r="H186" s="28"/>
      <c r="I186" s="28"/>
      <c r="J186" s="103"/>
      <c r="K186" s="28"/>
      <c r="L186" s="92"/>
      <c r="M186" s="99"/>
      <c r="N186" s="131"/>
    </row>
    <row r="187" spans="1:14" ht="15.75">
      <c r="A187" s="8"/>
      <c r="B187" s="17" t="s">
        <v>133</v>
      </c>
      <c r="C187" s="20"/>
      <c r="D187" s="94"/>
      <c r="E187" s="20"/>
      <c r="F187" s="94"/>
      <c r="G187" s="20"/>
      <c r="H187" s="94" t="s">
        <v>172</v>
      </c>
      <c r="I187" s="20" t="s">
        <v>173</v>
      </c>
      <c r="J187" s="94" t="s">
        <v>182</v>
      </c>
      <c r="K187" s="20" t="s">
        <v>173</v>
      </c>
      <c r="L187" s="18"/>
      <c r="M187" s="104"/>
      <c r="N187" s="131"/>
    </row>
    <row r="188" spans="1:14" ht="15.75">
      <c r="A188" s="27"/>
      <c r="B188" s="61" t="s">
        <v>134</v>
      </c>
      <c r="C188" s="105"/>
      <c r="D188" s="61"/>
      <c r="E188" s="105"/>
      <c r="F188" s="28"/>
      <c r="G188" s="105"/>
      <c r="H188" s="61">
        <v>2531</v>
      </c>
      <c r="I188" s="105">
        <f>H188/H194</f>
        <v>0.9730872741253364</v>
      </c>
      <c r="J188" s="60">
        <v>129429</v>
      </c>
      <c r="K188" s="106">
        <f>J188/J194</f>
        <v>0.9790023070231837</v>
      </c>
      <c r="L188" s="92"/>
      <c r="M188" s="99"/>
      <c r="N188" s="131"/>
    </row>
    <row r="189" spans="1:14" ht="15.75">
      <c r="A189" s="27"/>
      <c r="B189" s="61" t="s">
        <v>135</v>
      </c>
      <c r="C189" s="105"/>
      <c r="D189" s="61"/>
      <c r="E189" s="105"/>
      <c r="F189" s="28"/>
      <c r="G189" s="107"/>
      <c r="H189" s="61">
        <v>20</v>
      </c>
      <c r="I189" s="105">
        <f>H189/H194</f>
        <v>0.007689350249903883</v>
      </c>
      <c r="J189" s="60">
        <v>813</v>
      </c>
      <c r="K189" s="106">
        <f>J189/J194</f>
        <v>0.006149540486365871</v>
      </c>
      <c r="L189" s="92"/>
      <c r="M189" s="99"/>
      <c r="N189" s="131"/>
    </row>
    <row r="190" spans="1:14" ht="15.75">
      <c r="A190" s="27"/>
      <c r="B190" s="61" t="s">
        <v>136</v>
      </c>
      <c r="C190" s="105"/>
      <c r="D190" s="61"/>
      <c r="E190" s="105"/>
      <c r="F190" s="28"/>
      <c r="G190" s="107"/>
      <c r="H190" s="61">
        <v>12</v>
      </c>
      <c r="I190" s="105">
        <f>H190/H194</f>
        <v>0.00461361014994233</v>
      </c>
      <c r="J190" s="60">
        <v>322</v>
      </c>
      <c r="K190" s="106">
        <f>J190/J194</f>
        <v>0.002435611361143678</v>
      </c>
      <c r="L190" s="92"/>
      <c r="M190" s="99"/>
      <c r="N190" s="131"/>
    </row>
    <row r="191" spans="1:14" ht="15.75">
      <c r="A191" s="27"/>
      <c r="B191" s="61" t="s">
        <v>137</v>
      </c>
      <c r="C191" s="105"/>
      <c r="D191" s="61"/>
      <c r="E191" s="105"/>
      <c r="F191" s="28"/>
      <c r="G191" s="107"/>
      <c r="H191" s="61">
        <f>11+4+2+21</f>
        <v>38</v>
      </c>
      <c r="I191" s="105">
        <f>H191/H194</f>
        <v>0.014609765474817378</v>
      </c>
      <c r="J191" s="60">
        <f>419+141+55+1026</f>
        <v>1641</v>
      </c>
      <c r="K191" s="106">
        <f>J191/J194</f>
        <v>0.012412541129306759</v>
      </c>
      <c r="L191" s="92"/>
      <c r="M191" s="99"/>
      <c r="N191" s="131"/>
    </row>
    <row r="192" spans="1:14" ht="15.75">
      <c r="A192" s="27"/>
      <c r="B192" s="30"/>
      <c r="C192" s="105"/>
      <c r="D192" s="61"/>
      <c r="E192" s="105"/>
      <c r="F192" s="28"/>
      <c r="G192" s="107"/>
      <c r="H192" s="61"/>
      <c r="I192" s="105"/>
      <c r="J192" s="60"/>
      <c r="K192" s="106"/>
      <c r="L192" s="92"/>
      <c r="M192" s="99"/>
      <c r="N192" s="131"/>
    </row>
    <row r="193" spans="1:14" ht="15.75">
      <c r="A193" s="27"/>
      <c r="B193" s="61"/>
      <c r="C193" s="108"/>
      <c r="D193" s="97"/>
      <c r="E193" s="108"/>
      <c r="F193" s="28"/>
      <c r="G193" s="108"/>
      <c r="H193" s="97"/>
      <c r="I193" s="108"/>
      <c r="J193" s="60"/>
      <c r="K193" s="106"/>
      <c r="L193" s="92"/>
      <c r="M193" s="99"/>
      <c r="N193" s="131"/>
    </row>
    <row r="194" spans="1:14" ht="15.75">
      <c r="A194" s="27"/>
      <c r="B194" s="28"/>
      <c r="C194" s="28"/>
      <c r="D194" s="28"/>
      <c r="E194" s="28"/>
      <c r="F194" s="28"/>
      <c r="G194" s="28"/>
      <c r="H194" s="38">
        <f>SUM(H188:H192)</f>
        <v>2601</v>
      </c>
      <c r="I194" s="109">
        <f>SUM(I188:I193)</f>
        <v>1</v>
      </c>
      <c r="J194" s="60">
        <f>SUM(J188:J193)</f>
        <v>132205</v>
      </c>
      <c r="K194" s="127">
        <f>SUM(K188:K193)</f>
        <v>1</v>
      </c>
      <c r="L194" s="28"/>
      <c r="M194" s="28"/>
      <c r="N194" s="131"/>
    </row>
    <row r="195" spans="1:14" ht="15.75">
      <c r="A195" s="27"/>
      <c r="B195" s="28"/>
      <c r="C195" s="28"/>
      <c r="D195" s="28"/>
      <c r="E195" s="28"/>
      <c r="F195" s="28"/>
      <c r="G195" s="28"/>
      <c r="H195" s="38"/>
      <c r="I195" s="109"/>
      <c r="J195" s="60"/>
      <c r="K195" s="127"/>
      <c r="L195" s="28"/>
      <c r="M195" s="28"/>
      <c r="N195" s="131"/>
    </row>
    <row r="196" spans="1:14" ht="15.75">
      <c r="A196" s="27"/>
      <c r="B196" s="28"/>
      <c r="C196" s="28"/>
      <c r="D196" s="28"/>
      <c r="E196" s="28"/>
      <c r="F196" s="28"/>
      <c r="G196" s="28"/>
      <c r="H196" s="38"/>
      <c r="I196" s="109"/>
      <c r="J196" s="60"/>
      <c r="K196" s="127"/>
      <c r="L196" s="28"/>
      <c r="M196" s="28"/>
      <c r="N196" s="131"/>
    </row>
    <row r="197" spans="1:14" ht="15.75">
      <c r="A197" s="114"/>
      <c r="B197" s="17" t="s">
        <v>139</v>
      </c>
      <c r="C197" s="115"/>
      <c r="D197" s="20" t="s">
        <v>148</v>
      </c>
      <c r="E197" s="18"/>
      <c r="F197" s="17" t="s">
        <v>161</v>
      </c>
      <c r="G197" s="116"/>
      <c r="H197" s="116"/>
      <c r="I197" s="15"/>
      <c r="J197" s="15"/>
      <c r="K197" s="15"/>
      <c r="L197" s="15"/>
      <c r="M197" s="15"/>
      <c r="N197" s="131"/>
    </row>
    <row r="198" spans="1:14" ht="15.75">
      <c r="A198" s="114"/>
      <c r="B198" s="15"/>
      <c r="C198" s="15"/>
      <c r="D198" s="10"/>
      <c r="E198" s="10"/>
      <c r="F198" s="10"/>
      <c r="G198" s="15"/>
      <c r="H198" s="15"/>
      <c r="I198" s="15"/>
      <c r="J198" s="15"/>
      <c r="K198" s="15"/>
      <c r="L198" s="15"/>
      <c r="M198" s="15"/>
      <c r="N198" s="131"/>
    </row>
    <row r="199" spans="1:14" ht="15.75">
      <c r="A199" s="114"/>
      <c r="B199" s="16" t="s">
        <v>140</v>
      </c>
      <c r="C199" s="117"/>
      <c r="D199" s="118" t="s">
        <v>149</v>
      </c>
      <c r="E199" s="16"/>
      <c r="F199" s="16" t="s">
        <v>162</v>
      </c>
      <c r="G199" s="117"/>
      <c r="H199" s="117"/>
      <c r="I199" s="15"/>
      <c r="J199" s="15"/>
      <c r="K199" s="15"/>
      <c r="L199" s="15"/>
      <c r="M199" s="15"/>
      <c r="N199" s="131"/>
    </row>
    <row r="200" spans="1:14" ht="15.75">
      <c r="A200" s="114"/>
      <c r="B200" s="16" t="s">
        <v>141</v>
      </c>
      <c r="C200" s="117"/>
      <c r="D200" s="118" t="s">
        <v>150</v>
      </c>
      <c r="E200" s="16"/>
      <c r="F200" s="16" t="s">
        <v>163</v>
      </c>
      <c r="G200" s="117"/>
      <c r="H200" s="117"/>
      <c r="I200" s="15"/>
      <c r="J200" s="15"/>
      <c r="K200" s="15"/>
      <c r="L200" s="15"/>
      <c r="M200" s="15"/>
      <c r="N200" s="131"/>
    </row>
    <row r="201" spans="1:14" ht="15.75">
      <c r="A201" s="114"/>
      <c r="B201" s="16"/>
      <c r="C201" s="117"/>
      <c r="D201" s="118"/>
      <c r="E201" s="16"/>
      <c r="F201" s="16"/>
      <c r="G201" s="117"/>
      <c r="H201" s="117"/>
      <c r="I201" s="15"/>
      <c r="J201" s="15"/>
      <c r="K201" s="15"/>
      <c r="L201" s="15"/>
      <c r="M201" s="15"/>
      <c r="N201" s="131"/>
    </row>
    <row r="202" spans="1:14" ht="15.75">
      <c r="A202" s="114"/>
      <c r="B202" s="16"/>
      <c r="C202" s="117"/>
      <c r="D202" s="118"/>
      <c r="E202" s="16"/>
      <c r="F202" s="16"/>
      <c r="G202" s="117"/>
      <c r="H202" s="117"/>
      <c r="I202" s="15"/>
      <c r="J202" s="15"/>
      <c r="K202" s="15"/>
      <c r="L202" s="15"/>
      <c r="M202" s="15"/>
      <c r="N202" s="131"/>
    </row>
    <row r="203" spans="1:14" ht="18.75">
      <c r="A203" s="114"/>
      <c r="B203" s="55" t="str">
        <f>B156</f>
        <v>PM1 INVESTOR REPORT QUARTER ENDING SEPTEMBER 2002</v>
      </c>
      <c r="C203" s="117"/>
      <c r="D203" s="118"/>
      <c r="E203" s="16"/>
      <c r="F203" s="16"/>
      <c r="G203" s="117"/>
      <c r="H203" s="117"/>
      <c r="I203" s="15"/>
      <c r="J203" s="15"/>
      <c r="K203" s="15"/>
      <c r="L203" s="15"/>
      <c r="M203" s="15"/>
      <c r="N203" s="131"/>
    </row>
    <row r="204" spans="1:13" ht="15">
      <c r="A204" s="130"/>
      <c r="B204" s="130"/>
      <c r="C204" s="130"/>
      <c r="D204" s="130"/>
      <c r="E204" s="130"/>
      <c r="F204" s="130"/>
      <c r="G204" s="130"/>
      <c r="H204" s="130"/>
      <c r="I204" s="130"/>
      <c r="J204" s="130"/>
      <c r="K204" s="130"/>
      <c r="L204" s="130"/>
      <c r="M204" s="130"/>
    </row>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5" manualBreakCount="5">
    <brk id="51" min="105" max="156" man="1"/>
    <brk id="51" max="13" man="1"/>
    <brk id="105" max="13" man="1"/>
    <brk id="156" max="13" man="1"/>
    <brk id="204" max="0" man="1"/>
  </rowBreaks>
  <drawing r:id="rId1"/>
</worksheet>
</file>

<file path=xl/worksheets/sheet14.xml><?xml version="1.0" encoding="utf-8"?>
<worksheet xmlns="http://schemas.openxmlformats.org/spreadsheetml/2006/main" xmlns:r="http://schemas.openxmlformats.org/officeDocument/2006/relationships">
  <dimension ref="A1:O204"/>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30.5546875" style="1" customWidth="1"/>
    <col min="14" max="16384" width="9.6640625" style="1" customWidth="1"/>
  </cols>
  <sheetData>
    <row r="1" spans="1:14" ht="20.25">
      <c r="A1" s="2"/>
      <c r="B1" s="3" t="s">
        <v>0</v>
      </c>
      <c r="C1" s="4"/>
      <c r="D1" s="5"/>
      <c r="E1" s="5"/>
      <c r="F1" s="5"/>
      <c r="G1" s="5"/>
      <c r="H1" s="5"/>
      <c r="I1" s="5"/>
      <c r="J1" s="5"/>
      <c r="K1" s="5"/>
      <c r="L1" s="5"/>
      <c r="M1" s="5"/>
      <c r="N1" s="131"/>
    </row>
    <row r="2" spans="1:14" ht="15.75">
      <c r="A2" s="8"/>
      <c r="B2" s="9"/>
      <c r="C2" s="9"/>
      <c r="D2" s="10"/>
      <c r="E2" s="10"/>
      <c r="F2" s="10"/>
      <c r="G2" s="10"/>
      <c r="H2" s="10"/>
      <c r="I2" s="10"/>
      <c r="J2" s="10"/>
      <c r="K2" s="10"/>
      <c r="L2" s="10"/>
      <c r="M2" s="10"/>
      <c r="N2" s="131"/>
    </row>
    <row r="3" spans="1:14" ht="15.75">
      <c r="A3" s="11"/>
      <c r="B3" s="154" t="s">
        <v>1</v>
      </c>
      <c r="C3" s="10"/>
      <c r="D3" s="10"/>
      <c r="E3" s="10"/>
      <c r="F3" s="10"/>
      <c r="G3" s="10"/>
      <c r="H3" s="10"/>
      <c r="I3" s="10"/>
      <c r="J3" s="10"/>
      <c r="K3" s="10"/>
      <c r="L3" s="10"/>
      <c r="M3" s="10"/>
      <c r="N3" s="131"/>
    </row>
    <row r="4" spans="1:14" ht="15.75">
      <c r="A4" s="8"/>
      <c r="B4" s="9"/>
      <c r="C4" s="9"/>
      <c r="D4" s="10"/>
      <c r="E4" s="10"/>
      <c r="F4" s="10"/>
      <c r="G4" s="10"/>
      <c r="H4" s="10"/>
      <c r="I4" s="10"/>
      <c r="J4" s="10"/>
      <c r="K4" s="10"/>
      <c r="L4" s="10"/>
      <c r="M4" s="10"/>
      <c r="N4" s="131"/>
    </row>
    <row r="5" spans="1:14" ht="12" customHeight="1">
      <c r="A5" s="8"/>
      <c r="B5" s="13" t="s">
        <v>2</v>
      </c>
      <c r="C5" s="14"/>
      <c r="D5" s="10"/>
      <c r="E5" s="10"/>
      <c r="F5" s="10"/>
      <c r="G5" s="10"/>
      <c r="H5" s="10"/>
      <c r="I5" s="10"/>
      <c r="J5" s="10"/>
      <c r="K5" s="10"/>
      <c r="L5" s="10"/>
      <c r="M5" s="10"/>
      <c r="N5" s="131"/>
    </row>
    <row r="6" spans="1:14" ht="12" customHeight="1">
      <c r="A6" s="8"/>
      <c r="B6" s="13" t="s">
        <v>3</v>
      </c>
      <c r="C6" s="14"/>
      <c r="D6" s="10"/>
      <c r="E6" s="10"/>
      <c r="F6" s="10"/>
      <c r="G6" s="10"/>
      <c r="H6" s="10"/>
      <c r="I6" s="10"/>
      <c r="J6" s="10"/>
      <c r="K6" s="10"/>
      <c r="L6" s="10"/>
      <c r="M6" s="10"/>
      <c r="N6" s="131"/>
    </row>
    <row r="7" spans="1:14" ht="12" customHeight="1">
      <c r="A7" s="8"/>
      <c r="B7" s="13" t="s">
        <v>4</v>
      </c>
      <c r="C7" s="14"/>
      <c r="D7" s="10"/>
      <c r="E7" s="10"/>
      <c r="F7" s="10"/>
      <c r="G7" s="10"/>
      <c r="H7" s="10"/>
      <c r="I7" s="10"/>
      <c r="J7" s="10"/>
      <c r="K7" s="10"/>
      <c r="L7" s="10"/>
      <c r="M7" s="10"/>
      <c r="N7" s="131"/>
    </row>
    <row r="8" spans="1:14" ht="12" customHeight="1">
      <c r="A8" s="8"/>
      <c r="B8" s="13" t="s">
        <v>5</v>
      </c>
      <c r="C8" s="14"/>
      <c r="D8" s="10"/>
      <c r="E8" s="10"/>
      <c r="F8" s="10"/>
      <c r="G8" s="10"/>
      <c r="H8" s="10"/>
      <c r="I8" s="10"/>
      <c r="J8" s="10"/>
      <c r="K8" s="10"/>
      <c r="L8" s="10"/>
      <c r="M8" s="10"/>
      <c r="N8" s="131"/>
    </row>
    <row r="9" spans="1:14" ht="12" customHeight="1">
      <c r="A9" s="8"/>
      <c r="B9" s="15"/>
      <c r="C9" s="14"/>
      <c r="D9" s="10"/>
      <c r="E9" s="10"/>
      <c r="F9" s="10"/>
      <c r="G9" s="10"/>
      <c r="H9" s="10"/>
      <c r="I9" s="10"/>
      <c r="J9" s="10"/>
      <c r="K9" s="10"/>
      <c r="L9" s="10"/>
      <c r="M9" s="10"/>
      <c r="N9" s="131"/>
    </row>
    <row r="10" spans="1:14" ht="15.75">
      <c r="A10" s="8"/>
      <c r="B10" s="13"/>
      <c r="C10" s="14"/>
      <c r="D10" s="16"/>
      <c r="E10" s="16"/>
      <c r="F10" s="10"/>
      <c r="G10" s="10"/>
      <c r="H10" s="10"/>
      <c r="I10" s="10"/>
      <c r="J10" s="10"/>
      <c r="K10" s="10"/>
      <c r="L10" s="10"/>
      <c r="M10" s="10"/>
      <c r="N10" s="131"/>
    </row>
    <row r="11" spans="1:14" ht="15.75">
      <c r="A11" s="8"/>
      <c r="B11" s="16" t="s">
        <v>6</v>
      </c>
      <c r="C11" s="16"/>
      <c r="D11" s="10"/>
      <c r="E11" s="10"/>
      <c r="F11" s="10"/>
      <c r="G11" s="10"/>
      <c r="H11" s="10"/>
      <c r="I11" s="10"/>
      <c r="J11" s="10"/>
      <c r="K11" s="10"/>
      <c r="L11" s="10"/>
      <c r="M11" s="10"/>
      <c r="N11" s="131"/>
    </row>
    <row r="12" spans="1:14" ht="15.75">
      <c r="A12" s="8"/>
      <c r="B12" s="16"/>
      <c r="C12" s="16"/>
      <c r="D12" s="10"/>
      <c r="E12" s="10"/>
      <c r="F12" s="10"/>
      <c r="G12" s="10"/>
      <c r="H12" s="10"/>
      <c r="I12" s="10"/>
      <c r="J12" s="10"/>
      <c r="K12" s="10"/>
      <c r="L12" s="10"/>
      <c r="M12" s="10"/>
      <c r="N12" s="131"/>
    </row>
    <row r="13" spans="1:14" ht="15.75">
      <c r="A13" s="2"/>
      <c r="B13" s="5"/>
      <c r="C13" s="5"/>
      <c r="D13" s="5"/>
      <c r="E13" s="5"/>
      <c r="F13" s="5"/>
      <c r="G13" s="5"/>
      <c r="H13" s="5"/>
      <c r="I13" s="5"/>
      <c r="J13" s="5"/>
      <c r="K13" s="5"/>
      <c r="L13" s="5"/>
      <c r="M13" s="5"/>
      <c r="N13" s="131"/>
    </row>
    <row r="14" spans="1:14" ht="15.75">
      <c r="A14" s="8"/>
      <c r="B14" s="17" t="s">
        <v>7</v>
      </c>
      <c r="C14" s="17"/>
      <c r="D14" s="18"/>
      <c r="E14" s="18"/>
      <c r="F14" s="18"/>
      <c r="G14" s="18"/>
      <c r="H14" s="18"/>
      <c r="I14" s="18"/>
      <c r="J14" s="18"/>
      <c r="K14" s="18"/>
      <c r="L14" s="19" t="s">
        <v>185</v>
      </c>
      <c r="M14" s="18"/>
      <c r="N14" s="131"/>
    </row>
    <row r="15" spans="1:14" ht="15.75">
      <c r="A15" s="8"/>
      <c r="B15" s="17" t="s">
        <v>199</v>
      </c>
      <c r="C15" s="17"/>
      <c r="D15" s="18"/>
      <c r="E15" s="18"/>
      <c r="F15" s="18"/>
      <c r="G15" s="18"/>
      <c r="H15" s="20"/>
      <c r="I15" s="135"/>
      <c r="J15" s="20" t="s">
        <v>202</v>
      </c>
      <c r="K15" s="135">
        <v>1</v>
      </c>
      <c r="L15" s="19"/>
      <c r="M15" s="18"/>
      <c r="N15" s="131"/>
    </row>
    <row r="16" spans="1:14" ht="15.75">
      <c r="A16" s="8"/>
      <c r="B16" s="17" t="s">
        <v>200</v>
      </c>
      <c r="C16" s="17"/>
      <c r="D16" s="18"/>
      <c r="E16" s="18"/>
      <c r="F16" s="18"/>
      <c r="G16" s="18"/>
      <c r="H16" s="20"/>
      <c r="I16" s="135"/>
      <c r="J16" s="20" t="s">
        <v>202</v>
      </c>
      <c r="K16" s="135">
        <v>1</v>
      </c>
      <c r="L16" s="19"/>
      <c r="M16" s="18"/>
      <c r="N16" s="131"/>
    </row>
    <row r="17" spans="1:14" ht="15.75">
      <c r="A17" s="8"/>
      <c r="B17" s="17" t="s">
        <v>8</v>
      </c>
      <c r="C17" s="17"/>
      <c r="D17" s="18"/>
      <c r="E17" s="18"/>
      <c r="F17" s="18"/>
      <c r="G17" s="18"/>
      <c r="H17" s="18"/>
      <c r="I17" s="18"/>
      <c r="J17" s="18"/>
      <c r="K17" s="18"/>
      <c r="L17" s="20" t="s">
        <v>186</v>
      </c>
      <c r="M17" s="18"/>
      <c r="N17" s="131"/>
    </row>
    <row r="18" spans="1:14" ht="15.75">
      <c r="A18" s="8"/>
      <c r="B18" s="17" t="s">
        <v>9</v>
      </c>
      <c r="C18" s="17"/>
      <c r="D18" s="18"/>
      <c r="E18" s="18"/>
      <c r="F18" s="18"/>
      <c r="G18" s="18"/>
      <c r="H18" s="18"/>
      <c r="I18" s="18"/>
      <c r="J18" s="18"/>
      <c r="K18" s="18"/>
      <c r="L18" s="21">
        <v>37645</v>
      </c>
      <c r="M18" s="18"/>
      <c r="N18" s="131"/>
    </row>
    <row r="19" spans="1:14" ht="15.75">
      <c r="A19" s="8"/>
      <c r="B19" s="10"/>
      <c r="C19" s="10"/>
      <c r="D19" s="10"/>
      <c r="E19" s="10"/>
      <c r="F19" s="10"/>
      <c r="G19" s="10"/>
      <c r="H19" s="10"/>
      <c r="I19" s="10"/>
      <c r="J19" s="10"/>
      <c r="K19" s="10"/>
      <c r="L19" s="22"/>
      <c r="M19" s="10"/>
      <c r="N19" s="131"/>
    </row>
    <row r="20" spans="1:14" ht="15.75">
      <c r="A20" s="8"/>
      <c r="B20" s="23" t="s">
        <v>10</v>
      </c>
      <c r="C20" s="10"/>
      <c r="D20" s="10"/>
      <c r="E20" s="10"/>
      <c r="F20" s="10"/>
      <c r="G20" s="10"/>
      <c r="H20" s="10"/>
      <c r="I20" s="10"/>
      <c r="J20" s="22" t="s">
        <v>174</v>
      </c>
      <c r="K20" s="10"/>
      <c r="L20" s="15"/>
      <c r="M20" s="10"/>
      <c r="N20" s="131"/>
    </row>
    <row r="21" spans="1:14" ht="15.75">
      <c r="A21" s="8"/>
      <c r="B21" s="10"/>
      <c r="C21" s="10"/>
      <c r="D21" s="10"/>
      <c r="E21" s="10"/>
      <c r="F21" s="10"/>
      <c r="G21" s="10"/>
      <c r="H21" s="10"/>
      <c r="I21" s="10"/>
      <c r="J21" s="10"/>
      <c r="K21" s="10"/>
      <c r="L21" s="24"/>
      <c r="M21" s="10"/>
      <c r="N21" s="131"/>
    </row>
    <row r="22" spans="1:14" ht="15.75">
      <c r="A22" s="8"/>
      <c r="B22" s="10"/>
      <c r="C22" s="155" t="s">
        <v>143</v>
      </c>
      <c r="D22" s="25"/>
      <c r="E22" s="25"/>
      <c r="F22" s="157" t="s">
        <v>151</v>
      </c>
      <c r="G22" s="157"/>
      <c r="H22" s="157" t="s">
        <v>164</v>
      </c>
      <c r="I22" s="25"/>
      <c r="J22" s="25"/>
      <c r="K22" s="15"/>
      <c r="L22" s="15"/>
      <c r="M22" s="10"/>
      <c r="N22" s="131"/>
    </row>
    <row r="23" spans="1:14" ht="15.75">
      <c r="A23" s="27"/>
      <c r="B23" s="28" t="s">
        <v>11</v>
      </c>
      <c r="C23" s="156" t="s">
        <v>144</v>
      </c>
      <c r="D23" s="29"/>
      <c r="E23" s="29"/>
      <c r="F23" s="29" t="s">
        <v>152</v>
      </c>
      <c r="G23" s="29"/>
      <c r="H23" s="29" t="s">
        <v>165</v>
      </c>
      <c r="I23" s="29"/>
      <c r="J23" s="29"/>
      <c r="K23" s="30"/>
      <c r="L23" s="30"/>
      <c r="M23" s="28"/>
      <c r="N23" s="131"/>
    </row>
    <row r="24" spans="1:14" ht="15.75">
      <c r="A24" s="27"/>
      <c r="B24" s="28" t="s">
        <v>12</v>
      </c>
      <c r="C24" s="31"/>
      <c r="D24" s="29"/>
      <c r="E24" s="29"/>
      <c r="F24" s="29" t="s">
        <v>153</v>
      </c>
      <c r="G24" s="29"/>
      <c r="H24" s="29" t="s">
        <v>166</v>
      </c>
      <c r="I24" s="29"/>
      <c r="J24" s="29"/>
      <c r="K24" s="30"/>
      <c r="L24" s="30"/>
      <c r="M24" s="28"/>
      <c r="N24" s="131"/>
    </row>
    <row r="25" spans="1:14" ht="15.75">
      <c r="A25" s="32"/>
      <c r="B25" s="33" t="s">
        <v>13</v>
      </c>
      <c r="C25" s="33"/>
      <c r="D25" s="34"/>
      <c r="E25" s="34"/>
      <c r="F25" s="34" t="s">
        <v>152</v>
      </c>
      <c r="G25" s="34"/>
      <c r="H25" s="34" t="s">
        <v>207</v>
      </c>
      <c r="I25" s="29"/>
      <c r="J25" s="29"/>
      <c r="K25" s="30"/>
      <c r="L25" s="30"/>
      <c r="M25" s="28"/>
      <c r="N25" s="131"/>
    </row>
    <row r="26" spans="1:14" ht="15.75">
      <c r="A26" s="32"/>
      <c r="B26" s="33" t="s">
        <v>14</v>
      </c>
      <c r="C26" s="33"/>
      <c r="D26" s="34"/>
      <c r="E26" s="34"/>
      <c r="F26" s="34" t="s">
        <v>153</v>
      </c>
      <c r="G26" s="34"/>
      <c r="H26" s="34" t="s">
        <v>208</v>
      </c>
      <c r="I26" s="29"/>
      <c r="J26" s="29"/>
      <c r="K26" s="30"/>
      <c r="L26" s="30"/>
      <c r="M26" s="28"/>
      <c r="N26" s="131"/>
    </row>
    <row r="27" spans="1:14" ht="15.75">
      <c r="A27" s="27"/>
      <c r="B27" s="28" t="s">
        <v>15</v>
      </c>
      <c r="C27" s="28"/>
      <c r="D27" s="31"/>
      <c r="E27" s="29"/>
      <c r="F27" s="31" t="s">
        <v>154</v>
      </c>
      <c r="G27" s="29"/>
      <c r="H27" s="31" t="s">
        <v>167</v>
      </c>
      <c r="I27" s="29"/>
      <c r="J27" s="31"/>
      <c r="K27" s="30"/>
      <c r="L27" s="30"/>
      <c r="M27" s="28"/>
      <c r="N27" s="131"/>
    </row>
    <row r="28" spans="1:14" ht="15.75">
      <c r="A28" s="27"/>
      <c r="B28" s="28"/>
      <c r="C28" s="28"/>
      <c r="D28" s="28"/>
      <c r="E28" s="29"/>
      <c r="F28" s="29"/>
      <c r="G28" s="29"/>
      <c r="H28" s="29"/>
      <c r="I28" s="29"/>
      <c r="J28" s="29"/>
      <c r="K28" s="30"/>
      <c r="L28" s="30"/>
      <c r="M28" s="28"/>
      <c r="N28" s="131"/>
    </row>
    <row r="29" spans="1:14" ht="15.75">
      <c r="A29" s="27"/>
      <c r="B29" s="28" t="s">
        <v>16</v>
      </c>
      <c r="C29" s="28"/>
      <c r="D29" s="35"/>
      <c r="E29" s="36"/>
      <c r="F29" s="35">
        <v>168000</v>
      </c>
      <c r="G29" s="35"/>
      <c r="H29" s="35">
        <v>17000</v>
      </c>
      <c r="I29" s="35"/>
      <c r="J29" s="35"/>
      <c r="K29" s="37"/>
      <c r="L29" s="35">
        <f>H29+F29</f>
        <v>185000</v>
      </c>
      <c r="M29" s="38"/>
      <c r="N29" s="131"/>
    </row>
    <row r="30" spans="1:14" ht="15.75">
      <c r="A30" s="27"/>
      <c r="B30" s="28" t="s">
        <v>17</v>
      </c>
      <c r="C30" s="126">
        <v>0.685797</v>
      </c>
      <c r="D30" s="35"/>
      <c r="E30" s="36"/>
      <c r="F30" s="35">
        <f>168000*C30</f>
        <v>115213.896</v>
      </c>
      <c r="G30" s="35"/>
      <c r="H30" s="35">
        <v>17000</v>
      </c>
      <c r="I30" s="35"/>
      <c r="J30" s="35"/>
      <c r="K30" s="37"/>
      <c r="L30" s="35">
        <f>H30+F30</f>
        <v>132213.896</v>
      </c>
      <c r="M30" s="38"/>
      <c r="N30" s="131"/>
    </row>
    <row r="31" spans="1:14" ht="13.5" customHeight="1">
      <c r="A31" s="32"/>
      <c r="B31" s="33" t="s">
        <v>18</v>
      </c>
      <c r="C31" s="40">
        <v>0.654111</v>
      </c>
      <c r="D31" s="41"/>
      <c r="E31" s="42"/>
      <c r="F31" s="41">
        <f>168000*C31</f>
        <v>109890.648</v>
      </c>
      <c r="G31" s="41"/>
      <c r="H31" s="41">
        <v>17000</v>
      </c>
      <c r="I31" s="41"/>
      <c r="J31" s="41"/>
      <c r="K31" s="43"/>
      <c r="L31" s="41">
        <f>H31+F31+D31</f>
        <v>126890.648</v>
      </c>
      <c r="M31" s="38"/>
      <c r="N31" s="131"/>
    </row>
    <row r="32" spans="1:14" ht="15.75">
      <c r="A32" s="27"/>
      <c r="B32" s="28" t="s">
        <v>19</v>
      </c>
      <c r="C32" s="44"/>
      <c r="D32" s="31"/>
      <c r="E32" s="28"/>
      <c r="F32" s="31" t="s">
        <v>155</v>
      </c>
      <c r="G32" s="31"/>
      <c r="H32" s="31" t="s">
        <v>168</v>
      </c>
      <c r="I32" s="31"/>
      <c r="J32" s="31"/>
      <c r="K32" s="30"/>
      <c r="L32" s="30"/>
      <c r="M32" s="28"/>
      <c r="N32" s="131"/>
    </row>
    <row r="33" spans="1:14" ht="15.75">
      <c r="A33" s="27"/>
      <c r="B33" s="28" t="s">
        <v>20</v>
      </c>
      <c r="C33" s="28"/>
      <c r="D33" s="45"/>
      <c r="E33" s="28"/>
      <c r="F33" s="45">
        <v>0.042675</v>
      </c>
      <c r="G33" s="46"/>
      <c r="H33" s="45">
        <v>0.047875</v>
      </c>
      <c r="I33" s="46"/>
      <c r="J33" s="45"/>
      <c r="K33" s="30"/>
      <c r="L33" s="46">
        <f>SUMPRODUCT(F33:H33,F30:H30)/L30</f>
        <v>0.043343613532120705</v>
      </c>
      <c r="M33" s="28"/>
      <c r="N33" s="131"/>
    </row>
    <row r="34" spans="1:14" ht="15.75">
      <c r="A34" s="27"/>
      <c r="B34" s="28" t="s">
        <v>21</v>
      </c>
      <c r="C34" s="28"/>
      <c r="D34" s="45"/>
      <c r="E34" s="28"/>
      <c r="F34" s="45">
        <v>0.0434813</v>
      </c>
      <c r="G34" s="46"/>
      <c r="H34" s="45">
        <v>0.0486813</v>
      </c>
      <c r="I34" s="46"/>
      <c r="J34" s="45"/>
      <c r="K34" s="30"/>
      <c r="L34" s="30"/>
      <c r="M34" s="28"/>
      <c r="N34" s="131"/>
    </row>
    <row r="35" spans="1:14" ht="15.75">
      <c r="A35" s="27"/>
      <c r="B35" s="28" t="s">
        <v>22</v>
      </c>
      <c r="C35" s="28"/>
      <c r="D35" s="31"/>
      <c r="E35" s="28"/>
      <c r="F35" s="31" t="s">
        <v>157</v>
      </c>
      <c r="G35" s="31"/>
      <c r="H35" s="31" t="s">
        <v>157</v>
      </c>
      <c r="I35" s="31"/>
      <c r="J35" s="31"/>
      <c r="K35" s="30"/>
      <c r="L35" s="30"/>
      <c r="M35" s="28"/>
      <c r="N35" s="131"/>
    </row>
    <row r="36" spans="1:14" ht="15.75">
      <c r="A36" s="27"/>
      <c r="B36" s="28" t="s">
        <v>23</v>
      </c>
      <c r="C36" s="28"/>
      <c r="D36" s="31"/>
      <c r="E36" s="28"/>
      <c r="F36" s="31" t="s">
        <v>158</v>
      </c>
      <c r="G36" s="31"/>
      <c r="H36" s="31" t="s">
        <v>158</v>
      </c>
      <c r="I36" s="31"/>
      <c r="J36" s="31"/>
      <c r="K36" s="30"/>
      <c r="L36" s="30"/>
      <c r="M36" s="28"/>
      <c r="N36" s="131"/>
    </row>
    <row r="37" spans="1:14" ht="15.75">
      <c r="A37" s="27"/>
      <c r="B37" s="28" t="s">
        <v>24</v>
      </c>
      <c r="C37" s="28"/>
      <c r="D37" s="31"/>
      <c r="E37" s="28"/>
      <c r="F37" s="31" t="s">
        <v>159</v>
      </c>
      <c r="G37" s="31"/>
      <c r="H37" s="31" t="s">
        <v>169</v>
      </c>
      <c r="I37" s="31"/>
      <c r="J37" s="31"/>
      <c r="K37" s="30"/>
      <c r="L37" s="30"/>
      <c r="M37" s="28"/>
      <c r="N37" s="131"/>
    </row>
    <row r="38" spans="1:14" ht="15.75">
      <c r="A38" s="27"/>
      <c r="B38" s="28"/>
      <c r="C38" s="28"/>
      <c r="D38" s="47"/>
      <c r="E38" s="47"/>
      <c r="F38" s="28"/>
      <c r="G38" s="47"/>
      <c r="H38" s="47"/>
      <c r="I38" s="47"/>
      <c r="J38" s="47"/>
      <c r="K38" s="47"/>
      <c r="L38" s="47"/>
      <c r="M38" s="28"/>
      <c r="N38" s="131"/>
    </row>
    <row r="39" spans="1:14" ht="15.75">
      <c r="A39" s="27"/>
      <c r="B39" s="28" t="s">
        <v>25</v>
      </c>
      <c r="C39" s="28"/>
      <c r="D39" s="28"/>
      <c r="E39" s="28"/>
      <c r="F39" s="28"/>
      <c r="G39" s="28"/>
      <c r="H39" s="136"/>
      <c r="I39" s="28"/>
      <c r="J39" s="28"/>
      <c r="K39" s="28"/>
      <c r="L39" s="46">
        <f>H29/F29</f>
        <v>0.10119047619047619</v>
      </c>
      <c r="M39" s="28"/>
      <c r="N39" s="131"/>
    </row>
    <row r="40" spans="1:14" ht="15.75">
      <c r="A40" s="27"/>
      <c r="B40" s="28" t="s">
        <v>26</v>
      </c>
      <c r="C40" s="28"/>
      <c r="D40" s="28"/>
      <c r="E40" s="28"/>
      <c r="F40" s="136"/>
      <c r="G40" s="28"/>
      <c r="H40" s="136"/>
      <c r="I40" s="28"/>
      <c r="J40" s="28"/>
      <c r="K40" s="28"/>
      <c r="L40" s="46">
        <f>H31/F31</f>
        <v>0.15469924246874947</v>
      </c>
      <c r="M40" s="28"/>
      <c r="N40" s="131"/>
    </row>
    <row r="41" spans="1:14" ht="15.75">
      <c r="A41" s="27"/>
      <c r="B41" s="28" t="s">
        <v>27</v>
      </c>
      <c r="C41" s="28"/>
      <c r="D41" s="28"/>
      <c r="E41" s="28"/>
      <c r="F41" s="136"/>
      <c r="G41" s="28"/>
      <c r="H41" s="28"/>
      <c r="I41" s="28"/>
      <c r="J41" s="31" t="s">
        <v>151</v>
      </c>
      <c r="K41" s="31" t="s">
        <v>183</v>
      </c>
      <c r="L41" s="35">
        <v>75500</v>
      </c>
      <c r="M41" s="28"/>
      <c r="N41" s="131"/>
    </row>
    <row r="42" spans="1:14" ht="15.75">
      <c r="A42" s="27"/>
      <c r="B42" s="28"/>
      <c r="C42" s="28"/>
      <c r="D42" s="28"/>
      <c r="E42" s="28"/>
      <c r="F42" s="28"/>
      <c r="G42" s="28"/>
      <c r="H42" s="28"/>
      <c r="I42" s="28"/>
      <c r="J42" s="28" t="s">
        <v>175</v>
      </c>
      <c r="K42" s="28"/>
      <c r="L42" s="48"/>
      <c r="M42" s="28"/>
      <c r="N42" s="131"/>
    </row>
    <row r="43" spans="1:14" ht="15.75">
      <c r="A43" s="27"/>
      <c r="B43" s="28" t="s">
        <v>28</v>
      </c>
      <c r="C43" s="28"/>
      <c r="D43" s="28"/>
      <c r="E43" s="28"/>
      <c r="F43" s="28"/>
      <c r="G43" s="28"/>
      <c r="H43" s="28"/>
      <c r="I43" s="28"/>
      <c r="J43" s="31"/>
      <c r="K43" s="31"/>
      <c r="L43" s="31" t="s">
        <v>187</v>
      </c>
      <c r="M43" s="28"/>
      <c r="N43" s="131"/>
    </row>
    <row r="44" spans="1:14" ht="15.75">
      <c r="A44" s="32"/>
      <c r="B44" s="33" t="s">
        <v>29</v>
      </c>
      <c r="C44" s="33"/>
      <c r="D44" s="33"/>
      <c r="E44" s="33"/>
      <c r="F44" s="33"/>
      <c r="G44" s="33"/>
      <c r="H44" s="33"/>
      <c r="I44" s="33"/>
      <c r="J44" s="49"/>
      <c r="K44" s="49"/>
      <c r="L44" s="50">
        <v>37636</v>
      </c>
      <c r="M44" s="33"/>
      <c r="N44" s="131"/>
    </row>
    <row r="45" spans="1:14" ht="15.75">
      <c r="A45" s="27"/>
      <c r="B45" s="28" t="s">
        <v>30</v>
      </c>
      <c r="C45" s="28"/>
      <c r="D45" s="28"/>
      <c r="E45" s="28"/>
      <c r="F45" s="28"/>
      <c r="G45" s="28"/>
      <c r="H45" s="28"/>
      <c r="I45" s="28">
        <f>L45-J45+1</f>
        <v>92</v>
      </c>
      <c r="J45" s="51">
        <v>37452</v>
      </c>
      <c r="K45" s="52"/>
      <c r="L45" s="51">
        <v>37543</v>
      </c>
      <c r="M45" s="28"/>
      <c r="N45" s="131"/>
    </row>
    <row r="46" spans="1:14" ht="15.75">
      <c r="A46" s="27"/>
      <c r="B46" s="28" t="s">
        <v>31</v>
      </c>
      <c r="C46" s="28"/>
      <c r="D46" s="28"/>
      <c r="E46" s="28"/>
      <c r="F46" s="28"/>
      <c r="G46" s="28"/>
      <c r="H46" s="28"/>
      <c r="I46" s="28">
        <f>L46-J46+1</f>
        <v>92</v>
      </c>
      <c r="J46" s="51">
        <v>37544</v>
      </c>
      <c r="K46" s="52"/>
      <c r="L46" s="51">
        <v>37635</v>
      </c>
      <c r="M46" s="28"/>
      <c r="N46" s="131"/>
    </row>
    <row r="47" spans="1:14" ht="15.75">
      <c r="A47" s="27"/>
      <c r="B47" s="28" t="s">
        <v>32</v>
      </c>
      <c r="C47" s="28"/>
      <c r="D47" s="28"/>
      <c r="E47" s="28"/>
      <c r="F47" s="28"/>
      <c r="G47" s="28"/>
      <c r="H47" s="28"/>
      <c r="I47" s="28"/>
      <c r="J47" s="51"/>
      <c r="K47" s="52"/>
      <c r="L47" s="51" t="s">
        <v>188</v>
      </c>
      <c r="M47" s="28"/>
      <c r="N47" s="131"/>
    </row>
    <row r="48" spans="1:14" ht="15.75">
      <c r="A48" s="27"/>
      <c r="B48" s="28" t="s">
        <v>33</v>
      </c>
      <c r="C48" s="28"/>
      <c r="D48" s="28"/>
      <c r="E48" s="28"/>
      <c r="F48" s="28"/>
      <c r="G48" s="28"/>
      <c r="H48" s="28"/>
      <c r="I48" s="28"/>
      <c r="J48" s="51"/>
      <c r="K48" s="52"/>
      <c r="L48" s="51">
        <v>37263</v>
      </c>
      <c r="M48" s="28"/>
      <c r="N48" s="131"/>
    </row>
    <row r="49" spans="1:14" ht="15.75">
      <c r="A49" s="27"/>
      <c r="B49" s="28"/>
      <c r="C49" s="28"/>
      <c r="D49" s="28"/>
      <c r="E49" s="28"/>
      <c r="F49" s="28"/>
      <c r="G49" s="28"/>
      <c r="H49" s="28"/>
      <c r="I49" s="28"/>
      <c r="J49" s="51"/>
      <c r="K49" s="52"/>
      <c r="L49" s="51"/>
      <c r="M49" s="28"/>
      <c r="N49" s="131"/>
    </row>
    <row r="50" spans="1:14" ht="15.75">
      <c r="A50" s="8"/>
      <c r="B50" s="10"/>
      <c r="C50" s="10"/>
      <c r="D50" s="10"/>
      <c r="E50" s="10"/>
      <c r="F50" s="10"/>
      <c r="G50" s="10"/>
      <c r="H50" s="10"/>
      <c r="I50" s="10"/>
      <c r="J50" s="53"/>
      <c r="K50" s="54"/>
      <c r="L50" s="53"/>
      <c r="M50" s="10"/>
      <c r="N50" s="131"/>
    </row>
    <row r="51" spans="1:14" ht="19.5" thickBot="1">
      <c r="A51" s="138"/>
      <c r="B51" s="139" t="s">
        <v>213</v>
      </c>
      <c r="C51" s="140"/>
      <c r="D51" s="140"/>
      <c r="E51" s="140"/>
      <c r="F51" s="140"/>
      <c r="G51" s="140"/>
      <c r="H51" s="140"/>
      <c r="I51" s="140"/>
      <c r="J51" s="140"/>
      <c r="K51" s="140"/>
      <c r="L51" s="141"/>
      <c r="M51" s="142"/>
      <c r="N51" s="131"/>
    </row>
    <row r="52" spans="1:14" ht="15.75">
      <c r="A52" s="2"/>
      <c r="B52" s="5"/>
      <c r="C52" s="5"/>
      <c r="D52" s="5"/>
      <c r="E52" s="5"/>
      <c r="F52" s="5"/>
      <c r="G52" s="5"/>
      <c r="H52" s="5"/>
      <c r="I52" s="5"/>
      <c r="J52" s="5"/>
      <c r="K52" s="5"/>
      <c r="L52" s="57"/>
      <c r="M52" s="5"/>
      <c r="N52" s="131"/>
    </row>
    <row r="53" spans="1:14" ht="15.75">
      <c r="A53" s="8"/>
      <c r="B53" s="58" t="s">
        <v>35</v>
      </c>
      <c r="C53" s="16"/>
      <c r="D53" s="10"/>
      <c r="E53" s="10"/>
      <c r="F53" s="10"/>
      <c r="G53" s="10"/>
      <c r="H53" s="10"/>
      <c r="I53" s="10"/>
      <c r="J53" s="10"/>
      <c r="K53" s="10"/>
      <c r="L53" s="59"/>
      <c r="M53" s="10"/>
      <c r="N53" s="131"/>
    </row>
    <row r="54" spans="1:14" ht="15.75">
      <c r="A54" s="8"/>
      <c r="B54" s="16"/>
      <c r="C54" s="16"/>
      <c r="D54" s="10"/>
      <c r="E54" s="10"/>
      <c r="F54" s="10"/>
      <c r="G54" s="10"/>
      <c r="H54" s="10"/>
      <c r="I54" s="10"/>
      <c r="J54" s="10"/>
      <c r="K54" s="10"/>
      <c r="L54" s="59"/>
      <c r="M54" s="10"/>
      <c r="N54" s="131"/>
    </row>
    <row r="55" spans="1:14" s="165" customFormat="1" ht="63">
      <c r="A55" s="159"/>
      <c r="B55" s="160" t="s">
        <v>36</v>
      </c>
      <c r="C55" s="161" t="s">
        <v>145</v>
      </c>
      <c r="D55" s="161" t="s">
        <v>147</v>
      </c>
      <c r="E55" s="161"/>
      <c r="F55" s="161" t="s">
        <v>160</v>
      </c>
      <c r="G55" s="161"/>
      <c r="H55" s="161" t="s">
        <v>170</v>
      </c>
      <c r="I55" s="161"/>
      <c r="J55" s="161" t="s">
        <v>176</v>
      </c>
      <c r="K55" s="161"/>
      <c r="L55" s="162" t="s">
        <v>189</v>
      </c>
      <c r="M55" s="163"/>
      <c r="N55" s="171"/>
    </row>
    <row r="56" spans="1:14" ht="15.75">
      <c r="A56" s="27"/>
      <c r="B56" s="28" t="s">
        <v>37</v>
      </c>
      <c r="C56" s="38">
        <v>162582</v>
      </c>
      <c r="D56" s="60">
        <v>132205</v>
      </c>
      <c r="E56" s="38"/>
      <c r="F56" s="38">
        <f>5323-9</f>
        <v>5314</v>
      </c>
      <c r="G56" s="38"/>
      <c r="H56" s="38">
        <v>0</v>
      </c>
      <c r="I56" s="38"/>
      <c r="J56" s="38">
        <v>0</v>
      </c>
      <c r="K56" s="38"/>
      <c r="L56" s="60">
        <f>D56-F56+H56-J56</f>
        <v>126891</v>
      </c>
      <c r="M56" s="28"/>
      <c r="N56" s="131"/>
    </row>
    <row r="57" spans="1:14" ht="15.75">
      <c r="A57" s="27"/>
      <c r="B57" s="28" t="s">
        <v>38</v>
      </c>
      <c r="C57" s="38">
        <v>66</v>
      </c>
      <c r="D57" s="60">
        <v>0</v>
      </c>
      <c r="E57" s="38"/>
      <c r="F57" s="38">
        <v>0</v>
      </c>
      <c r="G57" s="38"/>
      <c r="H57" s="38">
        <v>0</v>
      </c>
      <c r="I57" s="38"/>
      <c r="J57" s="38">
        <v>0</v>
      </c>
      <c r="K57" s="38"/>
      <c r="L57" s="60">
        <f>D57-F57</f>
        <v>0</v>
      </c>
      <c r="M57" s="28"/>
      <c r="N57" s="131"/>
    </row>
    <row r="58" spans="1:14" ht="15.75">
      <c r="A58" s="27"/>
      <c r="B58" s="28"/>
      <c r="C58" s="38"/>
      <c r="D58" s="60"/>
      <c r="E58" s="38"/>
      <c r="F58" s="38"/>
      <c r="G58" s="38"/>
      <c r="H58" s="38"/>
      <c r="I58" s="38"/>
      <c r="J58" s="38"/>
      <c r="K58" s="38"/>
      <c r="L58" s="60"/>
      <c r="M58" s="28"/>
      <c r="N58" s="131"/>
    </row>
    <row r="59" spans="1:14" ht="15.75">
      <c r="A59" s="27"/>
      <c r="B59" s="28" t="s">
        <v>39</v>
      </c>
      <c r="C59" s="38">
        <f>SUM(C56:C58)</f>
        <v>162648</v>
      </c>
      <c r="D59" s="38">
        <f>SUM(D56:D58)</f>
        <v>132205</v>
      </c>
      <c r="E59" s="38"/>
      <c r="F59" s="38">
        <f>SUM(F56:F58)</f>
        <v>5314</v>
      </c>
      <c r="G59" s="38"/>
      <c r="H59" s="38">
        <f>SUM(H56:H58)</f>
        <v>0</v>
      </c>
      <c r="I59" s="38"/>
      <c r="J59" s="38">
        <f>SUM(J56:J58)</f>
        <v>0</v>
      </c>
      <c r="K59" s="38"/>
      <c r="L59" s="61">
        <f>SUM(L56:L58)</f>
        <v>126891</v>
      </c>
      <c r="M59" s="28"/>
      <c r="N59" s="131"/>
    </row>
    <row r="60" spans="1:14" ht="15.75">
      <c r="A60" s="27"/>
      <c r="B60" s="28"/>
      <c r="C60" s="38"/>
      <c r="D60" s="38"/>
      <c r="E60" s="38"/>
      <c r="F60" s="38"/>
      <c r="G60" s="38"/>
      <c r="H60" s="38"/>
      <c r="I60" s="38"/>
      <c r="J60" s="38"/>
      <c r="K60" s="38"/>
      <c r="L60" s="61"/>
      <c r="M60" s="28"/>
      <c r="N60" s="131"/>
    </row>
    <row r="61" spans="1:14" ht="15.75">
      <c r="A61" s="8"/>
      <c r="B61" s="154" t="s">
        <v>40</v>
      </c>
      <c r="C61" s="62"/>
      <c r="D61" s="62"/>
      <c r="E61" s="62"/>
      <c r="F61" s="62"/>
      <c r="G61" s="62"/>
      <c r="H61" s="62"/>
      <c r="I61" s="62"/>
      <c r="J61" s="62"/>
      <c r="K61" s="62"/>
      <c r="L61" s="63"/>
      <c r="M61" s="10"/>
      <c r="N61" s="131"/>
    </row>
    <row r="62" spans="1:14" ht="15.75">
      <c r="A62" s="8"/>
      <c r="B62" s="10"/>
      <c r="C62" s="62"/>
      <c r="D62" s="62"/>
      <c r="E62" s="62"/>
      <c r="F62" s="62"/>
      <c r="G62" s="62"/>
      <c r="H62" s="62"/>
      <c r="I62" s="62"/>
      <c r="J62" s="62"/>
      <c r="K62" s="62"/>
      <c r="L62" s="63"/>
      <c r="M62" s="10"/>
      <c r="N62" s="131"/>
    </row>
    <row r="63" spans="1:14" ht="15.75">
      <c r="A63" s="27"/>
      <c r="B63" s="28" t="s">
        <v>37</v>
      </c>
      <c r="C63" s="38"/>
      <c r="D63" s="38"/>
      <c r="E63" s="38"/>
      <c r="F63" s="38"/>
      <c r="G63" s="38"/>
      <c r="H63" s="38"/>
      <c r="I63" s="38"/>
      <c r="J63" s="38"/>
      <c r="K63" s="38"/>
      <c r="L63" s="61"/>
      <c r="M63" s="28"/>
      <c r="N63" s="131"/>
    </row>
    <row r="64" spans="1:14" ht="15.75">
      <c r="A64" s="27"/>
      <c r="B64" s="28" t="s">
        <v>38</v>
      </c>
      <c r="C64" s="38"/>
      <c r="D64" s="38"/>
      <c r="E64" s="38"/>
      <c r="F64" s="38"/>
      <c r="G64" s="38"/>
      <c r="H64" s="38"/>
      <c r="I64" s="38"/>
      <c r="J64" s="38"/>
      <c r="K64" s="38"/>
      <c r="L64" s="61"/>
      <c r="M64" s="28"/>
      <c r="N64" s="131"/>
    </row>
    <row r="65" spans="1:14" ht="15.75">
      <c r="A65" s="27"/>
      <c r="B65" s="28"/>
      <c r="C65" s="38"/>
      <c r="D65" s="38"/>
      <c r="E65" s="38"/>
      <c r="F65" s="38"/>
      <c r="G65" s="38"/>
      <c r="H65" s="38"/>
      <c r="I65" s="38"/>
      <c r="J65" s="38"/>
      <c r="K65" s="38"/>
      <c r="L65" s="61"/>
      <c r="M65" s="28"/>
      <c r="N65" s="131"/>
    </row>
    <row r="66" spans="1:14" ht="15.75">
      <c r="A66" s="27"/>
      <c r="B66" s="28" t="s">
        <v>39</v>
      </c>
      <c r="C66" s="38"/>
      <c r="D66" s="38"/>
      <c r="E66" s="38"/>
      <c r="F66" s="38"/>
      <c r="G66" s="38"/>
      <c r="H66" s="38"/>
      <c r="I66" s="38"/>
      <c r="J66" s="38"/>
      <c r="K66" s="38"/>
      <c r="L66" s="38"/>
      <c r="M66" s="28"/>
      <c r="N66" s="131"/>
    </row>
    <row r="67" spans="1:14" ht="15.75">
      <c r="A67" s="27"/>
      <c r="B67" s="28"/>
      <c r="C67" s="38"/>
      <c r="D67" s="38"/>
      <c r="E67" s="38"/>
      <c r="F67" s="38"/>
      <c r="G67" s="38"/>
      <c r="H67" s="38"/>
      <c r="I67" s="38"/>
      <c r="J67" s="38"/>
      <c r="K67" s="38"/>
      <c r="L67" s="38"/>
      <c r="M67" s="28"/>
      <c r="N67" s="131"/>
    </row>
    <row r="68" spans="1:14" ht="15.75">
      <c r="A68" s="27"/>
      <c r="B68" s="28" t="s">
        <v>41</v>
      </c>
      <c r="C68" s="38">
        <v>0</v>
      </c>
      <c r="D68" s="38">
        <v>0</v>
      </c>
      <c r="E68" s="38"/>
      <c r="F68" s="38"/>
      <c r="G68" s="38"/>
      <c r="H68" s="38"/>
      <c r="I68" s="38"/>
      <c r="J68" s="38"/>
      <c r="K68" s="38"/>
      <c r="L68" s="60">
        <f>D68-F68+H68-J68</f>
        <v>0</v>
      </c>
      <c r="M68" s="28"/>
      <c r="N68" s="131"/>
    </row>
    <row r="69" spans="1:14" ht="15.75">
      <c r="A69" s="27"/>
      <c r="B69" s="28" t="s">
        <v>42</v>
      </c>
      <c r="C69" s="38">
        <v>22352</v>
      </c>
      <c r="D69" s="38">
        <v>0</v>
      </c>
      <c r="E69" s="38"/>
      <c r="F69" s="38"/>
      <c r="G69" s="38"/>
      <c r="H69" s="38"/>
      <c r="I69" s="38"/>
      <c r="J69" s="38"/>
      <c r="K69" s="38"/>
      <c r="L69" s="61">
        <v>0</v>
      </c>
      <c r="M69" s="28"/>
      <c r="N69" s="131"/>
    </row>
    <row r="70" spans="1:14" ht="15.75">
      <c r="A70" s="27"/>
      <c r="B70" s="28" t="s">
        <v>43</v>
      </c>
      <c r="C70" s="38">
        <v>0</v>
      </c>
      <c r="D70" s="38">
        <v>9</v>
      </c>
      <c r="E70" s="38"/>
      <c r="F70" s="38"/>
      <c r="G70" s="38"/>
      <c r="H70" s="38"/>
      <c r="I70" s="38"/>
      <c r="J70" s="38"/>
      <c r="K70" s="38"/>
      <c r="L70" s="61">
        <v>0</v>
      </c>
      <c r="M70" s="28"/>
      <c r="N70" s="131"/>
    </row>
    <row r="71" spans="1:14" ht="15.75">
      <c r="A71" s="27"/>
      <c r="B71" s="28" t="s">
        <v>44</v>
      </c>
      <c r="C71" s="61">
        <f>SUM(C59:C70)</f>
        <v>185000</v>
      </c>
      <c r="D71" s="61">
        <f>SUM(D59:D70)</f>
        <v>132214</v>
      </c>
      <c r="E71" s="38"/>
      <c r="F71" s="61"/>
      <c r="G71" s="38"/>
      <c r="H71" s="61"/>
      <c r="I71" s="38"/>
      <c r="J71" s="61"/>
      <c r="K71" s="38"/>
      <c r="L71" s="61">
        <f>SUM(L59:L70)</f>
        <v>126891</v>
      </c>
      <c r="M71" s="28"/>
      <c r="N71" s="131"/>
    </row>
    <row r="72" spans="1:14" ht="15.75">
      <c r="A72" s="27"/>
      <c r="B72" s="28"/>
      <c r="C72" s="38"/>
      <c r="D72" s="38"/>
      <c r="E72" s="38"/>
      <c r="F72" s="38"/>
      <c r="G72" s="38"/>
      <c r="H72" s="38"/>
      <c r="I72" s="38"/>
      <c r="J72" s="38"/>
      <c r="K72" s="38"/>
      <c r="L72" s="61"/>
      <c r="M72" s="28"/>
      <c r="N72" s="131"/>
    </row>
    <row r="73" spans="1:14" ht="15.75">
      <c r="A73" s="8"/>
      <c r="B73" s="10"/>
      <c r="C73" s="10"/>
      <c r="D73" s="10"/>
      <c r="E73" s="10"/>
      <c r="F73" s="10"/>
      <c r="G73" s="10"/>
      <c r="H73" s="10"/>
      <c r="I73" s="10"/>
      <c r="J73" s="10"/>
      <c r="K73" s="10"/>
      <c r="L73" s="10"/>
      <c r="M73" s="10"/>
      <c r="N73" s="131"/>
    </row>
    <row r="74" spans="1:14" ht="15.75">
      <c r="A74" s="8"/>
      <c r="B74" s="58" t="s">
        <v>45</v>
      </c>
      <c r="C74" s="17"/>
      <c r="D74" s="17"/>
      <c r="E74" s="17"/>
      <c r="F74" s="17"/>
      <c r="G74" s="17"/>
      <c r="H74" s="17"/>
      <c r="I74" s="20"/>
      <c r="J74" s="20" t="s">
        <v>177</v>
      </c>
      <c r="K74" s="20"/>
      <c r="L74" s="20" t="s">
        <v>190</v>
      </c>
      <c r="M74" s="10"/>
      <c r="N74" s="131"/>
    </row>
    <row r="75" spans="1:14" ht="15.75">
      <c r="A75" s="27"/>
      <c r="B75" s="28" t="s">
        <v>46</v>
      </c>
      <c r="C75" s="28"/>
      <c r="D75" s="28"/>
      <c r="E75" s="28"/>
      <c r="F75" s="28"/>
      <c r="G75" s="28"/>
      <c r="H75" s="28"/>
      <c r="I75" s="28"/>
      <c r="J75" s="38">
        <v>0</v>
      </c>
      <c r="K75" s="28"/>
      <c r="L75" s="60">
        <v>0</v>
      </c>
      <c r="M75" s="28"/>
      <c r="N75" s="131"/>
    </row>
    <row r="76" spans="1:14" ht="15.75">
      <c r="A76" s="27"/>
      <c r="B76" s="28" t="s">
        <v>47</v>
      </c>
      <c r="C76" s="47" t="s">
        <v>146</v>
      </c>
      <c r="D76" s="65">
        <v>37621</v>
      </c>
      <c r="E76" s="28"/>
      <c r="F76" s="28"/>
      <c r="G76" s="28"/>
      <c r="H76" s="28"/>
      <c r="I76" s="28"/>
      <c r="J76" s="38">
        <f>5314+9</f>
        <v>5323</v>
      </c>
      <c r="K76" s="28"/>
      <c r="L76" s="60"/>
      <c r="M76" s="28"/>
      <c r="N76" s="131"/>
    </row>
    <row r="77" spans="1:14" ht="15.75">
      <c r="A77" s="27"/>
      <c r="B77" s="28" t="s">
        <v>48</v>
      </c>
      <c r="C77" s="28"/>
      <c r="D77" s="28"/>
      <c r="E77" s="28"/>
      <c r="F77" s="28"/>
      <c r="G77" s="28"/>
      <c r="H77" s="28"/>
      <c r="I77" s="28"/>
      <c r="J77" s="38"/>
      <c r="K77" s="28"/>
      <c r="L77" s="60">
        <f>1951-4+283-15</f>
        <v>2215</v>
      </c>
      <c r="M77" s="28"/>
      <c r="N77" s="131"/>
    </row>
    <row r="78" spans="1:14" ht="15.75">
      <c r="A78" s="27"/>
      <c r="B78" s="28" t="s">
        <v>49</v>
      </c>
      <c r="C78" s="28"/>
      <c r="D78" s="28"/>
      <c r="E78" s="28"/>
      <c r="F78" s="28"/>
      <c r="G78" s="28"/>
      <c r="H78" s="28"/>
      <c r="I78" s="28"/>
      <c r="J78" s="38"/>
      <c r="K78" s="28"/>
      <c r="L78" s="60">
        <v>0</v>
      </c>
      <c r="M78" s="28"/>
      <c r="N78" s="131"/>
    </row>
    <row r="79" spans="1:14" ht="15.75">
      <c r="A79" s="27"/>
      <c r="B79" s="28" t="s">
        <v>50</v>
      </c>
      <c r="C79" s="28"/>
      <c r="D79" s="28"/>
      <c r="E79" s="28"/>
      <c r="F79" s="28"/>
      <c r="G79" s="28"/>
      <c r="H79" s="28"/>
      <c r="I79" s="28"/>
      <c r="J79" s="38">
        <f>SUM(J75:J78)</f>
        <v>5323</v>
      </c>
      <c r="K79" s="28"/>
      <c r="L79" s="61">
        <f>SUM(L75:L78)</f>
        <v>2215</v>
      </c>
      <c r="M79" s="28"/>
      <c r="N79" s="131"/>
    </row>
    <row r="80" spans="1:14" ht="15.75">
      <c r="A80" s="27"/>
      <c r="B80" s="28" t="s">
        <v>51</v>
      </c>
      <c r="C80" s="28"/>
      <c r="D80" s="28"/>
      <c r="E80" s="28"/>
      <c r="F80" s="28"/>
      <c r="G80" s="28"/>
      <c r="H80" s="28"/>
      <c r="I80" s="28"/>
      <c r="J80" s="38">
        <v>0</v>
      </c>
      <c r="K80" s="28"/>
      <c r="L80" s="60">
        <v>0</v>
      </c>
      <c r="M80" s="28"/>
      <c r="N80" s="131"/>
    </row>
    <row r="81" spans="1:14" ht="15.75">
      <c r="A81" s="27"/>
      <c r="B81" s="28" t="s">
        <v>52</v>
      </c>
      <c r="C81" s="28"/>
      <c r="D81" s="28"/>
      <c r="E81" s="28"/>
      <c r="F81" s="28"/>
      <c r="G81" s="28"/>
      <c r="H81" s="28"/>
      <c r="I81" s="28"/>
      <c r="J81" s="38">
        <f>J79+J80</f>
        <v>5323</v>
      </c>
      <c r="K81" s="28"/>
      <c r="L81" s="61">
        <f>L79+L80</f>
        <v>2215</v>
      </c>
      <c r="M81" s="28"/>
      <c r="N81" s="131"/>
    </row>
    <row r="82" spans="1:14" ht="15.75">
      <c r="A82" s="27"/>
      <c r="B82" s="166" t="s">
        <v>53</v>
      </c>
      <c r="C82" s="66"/>
      <c r="D82" s="28"/>
      <c r="E82" s="28"/>
      <c r="F82" s="28"/>
      <c r="G82" s="28"/>
      <c r="H82" s="28"/>
      <c r="I82" s="28"/>
      <c r="J82" s="38"/>
      <c r="K82" s="28"/>
      <c r="L82" s="60"/>
      <c r="M82" s="28"/>
      <c r="N82" s="131"/>
    </row>
    <row r="83" spans="1:14" ht="15.75">
      <c r="A83" s="27">
        <v>1</v>
      </c>
      <c r="B83" s="28" t="s">
        <v>54</v>
      </c>
      <c r="C83" s="28"/>
      <c r="D83" s="28"/>
      <c r="E83" s="28"/>
      <c r="F83" s="28"/>
      <c r="G83" s="28"/>
      <c r="H83" s="28"/>
      <c r="I83" s="28"/>
      <c r="J83" s="28"/>
      <c r="K83" s="28"/>
      <c r="L83" s="60">
        <v>0</v>
      </c>
      <c r="M83" s="28"/>
      <c r="N83" s="131"/>
    </row>
    <row r="84" spans="1:14" ht="15.75">
      <c r="A84" s="27">
        <v>2</v>
      </c>
      <c r="B84" s="28" t="s">
        <v>55</v>
      </c>
      <c r="C84" s="28"/>
      <c r="D84" s="28"/>
      <c r="E84" s="28"/>
      <c r="F84" s="28"/>
      <c r="G84" s="28"/>
      <c r="H84" s="28"/>
      <c r="I84" s="28"/>
      <c r="J84" s="28"/>
      <c r="K84" s="28"/>
      <c r="L84" s="60">
        <v>-3</v>
      </c>
      <c r="M84" s="28"/>
      <c r="N84" s="131"/>
    </row>
    <row r="85" spans="1:14" ht="15.75">
      <c r="A85" s="27">
        <v>3</v>
      </c>
      <c r="B85" s="28" t="s">
        <v>56</v>
      </c>
      <c r="C85" s="28"/>
      <c r="D85" s="28"/>
      <c r="E85" s="28"/>
      <c r="F85" s="28"/>
      <c r="G85" s="28"/>
      <c r="H85" s="28"/>
      <c r="I85" s="28"/>
      <c r="J85" s="28"/>
      <c r="K85" s="28"/>
      <c r="L85" s="60">
        <f>-101-4</f>
        <v>-105</v>
      </c>
      <c r="M85" s="28"/>
      <c r="N85" s="131"/>
    </row>
    <row r="86" spans="1:14" ht="15.75">
      <c r="A86" s="27">
        <v>4</v>
      </c>
      <c r="B86" s="28" t="s">
        <v>57</v>
      </c>
      <c r="C86" s="28"/>
      <c r="D86" s="28"/>
      <c r="E86" s="28"/>
      <c r="F86" s="28"/>
      <c r="G86" s="28"/>
      <c r="H86" s="28"/>
      <c r="I86" s="28"/>
      <c r="J86" s="28"/>
      <c r="K86" s="28"/>
      <c r="L86" s="60">
        <v>-157</v>
      </c>
      <c r="M86" s="28"/>
      <c r="N86" s="131"/>
    </row>
    <row r="87" spans="1:14" ht="15.75">
      <c r="A87" s="27">
        <v>5</v>
      </c>
      <c r="B87" s="28" t="s">
        <v>58</v>
      </c>
      <c r="C87" s="28"/>
      <c r="D87" s="28"/>
      <c r="E87" s="28"/>
      <c r="F87" s="28"/>
      <c r="G87" s="28"/>
      <c r="H87" s="28"/>
      <c r="I87" s="28"/>
      <c r="J87" s="28"/>
      <c r="K87" s="28"/>
      <c r="L87" s="60">
        <v>-1239</v>
      </c>
      <c r="M87" s="28"/>
      <c r="N87" s="131"/>
    </row>
    <row r="88" spans="1:14" ht="15.75">
      <c r="A88" s="27">
        <v>6</v>
      </c>
      <c r="B88" s="28" t="s">
        <v>59</v>
      </c>
      <c r="C88" s="28"/>
      <c r="D88" s="28"/>
      <c r="E88" s="28"/>
      <c r="F88" s="28"/>
      <c r="G88" s="28"/>
      <c r="H88" s="28"/>
      <c r="I88" s="28"/>
      <c r="J88" s="28"/>
      <c r="K88" s="28"/>
      <c r="L88" s="60">
        <v>-205</v>
      </c>
      <c r="M88" s="28"/>
      <c r="N88" s="131"/>
    </row>
    <row r="89" spans="1:14" ht="15.75">
      <c r="A89" s="27">
        <v>7</v>
      </c>
      <c r="B89" s="28" t="s">
        <v>60</v>
      </c>
      <c r="C89" s="28"/>
      <c r="D89" s="28"/>
      <c r="E89" s="28"/>
      <c r="F89" s="28"/>
      <c r="G89" s="28"/>
      <c r="H89" s="28"/>
      <c r="I89" s="28"/>
      <c r="J89" s="28"/>
      <c r="K89" s="28"/>
      <c r="L89" s="60">
        <v>-5</v>
      </c>
      <c r="M89" s="28"/>
      <c r="N89" s="131"/>
    </row>
    <row r="90" spans="1:14" ht="15.75">
      <c r="A90" s="27">
        <v>8</v>
      </c>
      <c r="B90" s="28" t="s">
        <v>61</v>
      </c>
      <c r="C90" s="28"/>
      <c r="D90" s="28"/>
      <c r="E90" s="28"/>
      <c r="F90" s="28"/>
      <c r="G90" s="28"/>
      <c r="H90" s="28"/>
      <c r="I90" s="28"/>
      <c r="J90" s="28"/>
      <c r="K90" s="28"/>
      <c r="L90" s="60">
        <v>0</v>
      </c>
      <c r="M90" s="28"/>
      <c r="N90" s="131"/>
    </row>
    <row r="91" spans="1:14" ht="15.75">
      <c r="A91" s="27">
        <v>9</v>
      </c>
      <c r="B91" s="28" t="s">
        <v>62</v>
      </c>
      <c r="C91" s="28"/>
      <c r="D91" s="28"/>
      <c r="E91" s="28"/>
      <c r="F91" s="28"/>
      <c r="G91" s="28"/>
      <c r="H91" s="28"/>
      <c r="I91" s="28"/>
      <c r="J91" s="28"/>
      <c r="K91" s="28"/>
      <c r="L91" s="60">
        <v>0</v>
      </c>
      <c r="M91" s="28"/>
      <c r="N91" s="131"/>
    </row>
    <row r="92" spans="1:14" ht="15.75">
      <c r="A92" s="27">
        <v>10</v>
      </c>
      <c r="B92" s="28" t="s">
        <v>63</v>
      </c>
      <c r="C92" s="28"/>
      <c r="D92" s="28"/>
      <c r="E92" s="28"/>
      <c r="F92" s="28"/>
      <c r="G92" s="28"/>
      <c r="H92" s="28"/>
      <c r="I92" s="28"/>
      <c r="J92" s="28"/>
      <c r="K92" s="28"/>
      <c r="L92" s="60">
        <v>0</v>
      </c>
      <c r="M92" s="28"/>
      <c r="N92" s="131"/>
    </row>
    <row r="93" spans="1:14" ht="15.75">
      <c r="A93" s="27">
        <v>11</v>
      </c>
      <c r="B93" s="28" t="s">
        <v>64</v>
      </c>
      <c r="C93" s="28"/>
      <c r="D93" s="28"/>
      <c r="E93" s="28"/>
      <c r="F93" s="28"/>
      <c r="G93" s="28"/>
      <c r="H93" s="28"/>
      <c r="I93" s="28"/>
      <c r="J93" s="28"/>
      <c r="K93" s="28"/>
      <c r="L93" s="60">
        <v>0</v>
      </c>
      <c r="M93" s="28"/>
      <c r="N93" s="131"/>
    </row>
    <row r="94" spans="1:14" ht="15.75">
      <c r="A94" s="27">
        <v>12</v>
      </c>
      <c r="B94" s="28" t="s">
        <v>65</v>
      </c>
      <c r="C94" s="28"/>
      <c r="D94" s="28"/>
      <c r="E94" s="28"/>
      <c r="F94" s="28"/>
      <c r="G94" s="28"/>
      <c r="H94" s="28"/>
      <c r="I94" s="28"/>
      <c r="J94" s="28"/>
      <c r="K94" s="28"/>
      <c r="L94" s="60">
        <f>-6-114</f>
        <v>-120</v>
      </c>
      <c r="M94" s="28"/>
      <c r="N94" s="131"/>
    </row>
    <row r="95" spans="1:14" ht="15.75">
      <c r="A95" s="27">
        <v>13</v>
      </c>
      <c r="B95" s="28" t="s">
        <v>66</v>
      </c>
      <c r="C95" s="28"/>
      <c r="D95" s="28"/>
      <c r="E95" s="28"/>
      <c r="F95" s="28"/>
      <c r="G95" s="28"/>
      <c r="H95" s="28"/>
      <c r="I95" s="28"/>
      <c r="J95" s="28"/>
      <c r="K95" s="28"/>
      <c r="L95" s="60">
        <f>-SUM(L81:L94)</f>
        <v>-381</v>
      </c>
      <c r="M95" s="28"/>
      <c r="N95" s="131"/>
    </row>
    <row r="96" spans="1:14" ht="15.75">
      <c r="A96" s="27"/>
      <c r="B96" s="166" t="s">
        <v>67</v>
      </c>
      <c r="C96" s="66"/>
      <c r="D96" s="28"/>
      <c r="E96" s="28"/>
      <c r="F96" s="28"/>
      <c r="G96" s="28"/>
      <c r="H96" s="28"/>
      <c r="I96" s="28"/>
      <c r="J96" s="28"/>
      <c r="K96" s="28"/>
      <c r="L96" s="67"/>
      <c r="M96" s="28"/>
      <c r="N96" s="131"/>
    </row>
    <row r="97" spans="1:14" ht="15.75">
      <c r="A97" s="27"/>
      <c r="B97" s="28" t="s">
        <v>68</v>
      </c>
      <c r="C97" s="66"/>
      <c r="D97" s="28"/>
      <c r="E97" s="28"/>
      <c r="F97" s="28"/>
      <c r="G97" s="28"/>
      <c r="H97" s="28"/>
      <c r="I97" s="28"/>
      <c r="J97" s="38">
        <f>-J143</f>
        <v>0</v>
      </c>
      <c r="K97" s="38"/>
      <c r="L97" s="60"/>
      <c r="M97" s="28"/>
      <c r="N97" s="131"/>
    </row>
    <row r="98" spans="1:14" ht="15.75">
      <c r="A98" s="27"/>
      <c r="B98" s="28" t="s">
        <v>69</v>
      </c>
      <c r="C98" s="28"/>
      <c r="D98" s="28"/>
      <c r="E98" s="28"/>
      <c r="F98" s="28"/>
      <c r="G98" s="28"/>
      <c r="H98" s="28"/>
      <c r="I98" s="28"/>
      <c r="J98" s="38">
        <f>-H143</f>
        <v>0</v>
      </c>
      <c r="K98" s="38"/>
      <c r="L98" s="60"/>
      <c r="M98" s="28"/>
      <c r="N98" s="131"/>
    </row>
    <row r="99" spans="1:14" ht="15.75">
      <c r="A99" s="27"/>
      <c r="B99" s="28" t="s">
        <v>70</v>
      </c>
      <c r="C99" s="28"/>
      <c r="D99" s="28"/>
      <c r="E99" s="28"/>
      <c r="F99" s="28"/>
      <c r="G99" s="28"/>
      <c r="H99" s="28"/>
      <c r="I99" s="28"/>
      <c r="J99" s="38">
        <v>-5323</v>
      </c>
      <c r="K99" s="38"/>
      <c r="L99" s="60"/>
      <c r="M99" s="28"/>
      <c r="N99" s="131"/>
    </row>
    <row r="100" spans="1:14" ht="15.75">
      <c r="A100" s="27"/>
      <c r="B100" s="28" t="s">
        <v>71</v>
      </c>
      <c r="C100" s="28"/>
      <c r="D100" s="28"/>
      <c r="E100" s="28"/>
      <c r="F100" s="28"/>
      <c r="G100" s="28"/>
      <c r="H100" s="28"/>
      <c r="I100" s="28"/>
      <c r="J100" s="38">
        <v>0</v>
      </c>
      <c r="K100" s="38"/>
      <c r="L100" s="60"/>
      <c r="M100" s="28"/>
      <c r="N100" s="131"/>
    </row>
    <row r="101" spans="1:14" ht="15.75">
      <c r="A101" s="27"/>
      <c r="B101" s="28" t="s">
        <v>72</v>
      </c>
      <c r="C101" s="28"/>
      <c r="D101" s="28"/>
      <c r="E101" s="28"/>
      <c r="F101" s="28"/>
      <c r="G101" s="28"/>
      <c r="H101" s="28"/>
      <c r="I101" s="28"/>
      <c r="J101" s="38">
        <f>SUM(J82:J100)</f>
        <v>-5323</v>
      </c>
      <c r="K101" s="38"/>
      <c r="L101" s="38">
        <f>SUM(L82:L100)</f>
        <v>-2215</v>
      </c>
      <c r="M101" s="28"/>
      <c r="N101" s="131"/>
    </row>
    <row r="102" spans="1:14" ht="15.75">
      <c r="A102" s="27"/>
      <c r="B102" s="28" t="s">
        <v>73</v>
      </c>
      <c r="C102" s="28"/>
      <c r="D102" s="28"/>
      <c r="E102" s="28"/>
      <c r="F102" s="28"/>
      <c r="G102" s="28"/>
      <c r="H102" s="28"/>
      <c r="I102" s="28"/>
      <c r="J102" s="38">
        <f>J81+J101</f>
        <v>0</v>
      </c>
      <c r="K102" s="38"/>
      <c r="L102" s="38">
        <f>L81+L101</f>
        <v>0</v>
      </c>
      <c r="M102" s="28"/>
      <c r="N102" s="131"/>
    </row>
    <row r="103" spans="1:14" ht="15.75">
      <c r="A103" s="27"/>
      <c r="B103" s="28"/>
      <c r="C103" s="28"/>
      <c r="D103" s="28"/>
      <c r="E103" s="28"/>
      <c r="F103" s="28"/>
      <c r="G103" s="28"/>
      <c r="H103" s="28"/>
      <c r="I103" s="28"/>
      <c r="J103" s="38"/>
      <c r="K103" s="38"/>
      <c r="L103" s="38"/>
      <c r="M103" s="28"/>
      <c r="N103" s="131"/>
    </row>
    <row r="104" spans="1:14" ht="15.75">
      <c r="A104" s="8"/>
      <c r="B104" s="10"/>
      <c r="C104" s="10"/>
      <c r="D104" s="10"/>
      <c r="E104" s="10"/>
      <c r="F104" s="10"/>
      <c r="G104" s="10"/>
      <c r="H104" s="10"/>
      <c r="I104" s="10"/>
      <c r="J104" s="62"/>
      <c r="K104" s="62"/>
      <c r="L104" s="62"/>
      <c r="M104" s="10"/>
      <c r="N104" s="131"/>
    </row>
    <row r="105" spans="1:14" ht="19.5" thickBot="1">
      <c r="A105" s="138"/>
      <c r="B105" s="139" t="str">
        <f>B51</f>
        <v>PM1 INVESTOR REPORT QUARTER ENDING DECEMBER 2002</v>
      </c>
      <c r="C105" s="140"/>
      <c r="D105" s="140"/>
      <c r="E105" s="140"/>
      <c r="F105" s="140"/>
      <c r="G105" s="140"/>
      <c r="H105" s="140"/>
      <c r="I105" s="140"/>
      <c r="J105" s="143"/>
      <c r="K105" s="143"/>
      <c r="L105" s="143"/>
      <c r="M105" s="142"/>
      <c r="N105" s="131"/>
    </row>
    <row r="106" spans="1:14" ht="12" customHeight="1">
      <c r="A106" s="2"/>
      <c r="B106" s="5"/>
      <c r="C106" s="5"/>
      <c r="D106" s="5"/>
      <c r="E106" s="5"/>
      <c r="F106" s="5"/>
      <c r="G106" s="5"/>
      <c r="H106" s="5"/>
      <c r="I106" s="5"/>
      <c r="J106" s="5"/>
      <c r="K106" s="5"/>
      <c r="L106" s="57"/>
      <c r="M106" s="5"/>
      <c r="N106" s="131"/>
    </row>
    <row r="107" spans="1:14" ht="12" customHeight="1">
      <c r="A107" s="8"/>
      <c r="B107" s="10"/>
      <c r="C107" s="10"/>
      <c r="D107" s="10"/>
      <c r="E107" s="10"/>
      <c r="F107" s="10"/>
      <c r="G107" s="10"/>
      <c r="H107" s="10"/>
      <c r="I107" s="10"/>
      <c r="J107" s="10"/>
      <c r="K107" s="10"/>
      <c r="L107" s="59"/>
      <c r="M107" s="10"/>
      <c r="N107" s="131"/>
    </row>
    <row r="108" spans="1:14" ht="15.75">
      <c r="A108" s="8"/>
      <c r="B108" s="58" t="s">
        <v>74</v>
      </c>
      <c r="C108" s="16"/>
      <c r="D108" s="10"/>
      <c r="E108" s="10"/>
      <c r="F108" s="10"/>
      <c r="G108" s="10"/>
      <c r="H108" s="10"/>
      <c r="I108" s="10"/>
      <c r="J108" s="10"/>
      <c r="K108" s="10"/>
      <c r="L108" s="59"/>
      <c r="M108" s="10"/>
      <c r="N108" s="131"/>
    </row>
    <row r="109" spans="1:14" ht="15.75">
      <c r="A109" s="8"/>
      <c r="B109" s="23"/>
      <c r="C109" s="16"/>
      <c r="D109" s="10"/>
      <c r="E109" s="10"/>
      <c r="F109" s="10"/>
      <c r="G109" s="10"/>
      <c r="H109" s="10"/>
      <c r="I109" s="10"/>
      <c r="J109" s="10"/>
      <c r="K109" s="10"/>
      <c r="L109" s="59"/>
      <c r="M109" s="10"/>
      <c r="N109" s="131"/>
    </row>
    <row r="110" spans="1:14" ht="15.75">
      <c r="A110" s="8"/>
      <c r="B110" s="167" t="s">
        <v>75</v>
      </c>
      <c r="C110" s="16"/>
      <c r="D110" s="10"/>
      <c r="E110" s="10"/>
      <c r="F110" s="10"/>
      <c r="G110" s="10"/>
      <c r="H110" s="10"/>
      <c r="I110" s="10"/>
      <c r="J110" s="10"/>
      <c r="K110" s="10"/>
      <c r="L110" s="59"/>
      <c r="M110" s="10"/>
      <c r="N110" s="131"/>
    </row>
    <row r="111" spans="1:14" ht="15.75">
      <c r="A111" s="27"/>
      <c r="B111" s="28" t="s">
        <v>76</v>
      </c>
      <c r="C111" s="28"/>
      <c r="D111" s="28"/>
      <c r="E111" s="28"/>
      <c r="F111" s="28"/>
      <c r="G111" s="28"/>
      <c r="H111" s="28"/>
      <c r="I111" s="28"/>
      <c r="J111" s="28"/>
      <c r="K111" s="28"/>
      <c r="L111" s="60">
        <v>4625</v>
      </c>
      <c r="M111" s="28"/>
      <c r="N111" s="131"/>
    </row>
    <row r="112" spans="1:14" ht="15.75">
      <c r="A112" s="27"/>
      <c r="B112" s="28" t="s">
        <v>77</v>
      </c>
      <c r="C112" s="28"/>
      <c r="D112" s="28"/>
      <c r="E112" s="28"/>
      <c r="F112" s="28"/>
      <c r="G112" s="28"/>
      <c r="H112" s="28"/>
      <c r="I112" s="28"/>
      <c r="J112" s="28"/>
      <c r="K112" s="28"/>
      <c r="L112" s="60">
        <v>4625</v>
      </c>
      <c r="M112" s="28"/>
      <c r="N112" s="131"/>
    </row>
    <row r="113" spans="1:14" ht="15.75">
      <c r="A113" s="27"/>
      <c r="B113" s="28" t="s">
        <v>78</v>
      </c>
      <c r="C113" s="28"/>
      <c r="D113" s="28"/>
      <c r="E113" s="28"/>
      <c r="F113" s="28"/>
      <c r="G113" s="28"/>
      <c r="H113" s="28"/>
      <c r="I113" s="28"/>
      <c r="J113" s="28"/>
      <c r="K113" s="28"/>
      <c r="L113" s="60">
        <v>0</v>
      </c>
      <c r="M113" s="28"/>
      <c r="N113" s="131"/>
    </row>
    <row r="114" spans="1:14" ht="15.75">
      <c r="A114" s="27"/>
      <c r="B114" s="28" t="s">
        <v>79</v>
      </c>
      <c r="C114" s="28"/>
      <c r="D114" s="28"/>
      <c r="E114" s="28"/>
      <c r="F114" s="28"/>
      <c r="G114" s="28"/>
      <c r="H114" s="28"/>
      <c r="I114" s="28"/>
      <c r="J114" s="28"/>
      <c r="K114" s="28"/>
      <c r="L114" s="60">
        <v>0</v>
      </c>
      <c r="M114" s="28"/>
      <c r="N114" s="131"/>
    </row>
    <row r="115" spans="1:14" ht="15.75">
      <c r="A115" s="27"/>
      <c r="B115" s="28" t="s">
        <v>80</v>
      </c>
      <c r="C115" s="28"/>
      <c r="D115" s="28"/>
      <c r="E115" s="28"/>
      <c r="F115" s="28"/>
      <c r="G115" s="28"/>
      <c r="H115" s="28"/>
      <c r="I115" s="28"/>
      <c r="J115" s="28"/>
      <c r="K115" s="28"/>
      <c r="L115" s="60">
        <v>0</v>
      </c>
      <c r="M115" s="28"/>
      <c r="N115" s="131"/>
    </row>
    <row r="116" spans="1:14" ht="15.75">
      <c r="A116" s="27"/>
      <c r="B116" s="28" t="s">
        <v>58</v>
      </c>
      <c r="C116" s="28"/>
      <c r="D116" s="28"/>
      <c r="E116" s="28"/>
      <c r="F116" s="28"/>
      <c r="G116" s="28"/>
      <c r="H116" s="28"/>
      <c r="I116" s="28"/>
      <c r="J116" s="28"/>
      <c r="K116" s="28"/>
      <c r="L116" s="60">
        <v>0</v>
      </c>
      <c r="M116" s="28"/>
      <c r="N116" s="131"/>
    </row>
    <row r="117" spans="1:14" ht="15.75">
      <c r="A117" s="27"/>
      <c r="B117" s="28" t="s">
        <v>59</v>
      </c>
      <c r="C117" s="28"/>
      <c r="D117" s="28"/>
      <c r="E117" s="28"/>
      <c r="F117" s="28"/>
      <c r="G117" s="28"/>
      <c r="H117" s="28"/>
      <c r="I117" s="28"/>
      <c r="J117" s="28"/>
      <c r="K117" s="28"/>
      <c r="L117" s="60">
        <v>0</v>
      </c>
      <c r="M117" s="28"/>
      <c r="N117" s="131"/>
    </row>
    <row r="118" spans="1:14" ht="15.75">
      <c r="A118" s="27"/>
      <c r="B118" s="28" t="s">
        <v>81</v>
      </c>
      <c r="C118" s="28"/>
      <c r="D118" s="28"/>
      <c r="E118" s="28"/>
      <c r="F118" s="28"/>
      <c r="G118" s="28"/>
      <c r="H118" s="28"/>
      <c r="I118" s="28"/>
      <c r="J118" s="28"/>
      <c r="K118" s="28"/>
      <c r="L118" s="60">
        <f>SUM(L112:L116)</f>
        <v>4625</v>
      </c>
      <c r="M118" s="28"/>
      <c r="N118" s="131"/>
    </row>
    <row r="119" spans="1:14" ht="15.75">
      <c r="A119" s="27"/>
      <c r="B119" s="28"/>
      <c r="C119" s="28"/>
      <c r="D119" s="28"/>
      <c r="E119" s="28"/>
      <c r="F119" s="28"/>
      <c r="G119" s="28"/>
      <c r="H119" s="28"/>
      <c r="I119" s="28"/>
      <c r="J119" s="28"/>
      <c r="K119" s="28"/>
      <c r="L119" s="68"/>
      <c r="M119" s="28"/>
      <c r="N119" s="131"/>
    </row>
    <row r="120" spans="1:14" ht="15.75">
      <c r="A120" s="8"/>
      <c r="B120" s="167" t="s">
        <v>82</v>
      </c>
      <c r="C120" s="10"/>
      <c r="D120" s="10"/>
      <c r="E120" s="10"/>
      <c r="F120" s="10"/>
      <c r="G120" s="10"/>
      <c r="H120" s="10"/>
      <c r="I120" s="10"/>
      <c r="J120" s="10"/>
      <c r="K120" s="10"/>
      <c r="L120" s="59"/>
      <c r="M120" s="10"/>
      <c r="N120" s="131"/>
    </row>
    <row r="121" spans="1:14" ht="15.75">
      <c r="A121" s="27"/>
      <c r="B121" s="28" t="s">
        <v>83</v>
      </c>
      <c r="C121" s="28"/>
      <c r="D121" s="69"/>
      <c r="E121" s="28"/>
      <c r="F121" s="28"/>
      <c r="G121" s="28"/>
      <c r="H121" s="28"/>
      <c r="I121" s="28"/>
      <c r="J121" s="28"/>
      <c r="K121" s="28"/>
      <c r="L121" s="70" t="s">
        <v>156</v>
      </c>
      <c r="M121" s="28"/>
      <c r="N121" s="131"/>
    </row>
    <row r="122" spans="1:14" ht="15.75">
      <c r="A122" s="27"/>
      <c r="B122" s="28" t="s">
        <v>84</v>
      </c>
      <c r="C122" s="30"/>
      <c r="D122" s="30"/>
      <c r="E122" s="30"/>
      <c r="F122" s="30"/>
      <c r="G122" s="30"/>
      <c r="H122" s="30"/>
      <c r="I122" s="30"/>
      <c r="J122" s="30"/>
      <c r="K122" s="30"/>
      <c r="L122" s="70" t="s">
        <v>156</v>
      </c>
      <c r="M122" s="28"/>
      <c r="N122" s="131"/>
    </row>
    <row r="123" spans="1:14" ht="15.75">
      <c r="A123" s="27"/>
      <c r="B123" s="28" t="s">
        <v>85</v>
      </c>
      <c r="C123" s="28"/>
      <c r="D123" s="28"/>
      <c r="E123" s="28"/>
      <c r="F123" s="28"/>
      <c r="G123" s="28"/>
      <c r="H123" s="28"/>
      <c r="I123" s="28"/>
      <c r="J123" s="28"/>
      <c r="K123" s="28"/>
      <c r="L123" s="70" t="s">
        <v>156</v>
      </c>
      <c r="M123" s="28"/>
      <c r="N123" s="131"/>
    </row>
    <row r="124" spans="1:14" ht="15.75">
      <c r="A124" s="27"/>
      <c r="B124" s="28" t="s">
        <v>86</v>
      </c>
      <c r="C124" s="28"/>
      <c r="D124" s="28"/>
      <c r="E124" s="28"/>
      <c r="F124" s="28"/>
      <c r="G124" s="28"/>
      <c r="H124" s="28"/>
      <c r="I124" s="28"/>
      <c r="J124" s="28"/>
      <c r="K124" s="28"/>
      <c r="L124" s="70" t="s">
        <v>156</v>
      </c>
      <c r="M124" s="28"/>
      <c r="N124" s="131"/>
    </row>
    <row r="125" spans="1:14" ht="15.75">
      <c r="A125" s="27"/>
      <c r="B125" s="28"/>
      <c r="C125" s="28"/>
      <c r="D125" s="28"/>
      <c r="E125" s="28"/>
      <c r="F125" s="28"/>
      <c r="G125" s="28"/>
      <c r="H125" s="28"/>
      <c r="I125" s="28"/>
      <c r="J125" s="28"/>
      <c r="K125" s="28"/>
      <c r="L125" s="68"/>
      <c r="M125" s="28"/>
      <c r="N125" s="131"/>
    </row>
    <row r="126" spans="1:14" ht="15.75">
      <c r="A126" s="8"/>
      <c r="B126" s="167" t="s">
        <v>87</v>
      </c>
      <c r="C126" s="16"/>
      <c r="D126" s="10"/>
      <c r="E126" s="10"/>
      <c r="F126" s="10"/>
      <c r="G126" s="10"/>
      <c r="H126" s="10"/>
      <c r="I126" s="10"/>
      <c r="J126" s="10"/>
      <c r="K126" s="10"/>
      <c r="L126" s="71"/>
      <c r="M126" s="10"/>
      <c r="N126" s="131"/>
    </row>
    <row r="127" spans="1:14" ht="15.75">
      <c r="A127" s="27"/>
      <c r="B127" s="28" t="s">
        <v>88</v>
      </c>
      <c r="C127" s="28"/>
      <c r="D127" s="28"/>
      <c r="E127" s="28"/>
      <c r="F127" s="28"/>
      <c r="G127" s="28"/>
      <c r="H127" s="28"/>
      <c r="I127" s="28"/>
      <c r="J127" s="28"/>
      <c r="K127" s="28"/>
      <c r="L127" s="60">
        <v>0</v>
      </c>
      <c r="M127" s="28"/>
      <c r="N127" s="131"/>
    </row>
    <row r="128" spans="1:14" ht="15.75">
      <c r="A128" s="27"/>
      <c r="B128" s="28" t="s">
        <v>89</v>
      </c>
      <c r="C128" s="28"/>
      <c r="D128" s="28"/>
      <c r="E128" s="28"/>
      <c r="F128" s="28"/>
      <c r="G128" s="28"/>
      <c r="H128" s="28"/>
      <c r="I128" s="28"/>
      <c r="J128" s="28"/>
      <c r="K128" s="28"/>
      <c r="L128" s="60">
        <v>0</v>
      </c>
      <c r="M128" s="28"/>
      <c r="N128" s="131"/>
    </row>
    <row r="129" spans="1:14" ht="15.75">
      <c r="A129" s="27"/>
      <c r="B129" s="28" t="s">
        <v>90</v>
      </c>
      <c r="C129" s="28"/>
      <c r="D129" s="28"/>
      <c r="E129" s="28"/>
      <c r="F129" s="28"/>
      <c r="G129" s="28"/>
      <c r="H129" s="28"/>
      <c r="I129" s="28"/>
      <c r="J129" s="28"/>
      <c r="K129" s="28"/>
      <c r="L129" s="60">
        <f>L127+L128</f>
        <v>0</v>
      </c>
      <c r="M129" s="28"/>
      <c r="N129" s="131"/>
    </row>
    <row r="130" spans="1:14" ht="15.75">
      <c r="A130" s="27"/>
      <c r="B130" s="28" t="s">
        <v>91</v>
      </c>
      <c r="C130" s="28"/>
      <c r="D130" s="28"/>
      <c r="E130" s="28"/>
      <c r="F130" s="28"/>
      <c r="G130" s="28"/>
      <c r="H130" s="72"/>
      <c r="I130" s="28"/>
      <c r="J130" s="28"/>
      <c r="K130" s="28"/>
      <c r="L130" s="60">
        <v>0</v>
      </c>
      <c r="M130" s="28"/>
      <c r="N130" s="131"/>
    </row>
    <row r="131" spans="1:14" ht="15.75">
      <c r="A131" s="27"/>
      <c r="B131" s="28" t="s">
        <v>92</v>
      </c>
      <c r="C131" s="28"/>
      <c r="D131" s="28"/>
      <c r="E131" s="28"/>
      <c r="F131" s="28"/>
      <c r="G131" s="28"/>
      <c r="H131" s="28"/>
      <c r="I131" s="28"/>
      <c r="J131" s="28"/>
      <c r="K131" s="28"/>
      <c r="L131" s="60">
        <f>L129+L130</f>
        <v>0</v>
      </c>
      <c r="M131" s="28"/>
      <c r="N131" s="131"/>
    </row>
    <row r="132" spans="1:14" ht="7.5" customHeight="1">
      <c r="A132" s="27"/>
      <c r="B132" s="28"/>
      <c r="C132" s="28"/>
      <c r="D132" s="28"/>
      <c r="E132" s="28"/>
      <c r="F132" s="28"/>
      <c r="G132" s="28"/>
      <c r="H132" s="28"/>
      <c r="I132" s="28"/>
      <c r="J132" s="28"/>
      <c r="K132" s="28"/>
      <c r="L132" s="68"/>
      <c r="M132" s="28"/>
      <c r="N132" s="131"/>
    </row>
    <row r="133" spans="1:14" ht="6" customHeight="1">
      <c r="A133" s="2"/>
      <c r="B133" s="5"/>
      <c r="C133" s="5"/>
      <c r="D133" s="5"/>
      <c r="E133" s="5"/>
      <c r="F133" s="5"/>
      <c r="G133" s="5"/>
      <c r="H133" s="5"/>
      <c r="I133" s="5"/>
      <c r="J133" s="5"/>
      <c r="K133" s="5"/>
      <c r="L133" s="57"/>
      <c r="M133" s="5"/>
      <c r="N133" s="131"/>
    </row>
    <row r="134" spans="1:14" ht="15.75">
      <c r="A134" s="8"/>
      <c r="B134" s="167" t="s">
        <v>93</v>
      </c>
      <c r="C134" s="16"/>
      <c r="D134" s="10"/>
      <c r="E134" s="10"/>
      <c r="F134" s="10"/>
      <c r="G134" s="10"/>
      <c r="H134" s="10"/>
      <c r="I134" s="10"/>
      <c r="J134" s="10"/>
      <c r="K134" s="10"/>
      <c r="L134" s="59"/>
      <c r="M134" s="10"/>
      <c r="N134" s="131"/>
    </row>
    <row r="135" spans="1:14" ht="15.75">
      <c r="A135" s="8"/>
      <c r="B135" s="23"/>
      <c r="C135" s="16"/>
      <c r="D135" s="10"/>
      <c r="E135" s="10"/>
      <c r="F135" s="10"/>
      <c r="G135" s="10"/>
      <c r="H135" s="10"/>
      <c r="I135" s="10"/>
      <c r="J135" s="10"/>
      <c r="K135" s="10"/>
      <c r="L135" s="59"/>
      <c r="M135" s="10"/>
      <c r="N135" s="131"/>
    </row>
    <row r="136" spans="1:14" ht="15.75">
      <c r="A136" s="27"/>
      <c r="B136" s="28" t="s">
        <v>94</v>
      </c>
      <c r="C136" s="73"/>
      <c r="D136" s="28"/>
      <c r="E136" s="28"/>
      <c r="F136" s="28"/>
      <c r="G136" s="28"/>
      <c r="H136" s="28"/>
      <c r="I136" s="28"/>
      <c r="J136" s="28"/>
      <c r="K136" s="28"/>
      <c r="L136" s="60">
        <f>L59</f>
        <v>126891</v>
      </c>
      <c r="M136" s="28"/>
      <c r="N136" s="131"/>
    </row>
    <row r="137" spans="1:15" ht="15.75">
      <c r="A137" s="27"/>
      <c r="B137" s="28" t="s">
        <v>95</v>
      </c>
      <c r="C137" s="73"/>
      <c r="D137" s="28"/>
      <c r="E137" s="28"/>
      <c r="F137" s="28"/>
      <c r="G137" s="28"/>
      <c r="H137" s="28"/>
      <c r="I137" s="28"/>
      <c r="J137" s="28"/>
      <c r="K137" s="28"/>
      <c r="L137" s="60">
        <f>L71</f>
        <v>126891</v>
      </c>
      <c r="M137" s="28"/>
      <c r="N137" s="131"/>
      <c r="O137" s="137"/>
    </row>
    <row r="138" spans="1:14" ht="7.5" customHeight="1">
      <c r="A138" s="27"/>
      <c r="B138" s="28"/>
      <c r="C138" s="28"/>
      <c r="D138" s="28"/>
      <c r="E138" s="28"/>
      <c r="F138" s="28"/>
      <c r="G138" s="28"/>
      <c r="H138" s="28"/>
      <c r="I138" s="28"/>
      <c r="J138" s="28"/>
      <c r="K138" s="28"/>
      <c r="L138" s="68"/>
      <c r="M138" s="28"/>
      <c r="N138" s="131"/>
    </row>
    <row r="139" spans="1:14" ht="15.75">
      <c r="A139" s="2"/>
      <c r="B139" s="5"/>
      <c r="C139" s="5"/>
      <c r="D139" s="5"/>
      <c r="E139" s="5"/>
      <c r="F139" s="5"/>
      <c r="G139" s="5"/>
      <c r="H139" s="5"/>
      <c r="I139" s="5"/>
      <c r="J139" s="5"/>
      <c r="K139" s="5"/>
      <c r="L139" s="57"/>
      <c r="M139" s="5"/>
      <c r="N139" s="131"/>
    </row>
    <row r="140" spans="1:14" ht="15.75">
      <c r="A140" s="132"/>
      <c r="B140" s="167" t="s">
        <v>96</v>
      </c>
      <c r="C140" s="154"/>
      <c r="D140" s="154"/>
      <c r="E140" s="154"/>
      <c r="F140" s="154"/>
      <c r="G140" s="154"/>
      <c r="H140" s="168" t="s">
        <v>171</v>
      </c>
      <c r="I140" s="168"/>
      <c r="J140" s="168" t="s">
        <v>178</v>
      </c>
      <c r="K140" s="154"/>
      <c r="L140" s="169" t="s">
        <v>191</v>
      </c>
      <c r="M140" s="12"/>
      <c r="N140" s="131"/>
    </row>
    <row r="141" spans="1:14" ht="15.75">
      <c r="A141" s="27"/>
      <c r="B141" s="28" t="s">
        <v>97</v>
      </c>
      <c r="C141" s="28"/>
      <c r="D141" s="28"/>
      <c r="E141" s="28"/>
      <c r="F141" s="28"/>
      <c r="G141" s="28"/>
      <c r="H141" s="60">
        <v>20000</v>
      </c>
      <c r="I141" s="28"/>
      <c r="J141" s="47"/>
      <c r="K141" s="28"/>
      <c r="L141" s="60"/>
      <c r="M141" s="28"/>
      <c r="N141" s="131"/>
    </row>
    <row r="142" spans="1:14" ht="15.75">
      <c r="A142" s="27"/>
      <c r="B142" s="28" t="s">
        <v>98</v>
      </c>
      <c r="C142" s="28"/>
      <c r="D142" s="28"/>
      <c r="E142" s="28"/>
      <c r="F142" s="28"/>
      <c r="G142" s="28"/>
      <c r="H142" s="60">
        <v>19448</v>
      </c>
      <c r="I142" s="28"/>
      <c r="J142" s="28">
        <v>552</v>
      </c>
      <c r="K142" s="28"/>
      <c r="L142" s="60">
        <f>J142+H142</f>
        <v>20000</v>
      </c>
      <c r="M142" s="28"/>
      <c r="N142" s="131"/>
    </row>
    <row r="143" spans="1:14" ht="15.75">
      <c r="A143" s="27"/>
      <c r="B143" s="28" t="s">
        <v>99</v>
      </c>
      <c r="C143" s="28"/>
      <c r="D143" s="28"/>
      <c r="E143" s="28"/>
      <c r="F143" s="28"/>
      <c r="G143" s="28"/>
      <c r="H143" s="38">
        <v>0</v>
      </c>
      <c r="I143" s="28"/>
      <c r="J143" s="28">
        <v>0</v>
      </c>
      <c r="K143" s="28"/>
      <c r="L143" s="60">
        <f>J143+H143</f>
        <v>0</v>
      </c>
      <c r="M143" s="28"/>
      <c r="N143" s="131"/>
    </row>
    <row r="144" spans="1:14" ht="15.75">
      <c r="A144" s="27"/>
      <c r="B144" s="28" t="s">
        <v>100</v>
      </c>
      <c r="C144" s="28"/>
      <c r="D144" s="28"/>
      <c r="E144" s="28"/>
      <c r="F144" s="28"/>
      <c r="G144" s="28"/>
      <c r="H144" s="60">
        <f>H142+H143</f>
        <v>19448</v>
      </c>
      <c r="I144" s="28"/>
      <c r="J144" s="60">
        <f>J143+J142</f>
        <v>552</v>
      </c>
      <c r="K144" s="28"/>
      <c r="L144" s="60">
        <f>J144+H144</f>
        <v>20000</v>
      </c>
      <c r="M144" s="28"/>
      <c r="N144" s="131"/>
    </row>
    <row r="145" spans="1:14" ht="15.75">
      <c r="A145" s="27"/>
      <c r="B145" s="28" t="s">
        <v>101</v>
      </c>
      <c r="C145" s="28"/>
      <c r="D145" s="28"/>
      <c r="E145" s="28"/>
      <c r="F145" s="28"/>
      <c r="G145" s="28"/>
      <c r="H145" s="60">
        <f>H141-H144-J144</f>
        <v>0</v>
      </c>
      <c r="I145" s="28"/>
      <c r="J145" s="47"/>
      <c r="K145" s="28"/>
      <c r="L145" s="60"/>
      <c r="M145" s="28"/>
      <c r="N145" s="131"/>
    </row>
    <row r="146" spans="1:14" ht="7.5" customHeight="1">
      <c r="A146" s="27"/>
      <c r="B146" s="28"/>
      <c r="C146" s="28"/>
      <c r="D146" s="28"/>
      <c r="E146" s="28"/>
      <c r="F146" s="28"/>
      <c r="G146" s="28"/>
      <c r="H146" s="28"/>
      <c r="I146" s="28"/>
      <c r="J146" s="28"/>
      <c r="K146" s="28"/>
      <c r="L146" s="68"/>
      <c r="M146" s="28"/>
      <c r="N146" s="131"/>
    </row>
    <row r="147" spans="1:14" ht="9" customHeight="1">
      <c r="A147" s="2"/>
      <c r="B147" s="5"/>
      <c r="C147" s="5"/>
      <c r="D147" s="5"/>
      <c r="E147" s="5"/>
      <c r="F147" s="5"/>
      <c r="G147" s="5"/>
      <c r="H147" s="5"/>
      <c r="I147" s="5"/>
      <c r="J147" s="5"/>
      <c r="K147" s="5"/>
      <c r="L147" s="57"/>
      <c r="M147" s="5"/>
      <c r="N147" s="131"/>
    </row>
    <row r="148" spans="1:14" ht="15.75">
      <c r="A148" s="8"/>
      <c r="B148" s="167" t="s">
        <v>102</v>
      </c>
      <c r="C148" s="16"/>
      <c r="D148" s="10"/>
      <c r="E148" s="10"/>
      <c r="F148" s="10"/>
      <c r="G148" s="10"/>
      <c r="H148" s="10"/>
      <c r="I148" s="10"/>
      <c r="J148" s="10"/>
      <c r="K148" s="10"/>
      <c r="L148" s="74"/>
      <c r="M148" s="10"/>
      <c r="N148" s="131"/>
    </row>
    <row r="149" spans="1:14" ht="15.75">
      <c r="A149" s="27"/>
      <c r="B149" s="28" t="s">
        <v>103</v>
      </c>
      <c r="C149" s="28"/>
      <c r="D149" s="28"/>
      <c r="E149" s="28"/>
      <c r="F149" s="28"/>
      <c r="G149" s="28"/>
      <c r="H149" s="28"/>
      <c r="I149" s="28"/>
      <c r="J149" s="28"/>
      <c r="K149" s="28"/>
      <c r="L149" s="67">
        <f>(L81+L83+L84+L85+L86)/-L87</f>
        <v>1.5738498789346247</v>
      </c>
      <c r="M149" s="28" t="s">
        <v>192</v>
      </c>
      <c r="N149" s="131"/>
    </row>
    <row r="150" spans="1:14" ht="15.75">
      <c r="A150" s="27"/>
      <c r="B150" s="28" t="s">
        <v>104</v>
      </c>
      <c r="C150" s="28"/>
      <c r="D150" s="28"/>
      <c r="E150" s="28"/>
      <c r="F150" s="28"/>
      <c r="G150" s="28"/>
      <c r="H150" s="28"/>
      <c r="I150" s="28"/>
      <c r="J150" s="28"/>
      <c r="K150" s="28"/>
      <c r="L150" s="67">
        <v>1.41</v>
      </c>
      <c r="M150" s="28" t="s">
        <v>192</v>
      </c>
      <c r="N150" s="131"/>
    </row>
    <row r="151" spans="1:14" ht="15.75">
      <c r="A151" s="27"/>
      <c r="B151" s="28" t="s">
        <v>105</v>
      </c>
      <c r="C151" s="28"/>
      <c r="D151" s="28"/>
      <c r="E151" s="28"/>
      <c r="F151" s="28"/>
      <c r="G151" s="28"/>
      <c r="H151" s="28"/>
      <c r="I151" s="28"/>
      <c r="J151" s="28"/>
      <c r="K151" s="28"/>
      <c r="L151" s="67">
        <f>(L81+SUM(L83:L87))/-L88</f>
        <v>3.4682926829268292</v>
      </c>
      <c r="M151" s="28" t="s">
        <v>192</v>
      </c>
      <c r="N151" s="131"/>
    </row>
    <row r="152" spans="1:14" ht="15.75">
      <c r="A152" s="27"/>
      <c r="B152" s="28" t="s">
        <v>106</v>
      </c>
      <c r="C152" s="28"/>
      <c r="D152" s="28"/>
      <c r="E152" s="28"/>
      <c r="F152" s="28"/>
      <c r="G152" s="28"/>
      <c r="H152" s="28"/>
      <c r="I152" s="28"/>
      <c r="J152" s="28"/>
      <c r="K152" s="28"/>
      <c r="L152" s="75">
        <v>3.27</v>
      </c>
      <c r="M152" s="28" t="s">
        <v>192</v>
      </c>
      <c r="N152" s="131"/>
    </row>
    <row r="153" spans="1:14" ht="7.5" customHeight="1">
      <c r="A153" s="27"/>
      <c r="B153" s="28"/>
      <c r="C153" s="28"/>
      <c r="D153" s="28"/>
      <c r="E153" s="28"/>
      <c r="F153" s="28"/>
      <c r="G153" s="28"/>
      <c r="H153" s="28"/>
      <c r="I153" s="28"/>
      <c r="J153" s="28"/>
      <c r="K153" s="28"/>
      <c r="L153" s="28"/>
      <c r="M153" s="28"/>
      <c r="N153" s="131"/>
    </row>
    <row r="154" spans="1:14" ht="15.75">
      <c r="A154" s="8"/>
      <c r="B154" s="15"/>
      <c r="C154" s="15"/>
      <c r="D154" s="15"/>
      <c r="E154" s="15"/>
      <c r="F154" s="15"/>
      <c r="G154" s="15"/>
      <c r="H154" s="15"/>
      <c r="I154" s="15"/>
      <c r="J154" s="15"/>
      <c r="K154" s="15"/>
      <c r="L154" s="15"/>
      <c r="M154" s="15"/>
      <c r="N154" s="131"/>
    </row>
    <row r="155" spans="1:14" ht="15.75">
      <c r="A155" s="8"/>
      <c r="B155" s="15"/>
      <c r="C155" s="15"/>
      <c r="D155" s="15"/>
      <c r="E155" s="15"/>
      <c r="F155" s="15"/>
      <c r="G155" s="15"/>
      <c r="H155" s="15"/>
      <c r="I155" s="15"/>
      <c r="J155" s="15"/>
      <c r="K155" s="15"/>
      <c r="L155" s="15"/>
      <c r="M155" s="15"/>
      <c r="N155" s="131"/>
    </row>
    <row r="156" spans="1:14" ht="19.5" thickBot="1">
      <c r="A156" s="138"/>
      <c r="B156" s="139" t="str">
        <f>B105</f>
        <v>PM1 INVESTOR REPORT QUARTER ENDING DECEMBER 2002</v>
      </c>
      <c r="C156" s="144"/>
      <c r="D156" s="144"/>
      <c r="E156" s="144"/>
      <c r="F156" s="144"/>
      <c r="G156" s="144"/>
      <c r="H156" s="144"/>
      <c r="I156" s="144"/>
      <c r="J156" s="144"/>
      <c r="K156" s="144"/>
      <c r="L156" s="144"/>
      <c r="M156" s="145"/>
      <c r="N156" s="131"/>
    </row>
    <row r="157" spans="1:14" ht="15.75">
      <c r="A157" s="133"/>
      <c r="B157" s="77" t="s">
        <v>107</v>
      </c>
      <c r="C157" s="78"/>
      <c r="D157" s="78"/>
      <c r="E157" s="78"/>
      <c r="F157" s="78"/>
      <c r="G157" s="79"/>
      <c r="H157" s="79"/>
      <c r="I157" s="79"/>
      <c r="J157" s="79">
        <v>37621</v>
      </c>
      <c r="K157" s="80"/>
      <c r="L157" s="5"/>
      <c r="M157" s="5"/>
      <c r="N157" s="131"/>
    </row>
    <row r="158" spans="1:14" ht="15.75">
      <c r="A158" s="82"/>
      <c r="B158" s="83"/>
      <c r="C158" s="84"/>
      <c r="D158" s="84"/>
      <c r="E158" s="84"/>
      <c r="F158" s="84"/>
      <c r="G158" s="85"/>
      <c r="H158" s="85"/>
      <c r="I158" s="85"/>
      <c r="J158" s="85"/>
      <c r="K158" s="10"/>
      <c r="L158" s="10"/>
      <c r="M158" s="10"/>
      <c r="N158" s="131"/>
    </row>
    <row r="159" spans="1:14" ht="15.75">
      <c r="A159" s="86"/>
      <c r="B159" s="87" t="s">
        <v>108</v>
      </c>
      <c r="C159" s="88"/>
      <c r="D159" s="88"/>
      <c r="E159" s="88"/>
      <c r="F159" s="88"/>
      <c r="G159" s="72"/>
      <c r="H159" s="72"/>
      <c r="I159" s="72"/>
      <c r="J159" s="89">
        <v>0.0714</v>
      </c>
      <c r="K159" s="28"/>
      <c r="L159" s="28"/>
      <c r="M159" s="28"/>
      <c r="N159" s="131"/>
    </row>
    <row r="160" spans="1:14" ht="15.75">
      <c r="A160" s="86"/>
      <c r="B160" s="87" t="s">
        <v>109</v>
      </c>
      <c r="C160" s="88"/>
      <c r="D160" s="88"/>
      <c r="E160" s="88"/>
      <c r="F160" s="88"/>
      <c r="G160" s="72"/>
      <c r="H160" s="72"/>
      <c r="I160" s="72"/>
      <c r="J160" s="46">
        <v>0.0553</v>
      </c>
      <c r="K160" s="28"/>
      <c r="L160" s="28"/>
      <c r="M160" s="28"/>
      <c r="N160" s="131"/>
    </row>
    <row r="161" spans="1:14" ht="15.75">
      <c r="A161" s="86"/>
      <c r="B161" s="87" t="s">
        <v>110</v>
      </c>
      <c r="C161" s="88"/>
      <c r="D161" s="88"/>
      <c r="E161" s="88"/>
      <c r="F161" s="88"/>
      <c r="G161" s="72"/>
      <c r="H161" s="72"/>
      <c r="I161" s="72"/>
      <c r="J161" s="89">
        <f>J159-J160</f>
        <v>0.016100000000000003</v>
      </c>
      <c r="K161" s="28"/>
      <c r="L161" s="28"/>
      <c r="M161" s="28"/>
      <c r="N161" s="131"/>
    </row>
    <row r="162" spans="1:14" ht="15.75">
      <c r="A162" s="86"/>
      <c r="B162" s="87" t="s">
        <v>111</v>
      </c>
      <c r="C162" s="88"/>
      <c r="D162" s="88"/>
      <c r="E162" s="88"/>
      <c r="F162" s="88"/>
      <c r="G162" s="72"/>
      <c r="H162" s="72"/>
      <c r="I162" s="72"/>
      <c r="J162" s="89">
        <v>0.0631</v>
      </c>
      <c r="K162" s="28"/>
      <c r="L162" s="28"/>
      <c r="M162" s="28"/>
      <c r="N162" s="131"/>
    </row>
    <row r="163" spans="1:14" ht="15.75">
      <c r="A163" s="86"/>
      <c r="B163" s="87" t="s">
        <v>112</v>
      </c>
      <c r="C163" s="88"/>
      <c r="D163" s="88"/>
      <c r="E163" s="88"/>
      <c r="F163" s="88"/>
      <c r="G163" s="72"/>
      <c r="H163" s="72"/>
      <c r="I163" s="72"/>
      <c r="J163" s="89">
        <f>L33</f>
        <v>0.043343613532120705</v>
      </c>
      <c r="K163" s="28"/>
      <c r="L163" s="28"/>
      <c r="M163" s="28"/>
      <c r="N163" s="131"/>
    </row>
    <row r="164" spans="1:14" ht="15.75">
      <c r="A164" s="86"/>
      <c r="B164" s="87" t="s">
        <v>113</v>
      </c>
      <c r="C164" s="88"/>
      <c r="D164" s="88"/>
      <c r="E164" s="88"/>
      <c r="F164" s="88"/>
      <c r="G164" s="72"/>
      <c r="H164" s="72"/>
      <c r="I164" s="72"/>
      <c r="J164" s="89">
        <f>J162-J163</f>
        <v>0.0197563864678793</v>
      </c>
      <c r="K164" s="28"/>
      <c r="L164" s="28"/>
      <c r="M164" s="28"/>
      <c r="N164" s="131"/>
    </row>
    <row r="165" spans="1:14" ht="15.75">
      <c r="A165" s="86"/>
      <c r="B165" s="87" t="s">
        <v>114</v>
      </c>
      <c r="C165" s="88"/>
      <c r="D165" s="88"/>
      <c r="E165" s="88"/>
      <c r="F165" s="88"/>
      <c r="G165" s="72"/>
      <c r="H165" s="72"/>
      <c r="I165" s="72"/>
      <c r="J165" s="90" t="s">
        <v>179</v>
      </c>
      <c r="K165" s="28"/>
      <c r="L165" s="28"/>
      <c r="M165" s="28"/>
      <c r="N165" s="131"/>
    </row>
    <row r="166" spans="1:14" ht="15.75">
      <c r="A166" s="86"/>
      <c r="B166" s="87" t="s">
        <v>115</v>
      </c>
      <c r="C166" s="88"/>
      <c r="D166" s="88"/>
      <c r="E166" s="88"/>
      <c r="F166" s="88"/>
      <c r="G166" s="72"/>
      <c r="H166" s="72"/>
      <c r="I166" s="72"/>
      <c r="J166" s="90" t="s">
        <v>180</v>
      </c>
      <c r="K166" s="28"/>
      <c r="L166" s="28"/>
      <c r="M166" s="28"/>
      <c r="N166" s="131"/>
    </row>
    <row r="167" spans="1:14" ht="15.75">
      <c r="A167" s="86"/>
      <c r="B167" s="87" t="s">
        <v>116</v>
      </c>
      <c r="C167" s="88"/>
      <c r="D167" s="88"/>
      <c r="E167" s="88"/>
      <c r="F167" s="88"/>
      <c r="G167" s="72"/>
      <c r="H167" s="72"/>
      <c r="I167" s="72"/>
      <c r="J167" s="91">
        <v>18.53</v>
      </c>
      <c r="K167" s="28" t="s">
        <v>184</v>
      </c>
      <c r="L167" s="28"/>
      <c r="M167" s="28"/>
      <c r="N167" s="131"/>
    </row>
    <row r="168" spans="1:14" ht="15.75">
      <c r="A168" s="86"/>
      <c r="B168" s="87" t="s">
        <v>117</v>
      </c>
      <c r="C168" s="88"/>
      <c r="D168" s="88"/>
      <c r="E168" s="88"/>
      <c r="F168" s="88"/>
      <c r="G168" s="72"/>
      <c r="H168" s="72"/>
      <c r="I168" s="72"/>
      <c r="J168" s="91">
        <v>15.59</v>
      </c>
      <c r="K168" s="28" t="s">
        <v>184</v>
      </c>
      <c r="L168" s="28"/>
      <c r="M168" s="28"/>
      <c r="N168" s="131"/>
    </row>
    <row r="169" spans="1:14" ht="15.75">
      <c r="A169" s="86"/>
      <c r="B169" s="87" t="s">
        <v>118</v>
      </c>
      <c r="C169" s="88"/>
      <c r="D169" s="88"/>
      <c r="E169" s="88"/>
      <c r="F169" s="88"/>
      <c r="G169" s="72"/>
      <c r="H169" s="72"/>
      <c r="I169" s="72"/>
      <c r="J169" s="89">
        <f>F56/'Sept 02'!L56</f>
        <v>0.04019515146930903</v>
      </c>
      <c r="K169" s="28"/>
      <c r="L169" s="28"/>
      <c r="M169" s="28"/>
      <c r="N169" s="131"/>
    </row>
    <row r="170" spans="1:14" ht="15.75">
      <c r="A170" s="86"/>
      <c r="B170" s="87" t="s">
        <v>119</v>
      </c>
      <c r="C170" s="88"/>
      <c r="D170" s="88"/>
      <c r="E170" s="88"/>
      <c r="F170" s="88"/>
      <c r="G170" s="72"/>
      <c r="H170" s="72"/>
      <c r="I170" s="72"/>
      <c r="J170" s="89">
        <v>0.134</v>
      </c>
      <c r="K170" s="28"/>
      <c r="L170" s="28"/>
      <c r="M170" s="28"/>
      <c r="N170" s="131"/>
    </row>
    <row r="171" spans="1:14" ht="15.75">
      <c r="A171" s="86"/>
      <c r="B171" s="87"/>
      <c r="C171" s="87"/>
      <c r="D171" s="87"/>
      <c r="E171" s="87"/>
      <c r="F171" s="87"/>
      <c r="G171" s="28"/>
      <c r="H171" s="28"/>
      <c r="I171" s="28"/>
      <c r="J171" s="68"/>
      <c r="K171" s="28"/>
      <c r="L171" s="92"/>
      <c r="M171" s="28"/>
      <c r="N171" s="131"/>
    </row>
    <row r="172" spans="1:14" ht="15.75">
      <c r="A172" s="93"/>
      <c r="B172" s="17" t="s">
        <v>120</v>
      </c>
      <c r="C172" s="20"/>
      <c r="D172" s="94"/>
      <c r="E172" s="20"/>
      <c r="F172" s="94"/>
      <c r="G172" s="20"/>
      <c r="H172" s="94"/>
      <c r="I172" s="20" t="s">
        <v>172</v>
      </c>
      <c r="J172" s="94" t="s">
        <v>181</v>
      </c>
      <c r="K172" s="18"/>
      <c r="L172" s="18"/>
      <c r="M172" s="10"/>
      <c r="N172" s="131"/>
    </row>
    <row r="173" spans="1:14" ht="15.75">
      <c r="A173" s="95"/>
      <c r="B173" s="87" t="s">
        <v>121</v>
      </c>
      <c r="C173" s="61"/>
      <c r="D173" s="61"/>
      <c r="E173" s="61"/>
      <c r="F173" s="28"/>
      <c r="G173" s="28"/>
      <c r="H173" s="28"/>
      <c r="I173" s="31">
        <v>18</v>
      </c>
      <c r="J173" s="96">
        <v>658</v>
      </c>
      <c r="K173" s="28"/>
      <c r="L173" s="92"/>
      <c r="M173" s="97"/>
      <c r="N173" s="131"/>
    </row>
    <row r="174" spans="1:14" ht="15.75">
      <c r="A174" s="95"/>
      <c r="B174" s="87" t="s">
        <v>122</v>
      </c>
      <c r="C174" s="61"/>
      <c r="D174" s="61"/>
      <c r="E174" s="61"/>
      <c r="F174" s="28"/>
      <c r="G174" s="28"/>
      <c r="H174" s="28"/>
      <c r="I174" s="31">
        <v>0</v>
      </c>
      <c r="J174" s="96">
        <v>0</v>
      </c>
      <c r="K174" s="28"/>
      <c r="L174" s="92"/>
      <c r="M174" s="97"/>
      <c r="N174" s="131"/>
    </row>
    <row r="175" spans="1:14" ht="15.75">
      <c r="A175" s="95"/>
      <c r="B175" s="170" t="s">
        <v>123</v>
      </c>
      <c r="C175" s="61"/>
      <c r="D175" s="61"/>
      <c r="E175" s="61"/>
      <c r="F175" s="28"/>
      <c r="G175" s="28"/>
      <c r="H175" s="28"/>
      <c r="I175" s="28"/>
      <c r="J175" s="96">
        <v>0</v>
      </c>
      <c r="K175" s="28"/>
      <c r="L175" s="92"/>
      <c r="M175" s="97"/>
      <c r="N175" s="131"/>
    </row>
    <row r="176" spans="1:14" ht="15.75">
      <c r="A176" s="95"/>
      <c r="B176" s="170" t="s">
        <v>124</v>
      </c>
      <c r="C176" s="61"/>
      <c r="D176" s="61"/>
      <c r="E176" s="61"/>
      <c r="F176" s="28"/>
      <c r="G176" s="28"/>
      <c r="H176" s="28"/>
      <c r="I176" s="28"/>
      <c r="J176" s="96">
        <v>22352</v>
      </c>
      <c r="K176" s="28"/>
      <c r="L176" s="92"/>
      <c r="M176" s="97"/>
      <c r="N176" s="131"/>
    </row>
    <row r="177" spans="1:14" ht="15.75">
      <c r="A177" s="98"/>
      <c r="B177" s="170" t="s">
        <v>125</v>
      </c>
      <c r="C177" s="61"/>
      <c r="D177" s="87"/>
      <c r="E177" s="87"/>
      <c r="F177" s="87"/>
      <c r="G177" s="28"/>
      <c r="H177" s="28"/>
      <c r="I177" s="28"/>
      <c r="J177" s="96">
        <v>0</v>
      </c>
      <c r="K177" s="28"/>
      <c r="L177" s="92"/>
      <c r="M177" s="99"/>
      <c r="N177" s="131"/>
    </row>
    <row r="178" spans="1:14" ht="15.75">
      <c r="A178" s="95"/>
      <c r="B178" s="87" t="s">
        <v>126</v>
      </c>
      <c r="C178" s="61"/>
      <c r="D178" s="61"/>
      <c r="E178" s="61"/>
      <c r="F178" s="61"/>
      <c r="G178" s="28"/>
      <c r="H178" s="28"/>
      <c r="I178" s="28">
        <v>0</v>
      </c>
      <c r="J178" s="96">
        <v>0</v>
      </c>
      <c r="K178" s="28"/>
      <c r="L178" s="92"/>
      <c r="M178" s="99"/>
      <c r="N178" s="131"/>
    </row>
    <row r="179" spans="1:14" ht="15.75">
      <c r="A179" s="95"/>
      <c r="B179" s="87" t="s">
        <v>127</v>
      </c>
      <c r="C179" s="61"/>
      <c r="D179" s="61"/>
      <c r="E179" s="61"/>
      <c r="F179" s="61"/>
      <c r="G179" s="28"/>
      <c r="H179" s="28"/>
      <c r="I179" s="28">
        <v>3</v>
      </c>
      <c r="J179" s="96">
        <v>39</v>
      </c>
      <c r="K179" s="28"/>
      <c r="L179" s="92"/>
      <c r="M179" s="99"/>
      <c r="N179" s="131"/>
    </row>
    <row r="180" spans="1:14" ht="15.75">
      <c r="A180" s="95"/>
      <c r="B180" s="87" t="s">
        <v>204</v>
      </c>
      <c r="C180" s="61"/>
      <c r="D180" s="61"/>
      <c r="E180" s="61"/>
      <c r="F180" s="61"/>
      <c r="G180" s="28"/>
      <c r="H180" s="28"/>
      <c r="I180" s="28"/>
      <c r="J180" s="96">
        <v>0</v>
      </c>
      <c r="K180" s="28"/>
      <c r="L180" s="92"/>
      <c r="M180" s="99"/>
      <c r="N180" s="131"/>
    </row>
    <row r="181" spans="1:14" ht="15.75">
      <c r="A181" s="98"/>
      <c r="B181" s="170" t="s">
        <v>128</v>
      </c>
      <c r="C181" s="61"/>
      <c r="D181" s="87"/>
      <c r="E181" s="87"/>
      <c r="F181" s="87"/>
      <c r="G181" s="28"/>
      <c r="H181" s="28"/>
      <c r="I181" s="28"/>
      <c r="J181" s="96"/>
      <c r="K181" s="28"/>
      <c r="L181" s="92"/>
      <c r="M181" s="99"/>
      <c r="N181" s="131"/>
    </row>
    <row r="182" spans="1:14" ht="15.75">
      <c r="A182" s="98"/>
      <c r="B182" s="87" t="s">
        <v>129</v>
      </c>
      <c r="C182" s="61"/>
      <c r="D182" s="87"/>
      <c r="E182" s="87"/>
      <c r="F182" s="87"/>
      <c r="G182" s="28"/>
      <c r="H182" s="28"/>
      <c r="I182" s="28"/>
      <c r="J182" s="96">
        <v>0</v>
      </c>
      <c r="K182" s="28"/>
      <c r="L182" s="92"/>
      <c r="M182" s="99"/>
      <c r="N182" s="131"/>
    </row>
    <row r="183" spans="1:14" ht="15.75">
      <c r="A183" s="95"/>
      <c r="B183" s="87" t="s">
        <v>130</v>
      </c>
      <c r="C183" s="61"/>
      <c r="D183" s="100"/>
      <c r="E183" s="100"/>
      <c r="F183" s="101"/>
      <c r="G183" s="28"/>
      <c r="H183" s="28"/>
      <c r="I183" s="28"/>
      <c r="J183" s="96">
        <v>0</v>
      </c>
      <c r="K183" s="28"/>
      <c r="L183" s="92"/>
      <c r="M183" s="99"/>
      <c r="N183" s="131"/>
    </row>
    <row r="184" spans="1:14" ht="15.75">
      <c r="A184" s="95"/>
      <c r="B184" s="87" t="s">
        <v>131</v>
      </c>
      <c r="C184" s="61"/>
      <c r="D184" s="100"/>
      <c r="E184" s="100"/>
      <c r="F184" s="101"/>
      <c r="G184" s="28"/>
      <c r="H184" s="28"/>
      <c r="I184" s="28"/>
      <c r="J184" s="96">
        <v>0</v>
      </c>
      <c r="K184" s="28"/>
      <c r="L184" s="92"/>
      <c r="M184" s="99"/>
      <c r="N184" s="131"/>
    </row>
    <row r="185" spans="1:14" ht="15.75">
      <c r="A185" s="95"/>
      <c r="B185" s="87" t="s">
        <v>132</v>
      </c>
      <c r="C185" s="61"/>
      <c r="D185" s="102"/>
      <c r="E185" s="100"/>
      <c r="F185" s="101"/>
      <c r="G185" s="28"/>
      <c r="H185" s="28"/>
      <c r="I185" s="28"/>
      <c r="J185" s="103">
        <v>0</v>
      </c>
      <c r="K185" s="28"/>
      <c r="L185" s="92"/>
      <c r="M185" s="99"/>
      <c r="N185" s="131"/>
    </row>
    <row r="186" spans="1:14" ht="15.75">
      <c r="A186" s="95"/>
      <c r="B186" s="87"/>
      <c r="C186" s="61"/>
      <c r="D186" s="102"/>
      <c r="E186" s="100"/>
      <c r="F186" s="101"/>
      <c r="G186" s="28"/>
      <c r="H186" s="28"/>
      <c r="I186" s="28"/>
      <c r="J186" s="103"/>
      <c r="K186" s="28"/>
      <c r="L186" s="92"/>
      <c r="M186" s="99"/>
      <c r="N186" s="131"/>
    </row>
    <row r="187" spans="1:14" ht="15.75">
      <c r="A187" s="8"/>
      <c r="B187" s="17" t="s">
        <v>133</v>
      </c>
      <c r="C187" s="20"/>
      <c r="D187" s="94"/>
      <c r="E187" s="20"/>
      <c r="F187" s="94"/>
      <c r="G187" s="20"/>
      <c r="H187" s="94" t="s">
        <v>172</v>
      </c>
      <c r="I187" s="20" t="s">
        <v>173</v>
      </c>
      <c r="J187" s="94" t="s">
        <v>182</v>
      </c>
      <c r="K187" s="20" t="s">
        <v>173</v>
      </c>
      <c r="L187" s="18"/>
      <c r="M187" s="104"/>
      <c r="N187" s="131"/>
    </row>
    <row r="188" spans="1:14" ht="15.75">
      <c r="A188" s="27"/>
      <c r="B188" s="61" t="s">
        <v>134</v>
      </c>
      <c r="C188" s="105"/>
      <c r="D188" s="61"/>
      <c r="E188" s="105"/>
      <c r="F188" s="28"/>
      <c r="G188" s="105"/>
      <c r="H188" s="61">
        <v>2385</v>
      </c>
      <c r="I188" s="105">
        <f>H188/H194</f>
        <v>0.9742647058823529</v>
      </c>
      <c r="J188" s="60">
        <v>124193</v>
      </c>
      <c r="K188" s="106">
        <f>J188/J194</f>
        <v>0.9787376567290036</v>
      </c>
      <c r="L188" s="92"/>
      <c r="M188" s="99"/>
      <c r="N188" s="131"/>
    </row>
    <row r="189" spans="1:14" ht="15.75">
      <c r="A189" s="27"/>
      <c r="B189" s="61" t="s">
        <v>135</v>
      </c>
      <c r="C189" s="105"/>
      <c r="D189" s="61"/>
      <c r="E189" s="105"/>
      <c r="F189" s="28"/>
      <c r="G189" s="107"/>
      <c r="H189" s="61">
        <v>29</v>
      </c>
      <c r="I189" s="105">
        <f>H189/H194</f>
        <v>0.01184640522875817</v>
      </c>
      <c r="J189" s="60">
        <v>996</v>
      </c>
      <c r="K189" s="106">
        <f>J189/J194</f>
        <v>0.00784925644844788</v>
      </c>
      <c r="L189" s="92"/>
      <c r="M189" s="99"/>
      <c r="N189" s="131"/>
    </row>
    <row r="190" spans="1:14" ht="15.75">
      <c r="A190" s="27"/>
      <c r="B190" s="61" t="s">
        <v>136</v>
      </c>
      <c r="C190" s="105"/>
      <c r="D190" s="61"/>
      <c r="E190" s="105"/>
      <c r="F190" s="28"/>
      <c r="G190" s="107"/>
      <c r="H190" s="61">
        <v>9</v>
      </c>
      <c r="I190" s="105">
        <f>H190/H194</f>
        <v>0.003676470588235294</v>
      </c>
      <c r="J190" s="60">
        <v>236</v>
      </c>
      <c r="K190" s="106">
        <f>J190/J194</f>
        <v>0.0018598639777446784</v>
      </c>
      <c r="L190" s="92"/>
      <c r="M190" s="99"/>
      <c r="N190" s="131"/>
    </row>
    <row r="191" spans="1:14" ht="15.75">
      <c r="A191" s="27"/>
      <c r="B191" s="61" t="s">
        <v>137</v>
      </c>
      <c r="C191" s="105"/>
      <c r="D191" s="61"/>
      <c r="E191" s="105"/>
      <c r="F191" s="28"/>
      <c r="G191" s="107"/>
      <c r="H191" s="61">
        <f>2+2+4+17</f>
        <v>25</v>
      </c>
      <c r="I191" s="105">
        <f>H191/H194</f>
        <v>0.010212418300653595</v>
      </c>
      <c r="J191" s="60">
        <f>78+235+114+1039</f>
        <v>1466</v>
      </c>
      <c r="K191" s="106">
        <f>J191/J194</f>
        <v>0.011553222844803809</v>
      </c>
      <c r="L191" s="92"/>
      <c r="M191" s="99"/>
      <c r="N191" s="131"/>
    </row>
    <row r="192" spans="1:14" ht="15.75">
      <c r="A192" s="27"/>
      <c r="B192" s="30"/>
      <c r="C192" s="105"/>
      <c r="D192" s="61"/>
      <c r="E192" s="105"/>
      <c r="F192" s="28"/>
      <c r="G192" s="107"/>
      <c r="H192" s="61"/>
      <c r="I192" s="105"/>
      <c r="J192" s="60"/>
      <c r="K192" s="106"/>
      <c r="L192" s="92"/>
      <c r="M192" s="99"/>
      <c r="N192" s="131"/>
    </row>
    <row r="193" spans="1:14" ht="15.75">
      <c r="A193" s="27"/>
      <c r="B193" s="61"/>
      <c r="C193" s="108"/>
      <c r="D193" s="97"/>
      <c r="E193" s="108"/>
      <c r="F193" s="28"/>
      <c r="G193" s="108"/>
      <c r="H193" s="97"/>
      <c r="I193" s="108"/>
      <c r="J193" s="60"/>
      <c r="K193" s="106"/>
      <c r="L193" s="92"/>
      <c r="M193" s="99"/>
      <c r="N193" s="131"/>
    </row>
    <row r="194" spans="1:14" ht="15.75">
      <c r="A194" s="27"/>
      <c r="B194" s="28"/>
      <c r="C194" s="28"/>
      <c r="D194" s="28"/>
      <c r="E194" s="28"/>
      <c r="F194" s="28"/>
      <c r="G194" s="28"/>
      <c r="H194" s="38">
        <f>SUM(H188:H192)</f>
        <v>2448</v>
      </c>
      <c r="I194" s="109">
        <f>SUM(I188:I193)</f>
        <v>0.9999999999999999</v>
      </c>
      <c r="J194" s="60">
        <f>SUM(J188:J193)</f>
        <v>126891</v>
      </c>
      <c r="K194" s="127">
        <f>SUM(K188:K193)</f>
        <v>0.9999999999999999</v>
      </c>
      <c r="L194" s="28"/>
      <c r="M194" s="28"/>
      <c r="N194" s="131"/>
    </row>
    <row r="195" spans="1:14" ht="15.75">
      <c r="A195" s="27"/>
      <c r="B195" s="28"/>
      <c r="C195" s="28"/>
      <c r="D195" s="28"/>
      <c r="E195" s="28"/>
      <c r="F195" s="28"/>
      <c r="G195" s="28"/>
      <c r="H195" s="38"/>
      <c r="I195" s="109"/>
      <c r="J195" s="60"/>
      <c r="K195" s="127"/>
      <c r="L195" s="28"/>
      <c r="M195" s="28"/>
      <c r="N195" s="131"/>
    </row>
    <row r="196" spans="1:14" ht="15.75">
      <c r="A196" s="27"/>
      <c r="B196" s="28"/>
      <c r="C196" s="28"/>
      <c r="D196" s="28"/>
      <c r="E196" s="28"/>
      <c r="F196" s="28"/>
      <c r="G196" s="28"/>
      <c r="H196" s="38"/>
      <c r="I196" s="109"/>
      <c r="J196" s="60"/>
      <c r="K196" s="127"/>
      <c r="L196" s="28"/>
      <c r="M196" s="28"/>
      <c r="N196" s="131"/>
    </row>
    <row r="197" spans="1:14" ht="15.75">
      <c r="A197" s="114"/>
      <c r="B197" s="17" t="s">
        <v>139</v>
      </c>
      <c r="C197" s="115"/>
      <c r="D197" s="20" t="s">
        <v>148</v>
      </c>
      <c r="E197" s="18"/>
      <c r="F197" s="17" t="s">
        <v>161</v>
      </c>
      <c r="G197" s="116"/>
      <c r="H197" s="116"/>
      <c r="I197" s="15"/>
      <c r="J197" s="15"/>
      <c r="K197" s="15"/>
      <c r="L197" s="15"/>
      <c r="M197" s="15"/>
      <c r="N197" s="131"/>
    </row>
    <row r="198" spans="1:14" ht="15.75">
      <c r="A198" s="114"/>
      <c r="B198" s="15"/>
      <c r="C198" s="15"/>
      <c r="D198" s="10"/>
      <c r="E198" s="10"/>
      <c r="F198" s="10"/>
      <c r="G198" s="15"/>
      <c r="H198" s="15"/>
      <c r="I198" s="15"/>
      <c r="J198" s="15"/>
      <c r="K198" s="15"/>
      <c r="L198" s="15"/>
      <c r="M198" s="15"/>
      <c r="N198" s="131"/>
    </row>
    <row r="199" spans="1:14" ht="15.75">
      <c r="A199" s="114"/>
      <c r="B199" s="16" t="s">
        <v>140</v>
      </c>
      <c r="C199" s="117"/>
      <c r="D199" s="118" t="s">
        <v>149</v>
      </c>
      <c r="E199" s="16"/>
      <c r="F199" s="16" t="s">
        <v>162</v>
      </c>
      <c r="G199" s="117"/>
      <c r="H199" s="117"/>
      <c r="I199" s="15"/>
      <c r="J199" s="15"/>
      <c r="K199" s="15"/>
      <c r="L199" s="15"/>
      <c r="M199" s="15"/>
      <c r="N199" s="131"/>
    </row>
    <row r="200" spans="1:14" ht="15.75">
      <c r="A200" s="114"/>
      <c r="B200" s="16" t="s">
        <v>141</v>
      </c>
      <c r="C200" s="117"/>
      <c r="D200" s="118" t="s">
        <v>150</v>
      </c>
      <c r="E200" s="16"/>
      <c r="F200" s="16" t="s">
        <v>163</v>
      </c>
      <c r="G200" s="117"/>
      <c r="H200" s="117"/>
      <c r="I200" s="15"/>
      <c r="J200" s="15"/>
      <c r="K200" s="15"/>
      <c r="L200" s="15"/>
      <c r="M200" s="15"/>
      <c r="N200" s="131"/>
    </row>
    <row r="201" spans="1:14" ht="15.75">
      <c r="A201" s="114"/>
      <c r="B201" s="16"/>
      <c r="C201" s="117"/>
      <c r="D201" s="118"/>
      <c r="E201" s="16"/>
      <c r="F201" s="16"/>
      <c r="G201" s="117"/>
      <c r="H201" s="117"/>
      <c r="I201" s="15"/>
      <c r="J201" s="15"/>
      <c r="K201" s="15"/>
      <c r="L201" s="15"/>
      <c r="M201" s="15"/>
      <c r="N201" s="131"/>
    </row>
    <row r="202" spans="1:14" ht="15.75">
      <c r="A202" s="114"/>
      <c r="B202" s="16"/>
      <c r="C202" s="117"/>
      <c r="D202" s="118"/>
      <c r="E202" s="16"/>
      <c r="F202" s="16"/>
      <c r="G202" s="117"/>
      <c r="H202" s="117"/>
      <c r="I202" s="15"/>
      <c r="J202" s="15"/>
      <c r="K202" s="15"/>
      <c r="L202" s="15"/>
      <c r="M202" s="15"/>
      <c r="N202" s="131"/>
    </row>
    <row r="203" spans="1:14" ht="18.75">
      <c r="A203" s="114"/>
      <c r="B203" s="55" t="str">
        <f>B156</f>
        <v>PM1 INVESTOR REPORT QUARTER ENDING DECEMBER 2002</v>
      </c>
      <c r="C203" s="117"/>
      <c r="D203" s="118"/>
      <c r="E203" s="16"/>
      <c r="F203" s="16"/>
      <c r="G203" s="117"/>
      <c r="H203" s="117"/>
      <c r="I203" s="15"/>
      <c r="J203" s="15"/>
      <c r="K203" s="15"/>
      <c r="L203" s="15"/>
      <c r="M203" s="15"/>
      <c r="N203" s="131"/>
    </row>
    <row r="204" spans="1:13" ht="15">
      <c r="A204" s="130"/>
      <c r="B204" s="130"/>
      <c r="C204" s="130"/>
      <c r="D204" s="130"/>
      <c r="E204" s="130"/>
      <c r="F204" s="130"/>
      <c r="G204" s="130"/>
      <c r="H204" s="130"/>
      <c r="I204" s="130"/>
      <c r="J204" s="130"/>
      <c r="K204" s="130"/>
      <c r="L204" s="130"/>
      <c r="M204" s="130"/>
    </row>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5" manualBreakCount="5">
    <brk id="51" min="105" max="156" man="1"/>
    <brk id="51" max="13" man="1"/>
    <brk id="105" max="13" man="1"/>
    <brk id="156" max="13" man="1"/>
    <brk id="204" max="0" man="1"/>
  </rowBreaks>
  <drawing r:id="rId1"/>
</worksheet>
</file>

<file path=xl/worksheets/sheet15.xml><?xml version="1.0" encoding="utf-8"?>
<worksheet xmlns="http://schemas.openxmlformats.org/spreadsheetml/2006/main" xmlns:r="http://schemas.openxmlformats.org/officeDocument/2006/relationships">
  <dimension ref="A1:O204"/>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30.3359375" style="1" customWidth="1"/>
    <col min="14" max="16384" width="9.6640625" style="1" customWidth="1"/>
  </cols>
  <sheetData>
    <row r="1" spans="1:14" ht="20.25">
      <c r="A1" s="2"/>
      <c r="B1" s="3" t="s">
        <v>0</v>
      </c>
      <c r="C1" s="4"/>
      <c r="D1" s="5"/>
      <c r="E1" s="5"/>
      <c r="F1" s="5"/>
      <c r="G1" s="5"/>
      <c r="H1" s="5"/>
      <c r="I1" s="5"/>
      <c r="J1" s="5"/>
      <c r="K1" s="5"/>
      <c r="L1" s="5"/>
      <c r="M1" s="5"/>
      <c r="N1" s="131"/>
    </row>
    <row r="2" spans="1:14" ht="15.75">
      <c r="A2" s="8"/>
      <c r="B2" s="9"/>
      <c r="C2" s="9"/>
      <c r="D2" s="10"/>
      <c r="E2" s="10"/>
      <c r="F2" s="10"/>
      <c r="G2" s="10"/>
      <c r="H2" s="10"/>
      <c r="I2" s="10"/>
      <c r="J2" s="10"/>
      <c r="K2" s="10"/>
      <c r="L2" s="10"/>
      <c r="M2" s="10"/>
      <c r="N2" s="131"/>
    </row>
    <row r="3" spans="1:14" ht="15.75">
      <c r="A3" s="11"/>
      <c r="B3" s="154" t="s">
        <v>1</v>
      </c>
      <c r="C3" s="10"/>
      <c r="D3" s="10"/>
      <c r="E3" s="10"/>
      <c r="F3" s="10"/>
      <c r="G3" s="10"/>
      <c r="H3" s="10"/>
      <c r="I3" s="10"/>
      <c r="J3" s="10"/>
      <c r="K3" s="10"/>
      <c r="L3" s="10"/>
      <c r="M3" s="10"/>
      <c r="N3" s="131"/>
    </row>
    <row r="4" spans="1:14" ht="15.75">
      <c r="A4" s="8"/>
      <c r="B4" s="9"/>
      <c r="C4" s="9"/>
      <c r="D4" s="10"/>
      <c r="E4" s="10"/>
      <c r="F4" s="10"/>
      <c r="G4" s="10"/>
      <c r="H4" s="10"/>
      <c r="I4" s="10"/>
      <c r="J4" s="10"/>
      <c r="K4" s="10"/>
      <c r="L4" s="10"/>
      <c r="M4" s="10"/>
      <c r="N4" s="131"/>
    </row>
    <row r="5" spans="1:14" ht="12" customHeight="1">
      <c r="A5" s="8"/>
      <c r="B5" s="13" t="s">
        <v>2</v>
      </c>
      <c r="C5" s="14"/>
      <c r="D5" s="10"/>
      <c r="E5" s="10"/>
      <c r="F5" s="10"/>
      <c r="G5" s="10"/>
      <c r="H5" s="10"/>
      <c r="I5" s="10"/>
      <c r="J5" s="10"/>
      <c r="K5" s="10"/>
      <c r="L5" s="10"/>
      <c r="M5" s="10"/>
      <c r="N5" s="131"/>
    </row>
    <row r="6" spans="1:14" ht="12" customHeight="1">
      <c r="A6" s="8"/>
      <c r="B6" s="13" t="s">
        <v>3</v>
      </c>
      <c r="C6" s="14"/>
      <c r="D6" s="10"/>
      <c r="E6" s="10"/>
      <c r="F6" s="10"/>
      <c r="G6" s="10"/>
      <c r="H6" s="10"/>
      <c r="I6" s="10"/>
      <c r="J6" s="10"/>
      <c r="K6" s="10"/>
      <c r="L6" s="10"/>
      <c r="M6" s="10"/>
      <c r="N6" s="131"/>
    </row>
    <row r="7" spans="1:14" ht="12" customHeight="1">
      <c r="A7" s="8"/>
      <c r="B7" s="13" t="s">
        <v>4</v>
      </c>
      <c r="C7" s="14"/>
      <c r="D7" s="10"/>
      <c r="E7" s="10"/>
      <c r="F7" s="10"/>
      <c r="G7" s="10"/>
      <c r="H7" s="10"/>
      <c r="I7" s="10"/>
      <c r="J7" s="10"/>
      <c r="K7" s="10"/>
      <c r="L7" s="10"/>
      <c r="M7" s="10"/>
      <c r="N7" s="131"/>
    </row>
    <row r="8" spans="1:14" ht="12" customHeight="1">
      <c r="A8" s="8"/>
      <c r="B8" s="13" t="s">
        <v>5</v>
      </c>
      <c r="C8" s="14"/>
      <c r="D8" s="10"/>
      <c r="E8" s="10"/>
      <c r="F8" s="10"/>
      <c r="G8" s="10"/>
      <c r="H8" s="10"/>
      <c r="I8" s="10"/>
      <c r="J8" s="10"/>
      <c r="K8" s="10"/>
      <c r="L8" s="10"/>
      <c r="M8" s="10"/>
      <c r="N8" s="131"/>
    </row>
    <row r="9" spans="1:14" ht="12" customHeight="1">
      <c r="A9" s="8"/>
      <c r="B9" s="15"/>
      <c r="C9" s="14"/>
      <c r="D9" s="10"/>
      <c r="E9" s="10"/>
      <c r="F9" s="10"/>
      <c r="G9" s="10"/>
      <c r="H9" s="10"/>
      <c r="I9" s="10"/>
      <c r="J9" s="10"/>
      <c r="K9" s="10"/>
      <c r="L9" s="10"/>
      <c r="M9" s="10"/>
      <c r="N9" s="131"/>
    </row>
    <row r="10" spans="1:14" ht="15.75">
      <c r="A10" s="8"/>
      <c r="B10" s="13"/>
      <c r="C10" s="14"/>
      <c r="D10" s="16"/>
      <c r="E10" s="16"/>
      <c r="F10" s="10"/>
      <c r="G10" s="10"/>
      <c r="H10" s="10"/>
      <c r="I10" s="10"/>
      <c r="J10" s="10"/>
      <c r="K10" s="10"/>
      <c r="L10" s="10"/>
      <c r="M10" s="10"/>
      <c r="N10" s="131"/>
    </row>
    <row r="11" spans="1:14" ht="15.75">
      <c r="A11" s="8"/>
      <c r="B11" s="16" t="s">
        <v>6</v>
      </c>
      <c r="C11" s="16"/>
      <c r="D11" s="10"/>
      <c r="E11" s="10"/>
      <c r="F11" s="10"/>
      <c r="G11" s="10"/>
      <c r="H11" s="10"/>
      <c r="I11" s="10"/>
      <c r="J11" s="10"/>
      <c r="K11" s="10"/>
      <c r="L11" s="10"/>
      <c r="M11" s="10"/>
      <c r="N11" s="131"/>
    </row>
    <row r="12" spans="1:14" ht="15.75">
      <c r="A12" s="8"/>
      <c r="B12" s="16"/>
      <c r="C12" s="16"/>
      <c r="D12" s="10"/>
      <c r="E12" s="10"/>
      <c r="F12" s="10"/>
      <c r="G12" s="10"/>
      <c r="H12" s="10"/>
      <c r="I12" s="10"/>
      <c r="J12" s="10"/>
      <c r="K12" s="10"/>
      <c r="L12" s="10"/>
      <c r="M12" s="10"/>
      <c r="N12" s="131"/>
    </row>
    <row r="13" spans="1:14" ht="15.75">
      <c r="A13" s="2"/>
      <c r="B13" s="5"/>
      <c r="C13" s="5"/>
      <c r="D13" s="5"/>
      <c r="E13" s="5"/>
      <c r="F13" s="5"/>
      <c r="G13" s="5"/>
      <c r="H13" s="5"/>
      <c r="I13" s="5"/>
      <c r="J13" s="5"/>
      <c r="K13" s="5"/>
      <c r="L13" s="5"/>
      <c r="M13" s="5"/>
      <c r="N13" s="131"/>
    </row>
    <row r="14" spans="1:14" ht="15.75">
      <c r="A14" s="8"/>
      <c r="B14" s="17" t="s">
        <v>7</v>
      </c>
      <c r="C14" s="17"/>
      <c r="D14" s="18"/>
      <c r="E14" s="18"/>
      <c r="F14" s="18"/>
      <c r="G14" s="18"/>
      <c r="H14" s="18"/>
      <c r="I14" s="18"/>
      <c r="J14" s="18"/>
      <c r="K14" s="18"/>
      <c r="L14" s="19" t="s">
        <v>185</v>
      </c>
      <c r="M14" s="18"/>
      <c r="N14" s="131"/>
    </row>
    <row r="15" spans="1:14" ht="15.75">
      <c r="A15" s="8"/>
      <c r="B15" s="17" t="s">
        <v>199</v>
      </c>
      <c r="C15" s="17"/>
      <c r="D15" s="18"/>
      <c r="E15" s="18"/>
      <c r="F15" s="18"/>
      <c r="G15" s="18"/>
      <c r="H15" s="20"/>
      <c r="I15" s="135"/>
      <c r="J15" s="20" t="s">
        <v>202</v>
      </c>
      <c r="K15" s="135">
        <v>1</v>
      </c>
      <c r="L15" s="19"/>
      <c r="M15" s="18"/>
      <c r="N15" s="131"/>
    </row>
    <row r="16" spans="1:14" ht="15.75">
      <c r="A16" s="8"/>
      <c r="B16" s="17" t="s">
        <v>200</v>
      </c>
      <c r="C16" s="17"/>
      <c r="D16" s="18"/>
      <c r="E16" s="18"/>
      <c r="F16" s="18"/>
      <c r="G16" s="18"/>
      <c r="H16" s="20"/>
      <c r="I16" s="135"/>
      <c r="J16" s="20" t="s">
        <v>202</v>
      </c>
      <c r="K16" s="135">
        <v>1</v>
      </c>
      <c r="L16" s="19"/>
      <c r="M16" s="18"/>
      <c r="N16" s="131"/>
    </row>
    <row r="17" spans="1:14" ht="15.75">
      <c r="A17" s="8"/>
      <c r="B17" s="17" t="s">
        <v>8</v>
      </c>
      <c r="C17" s="17"/>
      <c r="D17" s="18"/>
      <c r="E17" s="18"/>
      <c r="F17" s="18"/>
      <c r="G17" s="18"/>
      <c r="H17" s="18"/>
      <c r="I17" s="18"/>
      <c r="J17" s="18"/>
      <c r="K17" s="18"/>
      <c r="L17" s="20" t="s">
        <v>186</v>
      </c>
      <c r="M17" s="18"/>
      <c r="N17" s="131"/>
    </row>
    <row r="18" spans="1:14" ht="15.75">
      <c r="A18" s="8"/>
      <c r="B18" s="17" t="s">
        <v>9</v>
      </c>
      <c r="C18" s="17"/>
      <c r="D18" s="18"/>
      <c r="E18" s="18"/>
      <c r="F18" s="18"/>
      <c r="G18" s="18"/>
      <c r="H18" s="18"/>
      <c r="I18" s="18"/>
      <c r="J18" s="18"/>
      <c r="K18" s="18"/>
      <c r="L18" s="21">
        <v>37733</v>
      </c>
      <c r="M18" s="18"/>
      <c r="N18" s="131"/>
    </row>
    <row r="19" spans="1:14" ht="15.75">
      <c r="A19" s="8"/>
      <c r="B19" s="10"/>
      <c r="C19" s="10"/>
      <c r="D19" s="10"/>
      <c r="E19" s="10"/>
      <c r="F19" s="10"/>
      <c r="G19" s="10"/>
      <c r="H19" s="10"/>
      <c r="I19" s="10"/>
      <c r="J19" s="10"/>
      <c r="K19" s="10"/>
      <c r="L19" s="22"/>
      <c r="M19" s="10"/>
      <c r="N19" s="131"/>
    </row>
    <row r="20" spans="1:14" ht="15.75">
      <c r="A20" s="8"/>
      <c r="B20" s="23" t="s">
        <v>10</v>
      </c>
      <c r="C20" s="10"/>
      <c r="D20" s="10"/>
      <c r="E20" s="10"/>
      <c r="F20" s="10"/>
      <c r="G20" s="10"/>
      <c r="H20" s="10"/>
      <c r="I20" s="10"/>
      <c r="J20" s="22" t="s">
        <v>174</v>
      </c>
      <c r="K20" s="10"/>
      <c r="L20" s="15"/>
      <c r="M20" s="10"/>
      <c r="N20" s="131"/>
    </row>
    <row r="21" spans="1:14" ht="15.75">
      <c r="A21" s="8"/>
      <c r="B21" s="10"/>
      <c r="C21" s="10"/>
      <c r="D21" s="10"/>
      <c r="E21" s="10"/>
      <c r="F21" s="10"/>
      <c r="G21" s="10"/>
      <c r="H21" s="10"/>
      <c r="I21" s="10"/>
      <c r="J21" s="10"/>
      <c r="K21" s="10"/>
      <c r="L21" s="24"/>
      <c r="M21" s="10"/>
      <c r="N21" s="131"/>
    </row>
    <row r="22" spans="1:14" ht="15.75">
      <c r="A22" s="8"/>
      <c r="B22" s="10"/>
      <c r="C22" s="155" t="s">
        <v>143</v>
      </c>
      <c r="D22" s="25"/>
      <c r="E22" s="25"/>
      <c r="F22" s="157" t="s">
        <v>151</v>
      </c>
      <c r="G22" s="157"/>
      <c r="H22" s="157" t="s">
        <v>164</v>
      </c>
      <c r="I22" s="158"/>
      <c r="J22" s="25"/>
      <c r="K22" s="15"/>
      <c r="L22" s="15"/>
      <c r="M22" s="10"/>
      <c r="N22" s="131"/>
    </row>
    <row r="23" spans="1:14" ht="15.75">
      <c r="A23" s="27"/>
      <c r="B23" s="28" t="s">
        <v>11</v>
      </c>
      <c r="C23" s="156" t="s">
        <v>144</v>
      </c>
      <c r="D23" s="29"/>
      <c r="E23" s="29"/>
      <c r="F23" s="29" t="s">
        <v>152</v>
      </c>
      <c r="G23" s="29"/>
      <c r="H23" s="29" t="s">
        <v>165</v>
      </c>
      <c r="I23" s="29"/>
      <c r="J23" s="29"/>
      <c r="K23" s="30"/>
      <c r="L23" s="30"/>
      <c r="M23" s="28"/>
      <c r="N23" s="131"/>
    </row>
    <row r="24" spans="1:14" ht="15.75">
      <c r="A24" s="27"/>
      <c r="B24" s="28" t="s">
        <v>12</v>
      </c>
      <c r="C24" s="31"/>
      <c r="D24" s="29"/>
      <c r="E24" s="29"/>
      <c r="F24" s="29" t="s">
        <v>153</v>
      </c>
      <c r="G24" s="29"/>
      <c r="H24" s="29" t="s">
        <v>166</v>
      </c>
      <c r="I24" s="29"/>
      <c r="J24" s="29"/>
      <c r="K24" s="30"/>
      <c r="L24" s="30"/>
      <c r="M24" s="28"/>
      <c r="N24" s="131"/>
    </row>
    <row r="25" spans="1:14" ht="15.75">
      <c r="A25" s="32"/>
      <c r="B25" s="33" t="s">
        <v>13</v>
      </c>
      <c r="C25" s="33"/>
      <c r="D25" s="34"/>
      <c r="E25" s="34"/>
      <c r="F25" s="34" t="s">
        <v>152</v>
      </c>
      <c r="G25" s="34"/>
      <c r="H25" s="34" t="s">
        <v>207</v>
      </c>
      <c r="I25" s="29"/>
      <c r="J25" s="29"/>
      <c r="K25" s="30"/>
      <c r="L25" s="30"/>
      <c r="M25" s="28"/>
      <c r="N25" s="131"/>
    </row>
    <row r="26" spans="1:14" ht="15.75">
      <c r="A26" s="32"/>
      <c r="B26" s="33" t="s">
        <v>14</v>
      </c>
      <c r="C26" s="33"/>
      <c r="D26" s="34"/>
      <c r="E26" s="34"/>
      <c r="F26" s="34" t="s">
        <v>153</v>
      </c>
      <c r="G26" s="34"/>
      <c r="H26" s="34" t="s">
        <v>208</v>
      </c>
      <c r="I26" s="29"/>
      <c r="J26" s="29"/>
      <c r="K26" s="30"/>
      <c r="L26" s="30"/>
      <c r="M26" s="28"/>
      <c r="N26" s="131"/>
    </row>
    <row r="27" spans="1:14" ht="15.75">
      <c r="A27" s="27"/>
      <c r="B27" s="28" t="s">
        <v>15</v>
      </c>
      <c r="C27" s="28"/>
      <c r="D27" s="31"/>
      <c r="E27" s="29"/>
      <c r="F27" s="31" t="s">
        <v>154</v>
      </c>
      <c r="G27" s="29"/>
      <c r="H27" s="31" t="s">
        <v>167</v>
      </c>
      <c r="I27" s="29"/>
      <c r="J27" s="31"/>
      <c r="K27" s="30"/>
      <c r="L27" s="30"/>
      <c r="M27" s="28"/>
      <c r="N27" s="131"/>
    </row>
    <row r="28" spans="1:14" ht="15.75">
      <c r="A28" s="27"/>
      <c r="B28" s="28"/>
      <c r="C28" s="28"/>
      <c r="D28" s="28"/>
      <c r="E28" s="29"/>
      <c r="F28" s="29"/>
      <c r="G28" s="29"/>
      <c r="H28" s="29"/>
      <c r="I28" s="29"/>
      <c r="J28" s="29"/>
      <c r="K28" s="30"/>
      <c r="L28" s="30"/>
      <c r="M28" s="28"/>
      <c r="N28" s="131"/>
    </row>
    <row r="29" spans="1:14" ht="15.75">
      <c r="A29" s="27"/>
      <c r="B29" s="28" t="s">
        <v>16</v>
      </c>
      <c r="C29" s="28"/>
      <c r="D29" s="35"/>
      <c r="E29" s="36"/>
      <c r="F29" s="35">
        <v>168000</v>
      </c>
      <c r="G29" s="35"/>
      <c r="H29" s="35">
        <v>17000</v>
      </c>
      <c r="I29" s="35"/>
      <c r="J29" s="35"/>
      <c r="K29" s="37"/>
      <c r="L29" s="35">
        <f>H29+F29</f>
        <v>185000</v>
      </c>
      <c r="M29" s="38"/>
      <c r="N29" s="131"/>
    </row>
    <row r="30" spans="1:14" ht="15.75">
      <c r="A30" s="27"/>
      <c r="B30" s="28" t="s">
        <v>17</v>
      </c>
      <c r="C30" s="126">
        <v>0.654111</v>
      </c>
      <c r="D30" s="35"/>
      <c r="E30" s="36"/>
      <c r="F30" s="35">
        <f>168000*C30</f>
        <v>109890.648</v>
      </c>
      <c r="G30" s="35"/>
      <c r="H30" s="35">
        <v>17000</v>
      </c>
      <c r="I30" s="35"/>
      <c r="J30" s="35"/>
      <c r="K30" s="37"/>
      <c r="L30" s="35">
        <f>H30+F30</f>
        <v>126890.648</v>
      </c>
      <c r="M30" s="38"/>
      <c r="N30" s="131"/>
    </row>
    <row r="31" spans="1:14" ht="13.5" customHeight="1">
      <c r="A31" s="32"/>
      <c r="B31" s="33" t="s">
        <v>18</v>
      </c>
      <c r="C31" s="40">
        <v>0.617379</v>
      </c>
      <c r="D31" s="41"/>
      <c r="E31" s="42"/>
      <c r="F31" s="41">
        <f>168000*C31</f>
        <v>103719.672</v>
      </c>
      <c r="G31" s="41"/>
      <c r="H31" s="41">
        <v>17000</v>
      </c>
      <c r="I31" s="41"/>
      <c r="J31" s="41"/>
      <c r="K31" s="43"/>
      <c r="L31" s="41">
        <f>H31+F31+D31</f>
        <v>120719.672</v>
      </c>
      <c r="M31" s="38"/>
      <c r="N31" s="131"/>
    </row>
    <row r="32" spans="1:14" ht="15.75">
      <c r="A32" s="27"/>
      <c r="B32" s="28" t="s">
        <v>19</v>
      </c>
      <c r="C32" s="44"/>
      <c r="D32" s="31"/>
      <c r="E32" s="28"/>
      <c r="F32" s="31" t="s">
        <v>155</v>
      </c>
      <c r="G32" s="31"/>
      <c r="H32" s="31" t="s">
        <v>168</v>
      </c>
      <c r="I32" s="31"/>
      <c r="J32" s="31"/>
      <c r="K32" s="30"/>
      <c r="L32" s="30"/>
      <c r="M32" s="28"/>
      <c r="N32" s="131"/>
    </row>
    <row r="33" spans="1:14" ht="15.75">
      <c r="A33" s="27"/>
      <c r="B33" s="28" t="s">
        <v>20</v>
      </c>
      <c r="C33" s="28"/>
      <c r="D33" s="45"/>
      <c r="E33" s="28"/>
      <c r="F33" s="45">
        <v>0.042925</v>
      </c>
      <c r="G33" s="46"/>
      <c r="H33" s="45">
        <v>0.048125</v>
      </c>
      <c r="I33" s="46"/>
      <c r="J33" s="45"/>
      <c r="K33" s="30"/>
      <c r="L33" s="46">
        <f>SUMPRODUCT(F33:H33,F30:H30)/L30</f>
        <v>0.043621662846264286</v>
      </c>
      <c r="M33" s="28"/>
      <c r="N33" s="131"/>
    </row>
    <row r="34" spans="1:14" ht="15.75">
      <c r="A34" s="27"/>
      <c r="B34" s="28" t="s">
        <v>21</v>
      </c>
      <c r="C34" s="28"/>
      <c r="D34" s="45"/>
      <c r="E34" s="28"/>
      <c r="F34" s="45">
        <v>0.042675</v>
      </c>
      <c r="G34" s="46"/>
      <c r="H34" s="45">
        <v>0.047875</v>
      </c>
      <c r="I34" s="46"/>
      <c r="J34" s="45"/>
      <c r="K34" s="30"/>
      <c r="L34" s="30"/>
      <c r="M34" s="28"/>
      <c r="N34" s="131"/>
    </row>
    <row r="35" spans="1:14" ht="15.75">
      <c r="A35" s="27"/>
      <c r="B35" s="28" t="s">
        <v>22</v>
      </c>
      <c r="C35" s="28"/>
      <c r="D35" s="31"/>
      <c r="E35" s="28"/>
      <c r="F35" s="31" t="s">
        <v>157</v>
      </c>
      <c r="G35" s="31"/>
      <c r="H35" s="31" t="s">
        <v>157</v>
      </c>
      <c r="I35" s="31"/>
      <c r="J35" s="31"/>
      <c r="K35" s="30"/>
      <c r="L35" s="30"/>
      <c r="M35" s="28"/>
      <c r="N35" s="131"/>
    </row>
    <row r="36" spans="1:14" ht="15.75">
      <c r="A36" s="27"/>
      <c r="B36" s="28" t="s">
        <v>23</v>
      </c>
      <c r="C36" s="28"/>
      <c r="D36" s="31"/>
      <c r="E36" s="28"/>
      <c r="F36" s="31" t="s">
        <v>158</v>
      </c>
      <c r="G36" s="31"/>
      <c r="H36" s="31" t="s">
        <v>158</v>
      </c>
      <c r="I36" s="31"/>
      <c r="J36" s="31"/>
      <c r="K36" s="30"/>
      <c r="L36" s="30"/>
      <c r="M36" s="28"/>
      <c r="N36" s="131"/>
    </row>
    <row r="37" spans="1:14" ht="15.75">
      <c r="A37" s="27"/>
      <c r="B37" s="28" t="s">
        <v>24</v>
      </c>
      <c r="C37" s="28"/>
      <c r="D37" s="31"/>
      <c r="E37" s="28"/>
      <c r="F37" s="31" t="s">
        <v>159</v>
      </c>
      <c r="G37" s="31"/>
      <c r="H37" s="31" t="s">
        <v>169</v>
      </c>
      <c r="I37" s="31"/>
      <c r="J37" s="31"/>
      <c r="K37" s="30"/>
      <c r="L37" s="30"/>
      <c r="M37" s="28"/>
      <c r="N37" s="131"/>
    </row>
    <row r="38" spans="1:14" ht="15.75">
      <c r="A38" s="27"/>
      <c r="B38" s="28"/>
      <c r="C38" s="28"/>
      <c r="D38" s="47"/>
      <c r="E38" s="47"/>
      <c r="F38" s="28"/>
      <c r="G38" s="47"/>
      <c r="H38" s="47"/>
      <c r="I38" s="47"/>
      <c r="J38" s="47"/>
      <c r="K38" s="47"/>
      <c r="L38" s="47"/>
      <c r="M38" s="28"/>
      <c r="N38" s="131"/>
    </row>
    <row r="39" spans="1:14" ht="15.75">
      <c r="A39" s="27"/>
      <c r="B39" s="28" t="s">
        <v>25</v>
      </c>
      <c r="C39" s="28"/>
      <c r="D39" s="28"/>
      <c r="E39" s="28"/>
      <c r="F39" s="28"/>
      <c r="G39" s="28"/>
      <c r="H39" s="136"/>
      <c r="I39" s="28"/>
      <c r="J39" s="28"/>
      <c r="K39" s="28"/>
      <c r="L39" s="46">
        <f>H29/F29</f>
        <v>0.10119047619047619</v>
      </c>
      <c r="M39" s="28"/>
      <c r="N39" s="131"/>
    </row>
    <row r="40" spans="1:14" ht="15.75">
      <c r="A40" s="27"/>
      <c r="B40" s="28" t="s">
        <v>26</v>
      </c>
      <c r="C40" s="28"/>
      <c r="D40" s="28"/>
      <c r="E40" s="28"/>
      <c r="F40" s="136"/>
      <c r="G40" s="28"/>
      <c r="H40" s="136"/>
      <c r="I40" s="28"/>
      <c r="J40" s="28"/>
      <c r="K40" s="28"/>
      <c r="L40" s="46">
        <f>H31/F31</f>
        <v>0.16390333359326473</v>
      </c>
      <c r="M40" s="28"/>
      <c r="N40" s="131"/>
    </row>
    <row r="41" spans="1:14" ht="15.75">
      <c r="A41" s="27"/>
      <c r="B41" s="28" t="s">
        <v>27</v>
      </c>
      <c r="C41" s="28"/>
      <c r="D41" s="28"/>
      <c r="E41" s="28"/>
      <c r="F41" s="136"/>
      <c r="G41" s="28"/>
      <c r="H41" s="28"/>
      <c r="I41" s="28"/>
      <c r="J41" s="31" t="s">
        <v>151</v>
      </c>
      <c r="K41" s="31" t="s">
        <v>183</v>
      </c>
      <c r="L41" s="35">
        <v>75500</v>
      </c>
      <c r="M41" s="28"/>
      <c r="N41" s="131"/>
    </row>
    <row r="42" spans="1:14" ht="15.75">
      <c r="A42" s="27"/>
      <c r="B42" s="28"/>
      <c r="C42" s="28"/>
      <c r="D42" s="28"/>
      <c r="E42" s="28"/>
      <c r="F42" s="28"/>
      <c r="G42" s="28"/>
      <c r="H42" s="28"/>
      <c r="I42" s="28"/>
      <c r="J42" s="28" t="s">
        <v>175</v>
      </c>
      <c r="K42" s="28"/>
      <c r="L42" s="48"/>
      <c r="M42" s="28"/>
      <c r="N42" s="131"/>
    </row>
    <row r="43" spans="1:14" ht="15.75">
      <c r="A43" s="27"/>
      <c r="B43" s="28" t="s">
        <v>28</v>
      </c>
      <c r="C43" s="28"/>
      <c r="D43" s="28"/>
      <c r="E43" s="28"/>
      <c r="F43" s="28"/>
      <c r="G43" s="28"/>
      <c r="H43" s="28"/>
      <c r="I43" s="28"/>
      <c r="J43" s="31"/>
      <c r="K43" s="31"/>
      <c r="L43" s="31" t="s">
        <v>187</v>
      </c>
      <c r="M43" s="28"/>
      <c r="N43" s="131"/>
    </row>
    <row r="44" spans="1:14" ht="15.75">
      <c r="A44" s="32"/>
      <c r="B44" s="33" t="s">
        <v>29</v>
      </c>
      <c r="C44" s="33"/>
      <c r="D44" s="33"/>
      <c r="E44" s="33"/>
      <c r="F44" s="33"/>
      <c r="G44" s="33"/>
      <c r="H44" s="33"/>
      <c r="I44" s="33"/>
      <c r="J44" s="49"/>
      <c r="K44" s="49"/>
      <c r="L44" s="50">
        <v>37726</v>
      </c>
      <c r="M44" s="33"/>
      <c r="N44" s="131"/>
    </row>
    <row r="45" spans="1:14" ht="15.75">
      <c r="A45" s="27"/>
      <c r="B45" s="28" t="s">
        <v>30</v>
      </c>
      <c r="C45" s="28"/>
      <c r="D45" s="28"/>
      <c r="E45" s="28"/>
      <c r="F45" s="28"/>
      <c r="G45" s="28"/>
      <c r="H45" s="28"/>
      <c r="I45" s="28">
        <f>L45-J45+1</f>
        <v>92</v>
      </c>
      <c r="J45" s="51">
        <v>37544</v>
      </c>
      <c r="K45" s="52"/>
      <c r="L45" s="51">
        <v>37635</v>
      </c>
      <c r="M45" s="28"/>
      <c r="N45" s="131"/>
    </row>
    <row r="46" spans="1:14" ht="15.75">
      <c r="A46" s="27"/>
      <c r="B46" s="28" t="s">
        <v>31</v>
      </c>
      <c r="C46" s="28"/>
      <c r="D46" s="28"/>
      <c r="E46" s="28"/>
      <c r="F46" s="28"/>
      <c r="G46" s="28"/>
      <c r="H46" s="28"/>
      <c r="I46" s="28">
        <f>L46-J46+1</f>
        <v>90</v>
      </c>
      <c r="J46" s="51">
        <v>37636</v>
      </c>
      <c r="K46" s="52"/>
      <c r="L46" s="51">
        <v>37725</v>
      </c>
      <c r="M46" s="28"/>
      <c r="N46" s="131"/>
    </row>
    <row r="47" spans="1:14" ht="15.75">
      <c r="A47" s="27"/>
      <c r="B47" s="28" t="s">
        <v>32</v>
      </c>
      <c r="C47" s="28"/>
      <c r="D47" s="28"/>
      <c r="E47" s="28"/>
      <c r="F47" s="28"/>
      <c r="G47" s="28"/>
      <c r="H47" s="28"/>
      <c r="I47" s="28"/>
      <c r="J47" s="51"/>
      <c r="K47" s="52"/>
      <c r="L47" s="51" t="s">
        <v>188</v>
      </c>
      <c r="M47" s="28"/>
      <c r="N47" s="131"/>
    </row>
    <row r="48" spans="1:14" ht="15.75">
      <c r="A48" s="27"/>
      <c r="B48" s="28" t="s">
        <v>33</v>
      </c>
      <c r="C48" s="28"/>
      <c r="D48" s="28"/>
      <c r="E48" s="28"/>
      <c r="F48" s="28"/>
      <c r="G48" s="28"/>
      <c r="H48" s="28"/>
      <c r="I48" s="28"/>
      <c r="J48" s="51"/>
      <c r="K48" s="52"/>
      <c r="L48" s="51">
        <v>37718</v>
      </c>
      <c r="M48" s="28"/>
      <c r="N48" s="131"/>
    </row>
    <row r="49" spans="1:14" ht="15.75">
      <c r="A49" s="27"/>
      <c r="B49" s="28"/>
      <c r="C49" s="28"/>
      <c r="D49" s="28"/>
      <c r="E49" s="28"/>
      <c r="F49" s="28"/>
      <c r="G49" s="28"/>
      <c r="H49" s="28"/>
      <c r="I49" s="28"/>
      <c r="J49" s="51"/>
      <c r="K49" s="52"/>
      <c r="L49" s="51"/>
      <c r="M49" s="28"/>
      <c r="N49" s="131"/>
    </row>
    <row r="50" spans="1:14" ht="15.75">
      <c r="A50" s="8"/>
      <c r="B50" s="10"/>
      <c r="C50" s="10"/>
      <c r="D50" s="10"/>
      <c r="E50" s="10"/>
      <c r="F50" s="10"/>
      <c r="G50" s="10"/>
      <c r="H50" s="10"/>
      <c r="I50" s="10"/>
      <c r="J50" s="53"/>
      <c r="K50" s="54"/>
      <c r="L50" s="53"/>
      <c r="M50" s="10"/>
      <c r="N50" s="131"/>
    </row>
    <row r="51" spans="1:14" ht="19.5" thickBot="1">
      <c r="A51" s="138"/>
      <c r="B51" s="139" t="s">
        <v>214</v>
      </c>
      <c r="C51" s="140"/>
      <c r="D51" s="140"/>
      <c r="E51" s="140"/>
      <c r="F51" s="140"/>
      <c r="G51" s="140"/>
      <c r="H51" s="140"/>
      <c r="I51" s="140"/>
      <c r="J51" s="140"/>
      <c r="K51" s="140"/>
      <c r="L51" s="141"/>
      <c r="M51" s="142"/>
      <c r="N51" s="131"/>
    </row>
    <row r="52" spans="1:14" ht="15.75">
      <c r="A52" s="2"/>
      <c r="B52" s="5"/>
      <c r="C52" s="5"/>
      <c r="D52" s="5"/>
      <c r="E52" s="5"/>
      <c r="F52" s="5"/>
      <c r="G52" s="5"/>
      <c r="H52" s="5"/>
      <c r="I52" s="5"/>
      <c r="J52" s="5"/>
      <c r="K52" s="5"/>
      <c r="L52" s="57"/>
      <c r="M52" s="5"/>
      <c r="N52" s="131"/>
    </row>
    <row r="53" spans="1:14" ht="15.75">
      <c r="A53" s="8"/>
      <c r="B53" s="58" t="s">
        <v>35</v>
      </c>
      <c r="C53" s="16"/>
      <c r="D53" s="10"/>
      <c r="E53" s="10"/>
      <c r="F53" s="10"/>
      <c r="G53" s="10"/>
      <c r="H53" s="10"/>
      <c r="I53" s="10"/>
      <c r="J53" s="10"/>
      <c r="K53" s="10"/>
      <c r="L53" s="59"/>
      <c r="M53" s="10"/>
      <c r="N53" s="131"/>
    </row>
    <row r="54" spans="1:14" ht="15.75">
      <c r="A54" s="8"/>
      <c r="B54" s="16"/>
      <c r="C54" s="16"/>
      <c r="D54" s="10"/>
      <c r="E54" s="10"/>
      <c r="F54" s="10"/>
      <c r="G54" s="10"/>
      <c r="H54" s="10"/>
      <c r="I54" s="10"/>
      <c r="J54" s="10"/>
      <c r="K54" s="10"/>
      <c r="L54" s="59"/>
      <c r="M54" s="10"/>
      <c r="N54" s="131"/>
    </row>
    <row r="55" spans="1:14" s="165" customFormat="1" ht="63">
      <c r="A55" s="159"/>
      <c r="B55" s="160" t="s">
        <v>36</v>
      </c>
      <c r="C55" s="161" t="s">
        <v>145</v>
      </c>
      <c r="D55" s="161" t="s">
        <v>147</v>
      </c>
      <c r="E55" s="161"/>
      <c r="F55" s="161" t="s">
        <v>160</v>
      </c>
      <c r="G55" s="161"/>
      <c r="H55" s="161" t="s">
        <v>170</v>
      </c>
      <c r="I55" s="161"/>
      <c r="J55" s="161" t="s">
        <v>176</v>
      </c>
      <c r="K55" s="161"/>
      <c r="L55" s="162" t="s">
        <v>189</v>
      </c>
      <c r="M55" s="163"/>
      <c r="N55" s="171"/>
    </row>
    <row r="56" spans="1:14" ht="15.75">
      <c r="A56" s="27"/>
      <c r="B56" s="28" t="s">
        <v>37</v>
      </c>
      <c r="C56" s="38">
        <v>162582</v>
      </c>
      <c r="D56" s="60">
        <v>126891</v>
      </c>
      <c r="E56" s="38"/>
      <c r="F56" s="38">
        <v>6171</v>
      </c>
      <c r="G56" s="38"/>
      <c r="H56" s="38">
        <v>0</v>
      </c>
      <c r="I56" s="38"/>
      <c r="J56" s="38">
        <v>0</v>
      </c>
      <c r="K56" s="38"/>
      <c r="L56" s="60">
        <f>D56-F56+H56-J56</f>
        <v>120720</v>
      </c>
      <c r="M56" s="28"/>
      <c r="N56" s="131"/>
    </row>
    <row r="57" spans="1:14" ht="15.75">
      <c r="A57" s="27"/>
      <c r="B57" s="28" t="s">
        <v>38</v>
      </c>
      <c r="C57" s="38">
        <v>66</v>
      </c>
      <c r="D57" s="60">
        <v>0</v>
      </c>
      <c r="E57" s="38"/>
      <c r="F57" s="38">
        <v>0</v>
      </c>
      <c r="G57" s="38"/>
      <c r="H57" s="38">
        <v>0</v>
      </c>
      <c r="I57" s="38"/>
      <c r="J57" s="38">
        <v>0</v>
      </c>
      <c r="K57" s="38"/>
      <c r="L57" s="60">
        <f>D57-F57</f>
        <v>0</v>
      </c>
      <c r="M57" s="28"/>
      <c r="N57" s="131"/>
    </row>
    <row r="58" spans="1:14" ht="15.75">
      <c r="A58" s="27"/>
      <c r="B58" s="28"/>
      <c r="C58" s="38"/>
      <c r="D58" s="60"/>
      <c r="E58" s="38"/>
      <c r="F58" s="38"/>
      <c r="G58" s="38"/>
      <c r="H58" s="38"/>
      <c r="I58" s="38"/>
      <c r="J58" s="38"/>
      <c r="K58" s="38"/>
      <c r="L58" s="60"/>
      <c r="M58" s="28"/>
      <c r="N58" s="131"/>
    </row>
    <row r="59" spans="1:14" ht="15.75">
      <c r="A59" s="27"/>
      <c r="B59" s="28" t="s">
        <v>39</v>
      </c>
      <c r="C59" s="38">
        <f>SUM(C56:C58)</f>
        <v>162648</v>
      </c>
      <c r="D59" s="38">
        <f>SUM(D56:D58)</f>
        <v>126891</v>
      </c>
      <c r="E59" s="38"/>
      <c r="F59" s="38">
        <f>SUM(F56:F58)</f>
        <v>6171</v>
      </c>
      <c r="G59" s="38"/>
      <c r="H59" s="38">
        <f>SUM(H56:H58)</f>
        <v>0</v>
      </c>
      <c r="I59" s="38"/>
      <c r="J59" s="38">
        <f>SUM(J56:J58)</f>
        <v>0</v>
      </c>
      <c r="K59" s="38"/>
      <c r="L59" s="61">
        <f>SUM(L56:L58)</f>
        <v>120720</v>
      </c>
      <c r="M59" s="28"/>
      <c r="N59" s="131"/>
    </row>
    <row r="60" spans="1:14" ht="15.75">
      <c r="A60" s="27"/>
      <c r="B60" s="28"/>
      <c r="C60" s="38"/>
      <c r="D60" s="38"/>
      <c r="E60" s="38"/>
      <c r="F60" s="38"/>
      <c r="G60" s="38"/>
      <c r="H60" s="38"/>
      <c r="I60" s="38"/>
      <c r="J60" s="38"/>
      <c r="K60" s="38"/>
      <c r="L60" s="61"/>
      <c r="M60" s="28"/>
      <c r="N60" s="131"/>
    </row>
    <row r="61" spans="1:14" ht="15.75">
      <c r="A61" s="8"/>
      <c r="B61" s="154" t="s">
        <v>40</v>
      </c>
      <c r="C61" s="62"/>
      <c r="D61" s="62"/>
      <c r="E61" s="62"/>
      <c r="F61" s="62"/>
      <c r="G61" s="62"/>
      <c r="H61" s="62"/>
      <c r="I61" s="62"/>
      <c r="J61" s="62"/>
      <c r="K61" s="62"/>
      <c r="L61" s="63"/>
      <c r="M61" s="10"/>
      <c r="N61" s="131"/>
    </row>
    <row r="62" spans="1:14" ht="15.75">
      <c r="A62" s="8"/>
      <c r="B62" s="10"/>
      <c r="C62" s="62"/>
      <c r="D62" s="62"/>
      <c r="E62" s="62"/>
      <c r="F62" s="62"/>
      <c r="G62" s="62"/>
      <c r="H62" s="62"/>
      <c r="I62" s="62"/>
      <c r="J62" s="62"/>
      <c r="K62" s="62"/>
      <c r="L62" s="63"/>
      <c r="M62" s="10"/>
      <c r="N62" s="131"/>
    </row>
    <row r="63" spans="1:14" ht="15.75">
      <c r="A63" s="27"/>
      <c r="B63" s="28" t="s">
        <v>37</v>
      </c>
      <c r="C63" s="38"/>
      <c r="D63" s="38"/>
      <c r="E63" s="38"/>
      <c r="F63" s="38"/>
      <c r="G63" s="38"/>
      <c r="H63" s="38"/>
      <c r="I63" s="38"/>
      <c r="J63" s="38"/>
      <c r="K63" s="38"/>
      <c r="L63" s="61"/>
      <c r="M63" s="28"/>
      <c r="N63" s="131"/>
    </row>
    <row r="64" spans="1:14" ht="15.75">
      <c r="A64" s="27"/>
      <c r="B64" s="28" t="s">
        <v>38</v>
      </c>
      <c r="C64" s="38"/>
      <c r="D64" s="38"/>
      <c r="E64" s="38"/>
      <c r="F64" s="38"/>
      <c r="G64" s="38"/>
      <c r="H64" s="38"/>
      <c r="I64" s="38"/>
      <c r="J64" s="38"/>
      <c r="K64" s="38"/>
      <c r="L64" s="61"/>
      <c r="M64" s="28"/>
      <c r="N64" s="131"/>
    </row>
    <row r="65" spans="1:14" ht="15.75">
      <c r="A65" s="27"/>
      <c r="B65" s="28"/>
      <c r="C65" s="38"/>
      <c r="D65" s="38"/>
      <c r="E65" s="38"/>
      <c r="F65" s="38"/>
      <c r="G65" s="38"/>
      <c r="H65" s="38"/>
      <c r="I65" s="38"/>
      <c r="J65" s="38"/>
      <c r="K65" s="38"/>
      <c r="L65" s="61"/>
      <c r="M65" s="28"/>
      <c r="N65" s="131"/>
    </row>
    <row r="66" spans="1:14" ht="15.75">
      <c r="A66" s="27"/>
      <c r="B66" s="28" t="s">
        <v>39</v>
      </c>
      <c r="C66" s="38"/>
      <c r="D66" s="38"/>
      <c r="E66" s="38"/>
      <c r="F66" s="38"/>
      <c r="G66" s="38"/>
      <c r="H66" s="38"/>
      <c r="I66" s="38"/>
      <c r="J66" s="38"/>
      <c r="K66" s="38"/>
      <c r="L66" s="38"/>
      <c r="M66" s="28"/>
      <c r="N66" s="131"/>
    </row>
    <row r="67" spans="1:14" ht="15.75">
      <c r="A67" s="27"/>
      <c r="B67" s="28"/>
      <c r="C67" s="38"/>
      <c r="D67" s="38"/>
      <c r="E67" s="38"/>
      <c r="F67" s="38"/>
      <c r="G67" s="38"/>
      <c r="H67" s="38"/>
      <c r="I67" s="38"/>
      <c r="J67" s="38"/>
      <c r="K67" s="38"/>
      <c r="L67" s="38"/>
      <c r="M67" s="28"/>
      <c r="N67" s="131"/>
    </row>
    <row r="68" spans="1:14" ht="15.75">
      <c r="A68" s="27"/>
      <c r="B68" s="28" t="s">
        <v>41</v>
      </c>
      <c r="C68" s="38">
        <v>0</v>
      </c>
      <c r="D68" s="38">
        <v>0</v>
      </c>
      <c r="E68" s="38"/>
      <c r="F68" s="38"/>
      <c r="G68" s="38"/>
      <c r="H68" s="38"/>
      <c r="I68" s="38"/>
      <c r="J68" s="38"/>
      <c r="K68" s="38"/>
      <c r="L68" s="60">
        <f>D68-F68+H68-J68</f>
        <v>0</v>
      </c>
      <c r="M68" s="28"/>
      <c r="N68" s="131"/>
    </row>
    <row r="69" spans="1:14" ht="15.75">
      <c r="A69" s="27"/>
      <c r="B69" s="28" t="s">
        <v>42</v>
      </c>
      <c r="C69" s="38">
        <v>22352</v>
      </c>
      <c r="D69" s="38">
        <v>0</v>
      </c>
      <c r="E69" s="38"/>
      <c r="F69" s="38"/>
      <c r="G69" s="38"/>
      <c r="H69" s="38"/>
      <c r="I69" s="38"/>
      <c r="J69" s="38"/>
      <c r="K69" s="38"/>
      <c r="L69" s="61">
        <v>0</v>
      </c>
      <c r="M69" s="28"/>
      <c r="N69" s="131"/>
    </row>
    <row r="70" spans="1:14" ht="15.75">
      <c r="A70" s="27"/>
      <c r="B70" s="28" t="s">
        <v>43</v>
      </c>
      <c r="C70" s="38">
        <v>0</v>
      </c>
      <c r="D70" s="38">
        <v>0</v>
      </c>
      <c r="E70" s="38"/>
      <c r="F70" s="38"/>
      <c r="G70" s="38"/>
      <c r="H70" s="38"/>
      <c r="I70" s="38"/>
      <c r="J70" s="38"/>
      <c r="K70" s="38"/>
      <c r="L70" s="61">
        <v>0</v>
      </c>
      <c r="M70" s="28"/>
      <c r="N70" s="131"/>
    </row>
    <row r="71" spans="1:14" ht="15.75">
      <c r="A71" s="27"/>
      <c r="B71" s="28" t="s">
        <v>44</v>
      </c>
      <c r="C71" s="61">
        <f>SUM(C59:C70)</f>
        <v>185000</v>
      </c>
      <c r="D71" s="61">
        <f>SUM(D59:D70)</f>
        <v>126891</v>
      </c>
      <c r="E71" s="38"/>
      <c r="F71" s="61"/>
      <c r="G71" s="38"/>
      <c r="H71" s="61"/>
      <c r="I71" s="38"/>
      <c r="J71" s="61"/>
      <c r="K71" s="38"/>
      <c r="L71" s="61">
        <f>SUM(L59:L70)</f>
        <v>120720</v>
      </c>
      <c r="M71" s="28"/>
      <c r="N71" s="131"/>
    </row>
    <row r="72" spans="1:14" ht="15.75">
      <c r="A72" s="27"/>
      <c r="B72" s="28"/>
      <c r="C72" s="38"/>
      <c r="D72" s="38"/>
      <c r="E72" s="38"/>
      <c r="F72" s="38"/>
      <c r="G72" s="38"/>
      <c r="H72" s="38"/>
      <c r="I72" s="38"/>
      <c r="J72" s="38"/>
      <c r="K72" s="38"/>
      <c r="L72" s="61"/>
      <c r="M72" s="28"/>
      <c r="N72" s="131"/>
    </row>
    <row r="73" spans="1:14" ht="15.75">
      <c r="A73" s="8"/>
      <c r="B73" s="10"/>
      <c r="C73" s="10"/>
      <c r="D73" s="10"/>
      <c r="E73" s="10"/>
      <c r="F73" s="10"/>
      <c r="G73" s="10"/>
      <c r="H73" s="10"/>
      <c r="I73" s="10"/>
      <c r="J73" s="10"/>
      <c r="K73" s="10"/>
      <c r="L73" s="10"/>
      <c r="M73" s="10"/>
      <c r="N73" s="131"/>
    </row>
    <row r="74" spans="1:14" ht="15.75">
      <c r="A74" s="8"/>
      <c r="B74" s="58" t="s">
        <v>45</v>
      </c>
      <c r="C74" s="17"/>
      <c r="D74" s="17"/>
      <c r="E74" s="17"/>
      <c r="F74" s="17"/>
      <c r="G74" s="17"/>
      <c r="H74" s="17"/>
      <c r="I74" s="20"/>
      <c r="J74" s="20" t="s">
        <v>177</v>
      </c>
      <c r="K74" s="20"/>
      <c r="L74" s="20" t="s">
        <v>190</v>
      </c>
      <c r="M74" s="10"/>
      <c r="N74" s="131"/>
    </row>
    <row r="75" spans="1:14" ht="15.75">
      <c r="A75" s="27"/>
      <c r="B75" s="28" t="s">
        <v>46</v>
      </c>
      <c r="C75" s="28"/>
      <c r="D75" s="28"/>
      <c r="E75" s="28"/>
      <c r="F75" s="28"/>
      <c r="G75" s="28"/>
      <c r="H75" s="28"/>
      <c r="I75" s="28"/>
      <c r="J75" s="38">
        <v>0</v>
      </c>
      <c r="K75" s="28"/>
      <c r="L75" s="60">
        <v>0</v>
      </c>
      <c r="M75" s="28"/>
      <c r="N75" s="131"/>
    </row>
    <row r="76" spans="1:14" ht="15.75">
      <c r="A76" s="27"/>
      <c r="B76" s="28" t="s">
        <v>47</v>
      </c>
      <c r="C76" s="47" t="s">
        <v>146</v>
      </c>
      <c r="D76" s="65">
        <v>37711</v>
      </c>
      <c r="E76" s="28"/>
      <c r="F76" s="28"/>
      <c r="G76" s="28"/>
      <c r="H76" s="28"/>
      <c r="I76" s="28"/>
      <c r="J76" s="38">
        <v>6171</v>
      </c>
      <c r="K76" s="28"/>
      <c r="L76" s="60"/>
      <c r="M76" s="28"/>
      <c r="N76" s="131"/>
    </row>
    <row r="77" spans="1:14" ht="15.75">
      <c r="A77" s="27"/>
      <c r="B77" s="28" t="s">
        <v>48</v>
      </c>
      <c r="C77" s="28"/>
      <c r="D77" s="28"/>
      <c r="E77" s="28"/>
      <c r="F77" s="28"/>
      <c r="G77" s="28"/>
      <c r="H77" s="28"/>
      <c r="I77" s="28"/>
      <c r="J77" s="38"/>
      <c r="K77" s="28"/>
      <c r="L77" s="60">
        <f>1953-4+254-12</f>
        <v>2191</v>
      </c>
      <c r="M77" s="28"/>
      <c r="N77" s="131"/>
    </row>
    <row r="78" spans="1:14" ht="15.75">
      <c r="A78" s="27"/>
      <c r="B78" s="28" t="s">
        <v>49</v>
      </c>
      <c r="C78" s="28"/>
      <c r="D78" s="28"/>
      <c r="E78" s="28"/>
      <c r="F78" s="28"/>
      <c r="G78" s="28"/>
      <c r="H78" s="28"/>
      <c r="I78" s="28"/>
      <c r="J78" s="38"/>
      <c r="K78" s="28"/>
      <c r="L78" s="60">
        <v>0</v>
      </c>
      <c r="M78" s="28"/>
      <c r="N78" s="131"/>
    </row>
    <row r="79" spans="1:14" ht="15.75">
      <c r="A79" s="27"/>
      <c r="B79" s="28" t="s">
        <v>50</v>
      </c>
      <c r="C79" s="28"/>
      <c r="D79" s="28"/>
      <c r="E79" s="28"/>
      <c r="F79" s="28"/>
      <c r="G79" s="28"/>
      <c r="H79" s="28"/>
      <c r="I79" s="28"/>
      <c r="J79" s="38">
        <f>SUM(J75:J78)</f>
        <v>6171</v>
      </c>
      <c r="K79" s="28"/>
      <c r="L79" s="61">
        <f>SUM(L75:L78)</f>
        <v>2191</v>
      </c>
      <c r="M79" s="28"/>
      <c r="N79" s="131"/>
    </row>
    <row r="80" spans="1:14" ht="15.75">
      <c r="A80" s="27"/>
      <c r="B80" s="28" t="s">
        <v>51</v>
      </c>
      <c r="C80" s="28"/>
      <c r="D80" s="28"/>
      <c r="E80" s="28"/>
      <c r="F80" s="28"/>
      <c r="G80" s="28"/>
      <c r="H80" s="28"/>
      <c r="I80" s="28"/>
      <c r="J80" s="38">
        <v>0</v>
      </c>
      <c r="K80" s="28"/>
      <c r="L80" s="60">
        <v>0</v>
      </c>
      <c r="M80" s="28"/>
      <c r="N80" s="131"/>
    </row>
    <row r="81" spans="1:14" ht="15.75">
      <c r="A81" s="27"/>
      <c r="B81" s="28" t="s">
        <v>52</v>
      </c>
      <c r="C81" s="28"/>
      <c r="D81" s="28"/>
      <c r="E81" s="28"/>
      <c r="F81" s="28"/>
      <c r="G81" s="28"/>
      <c r="H81" s="28"/>
      <c r="I81" s="28"/>
      <c r="J81" s="38">
        <f>J79+J80</f>
        <v>6171</v>
      </c>
      <c r="K81" s="28"/>
      <c r="L81" s="61">
        <f>L79+L80</f>
        <v>2191</v>
      </c>
      <c r="M81" s="28"/>
      <c r="N81" s="131"/>
    </row>
    <row r="82" spans="1:14" ht="15.75">
      <c r="A82" s="27"/>
      <c r="B82" s="166" t="s">
        <v>53</v>
      </c>
      <c r="C82" s="66"/>
      <c r="D82" s="28"/>
      <c r="E82" s="28"/>
      <c r="F82" s="28"/>
      <c r="G82" s="28"/>
      <c r="H82" s="28"/>
      <c r="I82" s="28"/>
      <c r="J82" s="38"/>
      <c r="K82" s="28"/>
      <c r="L82" s="60"/>
      <c r="M82" s="28"/>
      <c r="N82" s="131"/>
    </row>
    <row r="83" spans="1:14" ht="15.75">
      <c r="A83" s="27">
        <v>1</v>
      </c>
      <c r="B83" s="28" t="s">
        <v>54</v>
      </c>
      <c r="C83" s="28"/>
      <c r="D83" s="28"/>
      <c r="E83" s="28"/>
      <c r="F83" s="28"/>
      <c r="G83" s="28"/>
      <c r="H83" s="28"/>
      <c r="I83" s="28"/>
      <c r="J83" s="28"/>
      <c r="K83" s="28"/>
      <c r="L83" s="60">
        <v>0</v>
      </c>
      <c r="M83" s="28"/>
      <c r="N83" s="131"/>
    </row>
    <row r="84" spans="1:14" ht="15.75">
      <c r="A84" s="27">
        <v>2</v>
      </c>
      <c r="B84" s="28" t="s">
        <v>55</v>
      </c>
      <c r="C84" s="28"/>
      <c r="D84" s="28"/>
      <c r="E84" s="28"/>
      <c r="F84" s="28"/>
      <c r="G84" s="28"/>
      <c r="H84" s="28"/>
      <c r="I84" s="28"/>
      <c r="J84" s="28"/>
      <c r="K84" s="28"/>
      <c r="L84" s="60">
        <v>-3</v>
      </c>
      <c r="M84" s="28"/>
      <c r="N84" s="131"/>
    </row>
    <row r="85" spans="1:14" ht="15.75">
      <c r="A85" s="27">
        <v>3</v>
      </c>
      <c r="B85" s="28" t="s">
        <v>56</v>
      </c>
      <c r="C85" s="28"/>
      <c r="D85" s="28"/>
      <c r="E85" s="28"/>
      <c r="F85" s="28"/>
      <c r="G85" s="28"/>
      <c r="H85" s="28"/>
      <c r="I85" s="28"/>
      <c r="J85" s="28"/>
      <c r="K85" s="28"/>
      <c r="L85" s="60">
        <f>-94-4</f>
        <v>-98</v>
      </c>
      <c r="M85" s="28"/>
      <c r="N85" s="131"/>
    </row>
    <row r="86" spans="1:14" ht="15.75">
      <c r="A86" s="27">
        <v>4</v>
      </c>
      <c r="B86" s="28" t="s">
        <v>57</v>
      </c>
      <c r="C86" s="28"/>
      <c r="D86" s="28"/>
      <c r="E86" s="28"/>
      <c r="F86" s="28"/>
      <c r="G86" s="28"/>
      <c r="H86" s="28"/>
      <c r="I86" s="28"/>
      <c r="J86" s="28"/>
      <c r="K86" s="28"/>
      <c r="L86" s="60">
        <v>-151</v>
      </c>
      <c r="M86" s="28"/>
      <c r="N86" s="131"/>
    </row>
    <row r="87" spans="1:14" ht="15.75">
      <c r="A87" s="27">
        <v>5</v>
      </c>
      <c r="B87" s="28" t="s">
        <v>58</v>
      </c>
      <c r="C87" s="28"/>
      <c r="D87" s="28"/>
      <c r="E87" s="28"/>
      <c r="F87" s="28"/>
      <c r="G87" s="28"/>
      <c r="H87" s="28"/>
      <c r="I87" s="28"/>
      <c r="J87" s="28"/>
      <c r="K87" s="28"/>
      <c r="L87" s="60">
        <v>-1163</v>
      </c>
      <c r="M87" s="28"/>
      <c r="N87" s="131"/>
    </row>
    <row r="88" spans="1:14" ht="15.75">
      <c r="A88" s="27">
        <v>6</v>
      </c>
      <c r="B88" s="28" t="s">
        <v>59</v>
      </c>
      <c r="C88" s="28"/>
      <c r="D88" s="28"/>
      <c r="E88" s="28"/>
      <c r="F88" s="28"/>
      <c r="G88" s="28"/>
      <c r="H88" s="28"/>
      <c r="I88" s="28"/>
      <c r="J88" s="28"/>
      <c r="K88" s="28"/>
      <c r="L88" s="60">
        <v>-202</v>
      </c>
      <c r="M88" s="28"/>
      <c r="N88" s="131"/>
    </row>
    <row r="89" spans="1:14" ht="15.75">
      <c r="A89" s="27">
        <v>7</v>
      </c>
      <c r="B89" s="28" t="s">
        <v>60</v>
      </c>
      <c r="C89" s="28"/>
      <c r="D89" s="28"/>
      <c r="E89" s="28"/>
      <c r="F89" s="28"/>
      <c r="G89" s="28"/>
      <c r="H89" s="28"/>
      <c r="I89" s="28"/>
      <c r="J89" s="28"/>
      <c r="K89" s="28"/>
      <c r="L89" s="60">
        <v>-5</v>
      </c>
      <c r="M89" s="28"/>
      <c r="N89" s="131"/>
    </row>
    <row r="90" spans="1:14" ht="15.75">
      <c r="A90" s="27">
        <v>8</v>
      </c>
      <c r="B90" s="28" t="s">
        <v>61</v>
      </c>
      <c r="C90" s="28"/>
      <c r="D90" s="28"/>
      <c r="E90" s="28"/>
      <c r="F90" s="28"/>
      <c r="G90" s="28"/>
      <c r="H90" s="28"/>
      <c r="I90" s="28"/>
      <c r="J90" s="28"/>
      <c r="K90" s="28"/>
      <c r="L90" s="60">
        <v>0</v>
      </c>
      <c r="M90" s="28"/>
      <c r="N90" s="131"/>
    </row>
    <row r="91" spans="1:14" ht="15.75">
      <c r="A91" s="27">
        <v>9</v>
      </c>
      <c r="B91" s="28" t="s">
        <v>62</v>
      </c>
      <c r="C91" s="28"/>
      <c r="D91" s="28"/>
      <c r="E91" s="28"/>
      <c r="F91" s="28"/>
      <c r="G91" s="28"/>
      <c r="H91" s="28"/>
      <c r="I91" s="28"/>
      <c r="J91" s="28"/>
      <c r="K91" s="28"/>
      <c r="L91" s="60">
        <v>0</v>
      </c>
      <c r="M91" s="28"/>
      <c r="N91" s="131"/>
    </row>
    <row r="92" spans="1:14" ht="15.75">
      <c r="A92" s="27">
        <v>10</v>
      </c>
      <c r="B92" s="28" t="s">
        <v>63</v>
      </c>
      <c r="C92" s="28"/>
      <c r="D92" s="28"/>
      <c r="E92" s="28"/>
      <c r="F92" s="28"/>
      <c r="G92" s="28"/>
      <c r="H92" s="28"/>
      <c r="I92" s="28"/>
      <c r="J92" s="28"/>
      <c r="K92" s="28"/>
      <c r="L92" s="60">
        <v>0</v>
      </c>
      <c r="M92" s="28"/>
      <c r="N92" s="131"/>
    </row>
    <row r="93" spans="1:14" ht="15.75">
      <c r="A93" s="27">
        <v>11</v>
      </c>
      <c r="B93" s="28" t="s">
        <v>64</v>
      </c>
      <c r="C93" s="28"/>
      <c r="D93" s="28"/>
      <c r="E93" s="28"/>
      <c r="F93" s="28"/>
      <c r="G93" s="28"/>
      <c r="H93" s="28"/>
      <c r="I93" s="28"/>
      <c r="J93" s="28"/>
      <c r="K93" s="28"/>
      <c r="L93" s="60">
        <v>0</v>
      </c>
      <c r="M93" s="28"/>
      <c r="N93" s="131"/>
    </row>
    <row r="94" spans="1:14" ht="15.75">
      <c r="A94" s="27">
        <v>12</v>
      </c>
      <c r="B94" s="28" t="s">
        <v>65</v>
      </c>
      <c r="C94" s="28"/>
      <c r="D94" s="28"/>
      <c r="E94" s="28"/>
      <c r="F94" s="28"/>
      <c r="G94" s="28"/>
      <c r="H94" s="28"/>
      <c r="I94" s="28"/>
      <c r="J94" s="28"/>
      <c r="K94" s="28"/>
      <c r="L94" s="60">
        <f>-4-114</f>
        <v>-118</v>
      </c>
      <c r="M94" s="28"/>
      <c r="N94" s="131"/>
    </row>
    <row r="95" spans="1:14" ht="15.75">
      <c r="A95" s="27">
        <v>13</v>
      </c>
      <c r="B95" s="28" t="s">
        <v>66</v>
      </c>
      <c r="C95" s="28"/>
      <c r="D95" s="28"/>
      <c r="E95" s="28"/>
      <c r="F95" s="28"/>
      <c r="G95" s="28"/>
      <c r="H95" s="28"/>
      <c r="I95" s="28"/>
      <c r="J95" s="28"/>
      <c r="K95" s="28"/>
      <c r="L95" s="60">
        <f>-SUM(L81:L94)</f>
        <v>-451</v>
      </c>
      <c r="M95" s="28"/>
      <c r="N95" s="131"/>
    </row>
    <row r="96" spans="1:14" ht="15.75">
      <c r="A96" s="27"/>
      <c r="B96" s="166" t="s">
        <v>67</v>
      </c>
      <c r="C96" s="66"/>
      <c r="D96" s="28"/>
      <c r="E96" s="28"/>
      <c r="F96" s="28"/>
      <c r="G96" s="28"/>
      <c r="H96" s="28"/>
      <c r="I96" s="28"/>
      <c r="J96" s="28"/>
      <c r="K96" s="28"/>
      <c r="L96" s="67"/>
      <c r="M96" s="28"/>
      <c r="N96" s="131"/>
    </row>
    <row r="97" spans="1:14" ht="15.75">
      <c r="A97" s="27"/>
      <c r="B97" s="28" t="s">
        <v>68</v>
      </c>
      <c r="C97" s="66"/>
      <c r="D97" s="28"/>
      <c r="E97" s="28"/>
      <c r="F97" s="28"/>
      <c r="G97" s="28"/>
      <c r="H97" s="28"/>
      <c r="I97" s="28"/>
      <c r="J97" s="38">
        <f>-J143</f>
        <v>0</v>
      </c>
      <c r="K97" s="38"/>
      <c r="L97" s="60"/>
      <c r="M97" s="28"/>
      <c r="N97" s="131"/>
    </row>
    <row r="98" spans="1:14" ht="15.75">
      <c r="A98" s="27"/>
      <c r="B98" s="28" t="s">
        <v>69</v>
      </c>
      <c r="C98" s="28"/>
      <c r="D98" s="28"/>
      <c r="E98" s="28"/>
      <c r="F98" s="28"/>
      <c r="G98" s="28"/>
      <c r="H98" s="28"/>
      <c r="I98" s="28"/>
      <c r="J98" s="38">
        <f>-H143</f>
        <v>0</v>
      </c>
      <c r="K98" s="38"/>
      <c r="L98" s="60"/>
      <c r="M98" s="28"/>
      <c r="N98" s="131"/>
    </row>
    <row r="99" spans="1:14" ht="15.75">
      <c r="A99" s="27"/>
      <c r="B99" s="28" t="s">
        <v>70</v>
      </c>
      <c r="C99" s="28"/>
      <c r="D99" s="28"/>
      <c r="E99" s="28"/>
      <c r="F99" s="28"/>
      <c r="G99" s="28"/>
      <c r="H99" s="28"/>
      <c r="I99" s="28"/>
      <c r="J99" s="38">
        <v>-6171</v>
      </c>
      <c r="K99" s="38"/>
      <c r="L99" s="60"/>
      <c r="M99" s="28"/>
      <c r="N99" s="131"/>
    </row>
    <row r="100" spans="1:14" ht="15.75">
      <c r="A100" s="27"/>
      <c r="B100" s="28" t="s">
        <v>71</v>
      </c>
      <c r="C100" s="28"/>
      <c r="D100" s="28"/>
      <c r="E100" s="28"/>
      <c r="F100" s="28"/>
      <c r="G100" s="28"/>
      <c r="H100" s="28"/>
      <c r="I100" s="28"/>
      <c r="J100" s="38">
        <v>0</v>
      </c>
      <c r="K100" s="38"/>
      <c r="L100" s="60"/>
      <c r="M100" s="28"/>
      <c r="N100" s="131"/>
    </row>
    <row r="101" spans="1:14" ht="15.75">
      <c r="A101" s="27"/>
      <c r="B101" s="28" t="s">
        <v>72</v>
      </c>
      <c r="C101" s="28"/>
      <c r="D101" s="28"/>
      <c r="E101" s="28"/>
      <c r="F101" s="28"/>
      <c r="G101" s="28"/>
      <c r="H101" s="28"/>
      <c r="I101" s="28"/>
      <c r="J101" s="38">
        <f>SUM(J82:J100)</f>
        <v>-6171</v>
      </c>
      <c r="K101" s="38"/>
      <c r="L101" s="38">
        <f>SUM(L82:L100)</f>
        <v>-2191</v>
      </c>
      <c r="M101" s="28"/>
      <c r="N101" s="131"/>
    </row>
    <row r="102" spans="1:14" ht="15.75">
      <c r="A102" s="27"/>
      <c r="B102" s="28" t="s">
        <v>73</v>
      </c>
      <c r="C102" s="28"/>
      <c r="D102" s="28"/>
      <c r="E102" s="28"/>
      <c r="F102" s="28"/>
      <c r="G102" s="28"/>
      <c r="H102" s="28"/>
      <c r="I102" s="28"/>
      <c r="J102" s="38">
        <f>J81+J101</f>
        <v>0</v>
      </c>
      <c r="K102" s="38"/>
      <c r="L102" s="38">
        <f>L81+L101</f>
        <v>0</v>
      </c>
      <c r="M102" s="28"/>
      <c r="N102" s="131"/>
    </row>
    <row r="103" spans="1:14" ht="15.75">
      <c r="A103" s="27"/>
      <c r="B103" s="28"/>
      <c r="C103" s="28"/>
      <c r="D103" s="28"/>
      <c r="E103" s="28"/>
      <c r="F103" s="28"/>
      <c r="G103" s="28"/>
      <c r="H103" s="28"/>
      <c r="I103" s="28"/>
      <c r="J103" s="38"/>
      <c r="K103" s="38"/>
      <c r="L103" s="38"/>
      <c r="M103" s="28"/>
      <c r="N103" s="131"/>
    </row>
    <row r="104" spans="1:14" ht="15.75">
      <c r="A104" s="8"/>
      <c r="B104" s="10"/>
      <c r="C104" s="10"/>
      <c r="D104" s="10"/>
      <c r="E104" s="10"/>
      <c r="F104" s="10"/>
      <c r="G104" s="10"/>
      <c r="H104" s="10"/>
      <c r="I104" s="10"/>
      <c r="J104" s="62"/>
      <c r="K104" s="62"/>
      <c r="L104" s="62"/>
      <c r="M104" s="10"/>
      <c r="N104" s="131"/>
    </row>
    <row r="105" spans="1:14" ht="19.5" thickBot="1">
      <c r="A105" s="138"/>
      <c r="B105" s="139" t="str">
        <f>B51</f>
        <v>PM1 INVESTOR REPORT QUARTER ENDING MARCH 2003</v>
      </c>
      <c r="C105" s="140"/>
      <c r="D105" s="140"/>
      <c r="E105" s="140"/>
      <c r="F105" s="140"/>
      <c r="G105" s="140"/>
      <c r="H105" s="140"/>
      <c r="I105" s="140"/>
      <c r="J105" s="143"/>
      <c r="K105" s="143"/>
      <c r="L105" s="143"/>
      <c r="M105" s="142"/>
      <c r="N105" s="131"/>
    </row>
    <row r="106" spans="1:14" ht="12" customHeight="1">
      <c r="A106" s="2"/>
      <c r="B106" s="5"/>
      <c r="C106" s="5"/>
      <c r="D106" s="5"/>
      <c r="E106" s="5"/>
      <c r="F106" s="5"/>
      <c r="G106" s="5"/>
      <c r="H106" s="5"/>
      <c r="I106" s="5"/>
      <c r="J106" s="5"/>
      <c r="K106" s="5"/>
      <c r="L106" s="57"/>
      <c r="M106" s="5"/>
      <c r="N106" s="131"/>
    </row>
    <row r="107" spans="1:14" ht="12" customHeight="1">
      <c r="A107" s="8"/>
      <c r="B107" s="10"/>
      <c r="C107" s="10"/>
      <c r="D107" s="10"/>
      <c r="E107" s="10"/>
      <c r="F107" s="10"/>
      <c r="G107" s="10"/>
      <c r="H107" s="10"/>
      <c r="I107" s="10"/>
      <c r="J107" s="10"/>
      <c r="K107" s="10"/>
      <c r="L107" s="59"/>
      <c r="M107" s="10"/>
      <c r="N107" s="131"/>
    </row>
    <row r="108" spans="1:14" ht="15.75">
      <c r="A108" s="8"/>
      <c r="B108" s="58" t="s">
        <v>74</v>
      </c>
      <c r="C108" s="16"/>
      <c r="D108" s="10"/>
      <c r="E108" s="10"/>
      <c r="F108" s="10"/>
      <c r="G108" s="10"/>
      <c r="H108" s="10"/>
      <c r="I108" s="10"/>
      <c r="J108" s="10"/>
      <c r="K108" s="10"/>
      <c r="L108" s="59"/>
      <c r="M108" s="10"/>
      <c r="N108" s="131"/>
    </row>
    <row r="109" spans="1:14" ht="15.75">
      <c r="A109" s="8"/>
      <c r="B109" s="23"/>
      <c r="C109" s="16"/>
      <c r="D109" s="10"/>
      <c r="E109" s="10"/>
      <c r="F109" s="10"/>
      <c r="G109" s="10"/>
      <c r="H109" s="10"/>
      <c r="I109" s="10"/>
      <c r="J109" s="10"/>
      <c r="K109" s="10"/>
      <c r="L109" s="59"/>
      <c r="M109" s="10"/>
      <c r="N109" s="131"/>
    </row>
    <row r="110" spans="1:14" ht="15.75">
      <c r="A110" s="8"/>
      <c r="B110" s="167" t="s">
        <v>75</v>
      </c>
      <c r="C110" s="16"/>
      <c r="D110" s="10"/>
      <c r="E110" s="10"/>
      <c r="F110" s="10"/>
      <c r="G110" s="10"/>
      <c r="H110" s="10"/>
      <c r="I110" s="10"/>
      <c r="J110" s="10"/>
      <c r="K110" s="10"/>
      <c r="L110" s="59"/>
      <c r="M110" s="10"/>
      <c r="N110" s="131"/>
    </row>
    <row r="111" spans="1:14" ht="15.75">
      <c r="A111" s="27"/>
      <c r="B111" s="28" t="s">
        <v>76</v>
      </c>
      <c r="C111" s="28"/>
      <c r="D111" s="28"/>
      <c r="E111" s="28"/>
      <c r="F111" s="28"/>
      <c r="G111" s="28"/>
      <c r="H111" s="28"/>
      <c r="I111" s="28"/>
      <c r="J111" s="28"/>
      <c r="K111" s="28"/>
      <c r="L111" s="60">
        <v>4625</v>
      </c>
      <c r="M111" s="28"/>
      <c r="N111" s="131"/>
    </row>
    <row r="112" spans="1:14" ht="15.75">
      <c r="A112" s="27"/>
      <c r="B112" s="28" t="s">
        <v>77</v>
      </c>
      <c r="C112" s="28"/>
      <c r="D112" s="28"/>
      <c r="E112" s="28"/>
      <c r="F112" s="28"/>
      <c r="G112" s="28"/>
      <c r="H112" s="28"/>
      <c r="I112" s="28"/>
      <c r="J112" s="28"/>
      <c r="K112" s="28"/>
      <c r="L112" s="60">
        <v>4625</v>
      </c>
      <c r="M112" s="28"/>
      <c r="N112" s="131"/>
    </row>
    <row r="113" spans="1:14" ht="15.75">
      <c r="A113" s="27"/>
      <c r="B113" s="28" t="s">
        <v>78</v>
      </c>
      <c r="C113" s="28"/>
      <c r="D113" s="28"/>
      <c r="E113" s="28"/>
      <c r="F113" s="28"/>
      <c r="G113" s="28"/>
      <c r="H113" s="28"/>
      <c r="I113" s="28"/>
      <c r="J113" s="28"/>
      <c r="K113" s="28"/>
      <c r="L113" s="60">
        <v>0</v>
      </c>
      <c r="M113" s="28"/>
      <c r="N113" s="131"/>
    </row>
    <row r="114" spans="1:14" ht="15.75">
      <c r="A114" s="27"/>
      <c r="B114" s="28" t="s">
        <v>79</v>
      </c>
      <c r="C114" s="28"/>
      <c r="D114" s="28"/>
      <c r="E114" s="28"/>
      <c r="F114" s="28"/>
      <c r="G114" s="28"/>
      <c r="H114" s="28"/>
      <c r="I114" s="28"/>
      <c r="J114" s="28"/>
      <c r="K114" s="28"/>
      <c r="L114" s="60">
        <v>0</v>
      </c>
      <c r="M114" s="28"/>
      <c r="N114" s="131"/>
    </row>
    <row r="115" spans="1:14" ht="15.75">
      <c r="A115" s="27"/>
      <c r="B115" s="28" t="s">
        <v>80</v>
      </c>
      <c r="C115" s="28"/>
      <c r="D115" s="28"/>
      <c r="E115" s="28"/>
      <c r="F115" s="28"/>
      <c r="G115" s="28"/>
      <c r="H115" s="28"/>
      <c r="I115" s="28"/>
      <c r="J115" s="28"/>
      <c r="K115" s="28"/>
      <c r="L115" s="60">
        <v>0</v>
      </c>
      <c r="M115" s="28"/>
      <c r="N115" s="131"/>
    </row>
    <row r="116" spans="1:14" ht="15.75">
      <c r="A116" s="27"/>
      <c r="B116" s="28" t="s">
        <v>58</v>
      </c>
      <c r="C116" s="28"/>
      <c r="D116" s="28"/>
      <c r="E116" s="28"/>
      <c r="F116" s="28"/>
      <c r="G116" s="28"/>
      <c r="H116" s="28"/>
      <c r="I116" s="28"/>
      <c r="J116" s="28"/>
      <c r="K116" s="28"/>
      <c r="L116" s="60">
        <v>0</v>
      </c>
      <c r="M116" s="28"/>
      <c r="N116" s="131"/>
    </row>
    <row r="117" spans="1:14" ht="15.75">
      <c r="A117" s="27"/>
      <c r="B117" s="28" t="s">
        <v>59</v>
      </c>
      <c r="C117" s="28"/>
      <c r="D117" s="28"/>
      <c r="E117" s="28"/>
      <c r="F117" s="28"/>
      <c r="G117" s="28"/>
      <c r="H117" s="28"/>
      <c r="I117" s="28"/>
      <c r="J117" s="28"/>
      <c r="K117" s="28"/>
      <c r="L117" s="60">
        <v>0</v>
      </c>
      <c r="M117" s="28"/>
      <c r="N117" s="131"/>
    </row>
    <row r="118" spans="1:14" ht="15.75">
      <c r="A118" s="27"/>
      <c r="B118" s="28" t="s">
        <v>81</v>
      </c>
      <c r="C118" s="28"/>
      <c r="D118" s="28"/>
      <c r="E118" s="28"/>
      <c r="F118" s="28"/>
      <c r="G118" s="28"/>
      <c r="H118" s="28"/>
      <c r="I118" s="28"/>
      <c r="J118" s="28"/>
      <c r="K118" s="28"/>
      <c r="L118" s="60">
        <f>SUM(L112:L116)</f>
        <v>4625</v>
      </c>
      <c r="M118" s="28"/>
      <c r="N118" s="131"/>
    </row>
    <row r="119" spans="1:14" ht="15.75">
      <c r="A119" s="27"/>
      <c r="B119" s="28"/>
      <c r="C119" s="28"/>
      <c r="D119" s="28"/>
      <c r="E119" s="28"/>
      <c r="F119" s="28"/>
      <c r="G119" s="28"/>
      <c r="H119" s="28"/>
      <c r="I119" s="28"/>
      <c r="J119" s="28"/>
      <c r="K119" s="28"/>
      <c r="L119" s="68"/>
      <c r="M119" s="28"/>
      <c r="N119" s="131"/>
    </row>
    <row r="120" spans="1:14" ht="15.75">
      <c r="A120" s="8"/>
      <c r="B120" s="167" t="s">
        <v>82</v>
      </c>
      <c r="C120" s="10"/>
      <c r="D120" s="10"/>
      <c r="E120" s="10"/>
      <c r="F120" s="10"/>
      <c r="G120" s="10"/>
      <c r="H120" s="10"/>
      <c r="I120" s="10"/>
      <c r="J120" s="10"/>
      <c r="K120" s="10"/>
      <c r="L120" s="59"/>
      <c r="M120" s="10"/>
      <c r="N120" s="131"/>
    </row>
    <row r="121" spans="1:14" ht="15.75">
      <c r="A121" s="27"/>
      <c r="B121" s="28" t="s">
        <v>83</v>
      </c>
      <c r="C121" s="28"/>
      <c r="D121" s="69"/>
      <c r="E121" s="28"/>
      <c r="F121" s="28"/>
      <c r="G121" s="28"/>
      <c r="H121" s="28"/>
      <c r="I121" s="28"/>
      <c r="J121" s="28"/>
      <c r="K121" s="28"/>
      <c r="L121" s="70" t="s">
        <v>156</v>
      </c>
      <c r="M121" s="28"/>
      <c r="N121" s="131"/>
    </row>
    <row r="122" spans="1:14" ht="15.75">
      <c r="A122" s="27"/>
      <c r="B122" s="28" t="s">
        <v>84</v>
      </c>
      <c r="C122" s="30"/>
      <c r="D122" s="30"/>
      <c r="E122" s="30"/>
      <c r="F122" s="30"/>
      <c r="G122" s="30"/>
      <c r="H122" s="30"/>
      <c r="I122" s="30"/>
      <c r="J122" s="30"/>
      <c r="K122" s="30"/>
      <c r="L122" s="70" t="s">
        <v>156</v>
      </c>
      <c r="M122" s="28"/>
      <c r="N122" s="131"/>
    </row>
    <row r="123" spans="1:14" ht="15.75">
      <c r="A123" s="27"/>
      <c r="B123" s="28" t="s">
        <v>85</v>
      </c>
      <c r="C123" s="28"/>
      <c r="D123" s="28"/>
      <c r="E123" s="28"/>
      <c r="F123" s="28"/>
      <c r="G123" s="28"/>
      <c r="H123" s="28"/>
      <c r="I123" s="28"/>
      <c r="J123" s="28"/>
      <c r="K123" s="28"/>
      <c r="L123" s="70" t="s">
        <v>156</v>
      </c>
      <c r="M123" s="28"/>
      <c r="N123" s="131"/>
    </row>
    <row r="124" spans="1:14" ht="15.75">
      <c r="A124" s="27"/>
      <c r="B124" s="28" t="s">
        <v>86</v>
      </c>
      <c r="C124" s="28"/>
      <c r="D124" s="28"/>
      <c r="E124" s="28"/>
      <c r="F124" s="28"/>
      <c r="G124" s="28"/>
      <c r="H124" s="28"/>
      <c r="I124" s="28"/>
      <c r="J124" s="28"/>
      <c r="K124" s="28"/>
      <c r="L124" s="70" t="s">
        <v>156</v>
      </c>
      <c r="M124" s="28"/>
      <c r="N124" s="131"/>
    </row>
    <row r="125" spans="1:14" ht="15.75">
      <c r="A125" s="27"/>
      <c r="B125" s="28"/>
      <c r="C125" s="28"/>
      <c r="D125" s="28"/>
      <c r="E125" s="28"/>
      <c r="F125" s="28"/>
      <c r="G125" s="28"/>
      <c r="H125" s="28"/>
      <c r="I125" s="28"/>
      <c r="J125" s="28"/>
      <c r="K125" s="28"/>
      <c r="L125" s="68"/>
      <c r="M125" s="28"/>
      <c r="N125" s="131"/>
    </row>
    <row r="126" spans="1:14" ht="15.75">
      <c r="A126" s="8"/>
      <c r="B126" s="167" t="s">
        <v>87</v>
      </c>
      <c r="C126" s="16"/>
      <c r="D126" s="10"/>
      <c r="E126" s="10"/>
      <c r="F126" s="10"/>
      <c r="G126" s="10"/>
      <c r="H126" s="10"/>
      <c r="I126" s="10"/>
      <c r="J126" s="10"/>
      <c r="K126" s="10"/>
      <c r="L126" s="71"/>
      <c r="M126" s="10"/>
      <c r="N126" s="131"/>
    </row>
    <row r="127" spans="1:14" ht="15.75">
      <c r="A127" s="27"/>
      <c r="B127" s="28" t="s">
        <v>88</v>
      </c>
      <c r="C127" s="28"/>
      <c r="D127" s="28"/>
      <c r="E127" s="28"/>
      <c r="F127" s="28"/>
      <c r="G127" s="28"/>
      <c r="H127" s="28"/>
      <c r="I127" s="28"/>
      <c r="J127" s="28"/>
      <c r="K127" s="28"/>
      <c r="L127" s="60">
        <v>0</v>
      </c>
      <c r="M127" s="28"/>
      <c r="N127" s="131"/>
    </row>
    <row r="128" spans="1:14" ht="15.75">
      <c r="A128" s="27"/>
      <c r="B128" s="28" t="s">
        <v>89</v>
      </c>
      <c r="C128" s="28"/>
      <c r="D128" s="28"/>
      <c r="E128" s="28"/>
      <c r="F128" s="28"/>
      <c r="G128" s="28"/>
      <c r="H128" s="28"/>
      <c r="I128" s="28"/>
      <c r="J128" s="28"/>
      <c r="K128" s="28"/>
      <c r="L128" s="60">
        <v>0</v>
      </c>
      <c r="M128" s="28"/>
      <c r="N128" s="131"/>
    </row>
    <row r="129" spans="1:14" ht="15.75">
      <c r="A129" s="27"/>
      <c r="B129" s="28" t="s">
        <v>90</v>
      </c>
      <c r="C129" s="28"/>
      <c r="D129" s="28"/>
      <c r="E129" s="28"/>
      <c r="F129" s="28"/>
      <c r="G129" s="28"/>
      <c r="H129" s="28"/>
      <c r="I129" s="28"/>
      <c r="J129" s="28"/>
      <c r="K129" s="28"/>
      <c r="L129" s="60">
        <f>L127+L128</f>
        <v>0</v>
      </c>
      <c r="M129" s="28"/>
      <c r="N129" s="131"/>
    </row>
    <row r="130" spans="1:14" ht="15.75">
      <c r="A130" s="27"/>
      <c r="B130" s="28" t="s">
        <v>91</v>
      </c>
      <c r="C130" s="28"/>
      <c r="D130" s="28"/>
      <c r="E130" s="28"/>
      <c r="F130" s="28"/>
      <c r="G130" s="28"/>
      <c r="H130" s="72"/>
      <c r="I130" s="28"/>
      <c r="J130" s="28"/>
      <c r="K130" s="28"/>
      <c r="L130" s="60">
        <v>0</v>
      </c>
      <c r="M130" s="28"/>
      <c r="N130" s="131"/>
    </row>
    <row r="131" spans="1:14" ht="15.75">
      <c r="A131" s="27"/>
      <c r="B131" s="28" t="s">
        <v>92</v>
      </c>
      <c r="C131" s="28"/>
      <c r="D131" s="28"/>
      <c r="E131" s="28"/>
      <c r="F131" s="28"/>
      <c r="G131" s="28"/>
      <c r="H131" s="28"/>
      <c r="I131" s="28"/>
      <c r="J131" s="28"/>
      <c r="K131" s="28"/>
      <c r="L131" s="60">
        <f>L129+L130</f>
        <v>0</v>
      </c>
      <c r="M131" s="28"/>
      <c r="N131" s="131"/>
    </row>
    <row r="132" spans="1:14" ht="7.5" customHeight="1">
      <c r="A132" s="27"/>
      <c r="B132" s="28"/>
      <c r="C132" s="28"/>
      <c r="D132" s="28"/>
      <c r="E132" s="28"/>
      <c r="F132" s="28"/>
      <c r="G132" s="28"/>
      <c r="H132" s="28"/>
      <c r="I132" s="28"/>
      <c r="J132" s="28"/>
      <c r="K132" s="28"/>
      <c r="L132" s="68"/>
      <c r="M132" s="28"/>
      <c r="N132" s="131"/>
    </row>
    <row r="133" spans="1:14" ht="6" customHeight="1">
      <c r="A133" s="2"/>
      <c r="B133" s="5"/>
      <c r="C133" s="5"/>
      <c r="D133" s="5"/>
      <c r="E133" s="5"/>
      <c r="F133" s="5"/>
      <c r="G133" s="5"/>
      <c r="H133" s="5"/>
      <c r="I133" s="5"/>
      <c r="J133" s="5"/>
      <c r="K133" s="5"/>
      <c r="L133" s="57"/>
      <c r="M133" s="5"/>
      <c r="N133" s="131"/>
    </row>
    <row r="134" spans="1:14" ht="15.75">
      <c r="A134" s="8"/>
      <c r="B134" s="167" t="s">
        <v>93</v>
      </c>
      <c r="C134" s="16"/>
      <c r="D134" s="10"/>
      <c r="E134" s="10"/>
      <c r="F134" s="10"/>
      <c r="G134" s="10"/>
      <c r="H134" s="10"/>
      <c r="I134" s="10"/>
      <c r="J134" s="10"/>
      <c r="K134" s="10"/>
      <c r="L134" s="59"/>
      <c r="M134" s="10"/>
      <c r="N134" s="131"/>
    </row>
    <row r="135" spans="1:14" ht="15.75">
      <c r="A135" s="8"/>
      <c r="B135" s="23"/>
      <c r="C135" s="16"/>
      <c r="D135" s="10"/>
      <c r="E135" s="10"/>
      <c r="F135" s="10"/>
      <c r="G135" s="10"/>
      <c r="H135" s="10"/>
      <c r="I135" s="10"/>
      <c r="J135" s="10"/>
      <c r="K135" s="10"/>
      <c r="L135" s="59"/>
      <c r="M135" s="10"/>
      <c r="N135" s="131"/>
    </row>
    <row r="136" spans="1:14" ht="15.75">
      <c r="A136" s="27"/>
      <c r="B136" s="28" t="s">
        <v>94</v>
      </c>
      <c r="C136" s="73"/>
      <c r="D136" s="28"/>
      <c r="E136" s="28"/>
      <c r="F136" s="28"/>
      <c r="G136" s="28"/>
      <c r="H136" s="28"/>
      <c r="I136" s="28"/>
      <c r="J136" s="28"/>
      <c r="K136" s="28"/>
      <c r="L136" s="60">
        <f>L59</f>
        <v>120720</v>
      </c>
      <c r="M136" s="28"/>
      <c r="N136" s="131"/>
    </row>
    <row r="137" spans="1:15" ht="15.75">
      <c r="A137" s="27"/>
      <c r="B137" s="28" t="s">
        <v>95</v>
      </c>
      <c r="C137" s="73"/>
      <c r="D137" s="28"/>
      <c r="E137" s="28"/>
      <c r="F137" s="28"/>
      <c r="G137" s="28"/>
      <c r="H137" s="28"/>
      <c r="I137" s="28"/>
      <c r="J137" s="28"/>
      <c r="K137" s="28"/>
      <c r="L137" s="60">
        <f>L71</f>
        <v>120720</v>
      </c>
      <c r="M137" s="28"/>
      <c r="N137" s="131"/>
      <c r="O137" s="137"/>
    </row>
    <row r="138" spans="1:14" ht="7.5" customHeight="1">
      <c r="A138" s="27"/>
      <c r="B138" s="28"/>
      <c r="C138" s="28"/>
      <c r="D138" s="28"/>
      <c r="E138" s="28"/>
      <c r="F138" s="28"/>
      <c r="G138" s="28"/>
      <c r="H138" s="28"/>
      <c r="I138" s="28"/>
      <c r="J138" s="28"/>
      <c r="K138" s="28"/>
      <c r="L138" s="68"/>
      <c r="M138" s="28"/>
      <c r="N138" s="131"/>
    </row>
    <row r="139" spans="1:14" ht="15.75">
      <c r="A139" s="2"/>
      <c r="B139" s="5"/>
      <c r="C139" s="5"/>
      <c r="D139" s="5"/>
      <c r="E139" s="5"/>
      <c r="F139" s="5"/>
      <c r="G139" s="5"/>
      <c r="H139" s="5"/>
      <c r="I139" s="5"/>
      <c r="J139" s="5"/>
      <c r="K139" s="5"/>
      <c r="L139" s="57"/>
      <c r="M139" s="5"/>
      <c r="N139" s="131"/>
    </row>
    <row r="140" spans="1:14" ht="15.75">
      <c r="A140" s="132"/>
      <c r="B140" s="167" t="s">
        <v>96</v>
      </c>
      <c r="C140" s="154"/>
      <c r="D140" s="154"/>
      <c r="E140" s="154"/>
      <c r="F140" s="154"/>
      <c r="G140" s="154"/>
      <c r="H140" s="168" t="s">
        <v>171</v>
      </c>
      <c r="I140" s="168"/>
      <c r="J140" s="168" t="s">
        <v>178</v>
      </c>
      <c r="K140" s="154"/>
      <c r="L140" s="169" t="s">
        <v>191</v>
      </c>
      <c r="M140" s="12"/>
      <c r="N140" s="131"/>
    </row>
    <row r="141" spans="1:14" ht="15.75">
      <c r="A141" s="27"/>
      <c r="B141" s="28" t="s">
        <v>97</v>
      </c>
      <c r="C141" s="28"/>
      <c r="D141" s="28"/>
      <c r="E141" s="28"/>
      <c r="F141" s="28"/>
      <c r="G141" s="28"/>
      <c r="H141" s="60">
        <v>20000</v>
      </c>
      <c r="I141" s="28"/>
      <c r="J141" s="47"/>
      <c r="K141" s="28"/>
      <c r="L141" s="60"/>
      <c r="M141" s="28"/>
      <c r="N141" s="131"/>
    </row>
    <row r="142" spans="1:14" ht="15.75">
      <c r="A142" s="27"/>
      <c r="B142" s="28" t="s">
        <v>98</v>
      </c>
      <c r="C142" s="28"/>
      <c r="D142" s="28"/>
      <c r="E142" s="28"/>
      <c r="F142" s="28"/>
      <c r="G142" s="28"/>
      <c r="H142" s="60">
        <v>19448</v>
      </c>
      <c r="I142" s="28"/>
      <c r="J142" s="28">
        <v>552</v>
      </c>
      <c r="K142" s="28"/>
      <c r="L142" s="60">
        <f>J142+H142</f>
        <v>20000</v>
      </c>
      <c r="M142" s="28"/>
      <c r="N142" s="131"/>
    </row>
    <row r="143" spans="1:14" ht="15.75">
      <c r="A143" s="27"/>
      <c r="B143" s="28" t="s">
        <v>99</v>
      </c>
      <c r="C143" s="28"/>
      <c r="D143" s="28"/>
      <c r="E143" s="28"/>
      <c r="F143" s="28"/>
      <c r="G143" s="28"/>
      <c r="H143" s="38">
        <v>0</v>
      </c>
      <c r="I143" s="28"/>
      <c r="J143" s="28">
        <v>0</v>
      </c>
      <c r="K143" s="28"/>
      <c r="L143" s="60">
        <f>J143+H143</f>
        <v>0</v>
      </c>
      <c r="M143" s="28"/>
      <c r="N143" s="131"/>
    </row>
    <row r="144" spans="1:14" ht="15.75">
      <c r="A144" s="27"/>
      <c r="B144" s="28" t="s">
        <v>100</v>
      </c>
      <c r="C144" s="28"/>
      <c r="D144" s="28"/>
      <c r="E144" s="28"/>
      <c r="F144" s="28"/>
      <c r="G144" s="28"/>
      <c r="H144" s="60">
        <f>H142+H143</f>
        <v>19448</v>
      </c>
      <c r="I144" s="28"/>
      <c r="J144" s="60">
        <f>J143+J142</f>
        <v>552</v>
      </c>
      <c r="K144" s="28"/>
      <c r="L144" s="60">
        <f>J144+H144</f>
        <v>20000</v>
      </c>
      <c r="M144" s="28"/>
      <c r="N144" s="131"/>
    </row>
    <row r="145" spans="1:14" ht="15.75">
      <c r="A145" s="27"/>
      <c r="B145" s="28" t="s">
        <v>101</v>
      </c>
      <c r="C145" s="28"/>
      <c r="D145" s="28"/>
      <c r="E145" s="28"/>
      <c r="F145" s="28"/>
      <c r="G145" s="28"/>
      <c r="H145" s="60">
        <f>H141-H144-J144</f>
        <v>0</v>
      </c>
      <c r="I145" s="28"/>
      <c r="J145" s="47"/>
      <c r="K145" s="28"/>
      <c r="L145" s="60"/>
      <c r="M145" s="28"/>
      <c r="N145" s="131"/>
    </row>
    <row r="146" spans="1:14" ht="7.5" customHeight="1">
      <c r="A146" s="27"/>
      <c r="B146" s="28"/>
      <c r="C146" s="28"/>
      <c r="D146" s="28"/>
      <c r="E146" s="28"/>
      <c r="F146" s="28"/>
      <c r="G146" s="28"/>
      <c r="H146" s="28"/>
      <c r="I146" s="28"/>
      <c r="J146" s="28"/>
      <c r="K146" s="28"/>
      <c r="L146" s="68"/>
      <c r="M146" s="28"/>
      <c r="N146" s="131"/>
    </row>
    <row r="147" spans="1:14" ht="9" customHeight="1">
      <c r="A147" s="2"/>
      <c r="B147" s="5"/>
      <c r="C147" s="5"/>
      <c r="D147" s="5"/>
      <c r="E147" s="5"/>
      <c r="F147" s="5"/>
      <c r="G147" s="5"/>
      <c r="H147" s="5"/>
      <c r="I147" s="5"/>
      <c r="J147" s="5"/>
      <c r="K147" s="5"/>
      <c r="L147" s="57"/>
      <c r="M147" s="5"/>
      <c r="N147" s="131"/>
    </row>
    <row r="148" spans="1:14" ht="15.75">
      <c r="A148" s="8"/>
      <c r="B148" s="167" t="s">
        <v>102</v>
      </c>
      <c r="C148" s="16"/>
      <c r="D148" s="10"/>
      <c r="E148" s="10"/>
      <c r="F148" s="10"/>
      <c r="G148" s="10"/>
      <c r="H148" s="10"/>
      <c r="I148" s="10"/>
      <c r="J148" s="10"/>
      <c r="K148" s="10"/>
      <c r="L148" s="74"/>
      <c r="M148" s="10"/>
      <c r="N148" s="131"/>
    </row>
    <row r="149" spans="1:14" ht="15.75">
      <c r="A149" s="27"/>
      <c r="B149" s="28" t="s">
        <v>103</v>
      </c>
      <c r="C149" s="28"/>
      <c r="D149" s="28"/>
      <c r="E149" s="28"/>
      <c r="F149" s="28"/>
      <c r="G149" s="28"/>
      <c r="H149" s="28"/>
      <c r="I149" s="28"/>
      <c r="J149" s="28"/>
      <c r="K149" s="28"/>
      <c r="L149" s="67">
        <f>(L81+L83+L84+L85+L86)/-L87</f>
        <v>1.6672398968185727</v>
      </c>
      <c r="M149" s="28" t="s">
        <v>192</v>
      </c>
      <c r="N149" s="131"/>
    </row>
    <row r="150" spans="1:14" ht="15.75">
      <c r="A150" s="27"/>
      <c r="B150" s="28" t="s">
        <v>104</v>
      </c>
      <c r="C150" s="28"/>
      <c r="D150" s="28"/>
      <c r="E150" s="28"/>
      <c r="F150" s="28"/>
      <c r="G150" s="28"/>
      <c r="H150" s="28"/>
      <c r="I150" s="28"/>
      <c r="J150" s="28"/>
      <c r="K150" s="28"/>
      <c r="L150" s="67">
        <v>1.42</v>
      </c>
      <c r="M150" s="28" t="s">
        <v>192</v>
      </c>
      <c r="N150" s="131"/>
    </row>
    <row r="151" spans="1:14" ht="15.75">
      <c r="A151" s="27"/>
      <c r="B151" s="28" t="s">
        <v>105</v>
      </c>
      <c r="C151" s="28"/>
      <c r="D151" s="28"/>
      <c r="E151" s="28"/>
      <c r="F151" s="28"/>
      <c r="G151" s="28"/>
      <c r="H151" s="28"/>
      <c r="I151" s="28"/>
      <c r="J151" s="28"/>
      <c r="K151" s="28"/>
      <c r="L151" s="67">
        <f>(L81+SUM(L83:L87))/-L88</f>
        <v>3.8415841584158414</v>
      </c>
      <c r="M151" s="28" t="s">
        <v>192</v>
      </c>
      <c r="N151" s="131"/>
    </row>
    <row r="152" spans="1:14" ht="15.75">
      <c r="A152" s="27"/>
      <c r="B152" s="28" t="s">
        <v>106</v>
      </c>
      <c r="C152" s="28"/>
      <c r="D152" s="28"/>
      <c r="E152" s="28"/>
      <c r="F152" s="28"/>
      <c r="G152" s="28"/>
      <c r="H152" s="28"/>
      <c r="I152" s="28"/>
      <c r="J152" s="28"/>
      <c r="K152" s="28"/>
      <c r="L152" s="75">
        <v>3.3</v>
      </c>
      <c r="M152" s="28" t="s">
        <v>192</v>
      </c>
      <c r="N152" s="131"/>
    </row>
    <row r="153" spans="1:14" ht="7.5" customHeight="1">
      <c r="A153" s="27"/>
      <c r="B153" s="28"/>
      <c r="C153" s="28"/>
      <c r="D153" s="28"/>
      <c r="E153" s="28"/>
      <c r="F153" s="28"/>
      <c r="G153" s="28"/>
      <c r="H153" s="28"/>
      <c r="I153" s="28"/>
      <c r="J153" s="28"/>
      <c r="K153" s="28"/>
      <c r="L153" s="28"/>
      <c r="M153" s="28"/>
      <c r="N153" s="131"/>
    </row>
    <row r="154" spans="1:14" ht="15.75">
      <c r="A154" s="8"/>
      <c r="B154" s="15"/>
      <c r="C154" s="15"/>
      <c r="D154" s="15"/>
      <c r="E154" s="15"/>
      <c r="F154" s="15"/>
      <c r="G154" s="15"/>
      <c r="H154" s="15"/>
      <c r="I154" s="15"/>
      <c r="J154" s="15"/>
      <c r="K154" s="15"/>
      <c r="L154" s="15"/>
      <c r="M154" s="15"/>
      <c r="N154" s="131"/>
    </row>
    <row r="155" spans="1:14" ht="15.75">
      <c r="A155" s="8"/>
      <c r="B155" s="15"/>
      <c r="C155" s="15"/>
      <c r="D155" s="15"/>
      <c r="E155" s="15"/>
      <c r="F155" s="15"/>
      <c r="G155" s="15"/>
      <c r="H155" s="15"/>
      <c r="I155" s="15"/>
      <c r="J155" s="15"/>
      <c r="K155" s="15"/>
      <c r="L155" s="15"/>
      <c r="M155" s="15"/>
      <c r="N155" s="131"/>
    </row>
    <row r="156" spans="1:14" ht="19.5" thickBot="1">
      <c r="A156" s="138"/>
      <c r="B156" s="139" t="str">
        <f>B105</f>
        <v>PM1 INVESTOR REPORT QUARTER ENDING MARCH 2003</v>
      </c>
      <c r="C156" s="144"/>
      <c r="D156" s="144"/>
      <c r="E156" s="144"/>
      <c r="F156" s="144"/>
      <c r="G156" s="144"/>
      <c r="H156" s="144"/>
      <c r="I156" s="144"/>
      <c r="J156" s="144"/>
      <c r="K156" s="144"/>
      <c r="L156" s="144"/>
      <c r="M156" s="145"/>
      <c r="N156" s="131"/>
    </row>
    <row r="157" spans="1:14" ht="15.75">
      <c r="A157" s="133"/>
      <c r="B157" s="77" t="s">
        <v>107</v>
      </c>
      <c r="C157" s="78"/>
      <c r="D157" s="78"/>
      <c r="E157" s="78"/>
      <c r="F157" s="78"/>
      <c r="G157" s="79"/>
      <c r="H157" s="79"/>
      <c r="I157" s="79"/>
      <c r="J157" s="79">
        <v>37711</v>
      </c>
      <c r="K157" s="80"/>
      <c r="L157" s="5"/>
      <c r="M157" s="5"/>
      <c r="N157" s="131"/>
    </row>
    <row r="158" spans="1:14" ht="15.75">
      <c r="A158" s="82"/>
      <c r="B158" s="83"/>
      <c r="C158" s="84"/>
      <c r="D158" s="84"/>
      <c r="E158" s="84"/>
      <c r="F158" s="84"/>
      <c r="G158" s="85"/>
      <c r="H158" s="85"/>
      <c r="I158" s="85"/>
      <c r="J158" s="85"/>
      <c r="K158" s="10"/>
      <c r="L158" s="10"/>
      <c r="M158" s="10"/>
      <c r="N158" s="131"/>
    </row>
    <row r="159" spans="1:14" ht="15.75">
      <c r="A159" s="86"/>
      <c r="B159" s="87" t="s">
        <v>108</v>
      </c>
      <c r="C159" s="88"/>
      <c r="D159" s="88"/>
      <c r="E159" s="88"/>
      <c r="F159" s="88"/>
      <c r="G159" s="72"/>
      <c r="H159" s="72"/>
      <c r="I159" s="72"/>
      <c r="J159" s="89">
        <v>0.0714</v>
      </c>
      <c r="K159" s="28"/>
      <c r="L159" s="28"/>
      <c r="M159" s="28"/>
      <c r="N159" s="131"/>
    </row>
    <row r="160" spans="1:14" ht="15.75">
      <c r="A160" s="86"/>
      <c r="B160" s="87" t="s">
        <v>109</v>
      </c>
      <c r="C160" s="88"/>
      <c r="D160" s="88"/>
      <c r="E160" s="88"/>
      <c r="F160" s="88"/>
      <c r="G160" s="72"/>
      <c r="H160" s="72"/>
      <c r="I160" s="72"/>
      <c r="J160" s="46">
        <v>0.0553</v>
      </c>
      <c r="K160" s="28"/>
      <c r="L160" s="28"/>
      <c r="M160" s="28"/>
      <c r="N160" s="131"/>
    </row>
    <row r="161" spans="1:14" ht="15.75">
      <c r="A161" s="86"/>
      <c r="B161" s="87" t="s">
        <v>110</v>
      </c>
      <c r="C161" s="88"/>
      <c r="D161" s="88"/>
      <c r="E161" s="88"/>
      <c r="F161" s="88"/>
      <c r="G161" s="72"/>
      <c r="H161" s="72"/>
      <c r="I161" s="72"/>
      <c r="J161" s="89">
        <f>J159-J160</f>
        <v>0.016100000000000003</v>
      </c>
      <c r="K161" s="28"/>
      <c r="L161" s="28"/>
      <c r="M161" s="28"/>
      <c r="N161" s="131"/>
    </row>
    <row r="162" spans="1:14" ht="15.75">
      <c r="A162" s="86"/>
      <c r="B162" s="87" t="s">
        <v>111</v>
      </c>
      <c r="C162" s="88"/>
      <c r="D162" s="88"/>
      <c r="E162" s="88"/>
      <c r="F162" s="88"/>
      <c r="G162" s="72"/>
      <c r="H162" s="72"/>
      <c r="I162" s="72"/>
      <c r="J162" s="89">
        <v>0.0617</v>
      </c>
      <c r="K162" s="28"/>
      <c r="L162" s="28"/>
      <c r="M162" s="28"/>
      <c r="N162" s="131"/>
    </row>
    <row r="163" spans="1:14" ht="15.75">
      <c r="A163" s="86"/>
      <c r="B163" s="87" t="s">
        <v>112</v>
      </c>
      <c r="C163" s="88"/>
      <c r="D163" s="88"/>
      <c r="E163" s="88"/>
      <c r="F163" s="88"/>
      <c r="G163" s="72"/>
      <c r="H163" s="72"/>
      <c r="I163" s="72"/>
      <c r="J163" s="89">
        <f>L33</f>
        <v>0.043621662846264286</v>
      </c>
      <c r="K163" s="28"/>
      <c r="L163" s="28"/>
      <c r="M163" s="28"/>
      <c r="N163" s="131"/>
    </row>
    <row r="164" spans="1:14" ht="15.75">
      <c r="A164" s="86"/>
      <c r="B164" s="87" t="s">
        <v>113</v>
      </c>
      <c r="C164" s="88"/>
      <c r="D164" s="88"/>
      <c r="E164" s="88"/>
      <c r="F164" s="88"/>
      <c r="G164" s="72"/>
      <c r="H164" s="72"/>
      <c r="I164" s="72"/>
      <c r="J164" s="89">
        <f>J162-J163</f>
        <v>0.01807833715373571</v>
      </c>
      <c r="K164" s="28"/>
      <c r="L164" s="28"/>
      <c r="M164" s="28"/>
      <c r="N164" s="131"/>
    </row>
    <row r="165" spans="1:14" ht="15.75">
      <c r="A165" s="86"/>
      <c r="B165" s="87" t="s">
        <v>114</v>
      </c>
      <c r="C165" s="88"/>
      <c r="D165" s="88"/>
      <c r="E165" s="88"/>
      <c r="F165" s="88"/>
      <c r="G165" s="72"/>
      <c r="H165" s="72"/>
      <c r="I165" s="72"/>
      <c r="J165" s="90" t="s">
        <v>179</v>
      </c>
      <c r="K165" s="28"/>
      <c r="L165" s="28"/>
      <c r="M165" s="28"/>
      <c r="N165" s="131"/>
    </row>
    <row r="166" spans="1:14" ht="15.75">
      <c r="A166" s="86"/>
      <c r="B166" s="87" t="s">
        <v>115</v>
      </c>
      <c r="C166" s="88"/>
      <c r="D166" s="88"/>
      <c r="E166" s="88"/>
      <c r="F166" s="88"/>
      <c r="G166" s="72"/>
      <c r="H166" s="72"/>
      <c r="I166" s="72"/>
      <c r="J166" s="90" t="s">
        <v>180</v>
      </c>
      <c r="K166" s="28"/>
      <c r="L166" s="28"/>
      <c r="M166" s="28"/>
      <c r="N166" s="131"/>
    </row>
    <row r="167" spans="1:14" ht="15.75">
      <c r="A167" s="86"/>
      <c r="B167" s="87" t="s">
        <v>116</v>
      </c>
      <c r="C167" s="88"/>
      <c r="D167" s="88"/>
      <c r="E167" s="88"/>
      <c r="F167" s="88"/>
      <c r="G167" s="72"/>
      <c r="H167" s="72"/>
      <c r="I167" s="72"/>
      <c r="J167" s="91">
        <v>18.53</v>
      </c>
      <c r="K167" s="28" t="s">
        <v>184</v>
      </c>
      <c r="L167" s="28"/>
      <c r="M167" s="28"/>
      <c r="N167" s="131"/>
    </row>
    <row r="168" spans="1:14" ht="15.75">
      <c r="A168" s="86"/>
      <c r="B168" s="87" t="s">
        <v>117</v>
      </c>
      <c r="C168" s="88"/>
      <c r="D168" s="88"/>
      <c r="E168" s="88"/>
      <c r="F168" s="88"/>
      <c r="G168" s="72"/>
      <c r="H168" s="72"/>
      <c r="I168" s="72"/>
      <c r="J168" s="91">
        <v>15.35</v>
      </c>
      <c r="K168" s="28" t="s">
        <v>184</v>
      </c>
      <c r="L168" s="28"/>
      <c r="M168" s="28"/>
      <c r="N168" s="131"/>
    </row>
    <row r="169" spans="1:14" ht="15.75">
      <c r="A169" s="86"/>
      <c r="B169" s="87" t="s">
        <v>118</v>
      </c>
      <c r="C169" s="88"/>
      <c r="D169" s="88"/>
      <c r="E169" s="88"/>
      <c r="F169" s="88"/>
      <c r="G169" s="72"/>
      <c r="H169" s="72"/>
      <c r="I169" s="72"/>
      <c r="J169" s="89">
        <f>F56/'Dec 02'!L56</f>
        <v>0.04863229070619666</v>
      </c>
      <c r="K169" s="28"/>
      <c r="L169" s="28"/>
      <c r="M169" s="28"/>
      <c r="N169" s="131"/>
    </row>
    <row r="170" spans="1:14" ht="15.75">
      <c r="A170" s="86"/>
      <c r="B170" s="87" t="s">
        <v>119</v>
      </c>
      <c r="C170" s="88"/>
      <c r="D170" s="88"/>
      <c r="E170" s="88"/>
      <c r="F170" s="88"/>
      <c r="G170" s="72"/>
      <c r="H170" s="72"/>
      <c r="I170" s="72"/>
      <c r="J170" s="89">
        <v>0.1372</v>
      </c>
      <c r="K170" s="28"/>
      <c r="L170" s="28"/>
      <c r="M170" s="28"/>
      <c r="N170" s="131"/>
    </row>
    <row r="171" spans="1:14" ht="15.75">
      <c r="A171" s="86"/>
      <c r="B171" s="87"/>
      <c r="C171" s="87"/>
      <c r="D171" s="87"/>
      <c r="E171" s="87"/>
      <c r="F171" s="87"/>
      <c r="G171" s="28"/>
      <c r="H171" s="28"/>
      <c r="I171" s="28"/>
      <c r="J171" s="68"/>
      <c r="K171" s="28"/>
      <c r="L171" s="92"/>
      <c r="M171" s="28"/>
      <c r="N171" s="131"/>
    </row>
    <row r="172" spans="1:14" ht="15.75">
      <c r="A172" s="93"/>
      <c r="B172" s="17" t="s">
        <v>120</v>
      </c>
      <c r="C172" s="20"/>
      <c r="D172" s="94"/>
      <c r="E172" s="20"/>
      <c r="F172" s="94"/>
      <c r="G172" s="20"/>
      <c r="H172" s="94"/>
      <c r="I172" s="20" t="s">
        <v>172</v>
      </c>
      <c r="J172" s="94" t="s">
        <v>181</v>
      </c>
      <c r="K172" s="18"/>
      <c r="L172" s="18"/>
      <c r="M172" s="10"/>
      <c r="N172" s="131"/>
    </row>
    <row r="173" spans="1:14" ht="15.75">
      <c r="A173" s="95"/>
      <c r="B173" s="87" t="s">
        <v>121</v>
      </c>
      <c r="C173" s="61"/>
      <c r="D173" s="61"/>
      <c r="E173" s="61"/>
      <c r="F173" s="28"/>
      <c r="G173" s="28"/>
      <c r="H173" s="28"/>
      <c r="I173" s="31">
        <v>15</v>
      </c>
      <c r="J173" s="96">
        <v>459</v>
      </c>
      <c r="K173" s="28"/>
      <c r="L173" s="92"/>
      <c r="M173" s="97"/>
      <c r="N173" s="131"/>
    </row>
    <row r="174" spans="1:14" ht="15.75">
      <c r="A174" s="95"/>
      <c r="B174" s="87" t="s">
        <v>122</v>
      </c>
      <c r="C174" s="61"/>
      <c r="D174" s="61"/>
      <c r="E174" s="61"/>
      <c r="F174" s="28"/>
      <c r="G174" s="28"/>
      <c r="H174" s="28"/>
      <c r="I174" s="31">
        <v>1</v>
      </c>
      <c r="J174" s="96">
        <v>30</v>
      </c>
      <c r="K174" s="28"/>
      <c r="L174" s="92"/>
      <c r="M174" s="97"/>
      <c r="N174" s="131"/>
    </row>
    <row r="175" spans="1:14" ht="15.75">
      <c r="A175" s="95"/>
      <c r="B175" s="170" t="s">
        <v>123</v>
      </c>
      <c r="C175" s="61"/>
      <c r="D175" s="61"/>
      <c r="E175" s="61"/>
      <c r="F175" s="28"/>
      <c r="G175" s="28"/>
      <c r="H175" s="28"/>
      <c r="I175" s="28"/>
      <c r="J175" s="96">
        <v>0</v>
      </c>
      <c r="K175" s="28"/>
      <c r="L175" s="92"/>
      <c r="M175" s="97"/>
      <c r="N175" s="131"/>
    </row>
    <row r="176" spans="1:14" ht="15.75">
      <c r="A176" s="95"/>
      <c r="B176" s="170" t="s">
        <v>124</v>
      </c>
      <c r="C176" s="61"/>
      <c r="D176" s="61"/>
      <c r="E176" s="61"/>
      <c r="F176" s="28"/>
      <c r="G176" s="28"/>
      <c r="H176" s="28"/>
      <c r="I176" s="28"/>
      <c r="J176" s="96">
        <v>22352</v>
      </c>
      <c r="K176" s="28"/>
      <c r="L176" s="92"/>
      <c r="M176" s="97"/>
      <c r="N176" s="131"/>
    </row>
    <row r="177" spans="1:14" ht="15.75">
      <c r="A177" s="98"/>
      <c r="B177" s="170" t="s">
        <v>125</v>
      </c>
      <c r="C177" s="61"/>
      <c r="D177" s="87"/>
      <c r="E177" s="87"/>
      <c r="F177" s="87"/>
      <c r="G177" s="28"/>
      <c r="H177" s="28"/>
      <c r="I177" s="28"/>
      <c r="J177" s="96">
        <v>0</v>
      </c>
      <c r="K177" s="28"/>
      <c r="L177" s="92"/>
      <c r="M177" s="99"/>
      <c r="N177" s="131"/>
    </row>
    <row r="178" spans="1:14" ht="15.75">
      <c r="A178" s="95"/>
      <c r="B178" s="87" t="s">
        <v>126</v>
      </c>
      <c r="C178" s="61"/>
      <c r="D178" s="61"/>
      <c r="E178" s="61"/>
      <c r="F178" s="61"/>
      <c r="G178" s="28"/>
      <c r="H178" s="28"/>
      <c r="I178" s="28">
        <v>0</v>
      </c>
      <c r="J178" s="96">
        <v>0</v>
      </c>
      <c r="K178" s="28"/>
      <c r="L178" s="92"/>
      <c r="M178" s="99"/>
      <c r="N178" s="131"/>
    </row>
    <row r="179" spans="1:14" ht="15.75">
      <c r="A179" s="95"/>
      <c r="B179" s="87" t="s">
        <v>127</v>
      </c>
      <c r="C179" s="61"/>
      <c r="D179" s="61"/>
      <c r="E179" s="61"/>
      <c r="F179" s="61"/>
      <c r="G179" s="28"/>
      <c r="H179" s="28"/>
      <c r="I179" s="28">
        <v>3</v>
      </c>
      <c r="J179" s="96">
        <v>39</v>
      </c>
      <c r="K179" s="28"/>
      <c r="L179" s="92"/>
      <c r="M179" s="99"/>
      <c r="N179" s="131"/>
    </row>
    <row r="180" spans="1:14" ht="15.75">
      <c r="A180" s="95"/>
      <c r="B180" s="87" t="s">
        <v>204</v>
      </c>
      <c r="C180" s="61"/>
      <c r="D180" s="61"/>
      <c r="E180" s="61"/>
      <c r="F180" s="61"/>
      <c r="G180" s="28"/>
      <c r="H180" s="28"/>
      <c r="I180" s="28"/>
      <c r="J180" s="96">
        <v>0</v>
      </c>
      <c r="K180" s="28"/>
      <c r="L180" s="92"/>
      <c r="M180" s="99"/>
      <c r="N180" s="131"/>
    </row>
    <row r="181" spans="1:14" ht="15.75">
      <c r="A181" s="98"/>
      <c r="B181" s="170" t="s">
        <v>128</v>
      </c>
      <c r="C181" s="61"/>
      <c r="D181" s="87"/>
      <c r="E181" s="87"/>
      <c r="F181" s="87"/>
      <c r="G181" s="28"/>
      <c r="H181" s="28"/>
      <c r="I181" s="28"/>
      <c r="J181" s="96"/>
      <c r="K181" s="28"/>
      <c r="L181" s="92"/>
      <c r="M181" s="99"/>
      <c r="N181" s="131"/>
    </row>
    <row r="182" spans="1:14" ht="15.75">
      <c r="A182" s="98"/>
      <c r="B182" s="87" t="s">
        <v>129</v>
      </c>
      <c r="C182" s="61"/>
      <c r="D182" s="87"/>
      <c r="E182" s="87"/>
      <c r="F182" s="87"/>
      <c r="G182" s="28"/>
      <c r="H182" s="28"/>
      <c r="I182" s="28"/>
      <c r="J182" s="96">
        <v>0</v>
      </c>
      <c r="K182" s="28"/>
      <c r="L182" s="92"/>
      <c r="M182" s="99"/>
      <c r="N182" s="131"/>
    </row>
    <row r="183" spans="1:14" ht="15.75">
      <c r="A183" s="95"/>
      <c r="B183" s="87" t="s">
        <v>130</v>
      </c>
      <c r="C183" s="61"/>
      <c r="D183" s="100"/>
      <c r="E183" s="100"/>
      <c r="F183" s="101"/>
      <c r="G183" s="28"/>
      <c r="H183" s="28"/>
      <c r="I183" s="28"/>
      <c r="J183" s="96">
        <v>0</v>
      </c>
      <c r="K183" s="28"/>
      <c r="L183" s="92"/>
      <c r="M183" s="99"/>
      <c r="N183" s="131"/>
    </row>
    <row r="184" spans="1:14" ht="15.75">
      <c r="A184" s="95"/>
      <c r="B184" s="87" t="s">
        <v>131</v>
      </c>
      <c r="C184" s="61"/>
      <c r="D184" s="100"/>
      <c r="E184" s="100"/>
      <c r="F184" s="101"/>
      <c r="G184" s="28"/>
      <c r="H184" s="28"/>
      <c r="I184" s="28"/>
      <c r="J184" s="96">
        <v>0</v>
      </c>
      <c r="K184" s="28"/>
      <c r="L184" s="92"/>
      <c r="M184" s="99"/>
      <c r="N184" s="131"/>
    </row>
    <row r="185" spans="1:14" ht="15.75">
      <c r="A185" s="95"/>
      <c r="B185" s="87" t="s">
        <v>132</v>
      </c>
      <c r="C185" s="61"/>
      <c r="D185" s="102"/>
      <c r="E185" s="100"/>
      <c r="F185" s="101"/>
      <c r="G185" s="28"/>
      <c r="H185" s="28"/>
      <c r="I185" s="28"/>
      <c r="J185" s="103">
        <v>0</v>
      </c>
      <c r="K185" s="28"/>
      <c r="L185" s="92"/>
      <c r="M185" s="99"/>
      <c r="N185" s="131"/>
    </row>
    <row r="186" spans="1:14" ht="15.75">
      <c r="A186" s="95"/>
      <c r="B186" s="87"/>
      <c r="C186" s="61"/>
      <c r="D186" s="102"/>
      <c r="E186" s="100"/>
      <c r="F186" s="101"/>
      <c r="G186" s="28"/>
      <c r="H186" s="28"/>
      <c r="I186" s="28"/>
      <c r="J186" s="103"/>
      <c r="K186" s="28"/>
      <c r="L186" s="92"/>
      <c r="M186" s="99"/>
      <c r="N186" s="131"/>
    </row>
    <row r="187" spans="1:14" ht="15.75">
      <c r="A187" s="8"/>
      <c r="B187" s="17" t="s">
        <v>133</v>
      </c>
      <c r="C187" s="20"/>
      <c r="D187" s="94"/>
      <c r="E187" s="20"/>
      <c r="F187" s="94"/>
      <c r="G187" s="20"/>
      <c r="H187" s="94" t="s">
        <v>172</v>
      </c>
      <c r="I187" s="20" t="s">
        <v>173</v>
      </c>
      <c r="J187" s="94" t="s">
        <v>182</v>
      </c>
      <c r="K187" s="20" t="s">
        <v>173</v>
      </c>
      <c r="L187" s="18"/>
      <c r="M187" s="104"/>
      <c r="N187" s="131"/>
    </row>
    <row r="188" spans="1:14" ht="15.75">
      <c r="A188" s="27"/>
      <c r="B188" s="61" t="s">
        <v>134</v>
      </c>
      <c r="C188" s="105"/>
      <c r="D188" s="61"/>
      <c r="E188" s="105"/>
      <c r="F188" s="28"/>
      <c r="G188" s="105"/>
      <c r="H188" s="61">
        <v>2308</v>
      </c>
      <c r="I188" s="105">
        <f>H188/H194</f>
        <v>0.9808754781130472</v>
      </c>
      <c r="J188" s="60">
        <v>119010</v>
      </c>
      <c r="K188" s="106">
        <f>J188/J194</f>
        <v>0.9858349900596421</v>
      </c>
      <c r="L188" s="92"/>
      <c r="M188" s="99"/>
      <c r="N188" s="131"/>
    </row>
    <row r="189" spans="1:14" ht="15.75">
      <c r="A189" s="27"/>
      <c r="B189" s="61" t="s">
        <v>135</v>
      </c>
      <c r="C189" s="105"/>
      <c r="D189" s="61"/>
      <c r="E189" s="105"/>
      <c r="F189" s="28"/>
      <c r="G189" s="107"/>
      <c r="H189" s="61">
        <v>19</v>
      </c>
      <c r="I189" s="105">
        <f>H189/H194</f>
        <v>0.008074798130046749</v>
      </c>
      <c r="J189" s="60">
        <v>513</v>
      </c>
      <c r="K189" s="106">
        <f>J189/J194</f>
        <v>0.004249502982107356</v>
      </c>
      <c r="L189" s="92"/>
      <c r="M189" s="99"/>
      <c r="N189" s="131"/>
    </row>
    <row r="190" spans="1:14" ht="15.75">
      <c r="A190" s="27"/>
      <c r="B190" s="61" t="s">
        <v>136</v>
      </c>
      <c r="C190" s="105"/>
      <c r="D190" s="61"/>
      <c r="E190" s="105"/>
      <c r="F190" s="28"/>
      <c r="G190" s="107"/>
      <c r="H190" s="61">
        <v>5</v>
      </c>
      <c r="I190" s="105">
        <f>H190/H194</f>
        <v>0.0021249468763280916</v>
      </c>
      <c r="J190" s="60">
        <v>135</v>
      </c>
      <c r="K190" s="106">
        <f>J190/J194</f>
        <v>0.0011182902584493041</v>
      </c>
      <c r="L190" s="92"/>
      <c r="M190" s="99"/>
      <c r="N190" s="131"/>
    </row>
    <row r="191" spans="1:14" ht="15.75">
      <c r="A191" s="27"/>
      <c r="B191" s="61" t="s">
        <v>137</v>
      </c>
      <c r="C191" s="105"/>
      <c r="D191" s="61"/>
      <c r="E191" s="105"/>
      <c r="F191" s="28"/>
      <c r="G191" s="107"/>
      <c r="H191" s="61">
        <f>2+4+3+12</f>
        <v>21</v>
      </c>
      <c r="I191" s="105">
        <f>H191/H194</f>
        <v>0.008924776880577986</v>
      </c>
      <c r="J191" s="60">
        <f>86+144+113+719</f>
        <v>1062</v>
      </c>
      <c r="K191" s="106">
        <f>J191/J194</f>
        <v>0.008797216699801193</v>
      </c>
      <c r="L191" s="92"/>
      <c r="M191" s="99"/>
      <c r="N191" s="131"/>
    </row>
    <row r="192" spans="1:14" ht="15.75">
      <c r="A192" s="27"/>
      <c r="B192" s="30"/>
      <c r="C192" s="105"/>
      <c r="D192" s="61"/>
      <c r="E192" s="105"/>
      <c r="F192" s="28"/>
      <c r="G192" s="107"/>
      <c r="H192" s="61"/>
      <c r="I192" s="105"/>
      <c r="J192" s="60"/>
      <c r="K192" s="106"/>
      <c r="L192" s="92"/>
      <c r="M192" s="99"/>
      <c r="N192" s="131"/>
    </row>
    <row r="193" spans="1:14" ht="15.75">
      <c r="A193" s="27"/>
      <c r="B193" s="61"/>
      <c r="C193" s="108"/>
      <c r="D193" s="97"/>
      <c r="E193" s="108"/>
      <c r="F193" s="28"/>
      <c r="G193" s="108"/>
      <c r="H193" s="97"/>
      <c r="I193" s="108"/>
      <c r="J193" s="60"/>
      <c r="K193" s="106"/>
      <c r="L193" s="92"/>
      <c r="M193" s="99"/>
      <c r="N193" s="131"/>
    </row>
    <row r="194" spans="1:14" ht="15.75">
      <c r="A194" s="27"/>
      <c r="B194" s="28"/>
      <c r="C194" s="28"/>
      <c r="D194" s="28"/>
      <c r="E194" s="28"/>
      <c r="F194" s="28"/>
      <c r="G194" s="28"/>
      <c r="H194" s="38">
        <f>SUM(H188:H192)</f>
        <v>2353</v>
      </c>
      <c r="I194" s="109">
        <f>SUM(I188:I193)</f>
        <v>1</v>
      </c>
      <c r="J194" s="60">
        <f>SUM(J188:J193)</f>
        <v>120720</v>
      </c>
      <c r="K194" s="127">
        <f>SUM(K188:K193)</f>
        <v>1</v>
      </c>
      <c r="L194" s="28"/>
      <c r="M194" s="28"/>
      <c r="N194" s="131"/>
    </row>
    <row r="195" spans="1:14" ht="15.75">
      <c r="A195" s="27"/>
      <c r="B195" s="28"/>
      <c r="C195" s="28"/>
      <c r="D195" s="28"/>
      <c r="E195" s="28"/>
      <c r="F195" s="28"/>
      <c r="G195" s="28"/>
      <c r="H195" s="38"/>
      <c r="I195" s="109"/>
      <c r="J195" s="60"/>
      <c r="K195" s="127"/>
      <c r="L195" s="28"/>
      <c r="M195" s="28"/>
      <c r="N195" s="131"/>
    </row>
    <row r="196" spans="1:14" ht="15.75">
      <c r="A196" s="27"/>
      <c r="B196" s="28"/>
      <c r="C196" s="28"/>
      <c r="D196" s="28"/>
      <c r="E196" s="28"/>
      <c r="F196" s="28"/>
      <c r="G196" s="28"/>
      <c r="H196" s="38"/>
      <c r="I196" s="109"/>
      <c r="J196" s="60"/>
      <c r="K196" s="127"/>
      <c r="L196" s="28"/>
      <c r="M196" s="28"/>
      <c r="N196" s="131"/>
    </row>
    <row r="197" spans="1:14" ht="15.75">
      <c r="A197" s="114"/>
      <c r="B197" s="17" t="s">
        <v>139</v>
      </c>
      <c r="C197" s="115"/>
      <c r="D197" s="20" t="s">
        <v>148</v>
      </c>
      <c r="E197" s="18"/>
      <c r="F197" s="17" t="s">
        <v>161</v>
      </c>
      <c r="G197" s="116"/>
      <c r="H197" s="116"/>
      <c r="I197" s="15"/>
      <c r="J197" s="15"/>
      <c r="K197" s="15"/>
      <c r="L197" s="15"/>
      <c r="M197" s="15"/>
      <c r="N197" s="131"/>
    </row>
    <row r="198" spans="1:14" ht="15.75">
      <c r="A198" s="114"/>
      <c r="B198" s="15"/>
      <c r="C198" s="15"/>
      <c r="D198" s="10"/>
      <c r="E198" s="10"/>
      <c r="F198" s="10"/>
      <c r="G198" s="15"/>
      <c r="H198" s="15"/>
      <c r="I198" s="15"/>
      <c r="J198" s="15"/>
      <c r="K198" s="15"/>
      <c r="L198" s="15"/>
      <c r="M198" s="15"/>
      <c r="N198" s="131"/>
    </row>
    <row r="199" spans="1:14" ht="15.75">
      <c r="A199" s="114"/>
      <c r="B199" s="16" t="s">
        <v>140</v>
      </c>
      <c r="C199" s="117"/>
      <c r="D199" s="118" t="s">
        <v>149</v>
      </c>
      <c r="E199" s="16"/>
      <c r="F199" s="16" t="s">
        <v>162</v>
      </c>
      <c r="G199" s="117"/>
      <c r="H199" s="117"/>
      <c r="I199" s="15"/>
      <c r="J199" s="15"/>
      <c r="K199" s="15"/>
      <c r="L199" s="15"/>
      <c r="M199" s="15"/>
      <c r="N199" s="131"/>
    </row>
    <row r="200" spans="1:14" ht="15.75">
      <c r="A200" s="114"/>
      <c r="B200" s="16" t="s">
        <v>141</v>
      </c>
      <c r="C200" s="117"/>
      <c r="D200" s="118" t="s">
        <v>150</v>
      </c>
      <c r="E200" s="16"/>
      <c r="F200" s="16" t="s">
        <v>163</v>
      </c>
      <c r="G200" s="117"/>
      <c r="H200" s="117"/>
      <c r="I200" s="15"/>
      <c r="J200" s="15"/>
      <c r="K200" s="15"/>
      <c r="L200" s="15"/>
      <c r="M200" s="15"/>
      <c r="N200" s="131"/>
    </row>
    <row r="201" spans="1:14" ht="15.75">
      <c r="A201" s="114"/>
      <c r="B201" s="16"/>
      <c r="C201" s="117"/>
      <c r="D201" s="118"/>
      <c r="E201" s="16"/>
      <c r="F201" s="16"/>
      <c r="G201" s="117"/>
      <c r="H201" s="117"/>
      <c r="I201" s="15"/>
      <c r="J201" s="15"/>
      <c r="K201" s="15"/>
      <c r="L201" s="15"/>
      <c r="M201" s="15"/>
      <c r="N201" s="131"/>
    </row>
    <row r="202" spans="1:14" ht="15.75">
      <c r="A202" s="114"/>
      <c r="B202" s="16"/>
      <c r="C202" s="117"/>
      <c r="D202" s="118"/>
      <c r="E202" s="16"/>
      <c r="F202" s="16"/>
      <c r="G202" s="117"/>
      <c r="H202" s="117"/>
      <c r="I202" s="15"/>
      <c r="J202" s="15"/>
      <c r="K202" s="15"/>
      <c r="L202" s="15"/>
      <c r="M202" s="15"/>
      <c r="N202" s="131"/>
    </row>
    <row r="203" spans="1:14" ht="18.75">
      <c r="A203" s="114"/>
      <c r="B203" s="55" t="str">
        <f>B156</f>
        <v>PM1 INVESTOR REPORT QUARTER ENDING MARCH 2003</v>
      </c>
      <c r="C203" s="117"/>
      <c r="D203" s="118"/>
      <c r="E203" s="16"/>
      <c r="F203" s="16"/>
      <c r="G203" s="117"/>
      <c r="H203" s="117"/>
      <c r="I203" s="15"/>
      <c r="J203" s="15"/>
      <c r="K203" s="15"/>
      <c r="L203" s="15"/>
      <c r="M203" s="15"/>
      <c r="N203" s="131"/>
    </row>
    <row r="204" spans="1:13" ht="15">
      <c r="A204" s="130"/>
      <c r="B204" s="130"/>
      <c r="C204" s="130"/>
      <c r="D204" s="130"/>
      <c r="E204" s="130"/>
      <c r="F204" s="130"/>
      <c r="G204" s="130"/>
      <c r="H204" s="130"/>
      <c r="I204" s="130"/>
      <c r="J204" s="130"/>
      <c r="K204" s="130"/>
      <c r="L204" s="130"/>
      <c r="M204" s="130"/>
    </row>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5" manualBreakCount="5">
    <brk id="51" min="105" max="156" man="1"/>
    <brk id="51" max="13" man="1"/>
    <brk id="105" max="13" man="1"/>
    <brk id="156" max="13" man="1"/>
    <brk id="204" max="0" man="1"/>
  </rowBreaks>
  <drawing r:id="rId1"/>
</worksheet>
</file>

<file path=xl/worksheets/sheet16.xml><?xml version="1.0" encoding="utf-8"?>
<worksheet xmlns="http://schemas.openxmlformats.org/spreadsheetml/2006/main" xmlns:r="http://schemas.openxmlformats.org/officeDocument/2006/relationships">
  <dimension ref="A1:O204"/>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21.77734375" style="1" customWidth="1"/>
    <col min="14" max="16384" width="9.6640625" style="1" customWidth="1"/>
  </cols>
  <sheetData>
    <row r="1" spans="1:14" ht="20.25">
      <c r="A1" s="2"/>
      <c r="B1" s="3" t="s">
        <v>0</v>
      </c>
      <c r="C1" s="4"/>
      <c r="D1" s="5"/>
      <c r="E1" s="5"/>
      <c r="F1" s="5"/>
      <c r="G1" s="5"/>
      <c r="H1" s="5"/>
      <c r="I1" s="5"/>
      <c r="J1" s="5"/>
      <c r="K1" s="5"/>
      <c r="L1" s="5"/>
      <c r="M1" s="5"/>
      <c r="N1" s="131"/>
    </row>
    <row r="2" spans="1:14" ht="15.75">
      <c r="A2" s="8"/>
      <c r="B2" s="9"/>
      <c r="C2" s="9"/>
      <c r="D2" s="10"/>
      <c r="E2" s="10"/>
      <c r="F2" s="10"/>
      <c r="G2" s="10"/>
      <c r="H2" s="10"/>
      <c r="I2" s="10"/>
      <c r="J2" s="10"/>
      <c r="K2" s="10"/>
      <c r="L2" s="10"/>
      <c r="M2" s="10"/>
      <c r="N2" s="131"/>
    </row>
    <row r="3" spans="1:14" ht="15.75">
      <c r="A3" s="11"/>
      <c r="B3" s="154" t="s">
        <v>1</v>
      </c>
      <c r="C3" s="10"/>
      <c r="D3" s="10"/>
      <c r="E3" s="10"/>
      <c r="F3" s="10"/>
      <c r="G3" s="10"/>
      <c r="H3" s="10"/>
      <c r="I3" s="10"/>
      <c r="J3" s="10"/>
      <c r="K3" s="10"/>
      <c r="L3" s="10"/>
      <c r="M3" s="10"/>
      <c r="N3" s="131"/>
    </row>
    <row r="4" spans="1:14" ht="15.75">
      <c r="A4" s="8"/>
      <c r="B4" s="9"/>
      <c r="C4" s="9"/>
      <c r="D4" s="10"/>
      <c r="E4" s="10"/>
      <c r="F4" s="10"/>
      <c r="G4" s="10"/>
      <c r="H4" s="10"/>
      <c r="I4" s="10"/>
      <c r="J4" s="10"/>
      <c r="K4" s="10"/>
      <c r="L4" s="10"/>
      <c r="M4" s="10"/>
      <c r="N4" s="131"/>
    </row>
    <row r="5" spans="1:14" ht="12" customHeight="1">
      <c r="A5" s="8"/>
      <c r="B5" s="13" t="s">
        <v>2</v>
      </c>
      <c r="C5" s="14"/>
      <c r="D5" s="10"/>
      <c r="E5" s="10"/>
      <c r="F5" s="10"/>
      <c r="G5" s="10"/>
      <c r="H5" s="10"/>
      <c r="I5" s="10"/>
      <c r="J5" s="10"/>
      <c r="K5" s="10"/>
      <c r="L5" s="10"/>
      <c r="M5" s="10"/>
      <c r="N5" s="131"/>
    </row>
    <row r="6" spans="1:14" ht="12" customHeight="1">
      <c r="A6" s="8"/>
      <c r="B6" s="13" t="s">
        <v>3</v>
      </c>
      <c r="C6" s="14"/>
      <c r="D6" s="10"/>
      <c r="E6" s="10"/>
      <c r="F6" s="10"/>
      <c r="G6" s="10"/>
      <c r="H6" s="10"/>
      <c r="I6" s="10"/>
      <c r="J6" s="10"/>
      <c r="K6" s="10"/>
      <c r="L6" s="10"/>
      <c r="M6" s="10"/>
      <c r="N6" s="131"/>
    </row>
    <row r="7" spans="1:14" ht="12" customHeight="1">
      <c r="A7" s="8"/>
      <c r="B7" s="13" t="s">
        <v>4</v>
      </c>
      <c r="C7" s="14"/>
      <c r="D7" s="10"/>
      <c r="E7" s="10"/>
      <c r="F7" s="10"/>
      <c r="G7" s="10"/>
      <c r="H7" s="10"/>
      <c r="I7" s="10"/>
      <c r="J7" s="10"/>
      <c r="K7" s="10"/>
      <c r="L7" s="10"/>
      <c r="M7" s="10"/>
      <c r="N7" s="131"/>
    </row>
    <row r="8" spans="1:14" ht="12" customHeight="1">
      <c r="A8" s="8"/>
      <c r="B8" s="13" t="s">
        <v>5</v>
      </c>
      <c r="C8" s="14"/>
      <c r="D8" s="10"/>
      <c r="E8" s="10"/>
      <c r="F8" s="10"/>
      <c r="G8" s="10"/>
      <c r="H8" s="10"/>
      <c r="I8" s="10"/>
      <c r="J8" s="10"/>
      <c r="K8" s="10"/>
      <c r="L8" s="10"/>
      <c r="M8" s="10"/>
      <c r="N8" s="131"/>
    </row>
    <row r="9" spans="1:14" ht="12" customHeight="1">
      <c r="A9" s="8"/>
      <c r="B9" s="146"/>
      <c r="C9" s="14"/>
      <c r="D9" s="10"/>
      <c r="E9" s="10"/>
      <c r="F9" s="10"/>
      <c r="G9" s="10"/>
      <c r="H9" s="10"/>
      <c r="I9" s="10"/>
      <c r="J9" s="10"/>
      <c r="K9" s="10"/>
      <c r="L9" s="10"/>
      <c r="M9" s="10"/>
      <c r="N9" s="131"/>
    </row>
    <row r="10" spans="1:14" ht="15.75">
      <c r="A10" s="8"/>
      <c r="B10" s="13"/>
      <c r="C10" s="14"/>
      <c r="D10" s="16"/>
      <c r="E10" s="16"/>
      <c r="F10" s="10"/>
      <c r="G10" s="10"/>
      <c r="H10" s="10"/>
      <c r="I10" s="10"/>
      <c r="J10" s="10"/>
      <c r="K10" s="10"/>
      <c r="L10" s="10"/>
      <c r="M10" s="10"/>
      <c r="N10" s="131"/>
    </row>
    <row r="11" spans="1:14" ht="15.75">
      <c r="A11" s="8"/>
      <c r="B11" s="16" t="s">
        <v>6</v>
      </c>
      <c r="C11" s="16"/>
      <c r="D11" s="10"/>
      <c r="E11" s="10"/>
      <c r="F11" s="10"/>
      <c r="G11" s="10"/>
      <c r="H11" s="10"/>
      <c r="I11" s="10"/>
      <c r="J11" s="10"/>
      <c r="K11" s="10"/>
      <c r="L11" s="10"/>
      <c r="M11" s="10"/>
      <c r="N11" s="131"/>
    </row>
    <row r="12" spans="1:14" ht="15.75">
      <c r="A12" s="8"/>
      <c r="B12" s="16"/>
      <c r="C12" s="16"/>
      <c r="D12" s="10"/>
      <c r="E12" s="10"/>
      <c r="F12" s="10"/>
      <c r="G12" s="10"/>
      <c r="H12" s="10"/>
      <c r="I12" s="10"/>
      <c r="J12" s="10"/>
      <c r="K12" s="10"/>
      <c r="L12" s="10"/>
      <c r="M12" s="10"/>
      <c r="N12" s="131"/>
    </row>
    <row r="13" spans="1:14" ht="15.75">
      <c r="A13" s="2"/>
      <c r="B13" s="5"/>
      <c r="C13" s="5"/>
      <c r="D13" s="5"/>
      <c r="E13" s="5"/>
      <c r="F13" s="5"/>
      <c r="G13" s="5"/>
      <c r="H13" s="5"/>
      <c r="I13" s="5"/>
      <c r="J13" s="5"/>
      <c r="K13" s="5"/>
      <c r="L13" s="5"/>
      <c r="M13" s="5"/>
      <c r="N13" s="131"/>
    </row>
    <row r="14" spans="1:14" ht="15.75">
      <c r="A14" s="8"/>
      <c r="B14" s="17" t="s">
        <v>7</v>
      </c>
      <c r="C14" s="17"/>
      <c r="D14" s="18"/>
      <c r="E14" s="18"/>
      <c r="F14" s="18"/>
      <c r="G14" s="18"/>
      <c r="H14" s="18"/>
      <c r="I14" s="18"/>
      <c r="J14" s="18"/>
      <c r="K14" s="18"/>
      <c r="L14" s="19" t="s">
        <v>185</v>
      </c>
      <c r="M14" s="18"/>
      <c r="N14" s="131"/>
    </row>
    <row r="15" spans="1:14" ht="15.75">
      <c r="A15" s="8"/>
      <c r="B15" s="17" t="s">
        <v>199</v>
      </c>
      <c r="C15" s="17"/>
      <c r="D15" s="18"/>
      <c r="E15" s="18"/>
      <c r="F15" s="18"/>
      <c r="G15" s="18"/>
      <c r="H15" s="20"/>
      <c r="I15" s="135"/>
      <c r="J15" s="20" t="s">
        <v>202</v>
      </c>
      <c r="K15" s="135">
        <v>1</v>
      </c>
      <c r="L15" s="19"/>
      <c r="M15" s="18"/>
      <c r="N15" s="131"/>
    </row>
    <row r="16" spans="1:14" ht="15.75">
      <c r="A16" s="8"/>
      <c r="B16" s="17" t="s">
        <v>200</v>
      </c>
      <c r="C16" s="17"/>
      <c r="D16" s="18"/>
      <c r="E16" s="18"/>
      <c r="F16" s="18"/>
      <c r="G16" s="18"/>
      <c r="H16" s="20"/>
      <c r="I16" s="135"/>
      <c r="J16" s="20" t="s">
        <v>202</v>
      </c>
      <c r="K16" s="135">
        <v>1</v>
      </c>
      <c r="L16" s="19"/>
      <c r="M16" s="18"/>
      <c r="N16" s="131"/>
    </row>
    <row r="17" spans="1:14" ht="15.75">
      <c r="A17" s="8"/>
      <c r="B17" s="17" t="s">
        <v>8</v>
      </c>
      <c r="C17" s="17"/>
      <c r="D17" s="18"/>
      <c r="E17" s="18"/>
      <c r="F17" s="18"/>
      <c r="G17" s="18"/>
      <c r="H17" s="18"/>
      <c r="I17" s="18"/>
      <c r="J17" s="18"/>
      <c r="K17" s="18"/>
      <c r="L17" s="20" t="s">
        <v>186</v>
      </c>
      <c r="M17" s="18"/>
      <c r="N17" s="131"/>
    </row>
    <row r="18" spans="1:14" ht="15.75">
      <c r="A18" s="8"/>
      <c r="B18" s="17" t="s">
        <v>9</v>
      </c>
      <c r="C18" s="17"/>
      <c r="D18" s="18"/>
      <c r="E18" s="18"/>
      <c r="F18" s="18"/>
      <c r="G18" s="18"/>
      <c r="H18" s="18"/>
      <c r="I18" s="18"/>
      <c r="J18" s="18"/>
      <c r="K18" s="18"/>
      <c r="L18" s="21">
        <v>37824</v>
      </c>
      <c r="M18" s="18"/>
      <c r="N18" s="131"/>
    </row>
    <row r="19" spans="1:14" ht="15.75">
      <c r="A19" s="8"/>
      <c r="B19" s="10"/>
      <c r="C19" s="10"/>
      <c r="D19" s="10"/>
      <c r="E19" s="10"/>
      <c r="F19" s="10"/>
      <c r="G19" s="10"/>
      <c r="H19" s="10"/>
      <c r="I19" s="10"/>
      <c r="J19" s="10"/>
      <c r="K19" s="10"/>
      <c r="L19" s="22"/>
      <c r="M19" s="10"/>
      <c r="N19" s="131"/>
    </row>
    <row r="20" spans="1:14" ht="15.75">
      <c r="A20" s="8"/>
      <c r="B20" s="23" t="s">
        <v>10</v>
      </c>
      <c r="C20" s="10"/>
      <c r="D20" s="10"/>
      <c r="E20" s="10"/>
      <c r="F20" s="10"/>
      <c r="G20" s="10"/>
      <c r="H20" s="10"/>
      <c r="I20" s="10"/>
      <c r="J20" s="22" t="s">
        <v>174</v>
      </c>
      <c r="K20" s="10"/>
      <c r="L20" s="146"/>
      <c r="M20" s="10"/>
      <c r="N20" s="131"/>
    </row>
    <row r="21" spans="1:14" ht="15.75">
      <c r="A21" s="8"/>
      <c r="B21" s="10"/>
      <c r="C21" s="10"/>
      <c r="D21" s="10"/>
      <c r="E21" s="10"/>
      <c r="F21" s="10"/>
      <c r="G21" s="10"/>
      <c r="H21" s="10"/>
      <c r="I21" s="10"/>
      <c r="J21" s="10"/>
      <c r="K21" s="10"/>
      <c r="L21" s="24"/>
      <c r="M21" s="10"/>
      <c r="N21" s="131"/>
    </row>
    <row r="22" spans="1:14" ht="15.75">
      <c r="A22" s="8"/>
      <c r="B22" s="10"/>
      <c r="C22" s="155" t="s">
        <v>143</v>
      </c>
      <c r="D22" s="25"/>
      <c r="E22" s="25"/>
      <c r="F22" s="157" t="s">
        <v>151</v>
      </c>
      <c r="G22" s="157"/>
      <c r="H22" s="157" t="s">
        <v>164</v>
      </c>
      <c r="I22" s="25"/>
      <c r="J22" s="25"/>
      <c r="K22" s="146"/>
      <c r="L22" s="146"/>
      <c r="M22" s="10"/>
      <c r="N22" s="131"/>
    </row>
    <row r="23" spans="1:14" ht="15.75">
      <c r="A23" s="27"/>
      <c r="B23" s="28" t="s">
        <v>11</v>
      </c>
      <c r="C23" s="156" t="s">
        <v>144</v>
      </c>
      <c r="D23" s="29"/>
      <c r="E23" s="29"/>
      <c r="F23" s="29" t="s">
        <v>152</v>
      </c>
      <c r="G23" s="29"/>
      <c r="H23" s="29" t="s">
        <v>165</v>
      </c>
      <c r="I23" s="29"/>
      <c r="J23" s="29"/>
      <c r="K23" s="147"/>
      <c r="L23" s="147"/>
      <c r="M23" s="28"/>
      <c r="N23" s="131"/>
    </row>
    <row r="24" spans="1:14" ht="15.75">
      <c r="A24" s="27"/>
      <c r="B24" s="28" t="s">
        <v>12</v>
      </c>
      <c r="C24" s="31"/>
      <c r="D24" s="29"/>
      <c r="E24" s="29"/>
      <c r="F24" s="29" t="s">
        <v>153</v>
      </c>
      <c r="G24" s="29"/>
      <c r="H24" s="29" t="s">
        <v>166</v>
      </c>
      <c r="I24" s="29"/>
      <c r="J24" s="29"/>
      <c r="K24" s="147"/>
      <c r="L24" s="147"/>
      <c r="M24" s="28"/>
      <c r="N24" s="131"/>
    </row>
    <row r="25" spans="1:14" ht="15.75">
      <c r="A25" s="32"/>
      <c r="B25" s="33" t="s">
        <v>13</v>
      </c>
      <c r="C25" s="33"/>
      <c r="D25" s="34"/>
      <c r="E25" s="34"/>
      <c r="F25" s="34" t="s">
        <v>152</v>
      </c>
      <c r="G25" s="34"/>
      <c r="H25" s="34" t="s">
        <v>207</v>
      </c>
      <c r="I25" s="29"/>
      <c r="J25" s="29"/>
      <c r="K25" s="147"/>
      <c r="L25" s="147"/>
      <c r="M25" s="28"/>
      <c r="N25" s="131"/>
    </row>
    <row r="26" spans="1:14" ht="15.75">
      <c r="A26" s="32"/>
      <c r="B26" s="33" t="s">
        <v>14</v>
      </c>
      <c r="C26" s="33"/>
      <c r="D26" s="34"/>
      <c r="E26" s="34"/>
      <c r="F26" s="34" t="s">
        <v>153</v>
      </c>
      <c r="G26" s="34"/>
      <c r="H26" s="34" t="s">
        <v>215</v>
      </c>
      <c r="I26" s="29"/>
      <c r="J26" s="29"/>
      <c r="K26" s="147"/>
      <c r="L26" s="147"/>
      <c r="M26" s="28"/>
      <c r="N26" s="131"/>
    </row>
    <row r="27" spans="1:14" ht="15.75">
      <c r="A27" s="27"/>
      <c r="B27" s="28" t="s">
        <v>15</v>
      </c>
      <c r="C27" s="28"/>
      <c r="D27" s="31"/>
      <c r="E27" s="29"/>
      <c r="F27" s="31" t="s">
        <v>154</v>
      </c>
      <c r="G27" s="29"/>
      <c r="H27" s="31" t="s">
        <v>167</v>
      </c>
      <c r="I27" s="29"/>
      <c r="J27" s="31"/>
      <c r="K27" s="147"/>
      <c r="L27" s="147"/>
      <c r="M27" s="28"/>
      <c r="N27" s="131"/>
    </row>
    <row r="28" spans="1:14" ht="15.75">
      <c r="A28" s="27"/>
      <c r="B28" s="28"/>
      <c r="C28" s="28"/>
      <c r="D28" s="28"/>
      <c r="E28" s="29"/>
      <c r="F28" s="29"/>
      <c r="G28" s="29"/>
      <c r="H28" s="29"/>
      <c r="I28" s="29"/>
      <c r="J28" s="29"/>
      <c r="K28" s="147"/>
      <c r="L28" s="147"/>
      <c r="M28" s="28"/>
      <c r="N28" s="131"/>
    </row>
    <row r="29" spans="1:14" ht="15.75">
      <c r="A29" s="27"/>
      <c r="B29" s="28" t="s">
        <v>16</v>
      </c>
      <c r="C29" s="28"/>
      <c r="D29" s="35"/>
      <c r="E29" s="36"/>
      <c r="F29" s="35">
        <v>168000</v>
      </c>
      <c r="G29" s="35"/>
      <c r="H29" s="35">
        <v>17000</v>
      </c>
      <c r="I29" s="35"/>
      <c r="J29" s="35"/>
      <c r="K29" s="148"/>
      <c r="L29" s="35">
        <f>H29+F29</f>
        <v>185000</v>
      </c>
      <c r="M29" s="38"/>
      <c r="N29" s="131"/>
    </row>
    <row r="30" spans="1:14" ht="15.75">
      <c r="A30" s="27"/>
      <c r="B30" s="28" t="s">
        <v>17</v>
      </c>
      <c r="C30" s="126">
        <v>0.617379</v>
      </c>
      <c r="D30" s="35"/>
      <c r="E30" s="36"/>
      <c r="F30" s="35">
        <f>168000*C30</f>
        <v>103719.672</v>
      </c>
      <c r="G30" s="35"/>
      <c r="H30" s="35">
        <v>17000</v>
      </c>
      <c r="I30" s="35"/>
      <c r="J30" s="35"/>
      <c r="K30" s="148"/>
      <c r="L30" s="35">
        <f>H30+F30</f>
        <v>120719.672</v>
      </c>
      <c r="M30" s="38"/>
      <c r="N30" s="131"/>
    </row>
    <row r="31" spans="1:14" ht="13.5" customHeight="1">
      <c r="A31" s="32"/>
      <c r="B31" s="33" t="s">
        <v>18</v>
      </c>
      <c r="C31" s="40">
        <v>0.573182</v>
      </c>
      <c r="D31" s="41"/>
      <c r="E31" s="42"/>
      <c r="F31" s="41">
        <f>168000*C31</f>
        <v>96294.576</v>
      </c>
      <c r="G31" s="41"/>
      <c r="H31" s="41">
        <v>17000</v>
      </c>
      <c r="I31" s="41"/>
      <c r="J31" s="41"/>
      <c r="K31" s="43"/>
      <c r="L31" s="41">
        <f>H31+F31+D31</f>
        <v>113294.576</v>
      </c>
      <c r="M31" s="38"/>
      <c r="N31" s="131"/>
    </row>
    <row r="32" spans="1:14" ht="15.75">
      <c r="A32" s="27"/>
      <c r="B32" s="28" t="s">
        <v>19</v>
      </c>
      <c r="C32" s="44"/>
      <c r="D32" s="31"/>
      <c r="E32" s="28"/>
      <c r="F32" s="31" t="s">
        <v>155</v>
      </c>
      <c r="G32" s="31"/>
      <c r="H32" s="31" t="s">
        <v>168</v>
      </c>
      <c r="I32" s="31"/>
      <c r="J32" s="31"/>
      <c r="K32" s="147"/>
      <c r="L32" s="147"/>
      <c r="M32" s="28"/>
      <c r="N32" s="131"/>
    </row>
    <row r="33" spans="1:14" ht="15.75">
      <c r="A33" s="27"/>
      <c r="B33" s="28" t="s">
        <v>20</v>
      </c>
      <c r="C33" s="28"/>
      <c r="D33" s="45"/>
      <c r="E33" s="28"/>
      <c r="F33" s="45">
        <v>0.0395375</v>
      </c>
      <c r="G33" s="46"/>
      <c r="H33" s="45">
        <v>0.0447375</v>
      </c>
      <c r="I33" s="46"/>
      <c r="J33" s="45"/>
      <c r="K33" s="147"/>
      <c r="L33" s="46">
        <f>SUMPRODUCT(F33:H33,F30:H30)/L30</f>
        <v>0.04026977501810973</v>
      </c>
      <c r="M33" s="28"/>
      <c r="N33" s="131"/>
    </row>
    <row r="34" spans="1:14" ht="15.75">
      <c r="A34" s="27"/>
      <c r="B34" s="28" t="s">
        <v>21</v>
      </c>
      <c r="C34" s="28"/>
      <c r="D34" s="45"/>
      <c r="E34" s="28"/>
      <c r="F34" s="45">
        <v>0.042925</v>
      </c>
      <c r="G34" s="46"/>
      <c r="H34" s="45">
        <v>0.048125</v>
      </c>
      <c r="I34" s="46"/>
      <c r="J34" s="45"/>
      <c r="K34" s="147"/>
      <c r="L34" s="147"/>
      <c r="M34" s="28"/>
      <c r="N34" s="131"/>
    </row>
    <row r="35" spans="1:14" ht="15.75">
      <c r="A35" s="27"/>
      <c r="B35" s="28" t="s">
        <v>22</v>
      </c>
      <c r="C35" s="28"/>
      <c r="D35" s="31"/>
      <c r="E35" s="28"/>
      <c r="F35" s="31" t="s">
        <v>157</v>
      </c>
      <c r="G35" s="31"/>
      <c r="H35" s="31" t="s">
        <v>157</v>
      </c>
      <c r="I35" s="31"/>
      <c r="J35" s="31"/>
      <c r="K35" s="147"/>
      <c r="L35" s="147"/>
      <c r="M35" s="28"/>
      <c r="N35" s="131"/>
    </row>
    <row r="36" spans="1:14" ht="15.75">
      <c r="A36" s="27"/>
      <c r="B36" s="28" t="s">
        <v>23</v>
      </c>
      <c r="C36" s="28"/>
      <c r="D36" s="31"/>
      <c r="E36" s="28"/>
      <c r="F36" s="31" t="s">
        <v>158</v>
      </c>
      <c r="G36" s="31"/>
      <c r="H36" s="31" t="s">
        <v>158</v>
      </c>
      <c r="I36" s="31"/>
      <c r="J36" s="31"/>
      <c r="K36" s="147"/>
      <c r="L36" s="147"/>
      <c r="M36" s="28"/>
      <c r="N36" s="131"/>
    </row>
    <row r="37" spans="1:14" ht="15.75">
      <c r="A37" s="27"/>
      <c r="B37" s="28" t="s">
        <v>24</v>
      </c>
      <c r="C37" s="28"/>
      <c r="D37" s="31"/>
      <c r="E37" s="28"/>
      <c r="F37" s="31" t="s">
        <v>159</v>
      </c>
      <c r="G37" s="31"/>
      <c r="H37" s="31" t="s">
        <v>169</v>
      </c>
      <c r="I37" s="31"/>
      <c r="J37" s="31"/>
      <c r="K37" s="147"/>
      <c r="L37" s="147"/>
      <c r="M37" s="28"/>
      <c r="N37" s="131"/>
    </row>
    <row r="38" spans="1:14" ht="15.75">
      <c r="A38" s="27"/>
      <c r="B38" s="28"/>
      <c r="C38" s="28"/>
      <c r="D38" s="47"/>
      <c r="E38" s="47"/>
      <c r="F38" s="28"/>
      <c r="G38" s="47"/>
      <c r="H38" s="47"/>
      <c r="I38" s="47"/>
      <c r="J38" s="47"/>
      <c r="K38" s="47"/>
      <c r="L38" s="47"/>
      <c r="M38" s="28"/>
      <c r="N38" s="131"/>
    </row>
    <row r="39" spans="1:14" ht="15.75">
      <c r="A39" s="27"/>
      <c r="B39" s="28" t="s">
        <v>25</v>
      </c>
      <c r="C39" s="28"/>
      <c r="D39" s="28"/>
      <c r="E39" s="28"/>
      <c r="F39" s="28"/>
      <c r="G39" s="28"/>
      <c r="H39" s="136"/>
      <c r="I39" s="28"/>
      <c r="J39" s="28"/>
      <c r="K39" s="28"/>
      <c r="L39" s="46">
        <f>H29/F29</f>
        <v>0.10119047619047619</v>
      </c>
      <c r="M39" s="28"/>
      <c r="N39" s="131"/>
    </row>
    <row r="40" spans="1:14" ht="15.75">
      <c r="A40" s="27"/>
      <c r="B40" s="28" t="s">
        <v>26</v>
      </c>
      <c r="C40" s="28"/>
      <c r="D40" s="28"/>
      <c r="E40" s="28"/>
      <c r="F40" s="136"/>
      <c r="G40" s="28"/>
      <c r="H40" s="136"/>
      <c r="I40" s="28"/>
      <c r="J40" s="28"/>
      <c r="K40" s="28"/>
      <c r="L40" s="46">
        <f>H31/F31</f>
        <v>0.1765416153865198</v>
      </c>
      <c r="M40" s="28"/>
      <c r="N40" s="131"/>
    </row>
    <row r="41" spans="1:14" ht="15.75">
      <c r="A41" s="27"/>
      <c r="B41" s="28" t="s">
        <v>27</v>
      </c>
      <c r="C41" s="28"/>
      <c r="D41" s="28"/>
      <c r="E41" s="28"/>
      <c r="F41" s="136"/>
      <c r="G41" s="28"/>
      <c r="H41" s="136"/>
      <c r="I41" s="28"/>
      <c r="J41" s="31" t="s">
        <v>151</v>
      </c>
      <c r="K41" s="31" t="s">
        <v>183</v>
      </c>
      <c r="L41" s="35">
        <v>75500</v>
      </c>
      <c r="M41" s="28"/>
      <c r="N41" s="131"/>
    </row>
    <row r="42" spans="1:14" ht="15.75">
      <c r="A42" s="27"/>
      <c r="B42" s="28"/>
      <c r="C42" s="28"/>
      <c r="D42" s="28"/>
      <c r="E42" s="28"/>
      <c r="F42" s="28"/>
      <c r="G42" s="28"/>
      <c r="H42" s="28"/>
      <c r="I42" s="28"/>
      <c r="J42" s="28" t="s">
        <v>175</v>
      </c>
      <c r="K42" s="28"/>
      <c r="L42" s="48"/>
      <c r="M42" s="28"/>
      <c r="N42" s="131"/>
    </row>
    <row r="43" spans="1:14" ht="15.75">
      <c r="A43" s="27"/>
      <c r="B43" s="28" t="s">
        <v>28</v>
      </c>
      <c r="C43" s="28"/>
      <c r="D43" s="28"/>
      <c r="E43" s="28"/>
      <c r="F43" s="28"/>
      <c r="G43" s="28"/>
      <c r="H43" s="28"/>
      <c r="I43" s="28"/>
      <c r="J43" s="31"/>
      <c r="K43" s="31"/>
      <c r="L43" s="31" t="s">
        <v>187</v>
      </c>
      <c r="M43" s="28"/>
      <c r="N43" s="131"/>
    </row>
    <row r="44" spans="1:14" ht="15.75">
      <c r="A44" s="32"/>
      <c r="B44" s="33" t="s">
        <v>29</v>
      </c>
      <c r="C44" s="33"/>
      <c r="D44" s="33"/>
      <c r="E44" s="33"/>
      <c r="F44" s="33"/>
      <c r="G44" s="33"/>
      <c r="H44" s="33"/>
      <c r="I44" s="33"/>
      <c r="J44" s="49"/>
      <c r="K44" s="49"/>
      <c r="L44" s="50">
        <v>37817</v>
      </c>
      <c r="M44" s="33"/>
      <c r="N44" s="131"/>
    </row>
    <row r="45" spans="1:14" ht="15.75">
      <c r="A45" s="27"/>
      <c r="B45" s="28" t="s">
        <v>30</v>
      </c>
      <c r="C45" s="28"/>
      <c r="D45" s="28"/>
      <c r="E45" s="28"/>
      <c r="F45" s="28"/>
      <c r="G45" s="28"/>
      <c r="H45" s="28"/>
      <c r="I45" s="28">
        <f>L45-J45+1</f>
        <v>90</v>
      </c>
      <c r="J45" s="51">
        <v>37636</v>
      </c>
      <c r="K45" s="52"/>
      <c r="L45" s="51">
        <v>37725</v>
      </c>
      <c r="M45" s="28"/>
      <c r="N45" s="131"/>
    </row>
    <row r="46" spans="1:14" ht="15.75">
      <c r="A46" s="27"/>
      <c r="B46" s="28" t="s">
        <v>31</v>
      </c>
      <c r="C46" s="28"/>
      <c r="D46" s="28"/>
      <c r="E46" s="28"/>
      <c r="F46" s="28"/>
      <c r="G46" s="28"/>
      <c r="H46" s="28"/>
      <c r="I46" s="28">
        <f>L46-J46+1</f>
        <v>91</v>
      </c>
      <c r="J46" s="51">
        <v>37726</v>
      </c>
      <c r="K46" s="52"/>
      <c r="L46" s="51">
        <v>37816</v>
      </c>
      <c r="M46" s="28"/>
      <c r="N46" s="131"/>
    </row>
    <row r="47" spans="1:14" ht="15.75">
      <c r="A47" s="27"/>
      <c r="B47" s="28" t="s">
        <v>32</v>
      </c>
      <c r="C47" s="28"/>
      <c r="D47" s="28"/>
      <c r="E47" s="28"/>
      <c r="F47" s="28"/>
      <c r="G47" s="28"/>
      <c r="H47" s="28"/>
      <c r="I47" s="28"/>
      <c r="J47" s="51"/>
      <c r="K47" s="52"/>
      <c r="L47" s="51" t="s">
        <v>188</v>
      </c>
      <c r="M47" s="28"/>
      <c r="N47" s="131"/>
    </row>
    <row r="48" spans="1:14" ht="15.75">
      <c r="A48" s="27"/>
      <c r="B48" s="28" t="s">
        <v>33</v>
      </c>
      <c r="C48" s="28"/>
      <c r="D48" s="28"/>
      <c r="E48" s="28"/>
      <c r="F48" s="28"/>
      <c r="G48" s="28"/>
      <c r="H48" s="28"/>
      <c r="I48" s="28"/>
      <c r="J48" s="51"/>
      <c r="K48" s="52"/>
      <c r="L48" s="51">
        <v>37809</v>
      </c>
      <c r="M48" s="28"/>
      <c r="N48" s="131"/>
    </row>
    <row r="49" spans="1:14" ht="15.75">
      <c r="A49" s="27"/>
      <c r="B49" s="28"/>
      <c r="C49" s="28"/>
      <c r="D49" s="28"/>
      <c r="E49" s="28"/>
      <c r="F49" s="28"/>
      <c r="G49" s="28"/>
      <c r="H49" s="28"/>
      <c r="I49" s="28"/>
      <c r="J49" s="51"/>
      <c r="K49" s="52"/>
      <c r="L49" s="51"/>
      <c r="M49" s="28"/>
      <c r="N49" s="131"/>
    </row>
    <row r="50" spans="1:14" ht="15.75">
      <c r="A50" s="8"/>
      <c r="B50" s="10"/>
      <c r="C50" s="10"/>
      <c r="D50" s="10"/>
      <c r="E50" s="10"/>
      <c r="F50" s="10"/>
      <c r="G50" s="10"/>
      <c r="H50" s="10"/>
      <c r="I50" s="10"/>
      <c r="J50" s="53"/>
      <c r="K50" s="54"/>
      <c r="L50" s="53"/>
      <c r="M50" s="10"/>
      <c r="N50" s="131"/>
    </row>
    <row r="51" spans="1:14" ht="19.5" thickBot="1">
      <c r="A51" s="138"/>
      <c r="B51" s="139" t="s">
        <v>216</v>
      </c>
      <c r="C51" s="140"/>
      <c r="D51" s="140"/>
      <c r="E51" s="140"/>
      <c r="F51" s="140"/>
      <c r="G51" s="140"/>
      <c r="H51" s="140"/>
      <c r="I51" s="140"/>
      <c r="J51" s="140"/>
      <c r="K51" s="140"/>
      <c r="L51" s="141"/>
      <c r="M51" s="142"/>
      <c r="N51" s="131"/>
    </row>
    <row r="52" spans="1:14" ht="15.75">
      <c r="A52" s="2"/>
      <c r="B52" s="5"/>
      <c r="C52" s="5"/>
      <c r="D52" s="5"/>
      <c r="E52" s="5"/>
      <c r="F52" s="5"/>
      <c r="G52" s="5"/>
      <c r="H52" s="5"/>
      <c r="I52" s="5"/>
      <c r="J52" s="5"/>
      <c r="K52" s="5"/>
      <c r="L52" s="57"/>
      <c r="M52" s="5"/>
      <c r="N52" s="131"/>
    </row>
    <row r="53" spans="1:14" ht="15.75">
      <c r="A53" s="8"/>
      <c r="B53" s="58" t="s">
        <v>35</v>
      </c>
      <c r="C53" s="16"/>
      <c r="D53" s="10"/>
      <c r="E53" s="10"/>
      <c r="F53" s="10"/>
      <c r="G53" s="10"/>
      <c r="H53" s="10"/>
      <c r="I53" s="10"/>
      <c r="J53" s="10"/>
      <c r="K53" s="10"/>
      <c r="L53" s="59"/>
      <c r="M53" s="10"/>
      <c r="N53" s="131"/>
    </row>
    <row r="54" spans="1:14" ht="15.75">
      <c r="A54" s="8"/>
      <c r="B54" s="16"/>
      <c r="C54" s="16"/>
      <c r="D54" s="10"/>
      <c r="E54" s="10"/>
      <c r="F54" s="10"/>
      <c r="G54" s="10"/>
      <c r="H54" s="10"/>
      <c r="I54" s="10"/>
      <c r="J54" s="10"/>
      <c r="K54" s="10"/>
      <c r="L54" s="59"/>
      <c r="M54" s="10"/>
      <c r="N54" s="131"/>
    </row>
    <row r="55" spans="1:14" s="165" customFormat="1" ht="63">
      <c r="A55" s="159"/>
      <c r="B55" s="160" t="s">
        <v>36</v>
      </c>
      <c r="C55" s="161" t="s">
        <v>145</v>
      </c>
      <c r="D55" s="161" t="s">
        <v>147</v>
      </c>
      <c r="E55" s="161"/>
      <c r="F55" s="161" t="s">
        <v>160</v>
      </c>
      <c r="G55" s="161"/>
      <c r="H55" s="161" t="s">
        <v>170</v>
      </c>
      <c r="I55" s="161"/>
      <c r="J55" s="161" t="s">
        <v>176</v>
      </c>
      <c r="K55" s="161"/>
      <c r="L55" s="162" t="s">
        <v>189</v>
      </c>
      <c r="M55" s="163"/>
      <c r="N55" s="171"/>
    </row>
    <row r="56" spans="1:14" ht="15.75">
      <c r="A56" s="27"/>
      <c r="B56" s="28" t="s">
        <v>37</v>
      </c>
      <c r="C56" s="38">
        <v>162582</v>
      </c>
      <c r="D56" s="60">
        <v>120720</v>
      </c>
      <c r="E56" s="38"/>
      <c r="F56" s="38">
        <v>7425</v>
      </c>
      <c r="G56" s="38"/>
      <c r="H56" s="38">
        <v>0</v>
      </c>
      <c r="I56" s="38"/>
      <c r="J56" s="38">
        <v>0</v>
      </c>
      <c r="K56" s="38"/>
      <c r="L56" s="60">
        <f>D56-F56+H56-J56</f>
        <v>113295</v>
      </c>
      <c r="M56" s="28"/>
      <c r="N56" s="131"/>
    </row>
    <row r="57" spans="1:14" ht="15.75">
      <c r="A57" s="27"/>
      <c r="B57" s="28" t="s">
        <v>38</v>
      </c>
      <c r="C57" s="38">
        <v>66</v>
      </c>
      <c r="D57" s="60">
        <v>0</v>
      </c>
      <c r="E57" s="38"/>
      <c r="F57" s="38">
        <v>0</v>
      </c>
      <c r="G57" s="38"/>
      <c r="H57" s="38">
        <v>0</v>
      </c>
      <c r="I57" s="38"/>
      <c r="J57" s="38">
        <v>0</v>
      </c>
      <c r="K57" s="38"/>
      <c r="L57" s="60">
        <f>D57-F57</f>
        <v>0</v>
      </c>
      <c r="M57" s="28"/>
      <c r="N57" s="131"/>
    </row>
    <row r="58" spans="1:14" ht="15.75">
      <c r="A58" s="27"/>
      <c r="B58" s="28"/>
      <c r="C58" s="38"/>
      <c r="D58" s="60"/>
      <c r="E58" s="38"/>
      <c r="F58" s="38"/>
      <c r="G58" s="38"/>
      <c r="H58" s="38"/>
      <c r="I58" s="38"/>
      <c r="J58" s="38"/>
      <c r="K58" s="38"/>
      <c r="L58" s="60"/>
      <c r="M58" s="28"/>
      <c r="N58" s="131"/>
    </row>
    <row r="59" spans="1:14" ht="15.75">
      <c r="A59" s="27"/>
      <c r="B59" s="28" t="s">
        <v>39</v>
      </c>
      <c r="C59" s="38">
        <f>SUM(C56:C58)</f>
        <v>162648</v>
      </c>
      <c r="D59" s="38">
        <f>SUM(D56:D58)</f>
        <v>120720</v>
      </c>
      <c r="E59" s="38"/>
      <c r="F59" s="38">
        <f>SUM(F56:F58)</f>
        <v>7425</v>
      </c>
      <c r="G59" s="38"/>
      <c r="H59" s="38">
        <f>SUM(H56:H58)</f>
        <v>0</v>
      </c>
      <c r="I59" s="38"/>
      <c r="J59" s="38">
        <f>SUM(J56:J58)</f>
        <v>0</v>
      </c>
      <c r="K59" s="38"/>
      <c r="L59" s="61">
        <f>SUM(L56:L58)</f>
        <v>113295</v>
      </c>
      <c r="M59" s="28"/>
      <c r="N59" s="131"/>
    </row>
    <row r="60" spans="1:14" ht="15.75">
      <c r="A60" s="27"/>
      <c r="B60" s="28"/>
      <c r="C60" s="38"/>
      <c r="D60" s="38"/>
      <c r="E60" s="38"/>
      <c r="F60" s="38"/>
      <c r="G60" s="38"/>
      <c r="H60" s="38"/>
      <c r="I60" s="38"/>
      <c r="J60" s="38"/>
      <c r="K60" s="38"/>
      <c r="L60" s="61"/>
      <c r="M60" s="28"/>
      <c r="N60" s="131"/>
    </row>
    <row r="61" spans="1:14" ht="15.75">
      <c r="A61" s="8"/>
      <c r="B61" s="154" t="s">
        <v>40</v>
      </c>
      <c r="C61" s="62"/>
      <c r="D61" s="62"/>
      <c r="E61" s="62"/>
      <c r="F61" s="62"/>
      <c r="G61" s="62"/>
      <c r="H61" s="62"/>
      <c r="I61" s="62"/>
      <c r="J61" s="62"/>
      <c r="K61" s="62"/>
      <c r="L61" s="63"/>
      <c r="M61" s="10"/>
      <c r="N61" s="131"/>
    </row>
    <row r="62" spans="1:14" ht="15.75">
      <c r="A62" s="8"/>
      <c r="B62" s="10"/>
      <c r="C62" s="62"/>
      <c r="D62" s="62"/>
      <c r="E62" s="62"/>
      <c r="F62" s="62"/>
      <c r="G62" s="62"/>
      <c r="H62" s="62"/>
      <c r="I62" s="62"/>
      <c r="J62" s="62"/>
      <c r="K62" s="62"/>
      <c r="L62" s="63"/>
      <c r="M62" s="10"/>
      <c r="N62" s="131"/>
    </row>
    <row r="63" spans="1:14" ht="15.75">
      <c r="A63" s="27"/>
      <c r="B63" s="28" t="s">
        <v>37</v>
      </c>
      <c r="C63" s="38"/>
      <c r="D63" s="38"/>
      <c r="E63" s="38"/>
      <c r="F63" s="38"/>
      <c r="G63" s="38"/>
      <c r="H63" s="38"/>
      <c r="I63" s="38"/>
      <c r="J63" s="38"/>
      <c r="K63" s="38"/>
      <c r="L63" s="61"/>
      <c r="M63" s="28"/>
      <c r="N63" s="131"/>
    </row>
    <row r="64" spans="1:14" ht="15.75">
      <c r="A64" s="27"/>
      <c r="B64" s="28" t="s">
        <v>38</v>
      </c>
      <c r="C64" s="38"/>
      <c r="D64" s="38"/>
      <c r="E64" s="38"/>
      <c r="F64" s="38"/>
      <c r="G64" s="38"/>
      <c r="H64" s="38"/>
      <c r="I64" s="38"/>
      <c r="J64" s="38"/>
      <c r="K64" s="38"/>
      <c r="L64" s="61"/>
      <c r="M64" s="28"/>
      <c r="N64" s="131"/>
    </row>
    <row r="65" spans="1:14" ht="15.75">
      <c r="A65" s="27"/>
      <c r="B65" s="28"/>
      <c r="C65" s="38"/>
      <c r="D65" s="38"/>
      <c r="E65" s="38"/>
      <c r="F65" s="38"/>
      <c r="G65" s="38"/>
      <c r="H65" s="38"/>
      <c r="I65" s="38"/>
      <c r="J65" s="38"/>
      <c r="K65" s="38"/>
      <c r="L65" s="61"/>
      <c r="M65" s="28"/>
      <c r="N65" s="131"/>
    </row>
    <row r="66" spans="1:14" ht="15.75">
      <c r="A66" s="27"/>
      <c r="B66" s="28" t="s">
        <v>39</v>
      </c>
      <c r="C66" s="38"/>
      <c r="D66" s="38"/>
      <c r="E66" s="38"/>
      <c r="F66" s="38"/>
      <c r="G66" s="38"/>
      <c r="H66" s="38"/>
      <c r="I66" s="38"/>
      <c r="J66" s="38"/>
      <c r="K66" s="38"/>
      <c r="L66" s="38"/>
      <c r="M66" s="28"/>
      <c r="N66" s="131"/>
    </row>
    <row r="67" spans="1:14" ht="15.75">
      <c r="A67" s="27"/>
      <c r="B67" s="28"/>
      <c r="C67" s="38"/>
      <c r="D67" s="38"/>
      <c r="E67" s="38"/>
      <c r="F67" s="38"/>
      <c r="G67" s="38"/>
      <c r="H67" s="38"/>
      <c r="I67" s="38"/>
      <c r="J67" s="38"/>
      <c r="K67" s="38"/>
      <c r="L67" s="38"/>
      <c r="M67" s="28"/>
      <c r="N67" s="131"/>
    </row>
    <row r="68" spans="1:14" ht="15.75">
      <c r="A68" s="27"/>
      <c r="B68" s="28" t="s">
        <v>41</v>
      </c>
      <c r="C68" s="38">
        <v>0</v>
      </c>
      <c r="D68" s="38">
        <v>0</v>
      </c>
      <c r="E68" s="38"/>
      <c r="F68" s="38"/>
      <c r="G68" s="38"/>
      <c r="H68" s="38"/>
      <c r="I68" s="38"/>
      <c r="J68" s="38"/>
      <c r="K68" s="38"/>
      <c r="L68" s="60">
        <f>D68-F68+H68-J68</f>
        <v>0</v>
      </c>
      <c r="M68" s="28"/>
      <c r="N68" s="131"/>
    </row>
    <row r="69" spans="1:14" ht="15.75">
      <c r="A69" s="27"/>
      <c r="B69" s="28" t="s">
        <v>42</v>
      </c>
      <c r="C69" s="38">
        <v>22352</v>
      </c>
      <c r="D69" s="38">
        <v>0</v>
      </c>
      <c r="E69" s="38"/>
      <c r="F69" s="38"/>
      <c r="G69" s="38"/>
      <c r="H69" s="38"/>
      <c r="I69" s="38"/>
      <c r="J69" s="38"/>
      <c r="K69" s="38"/>
      <c r="L69" s="61">
        <v>0</v>
      </c>
      <c r="M69" s="28"/>
      <c r="N69" s="131"/>
    </row>
    <row r="70" spans="1:14" ht="15.75">
      <c r="A70" s="27"/>
      <c r="B70" s="28" t="s">
        <v>43</v>
      </c>
      <c r="C70" s="38">
        <v>0</v>
      </c>
      <c r="D70" s="38">
        <v>0</v>
      </c>
      <c r="E70" s="38"/>
      <c r="F70" s="38"/>
      <c r="G70" s="38"/>
      <c r="H70" s="38"/>
      <c r="I70" s="38"/>
      <c r="J70" s="38"/>
      <c r="K70" s="38"/>
      <c r="L70" s="61">
        <v>0</v>
      </c>
      <c r="M70" s="28"/>
      <c r="N70" s="131"/>
    </row>
    <row r="71" spans="1:14" ht="15.75">
      <c r="A71" s="27"/>
      <c r="B71" s="28" t="s">
        <v>44</v>
      </c>
      <c r="C71" s="61">
        <f>SUM(C59:C70)</f>
        <v>185000</v>
      </c>
      <c r="D71" s="61">
        <f>SUM(D59:D70)</f>
        <v>120720</v>
      </c>
      <c r="E71" s="38"/>
      <c r="F71" s="61"/>
      <c r="G71" s="38"/>
      <c r="H71" s="61"/>
      <c r="I71" s="38"/>
      <c r="J71" s="61"/>
      <c r="K71" s="38"/>
      <c r="L71" s="61">
        <f>SUM(L59:L70)</f>
        <v>113295</v>
      </c>
      <c r="M71" s="28"/>
      <c r="N71" s="131"/>
    </row>
    <row r="72" spans="1:14" ht="15.75">
      <c r="A72" s="27"/>
      <c r="B72" s="28"/>
      <c r="C72" s="38"/>
      <c r="D72" s="38"/>
      <c r="E72" s="38"/>
      <c r="F72" s="38"/>
      <c r="G72" s="38"/>
      <c r="H72" s="38"/>
      <c r="I72" s="38"/>
      <c r="J72" s="38"/>
      <c r="K72" s="38"/>
      <c r="L72" s="61"/>
      <c r="M72" s="28"/>
      <c r="N72" s="131"/>
    </row>
    <row r="73" spans="1:14" ht="15.75">
      <c r="A73" s="8"/>
      <c r="B73" s="10"/>
      <c r="C73" s="10"/>
      <c r="D73" s="10"/>
      <c r="E73" s="10"/>
      <c r="F73" s="10"/>
      <c r="G73" s="10"/>
      <c r="H73" s="10"/>
      <c r="I73" s="10"/>
      <c r="J73" s="10"/>
      <c r="K73" s="10"/>
      <c r="L73" s="10"/>
      <c r="M73" s="10"/>
      <c r="N73" s="131"/>
    </row>
    <row r="74" spans="1:14" ht="15.75">
      <c r="A74" s="8"/>
      <c r="B74" s="58" t="s">
        <v>45</v>
      </c>
      <c r="C74" s="17"/>
      <c r="D74" s="17"/>
      <c r="E74" s="17"/>
      <c r="F74" s="17"/>
      <c r="G74" s="17"/>
      <c r="H74" s="17"/>
      <c r="I74" s="20"/>
      <c r="J74" s="20" t="s">
        <v>177</v>
      </c>
      <c r="K74" s="20"/>
      <c r="L74" s="20" t="s">
        <v>190</v>
      </c>
      <c r="M74" s="10"/>
      <c r="N74" s="131"/>
    </row>
    <row r="75" spans="1:14" ht="15.75">
      <c r="A75" s="27"/>
      <c r="B75" s="28" t="s">
        <v>46</v>
      </c>
      <c r="C75" s="28"/>
      <c r="D75" s="28"/>
      <c r="E75" s="28"/>
      <c r="F75" s="28"/>
      <c r="G75" s="28"/>
      <c r="H75" s="28"/>
      <c r="I75" s="28"/>
      <c r="J75" s="38">
        <v>0</v>
      </c>
      <c r="K75" s="28"/>
      <c r="L75" s="60">
        <v>0</v>
      </c>
      <c r="M75" s="28"/>
      <c r="N75" s="131"/>
    </row>
    <row r="76" spans="1:14" ht="15.75">
      <c r="A76" s="27"/>
      <c r="B76" s="28" t="s">
        <v>47</v>
      </c>
      <c r="C76" s="47" t="s">
        <v>146</v>
      </c>
      <c r="D76" s="65">
        <v>37802</v>
      </c>
      <c r="E76" s="28"/>
      <c r="F76" s="28"/>
      <c r="G76" s="28"/>
      <c r="H76" s="28"/>
      <c r="I76" s="28"/>
      <c r="J76" s="38">
        <v>7425</v>
      </c>
      <c r="K76" s="28"/>
      <c r="L76" s="60"/>
      <c r="M76" s="28"/>
      <c r="N76" s="131"/>
    </row>
    <row r="77" spans="1:14" ht="15.75">
      <c r="A77" s="27"/>
      <c r="B77" s="28" t="s">
        <v>48</v>
      </c>
      <c r="C77" s="28"/>
      <c r="D77" s="28"/>
      <c r="E77" s="28"/>
      <c r="F77" s="28"/>
      <c r="G77" s="28"/>
      <c r="H77" s="28"/>
      <c r="I77" s="28"/>
      <c r="J77" s="38"/>
      <c r="K77" s="28"/>
      <c r="L77" s="60">
        <f>1693-4+265-6</f>
        <v>1948</v>
      </c>
      <c r="M77" s="28"/>
      <c r="N77" s="131"/>
    </row>
    <row r="78" spans="1:14" ht="15.75">
      <c r="A78" s="27"/>
      <c r="B78" s="28" t="s">
        <v>49</v>
      </c>
      <c r="C78" s="28"/>
      <c r="D78" s="28"/>
      <c r="E78" s="28"/>
      <c r="F78" s="28"/>
      <c r="G78" s="28"/>
      <c r="H78" s="28"/>
      <c r="I78" s="28"/>
      <c r="J78" s="38"/>
      <c r="K78" s="28"/>
      <c r="L78" s="60">
        <v>0</v>
      </c>
      <c r="M78" s="28"/>
      <c r="N78" s="131"/>
    </row>
    <row r="79" spans="1:14" ht="15.75">
      <c r="A79" s="27"/>
      <c r="B79" s="28" t="s">
        <v>50</v>
      </c>
      <c r="C79" s="28"/>
      <c r="D79" s="28"/>
      <c r="E79" s="28"/>
      <c r="F79" s="28"/>
      <c r="G79" s="28"/>
      <c r="H79" s="28"/>
      <c r="I79" s="28"/>
      <c r="J79" s="38">
        <f>SUM(J75:J78)</f>
        <v>7425</v>
      </c>
      <c r="K79" s="28"/>
      <c r="L79" s="61">
        <f>SUM(L75:L78)</f>
        <v>1948</v>
      </c>
      <c r="M79" s="28"/>
      <c r="N79" s="131"/>
    </row>
    <row r="80" spans="1:14" ht="15.75">
      <c r="A80" s="27"/>
      <c r="B80" s="28" t="s">
        <v>51</v>
      </c>
      <c r="C80" s="28"/>
      <c r="D80" s="28"/>
      <c r="E80" s="28"/>
      <c r="F80" s="28"/>
      <c r="G80" s="28"/>
      <c r="H80" s="28"/>
      <c r="I80" s="28"/>
      <c r="J80" s="38">
        <v>0</v>
      </c>
      <c r="K80" s="28"/>
      <c r="L80" s="60">
        <v>0</v>
      </c>
      <c r="M80" s="28"/>
      <c r="N80" s="131"/>
    </row>
    <row r="81" spans="1:14" ht="15.75">
      <c r="A81" s="27"/>
      <c r="B81" s="28" t="s">
        <v>52</v>
      </c>
      <c r="C81" s="28"/>
      <c r="D81" s="28"/>
      <c r="E81" s="28"/>
      <c r="F81" s="28"/>
      <c r="G81" s="28"/>
      <c r="H81" s="28"/>
      <c r="I81" s="28"/>
      <c r="J81" s="38">
        <f>J79+J80</f>
        <v>7425</v>
      </c>
      <c r="K81" s="28"/>
      <c r="L81" s="61">
        <f>L79+L80</f>
        <v>1948</v>
      </c>
      <c r="M81" s="28"/>
      <c r="N81" s="131"/>
    </row>
    <row r="82" spans="1:14" ht="15.75">
      <c r="A82" s="27"/>
      <c r="B82" s="166" t="s">
        <v>53</v>
      </c>
      <c r="C82" s="66"/>
      <c r="D82" s="28"/>
      <c r="E82" s="28"/>
      <c r="F82" s="28"/>
      <c r="G82" s="28"/>
      <c r="H82" s="28"/>
      <c r="I82" s="28"/>
      <c r="J82" s="38"/>
      <c r="K82" s="28"/>
      <c r="L82" s="60"/>
      <c r="M82" s="28"/>
      <c r="N82" s="131"/>
    </row>
    <row r="83" spans="1:14" ht="15.75">
      <c r="A83" s="27">
        <v>1</v>
      </c>
      <c r="B83" s="28" t="s">
        <v>54</v>
      </c>
      <c r="C83" s="28"/>
      <c r="D83" s="28"/>
      <c r="E83" s="28"/>
      <c r="F83" s="28"/>
      <c r="G83" s="28"/>
      <c r="H83" s="28"/>
      <c r="I83" s="28"/>
      <c r="J83" s="28"/>
      <c r="K83" s="28"/>
      <c r="L83" s="60">
        <v>0</v>
      </c>
      <c r="M83" s="28"/>
      <c r="N83" s="131"/>
    </row>
    <row r="84" spans="1:14" ht="15.75">
      <c r="A84" s="27">
        <v>2</v>
      </c>
      <c r="B84" s="28" t="s">
        <v>55</v>
      </c>
      <c r="C84" s="28"/>
      <c r="D84" s="28"/>
      <c r="E84" s="28"/>
      <c r="F84" s="28"/>
      <c r="G84" s="28"/>
      <c r="H84" s="28"/>
      <c r="I84" s="28"/>
      <c r="J84" s="28"/>
      <c r="K84" s="28"/>
      <c r="L84" s="60">
        <v>-3</v>
      </c>
      <c r="M84" s="28"/>
      <c r="N84" s="131"/>
    </row>
    <row r="85" spans="1:14" ht="15.75">
      <c r="A85" s="27">
        <v>3</v>
      </c>
      <c r="B85" s="28" t="s">
        <v>56</v>
      </c>
      <c r="C85" s="28"/>
      <c r="D85" s="28"/>
      <c r="E85" s="28"/>
      <c r="F85" s="28"/>
      <c r="G85" s="28"/>
      <c r="H85" s="28"/>
      <c r="I85" s="28"/>
      <c r="J85" s="28"/>
      <c r="K85" s="28"/>
      <c r="L85" s="60">
        <f>-91-4</f>
        <v>-95</v>
      </c>
      <c r="M85" s="28"/>
      <c r="N85" s="131"/>
    </row>
    <row r="86" spans="1:14" ht="15.75">
      <c r="A86" s="27">
        <v>4</v>
      </c>
      <c r="B86" s="28" t="s">
        <v>57</v>
      </c>
      <c r="C86" s="28"/>
      <c r="D86" s="28"/>
      <c r="E86" s="28"/>
      <c r="F86" s="28"/>
      <c r="G86" s="28"/>
      <c r="H86" s="28"/>
      <c r="I86" s="28"/>
      <c r="J86" s="28"/>
      <c r="K86" s="28"/>
      <c r="L86" s="60">
        <v>-187</v>
      </c>
      <c r="M86" s="28"/>
      <c r="N86" s="131"/>
    </row>
    <row r="87" spans="1:14" ht="15.75">
      <c r="A87" s="27">
        <v>5</v>
      </c>
      <c r="B87" s="28" t="s">
        <v>58</v>
      </c>
      <c r="C87" s="28"/>
      <c r="D87" s="28"/>
      <c r="E87" s="28"/>
      <c r="F87" s="28"/>
      <c r="G87" s="28"/>
      <c r="H87" s="28"/>
      <c r="I87" s="28"/>
      <c r="J87" s="28"/>
      <c r="K87" s="28"/>
      <c r="L87" s="60">
        <v>-1022</v>
      </c>
      <c r="M87" s="28"/>
      <c r="N87" s="131"/>
    </row>
    <row r="88" spans="1:14" ht="15.75">
      <c r="A88" s="27">
        <v>6</v>
      </c>
      <c r="B88" s="28" t="s">
        <v>59</v>
      </c>
      <c r="C88" s="28"/>
      <c r="D88" s="28"/>
      <c r="E88" s="28"/>
      <c r="F88" s="28"/>
      <c r="G88" s="28"/>
      <c r="H88" s="28"/>
      <c r="I88" s="28"/>
      <c r="J88" s="28"/>
      <c r="K88" s="28"/>
      <c r="L88" s="60">
        <v>-190</v>
      </c>
      <c r="M88" s="28"/>
      <c r="N88" s="131"/>
    </row>
    <row r="89" spans="1:14" ht="15.75">
      <c r="A89" s="27">
        <v>7</v>
      </c>
      <c r="B89" s="28" t="s">
        <v>60</v>
      </c>
      <c r="C89" s="28"/>
      <c r="D89" s="28"/>
      <c r="E89" s="28"/>
      <c r="F89" s="28"/>
      <c r="G89" s="28"/>
      <c r="H89" s="28"/>
      <c r="I89" s="28"/>
      <c r="J89" s="28"/>
      <c r="K89" s="28"/>
      <c r="L89" s="60">
        <v>-5</v>
      </c>
      <c r="M89" s="28"/>
      <c r="N89" s="131"/>
    </row>
    <row r="90" spans="1:14" ht="15.75">
      <c r="A90" s="27">
        <v>8</v>
      </c>
      <c r="B90" s="28" t="s">
        <v>61</v>
      </c>
      <c r="C90" s="28"/>
      <c r="D90" s="28"/>
      <c r="E90" s="28"/>
      <c r="F90" s="28"/>
      <c r="G90" s="28"/>
      <c r="H90" s="28"/>
      <c r="I90" s="28"/>
      <c r="J90" s="28"/>
      <c r="K90" s="28"/>
      <c r="L90" s="60">
        <v>0</v>
      </c>
      <c r="M90" s="28"/>
      <c r="N90" s="131"/>
    </row>
    <row r="91" spans="1:14" ht="15.75">
      <c r="A91" s="27">
        <v>9</v>
      </c>
      <c r="B91" s="28" t="s">
        <v>62</v>
      </c>
      <c r="C91" s="28"/>
      <c r="D91" s="28"/>
      <c r="E91" s="28"/>
      <c r="F91" s="28"/>
      <c r="G91" s="28"/>
      <c r="H91" s="28"/>
      <c r="I91" s="28"/>
      <c r="J91" s="28"/>
      <c r="K91" s="28"/>
      <c r="L91" s="60">
        <v>0</v>
      </c>
      <c r="M91" s="28"/>
      <c r="N91" s="131"/>
    </row>
    <row r="92" spans="1:14" ht="15.75">
      <c r="A92" s="27">
        <v>10</v>
      </c>
      <c r="B92" s="28" t="s">
        <v>63</v>
      </c>
      <c r="C92" s="28"/>
      <c r="D92" s="28"/>
      <c r="E92" s="28"/>
      <c r="F92" s="28"/>
      <c r="G92" s="28"/>
      <c r="H92" s="28"/>
      <c r="I92" s="28"/>
      <c r="J92" s="28"/>
      <c r="K92" s="28"/>
      <c r="L92" s="60">
        <v>0</v>
      </c>
      <c r="M92" s="28"/>
      <c r="N92" s="131"/>
    </row>
    <row r="93" spans="1:14" ht="15.75">
      <c r="A93" s="27">
        <v>11</v>
      </c>
      <c r="B93" s="28" t="s">
        <v>64</v>
      </c>
      <c r="C93" s="28"/>
      <c r="D93" s="28"/>
      <c r="E93" s="28"/>
      <c r="F93" s="28"/>
      <c r="G93" s="28"/>
      <c r="H93" s="28"/>
      <c r="I93" s="28"/>
      <c r="J93" s="28"/>
      <c r="K93" s="28"/>
      <c r="L93" s="60">
        <v>0</v>
      </c>
      <c r="M93" s="28"/>
      <c r="N93" s="131"/>
    </row>
    <row r="94" spans="1:14" ht="15.75">
      <c r="A94" s="27">
        <v>12</v>
      </c>
      <c r="B94" s="28" t="s">
        <v>65</v>
      </c>
      <c r="C94" s="28"/>
      <c r="D94" s="28"/>
      <c r="E94" s="28"/>
      <c r="F94" s="28"/>
      <c r="G94" s="28"/>
      <c r="H94" s="28"/>
      <c r="I94" s="28"/>
      <c r="J94" s="28"/>
      <c r="K94" s="28"/>
      <c r="L94" s="60">
        <f>-1-78</f>
        <v>-79</v>
      </c>
      <c r="M94" s="28"/>
      <c r="N94" s="131"/>
    </row>
    <row r="95" spans="1:14" ht="15.75">
      <c r="A95" s="27">
        <v>13</v>
      </c>
      <c r="B95" s="28" t="s">
        <v>66</v>
      </c>
      <c r="C95" s="28"/>
      <c r="D95" s="28"/>
      <c r="E95" s="28"/>
      <c r="F95" s="28"/>
      <c r="G95" s="28"/>
      <c r="H95" s="28"/>
      <c r="I95" s="28"/>
      <c r="J95" s="28"/>
      <c r="K95" s="28"/>
      <c r="L95" s="60">
        <f>-SUM(L81:L94)</f>
        <v>-367</v>
      </c>
      <c r="M95" s="28"/>
      <c r="N95" s="131"/>
    </row>
    <row r="96" spans="1:14" ht="15.75">
      <c r="A96" s="27"/>
      <c r="B96" s="166" t="s">
        <v>67</v>
      </c>
      <c r="C96" s="66"/>
      <c r="D96" s="28"/>
      <c r="E96" s="28"/>
      <c r="F96" s="28"/>
      <c r="G96" s="28"/>
      <c r="H96" s="28"/>
      <c r="I96" s="28"/>
      <c r="J96" s="28"/>
      <c r="K96" s="28"/>
      <c r="L96" s="67"/>
      <c r="M96" s="28"/>
      <c r="N96" s="131"/>
    </row>
    <row r="97" spans="1:14" ht="15.75">
      <c r="A97" s="27"/>
      <c r="B97" s="28" t="s">
        <v>68</v>
      </c>
      <c r="C97" s="66"/>
      <c r="D97" s="28"/>
      <c r="E97" s="28"/>
      <c r="F97" s="28"/>
      <c r="G97" s="28"/>
      <c r="H97" s="28"/>
      <c r="I97" s="28"/>
      <c r="J97" s="38">
        <f>-J143</f>
        <v>0</v>
      </c>
      <c r="K97" s="38"/>
      <c r="L97" s="60"/>
      <c r="M97" s="28"/>
      <c r="N97" s="131"/>
    </row>
    <row r="98" spans="1:14" ht="15.75">
      <c r="A98" s="27"/>
      <c r="B98" s="28" t="s">
        <v>69</v>
      </c>
      <c r="C98" s="28"/>
      <c r="D98" s="28"/>
      <c r="E98" s="28"/>
      <c r="F98" s="28"/>
      <c r="G98" s="28"/>
      <c r="H98" s="28"/>
      <c r="I98" s="28"/>
      <c r="J98" s="38">
        <f>-H143</f>
        <v>0</v>
      </c>
      <c r="K98" s="38"/>
      <c r="L98" s="60"/>
      <c r="M98" s="28"/>
      <c r="N98" s="131"/>
    </row>
    <row r="99" spans="1:14" ht="15.75">
      <c r="A99" s="27"/>
      <c r="B99" s="28" t="s">
        <v>70</v>
      </c>
      <c r="C99" s="28"/>
      <c r="D99" s="28"/>
      <c r="E99" s="28"/>
      <c r="F99" s="28"/>
      <c r="G99" s="28"/>
      <c r="H99" s="28"/>
      <c r="I99" s="28"/>
      <c r="J99" s="38">
        <v>-7425</v>
      </c>
      <c r="K99" s="38"/>
      <c r="L99" s="60"/>
      <c r="M99" s="28"/>
      <c r="N99" s="131"/>
    </row>
    <row r="100" spans="1:14" ht="15.75">
      <c r="A100" s="27"/>
      <c r="B100" s="28" t="s">
        <v>71</v>
      </c>
      <c r="C100" s="28"/>
      <c r="D100" s="28"/>
      <c r="E100" s="28"/>
      <c r="F100" s="28"/>
      <c r="G100" s="28"/>
      <c r="H100" s="28"/>
      <c r="I100" s="28"/>
      <c r="J100" s="38">
        <v>0</v>
      </c>
      <c r="K100" s="38"/>
      <c r="L100" s="60"/>
      <c r="M100" s="28"/>
      <c r="N100" s="131"/>
    </row>
    <row r="101" spans="1:14" ht="15.75">
      <c r="A101" s="27"/>
      <c r="B101" s="28" t="s">
        <v>72</v>
      </c>
      <c r="C101" s="28"/>
      <c r="D101" s="28"/>
      <c r="E101" s="28"/>
      <c r="F101" s="28"/>
      <c r="G101" s="28"/>
      <c r="H101" s="28"/>
      <c r="I101" s="28"/>
      <c r="J101" s="38">
        <f>SUM(J82:J100)</f>
        <v>-7425</v>
      </c>
      <c r="K101" s="38"/>
      <c r="L101" s="38">
        <f>SUM(L82:L100)</f>
        <v>-1948</v>
      </c>
      <c r="M101" s="28"/>
      <c r="N101" s="131"/>
    </row>
    <row r="102" spans="1:14" ht="15.75">
      <c r="A102" s="27"/>
      <c r="B102" s="28" t="s">
        <v>73</v>
      </c>
      <c r="C102" s="28"/>
      <c r="D102" s="28"/>
      <c r="E102" s="28"/>
      <c r="F102" s="28"/>
      <c r="G102" s="28"/>
      <c r="H102" s="28"/>
      <c r="I102" s="28"/>
      <c r="J102" s="38">
        <f>J81+J101</f>
        <v>0</v>
      </c>
      <c r="K102" s="38"/>
      <c r="L102" s="38">
        <f>L81+L101</f>
        <v>0</v>
      </c>
      <c r="M102" s="28"/>
      <c r="N102" s="131"/>
    </row>
    <row r="103" spans="1:14" ht="15.75">
      <c r="A103" s="27"/>
      <c r="B103" s="28"/>
      <c r="C103" s="28"/>
      <c r="D103" s="28"/>
      <c r="E103" s="28"/>
      <c r="F103" s="28"/>
      <c r="G103" s="28"/>
      <c r="H103" s="28"/>
      <c r="I103" s="28"/>
      <c r="J103" s="38"/>
      <c r="K103" s="38"/>
      <c r="L103" s="38"/>
      <c r="M103" s="28"/>
      <c r="N103" s="131"/>
    </row>
    <row r="104" spans="1:14" ht="15.75">
      <c r="A104" s="8"/>
      <c r="B104" s="10"/>
      <c r="C104" s="10"/>
      <c r="D104" s="10"/>
      <c r="E104" s="10"/>
      <c r="F104" s="10"/>
      <c r="G104" s="10"/>
      <c r="H104" s="10"/>
      <c r="I104" s="10"/>
      <c r="J104" s="62"/>
      <c r="K104" s="62"/>
      <c r="L104" s="62"/>
      <c r="M104" s="10"/>
      <c r="N104" s="131"/>
    </row>
    <row r="105" spans="1:14" ht="19.5" thickBot="1">
      <c r="A105" s="138"/>
      <c r="B105" s="139" t="str">
        <f>B51</f>
        <v>PM1 INVESTOR REPORT QUARTER ENDING JUNE 2003</v>
      </c>
      <c r="C105" s="140"/>
      <c r="D105" s="140"/>
      <c r="E105" s="140"/>
      <c r="F105" s="140"/>
      <c r="G105" s="140"/>
      <c r="H105" s="140"/>
      <c r="I105" s="140"/>
      <c r="J105" s="143"/>
      <c r="K105" s="143"/>
      <c r="L105" s="143"/>
      <c r="M105" s="142"/>
      <c r="N105" s="131"/>
    </row>
    <row r="106" spans="1:14" ht="12" customHeight="1">
      <c r="A106" s="2"/>
      <c r="B106" s="5"/>
      <c r="C106" s="5"/>
      <c r="D106" s="5"/>
      <c r="E106" s="5"/>
      <c r="F106" s="5"/>
      <c r="G106" s="5"/>
      <c r="H106" s="5"/>
      <c r="I106" s="5"/>
      <c r="J106" s="5"/>
      <c r="K106" s="5"/>
      <c r="L106" s="57"/>
      <c r="M106" s="5"/>
      <c r="N106" s="131"/>
    </row>
    <row r="107" spans="1:14" ht="12" customHeight="1">
      <c r="A107" s="8"/>
      <c r="B107" s="10"/>
      <c r="C107" s="10"/>
      <c r="D107" s="10"/>
      <c r="E107" s="10"/>
      <c r="F107" s="10"/>
      <c r="G107" s="10"/>
      <c r="H107" s="10"/>
      <c r="I107" s="10"/>
      <c r="J107" s="10"/>
      <c r="K107" s="10"/>
      <c r="L107" s="59"/>
      <c r="M107" s="10"/>
      <c r="N107" s="131"/>
    </row>
    <row r="108" spans="1:14" ht="15.75">
      <c r="A108" s="8"/>
      <c r="B108" s="58" t="s">
        <v>74</v>
      </c>
      <c r="C108" s="16"/>
      <c r="D108" s="10"/>
      <c r="E108" s="10"/>
      <c r="F108" s="10"/>
      <c r="G108" s="10"/>
      <c r="H108" s="10"/>
      <c r="I108" s="10"/>
      <c r="J108" s="10"/>
      <c r="K108" s="10"/>
      <c r="L108" s="59"/>
      <c r="M108" s="10"/>
      <c r="N108" s="131"/>
    </row>
    <row r="109" spans="1:14" ht="15.75">
      <c r="A109" s="8"/>
      <c r="B109" s="23"/>
      <c r="C109" s="16"/>
      <c r="D109" s="10"/>
      <c r="E109" s="10"/>
      <c r="F109" s="10"/>
      <c r="G109" s="10"/>
      <c r="H109" s="10"/>
      <c r="I109" s="10"/>
      <c r="J109" s="10"/>
      <c r="K109" s="10"/>
      <c r="L109" s="59"/>
      <c r="M109" s="10"/>
      <c r="N109" s="131"/>
    </row>
    <row r="110" spans="1:14" ht="15.75">
      <c r="A110" s="8"/>
      <c r="B110" s="167" t="s">
        <v>75</v>
      </c>
      <c r="C110" s="16"/>
      <c r="D110" s="10"/>
      <c r="E110" s="10"/>
      <c r="F110" s="10"/>
      <c r="G110" s="10"/>
      <c r="H110" s="10"/>
      <c r="I110" s="10"/>
      <c r="J110" s="10"/>
      <c r="K110" s="10"/>
      <c r="L110" s="59"/>
      <c r="M110" s="10"/>
      <c r="N110" s="131"/>
    </row>
    <row r="111" spans="1:14" ht="15.75">
      <c r="A111" s="27"/>
      <c r="B111" s="28" t="s">
        <v>76</v>
      </c>
      <c r="C111" s="28"/>
      <c r="D111" s="28"/>
      <c r="E111" s="28"/>
      <c r="F111" s="28"/>
      <c r="G111" s="28"/>
      <c r="H111" s="28"/>
      <c r="I111" s="28"/>
      <c r="J111" s="28"/>
      <c r="K111" s="28"/>
      <c r="L111" s="60">
        <v>4625</v>
      </c>
      <c r="M111" s="28"/>
      <c r="N111" s="131"/>
    </row>
    <row r="112" spans="1:14" ht="15.75">
      <c r="A112" s="27"/>
      <c r="B112" s="28" t="s">
        <v>77</v>
      </c>
      <c r="C112" s="28"/>
      <c r="D112" s="28"/>
      <c r="E112" s="28"/>
      <c r="F112" s="28"/>
      <c r="G112" s="28"/>
      <c r="H112" s="28"/>
      <c r="I112" s="28"/>
      <c r="J112" s="28"/>
      <c r="K112" s="28"/>
      <c r="L112" s="60">
        <v>4625</v>
      </c>
      <c r="M112" s="28"/>
      <c r="N112" s="131"/>
    </row>
    <row r="113" spans="1:14" ht="15.75">
      <c r="A113" s="27"/>
      <c r="B113" s="28" t="s">
        <v>78</v>
      </c>
      <c r="C113" s="28"/>
      <c r="D113" s="28"/>
      <c r="E113" s="28"/>
      <c r="F113" s="28"/>
      <c r="G113" s="28"/>
      <c r="H113" s="28"/>
      <c r="I113" s="28"/>
      <c r="J113" s="28"/>
      <c r="K113" s="28"/>
      <c r="L113" s="60">
        <v>0</v>
      </c>
      <c r="M113" s="28"/>
      <c r="N113" s="131"/>
    </row>
    <row r="114" spans="1:14" ht="15.75">
      <c r="A114" s="27"/>
      <c r="B114" s="28" t="s">
        <v>79</v>
      </c>
      <c r="C114" s="28"/>
      <c r="D114" s="28"/>
      <c r="E114" s="28"/>
      <c r="F114" s="28"/>
      <c r="G114" s="28"/>
      <c r="H114" s="28"/>
      <c r="I114" s="28"/>
      <c r="J114" s="28"/>
      <c r="K114" s="28"/>
      <c r="L114" s="60">
        <v>0</v>
      </c>
      <c r="M114" s="28"/>
      <c r="N114" s="131"/>
    </row>
    <row r="115" spans="1:14" ht="15.75">
      <c r="A115" s="27"/>
      <c r="B115" s="28" t="s">
        <v>80</v>
      </c>
      <c r="C115" s="28"/>
      <c r="D115" s="28"/>
      <c r="E115" s="28"/>
      <c r="F115" s="28"/>
      <c r="G115" s="28"/>
      <c r="H115" s="28"/>
      <c r="I115" s="28"/>
      <c r="J115" s="28"/>
      <c r="K115" s="28"/>
      <c r="L115" s="60">
        <v>0</v>
      </c>
      <c r="M115" s="28"/>
      <c r="N115" s="131"/>
    </row>
    <row r="116" spans="1:14" ht="15.75">
      <c r="A116" s="27"/>
      <c r="B116" s="28" t="s">
        <v>58</v>
      </c>
      <c r="C116" s="28"/>
      <c r="D116" s="28"/>
      <c r="E116" s="28"/>
      <c r="F116" s="28"/>
      <c r="G116" s="28"/>
      <c r="H116" s="28"/>
      <c r="I116" s="28"/>
      <c r="J116" s="28"/>
      <c r="K116" s="28"/>
      <c r="L116" s="60">
        <v>0</v>
      </c>
      <c r="M116" s="28"/>
      <c r="N116" s="131"/>
    </row>
    <row r="117" spans="1:14" ht="15.75">
      <c r="A117" s="27"/>
      <c r="B117" s="28" t="s">
        <v>59</v>
      </c>
      <c r="C117" s="28"/>
      <c r="D117" s="28"/>
      <c r="E117" s="28"/>
      <c r="F117" s="28"/>
      <c r="G117" s="28"/>
      <c r="H117" s="28"/>
      <c r="I117" s="28"/>
      <c r="J117" s="28"/>
      <c r="K117" s="28"/>
      <c r="L117" s="60">
        <v>0</v>
      </c>
      <c r="M117" s="28"/>
      <c r="N117" s="131"/>
    </row>
    <row r="118" spans="1:14" ht="15.75">
      <c r="A118" s="27"/>
      <c r="B118" s="28" t="s">
        <v>81</v>
      </c>
      <c r="C118" s="28"/>
      <c r="D118" s="28"/>
      <c r="E118" s="28"/>
      <c r="F118" s="28"/>
      <c r="G118" s="28"/>
      <c r="H118" s="28"/>
      <c r="I118" s="28"/>
      <c r="J118" s="28"/>
      <c r="K118" s="28"/>
      <c r="L118" s="60">
        <f>SUM(L112:L116)</f>
        <v>4625</v>
      </c>
      <c r="M118" s="28"/>
      <c r="N118" s="131"/>
    </row>
    <row r="119" spans="1:14" ht="15.75">
      <c r="A119" s="27"/>
      <c r="B119" s="28"/>
      <c r="C119" s="28"/>
      <c r="D119" s="28"/>
      <c r="E119" s="28"/>
      <c r="F119" s="28"/>
      <c r="G119" s="28"/>
      <c r="H119" s="28"/>
      <c r="I119" s="28"/>
      <c r="J119" s="28"/>
      <c r="K119" s="28"/>
      <c r="L119" s="68"/>
      <c r="M119" s="28"/>
      <c r="N119" s="131"/>
    </row>
    <row r="120" spans="1:14" ht="15.75">
      <c r="A120" s="8"/>
      <c r="B120" s="167" t="s">
        <v>82</v>
      </c>
      <c r="C120" s="10"/>
      <c r="D120" s="10"/>
      <c r="E120" s="10"/>
      <c r="F120" s="10"/>
      <c r="G120" s="10"/>
      <c r="H120" s="10"/>
      <c r="I120" s="10"/>
      <c r="J120" s="10"/>
      <c r="K120" s="10"/>
      <c r="L120" s="59"/>
      <c r="M120" s="10"/>
      <c r="N120" s="131"/>
    </row>
    <row r="121" spans="1:14" ht="15.75">
      <c r="A121" s="27"/>
      <c r="B121" s="28" t="s">
        <v>83</v>
      </c>
      <c r="C121" s="28"/>
      <c r="D121" s="69"/>
      <c r="E121" s="28"/>
      <c r="F121" s="28"/>
      <c r="G121" s="28"/>
      <c r="H121" s="28"/>
      <c r="I121" s="28"/>
      <c r="J121" s="28"/>
      <c r="K121" s="28"/>
      <c r="L121" s="70" t="s">
        <v>156</v>
      </c>
      <c r="M121" s="28"/>
      <c r="N121" s="131"/>
    </row>
    <row r="122" spans="1:14" ht="15.75">
      <c r="A122" s="27"/>
      <c r="B122" s="28" t="s">
        <v>84</v>
      </c>
      <c r="C122" s="147"/>
      <c r="D122" s="147"/>
      <c r="E122" s="147"/>
      <c r="F122" s="147"/>
      <c r="G122" s="147"/>
      <c r="H122" s="147"/>
      <c r="I122" s="147"/>
      <c r="J122" s="147"/>
      <c r="K122" s="147"/>
      <c r="L122" s="70" t="s">
        <v>156</v>
      </c>
      <c r="M122" s="28"/>
      <c r="N122" s="131"/>
    </row>
    <row r="123" spans="1:14" ht="15.75">
      <c r="A123" s="27"/>
      <c r="B123" s="28" t="s">
        <v>85</v>
      </c>
      <c r="C123" s="28"/>
      <c r="D123" s="28"/>
      <c r="E123" s="28"/>
      <c r="F123" s="28"/>
      <c r="G123" s="28"/>
      <c r="H123" s="28"/>
      <c r="I123" s="28"/>
      <c r="J123" s="28"/>
      <c r="K123" s="28"/>
      <c r="L123" s="70" t="s">
        <v>156</v>
      </c>
      <c r="M123" s="28"/>
      <c r="N123" s="131"/>
    </row>
    <row r="124" spans="1:14" ht="15.75">
      <c r="A124" s="27"/>
      <c r="B124" s="28" t="s">
        <v>86</v>
      </c>
      <c r="C124" s="28"/>
      <c r="D124" s="28"/>
      <c r="E124" s="28"/>
      <c r="F124" s="28"/>
      <c r="G124" s="28"/>
      <c r="H124" s="28"/>
      <c r="I124" s="28"/>
      <c r="J124" s="28"/>
      <c r="K124" s="28"/>
      <c r="L124" s="70" t="s">
        <v>156</v>
      </c>
      <c r="M124" s="28"/>
      <c r="N124" s="131"/>
    </row>
    <row r="125" spans="1:14" ht="15.75">
      <c r="A125" s="27"/>
      <c r="B125" s="28"/>
      <c r="C125" s="28"/>
      <c r="D125" s="28"/>
      <c r="E125" s="28"/>
      <c r="F125" s="28"/>
      <c r="G125" s="28"/>
      <c r="H125" s="28"/>
      <c r="I125" s="28"/>
      <c r="J125" s="28"/>
      <c r="K125" s="28"/>
      <c r="L125" s="68"/>
      <c r="M125" s="28"/>
      <c r="N125" s="131"/>
    </row>
    <row r="126" spans="1:14" ht="15.75">
      <c r="A126" s="8"/>
      <c r="B126" s="167" t="s">
        <v>87</v>
      </c>
      <c r="C126" s="16"/>
      <c r="D126" s="10"/>
      <c r="E126" s="10"/>
      <c r="F126" s="10"/>
      <c r="G126" s="10"/>
      <c r="H126" s="10"/>
      <c r="I126" s="10"/>
      <c r="J126" s="10"/>
      <c r="K126" s="10"/>
      <c r="L126" s="71"/>
      <c r="M126" s="10"/>
      <c r="N126" s="131"/>
    </row>
    <row r="127" spans="1:14" ht="15.75">
      <c r="A127" s="27"/>
      <c r="B127" s="28" t="s">
        <v>88</v>
      </c>
      <c r="C127" s="28"/>
      <c r="D127" s="28"/>
      <c r="E127" s="28"/>
      <c r="F127" s="28"/>
      <c r="G127" s="28"/>
      <c r="H127" s="28"/>
      <c r="I127" s="28"/>
      <c r="J127" s="28"/>
      <c r="K127" s="28"/>
      <c r="L127" s="60">
        <v>0</v>
      </c>
      <c r="M127" s="28"/>
      <c r="N127" s="131"/>
    </row>
    <row r="128" spans="1:14" ht="15.75">
      <c r="A128" s="27"/>
      <c r="B128" s="28" t="s">
        <v>89</v>
      </c>
      <c r="C128" s="28"/>
      <c r="D128" s="28"/>
      <c r="E128" s="28"/>
      <c r="F128" s="28"/>
      <c r="G128" s="28"/>
      <c r="H128" s="28"/>
      <c r="I128" s="28"/>
      <c r="J128" s="28"/>
      <c r="K128" s="28"/>
      <c r="L128" s="60">
        <v>0</v>
      </c>
      <c r="M128" s="28"/>
      <c r="N128" s="131"/>
    </row>
    <row r="129" spans="1:14" ht="15.75">
      <c r="A129" s="27"/>
      <c r="B129" s="28" t="s">
        <v>90</v>
      </c>
      <c r="C129" s="28"/>
      <c r="D129" s="28"/>
      <c r="E129" s="28"/>
      <c r="F129" s="28"/>
      <c r="G129" s="28"/>
      <c r="H129" s="28"/>
      <c r="I129" s="28"/>
      <c r="J129" s="28"/>
      <c r="K129" s="28"/>
      <c r="L129" s="60">
        <f>L127+L128</f>
        <v>0</v>
      </c>
      <c r="M129" s="28"/>
      <c r="N129" s="131"/>
    </row>
    <row r="130" spans="1:14" ht="15.75">
      <c r="A130" s="27"/>
      <c r="B130" s="28" t="s">
        <v>91</v>
      </c>
      <c r="C130" s="28"/>
      <c r="D130" s="28"/>
      <c r="E130" s="28"/>
      <c r="F130" s="28"/>
      <c r="G130" s="28"/>
      <c r="H130" s="72"/>
      <c r="I130" s="28"/>
      <c r="J130" s="28"/>
      <c r="K130" s="28"/>
      <c r="L130" s="60">
        <v>0</v>
      </c>
      <c r="M130" s="28"/>
      <c r="N130" s="131"/>
    </row>
    <row r="131" spans="1:14" ht="15.75">
      <c r="A131" s="27"/>
      <c r="B131" s="28" t="s">
        <v>92</v>
      </c>
      <c r="C131" s="28"/>
      <c r="D131" s="28"/>
      <c r="E131" s="28"/>
      <c r="F131" s="28"/>
      <c r="G131" s="28"/>
      <c r="H131" s="28"/>
      <c r="I131" s="28"/>
      <c r="J131" s="28"/>
      <c r="K131" s="28"/>
      <c r="L131" s="60">
        <f>L129+L130</f>
        <v>0</v>
      </c>
      <c r="M131" s="28"/>
      <c r="N131" s="131"/>
    </row>
    <row r="132" spans="1:14" ht="7.5" customHeight="1">
      <c r="A132" s="27"/>
      <c r="B132" s="28"/>
      <c r="C132" s="28"/>
      <c r="D132" s="28"/>
      <c r="E132" s="28"/>
      <c r="F132" s="28"/>
      <c r="G132" s="28"/>
      <c r="H132" s="28"/>
      <c r="I132" s="28"/>
      <c r="J132" s="28"/>
      <c r="K132" s="28"/>
      <c r="L132" s="68"/>
      <c r="M132" s="28"/>
      <c r="N132" s="131"/>
    </row>
    <row r="133" spans="1:14" ht="6" customHeight="1">
      <c r="A133" s="2"/>
      <c r="B133" s="173"/>
      <c r="C133" s="5"/>
      <c r="D133" s="5"/>
      <c r="E133" s="5"/>
      <c r="F133" s="5"/>
      <c r="G133" s="5"/>
      <c r="H133" s="5"/>
      <c r="I133" s="5"/>
      <c r="J133" s="5"/>
      <c r="K133" s="5"/>
      <c r="L133" s="57"/>
      <c r="M133" s="5"/>
      <c r="N133" s="131"/>
    </row>
    <row r="134" spans="1:14" ht="15.75">
      <c r="A134" s="8"/>
      <c r="B134" s="167" t="s">
        <v>93</v>
      </c>
      <c r="C134" s="16"/>
      <c r="D134" s="10"/>
      <c r="E134" s="10"/>
      <c r="F134" s="10"/>
      <c r="G134" s="10"/>
      <c r="H134" s="10"/>
      <c r="I134" s="10"/>
      <c r="J134" s="10"/>
      <c r="K134" s="10"/>
      <c r="L134" s="59"/>
      <c r="M134" s="10"/>
      <c r="N134" s="131"/>
    </row>
    <row r="135" spans="1:14" ht="15.75">
      <c r="A135" s="8"/>
      <c r="B135" s="23"/>
      <c r="C135" s="16"/>
      <c r="D135" s="10"/>
      <c r="E135" s="10"/>
      <c r="F135" s="10"/>
      <c r="G135" s="10"/>
      <c r="H135" s="10"/>
      <c r="I135" s="10"/>
      <c r="J135" s="10"/>
      <c r="K135" s="10"/>
      <c r="L135" s="59"/>
      <c r="M135" s="10"/>
      <c r="N135" s="131"/>
    </row>
    <row r="136" spans="1:14" ht="15.75">
      <c r="A136" s="27"/>
      <c r="B136" s="28" t="s">
        <v>94</v>
      </c>
      <c r="C136" s="73"/>
      <c r="D136" s="28"/>
      <c r="E136" s="28"/>
      <c r="F136" s="28"/>
      <c r="G136" s="28"/>
      <c r="H136" s="28"/>
      <c r="I136" s="28"/>
      <c r="J136" s="28"/>
      <c r="K136" s="28"/>
      <c r="L136" s="60">
        <f>L59</f>
        <v>113295</v>
      </c>
      <c r="M136" s="28"/>
      <c r="N136" s="131"/>
    </row>
    <row r="137" spans="1:15" ht="15.75">
      <c r="A137" s="27"/>
      <c r="B137" s="28" t="s">
        <v>95</v>
      </c>
      <c r="C137" s="73"/>
      <c r="D137" s="28"/>
      <c r="E137" s="28"/>
      <c r="F137" s="28"/>
      <c r="G137" s="28"/>
      <c r="H137" s="28"/>
      <c r="I137" s="28"/>
      <c r="J137" s="28"/>
      <c r="K137" s="28"/>
      <c r="L137" s="60">
        <f>L71</f>
        <v>113295</v>
      </c>
      <c r="M137" s="28"/>
      <c r="N137" s="131"/>
      <c r="O137" s="137"/>
    </row>
    <row r="138" spans="1:14" ht="7.5" customHeight="1">
      <c r="A138" s="27"/>
      <c r="B138" s="28"/>
      <c r="C138" s="28"/>
      <c r="D138" s="28"/>
      <c r="E138" s="28"/>
      <c r="F138" s="28"/>
      <c r="G138" s="28"/>
      <c r="H138" s="28"/>
      <c r="I138" s="28"/>
      <c r="J138" s="28"/>
      <c r="K138" s="28"/>
      <c r="L138" s="68"/>
      <c r="M138" s="28"/>
      <c r="N138" s="131"/>
    </row>
    <row r="139" spans="1:14" ht="15.75">
      <c r="A139" s="2"/>
      <c r="B139" s="5"/>
      <c r="C139" s="5"/>
      <c r="D139" s="5"/>
      <c r="E139" s="5"/>
      <c r="F139" s="5"/>
      <c r="G139" s="5"/>
      <c r="H139" s="5"/>
      <c r="I139" s="5"/>
      <c r="J139" s="5"/>
      <c r="K139" s="5"/>
      <c r="L139" s="57"/>
      <c r="M139" s="5"/>
      <c r="N139" s="131"/>
    </row>
    <row r="140" spans="1:14" ht="15.75">
      <c r="A140" s="132"/>
      <c r="B140" s="167" t="s">
        <v>96</v>
      </c>
      <c r="C140" s="154"/>
      <c r="D140" s="154"/>
      <c r="E140" s="154"/>
      <c r="F140" s="154"/>
      <c r="G140" s="154"/>
      <c r="H140" s="168" t="s">
        <v>171</v>
      </c>
      <c r="I140" s="168"/>
      <c r="J140" s="168" t="s">
        <v>178</v>
      </c>
      <c r="K140" s="154"/>
      <c r="L140" s="169" t="s">
        <v>191</v>
      </c>
      <c r="M140" s="12"/>
      <c r="N140" s="131"/>
    </row>
    <row r="141" spans="1:14" ht="15.75">
      <c r="A141" s="27"/>
      <c r="B141" s="28" t="s">
        <v>97</v>
      </c>
      <c r="C141" s="28"/>
      <c r="D141" s="28"/>
      <c r="E141" s="28"/>
      <c r="F141" s="28"/>
      <c r="G141" s="28"/>
      <c r="H141" s="60">
        <v>20000</v>
      </c>
      <c r="I141" s="28"/>
      <c r="J141" s="47"/>
      <c r="K141" s="28"/>
      <c r="L141" s="60"/>
      <c r="M141" s="28"/>
      <c r="N141" s="131"/>
    </row>
    <row r="142" spans="1:14" ht="15.75">
      <c r="A142" s="27"/>
      <c r="B142" s="28" t="s">
        <v>98</v>
      </c>
      <c r="C142" s="28"/>
      <c r="D142" s="28"/>
      <c r="E142" s="28"/>
      <c r="F142" s="28"/>
      <c r="G142" s="28"/>
      <c r="H142" s="60">
        <v>19448</v>
      </c>
      <c r="I142" s="28"/>
      <c r="J142" s="28">
        <v>552</v>
      </c>
      <c r="K142" s="28"/>
      <c r="L142" s="60">
        <f>J142+H142</f>
        <v>20000</v>
      </c>
      <c r="M142" s="28"/>
      <c r="N142" s="131"/>
    </row>
    <row r="143" spans="1:14" ht="15.75">
      <c r="A143" s="27"/>
      <c r="B143" s="28" t="s">
        <v>99</v>
      </c>
      <c r="C143" s="28"/>
      <c r="D143" s="28"/>
      <c r="E143" s="28"/>
      <c r="F143" s="28"/>
      <c r="G143" s="28"/>
      <c r="H143" s="38">
        <v>0</v>
      </c>
      <c r="I143" s="28"/>
      <c r="J143" s="28">
        <v>0</v>
      </c>
      <c r="K143" s="28"/>
      <c r="L143" s="60">
        <f>J143+H143</f>
        <v>0</v>
      </c>
      <c r="M143" s="28"/>
      <c r="N143" s="131"/>
    </row>
    <row r="144" spans="1:14" ht="15.75">
      <c r="A144" s="27"/>
      <c r="B144" s="28" t="s">
        <v>100</v>
      </c>
      <c r="C144" s="28"/>
      <c r="D144" s="28"/>
      <c r="E144" s="28"/>
      <c r="F144" s="28"/>
      <c r="G144" s="28"/>
      <c r="H144" s="60">
        <f>H142+H143</f>
        <v>19448</v>
      </c>
      <c r="I144" s="28"/>
      <c r="J144" s="60">
        <f>J143+J142</f>
        <v>552</v>
      </c>
      <c r="K144" s="28"/>
      <c r="L144" s="60">
        <f>J144+H144</f>
        <v>20000</v>
      </c>
      <c r="M144" s="28"/>
      <c r="N144" s="131"/>
    </row>
    <row r="145" spans="1:14" ht="15.75">
      <c r="A145" s="27"/>
      <c r="B145" s="28" t="s">
        <v>101</v>
      </c>
      <c r="C145" s="28"/>
      <c r="D145" s="28"/>
      <c r="E145" s="28"/>
      <c r="F145" s="28"/>
      <c r="G145" s="28"/>
      <c r="H145" s="60">
        <f>H141-H144-J144</f>
        <v>0</v>
      </c>
      <c r="I145" s="28"/>
      <c r="J145" s="47"/>
      <c r="K145" s="28"/>
      <c r="L145" s="60"/>
      <c r="M145" s="28"/>
      <c r="N145" s="131"/>
    </row>
    <row r="146" spans="1:14" ht="7.5" customHeight="1">
      <c r="A146" s="27"/>
      <c r="B146" s="28"/>
      <c r="C146" s="28"/>
      <c r="D146" s="28"/>
      <c r="E146" s="28"/>
      <c r="F146" s="28"/>
      <c r="G146" s="28"/>
      <c r="H146" s="28"/>
      <c r="I146" s="28"/>
      <c r="J146" s="28"/>
      <c r="K146" s="28"/>
      <c r="L146" s="68"/>
      <c r="M146" s="28"/>
      <c r="N146" s="131"/>
    </row>
    <row r="147" spans="1:14" ht="9" customHeight="1">
      <c r="A147" s="2"/>
      <c r="B147" s="5"/>
      <c r="C147" s="5"/>
      <c r="D147" s="5"/>
      <c r="E147" s="5"/>
      <c r="F147" s="5"/>
      <c r="G147" s="5"/>
      <c r="H147" s="5"/>
      <c r="I147" s="5"/>
      <c r="J147" s="5"/>
      <c r="K147" s="5"/>
      <c r="L147" s="57"/>
      <c r="M147" s="5"/>
      <c r="N147" s="131"/>
    </row>
    <row r="148" spans="1:14" ht="15.75">
      <c r="A148" s="8"/>
      <c r="B148" s="167" t="s">
        <v>102</v>
      </c>
      <c r="C148" s="16"/>
      <c r="D148" s="10"/>
      <c r="E148" s="10"/>
      <c r="F148" s="10"/>
      <c r="G148" s="10"/>
      <c r="H148" s="10"/>
      <c r="I148" s="10"/>
      <c r="J148" s="10"/>
      <c r="K148" s="10"/>
      <c r="L148" s="74"/>
      <c r="M148" s="10"/>
      <c r="N148" s="131"/>
    </row>
    <row r="149" spans="1:14" ht="15.75">
      <c r="A149" s="27"/>
      <c r="B149" s="28" t="s">
        <v>103</v>
      </c>
      <c r="C149" s="28"/>
      <c r="D149" s="28"/>
      <c r="E149" s="28"/>
      <c r="F149" s="28"/>
      <c r="G149" s="28"/>
      <c r="H149" s="28"/>
      <c r="I149" s="28"/>
      <c r="J149" s="28"/>
      <c r="K149" s="28"/>
      <c r="L149" s="67">
        <f>(L81+L83+L84+L85+L86)/-L87</f>
        <v>1.6272015655577299</v>
      </c>
      <c r="M149" s="28" t="s">
        <v>192</v>
      </c>
      <c r="N149" s="131"/>
    </row>
    <row r="150" spans="1:14" ht="15.75">
      <c r="A150" s="27"/>
      <c r="B150" s="28" t="s">
        <v>104</v>
      </c>
      <c r="C150" s="28"/>
      <c r="D150" s="28"/>
      <c r="E150" s="28"/>
      <c r="F150" s="28"/>
      <c r="G150" s="28"/>
      <c r="H150" s="28"/>
      <c r="I150" s="28"/>
      <c r="J150" s="28"/>
      <c r="K150" s="28"/>
      <c r="L150" s="67">
        <v>1.42</v>
      </c>
      <c r="M150" s="28" t="s">
        <v>192</v>
      </c>
      <c r="N150" s="131"/>
    </row>
    <row r="151" spans="1:14" ht="15.75">
      <c r="A151" s="27"/>
      <c r="B151" s="28" t="s">
        <v>105</v>
      </c>
      <c r="C151" s="28"/>
      <c r="D151" s="28"/>
      <c r="E151" s="28"/>
      <c r="F151" s="28"/>
      <c r="G151" s="28"/>
      <c r="H151" s="28"/>
      <c r="I151" s="28"/>
      <c r="J151" s="28"/>
      <c r="K151" s="28"/>
      <c r="L151" s="67">
        <f>(L81+SUM(L83:L87))/-L88</f>
        <v>3.373684210526316</v>
      </c>
      <c r="M151" s="28" t="s">
        <v>192</v>
      </c>
      <c r="N151" s="131"/>
    </row>
    <row r="152" spans="1:14" ht="15.75">
      <c r="A152" s="27"/>
      <c r="B152" s="28" t="s">
        <v>106</v>
      </c>
      <c r="C152" s="28"/>
      <c r="D152" s="28"/>
      <c r="E152" s="28"/>
      <c r="F152" s="28"/>
      <c r="G152" s="28"/>
      <c r="H152" s="28"/>
      <c r="I152" s="28"/>
      <c r="J152" s="28"/>
      <c r="K152" s="28"/>
      <c r="L152" s="75">
        <v>3.3</v>
      </c>
      <c r="M152" s="28" t="s">
        <v>192</v>
      </c>
      <c r="N152" s="131"/>
    </row>
    <row r="153" spans="1:14" ht="7.5" customHeight="1">
      <c r="A153" s="27"/>
      <c r="B153" s="28"/>
      <c r="C153" s="28"/>
      <c r="D153" s="28"/>
      <c r="E153" s="28"/>
      <c r="F153" s="28"/>
      <c r="G153" s="28"/>
      <c r="H153" s="28"/>
      <c r="I153" s="28"/>
      <c r="J153" s="28"/>
      <c r="K153" s="28"/>
      <c r="L153" s="28"/>
      <c r="M153" s="28"/>
      <c r="N153" s="131"/>
    </row>
    <row r="154" spans="1:14" ht="15.75">
      <c r="A154" s="8"/>
      <c r="B154" s="146"/>
      <c r="C154" s="146"/>
      <c r="D154" s="146"/>
      <c r="E154" s="146"/>
      <c r="F154" s="146"/>
      <c r="G154" s="146"/>
      <c r="H154" s="146"/>
      <c r="I154" s="146"/>
      <c r="J154" s="146"/>
      <c r="K154" s="146"/>
      <c r="L154" s="146"/>
      <c r="M154" s="146"/>
      <c r="N154" s="131"/>
    </row>
    <row r="155" spans="1:14" ht="15.75">
      <c r="A155" s="8"/>
      <c r="B155" s="146"/>
      <c r="C155" s="146"/>
      <c r="D155" s="146"/>
      <c r="E155" s="146"/>
      <c r="F155" s="146"/>
      <c r="G155" s="146"/>
      <c r="H155" s="146"/>
      <c r="I155" s="146"/>
      <c r="J155" s="146"/>
      <c r="K155" s="146"/>
      <c r="L155" s="146"/>
      <c r="M155" s="146"/>
      <c r="N155" s="131"/>
    </row>
    <row r="156" spans="1:14" ht="19.5" thickBot="1">
      <c r="A156" s="138"/>
      <c r="B156" s="139" t="str">
        <f>B105</f>
        <v>PM1 INVESTOR REPORT QUARTER ENDING JUNE 2003</v>
      </c>
      <c r="C156" s="150"/>
      <c r="D156" s="150"/>
      <c r="E156" s="150"/>
      <c r="F156" s="150"/>
      <c r="G156" s="150"/>
      <c r="H156" s="150"/>
      <c r="I156" s="150"/>
      <c r="J156" s="150"/>
      <c r="K156" s="150"/>
      <c r="L156" s="150"/>
      <c r="M156" s="151"/>
      <c r="N156" s="131"/>
    </row>
    <row r="157" spans="1:14" ht="15.75">
      <c r="A157" s="133"/>
      <c r="B157" s="77" t="s">
        <v>107</v>
      </c>
      <c r="C157" s="78"/>
      <c r="D157" s="78"/>
      <c r="E157" s="78"/>
      <c r="F157" s="78"/>
      <c r="G157" s="79"/>
      <c r="H157" s="79"/>
      <c r="I157" s="79"/>
      <c r="J157" s="79">
        <v>37802</v>
      </c>
      <c r="K157" s="80"/>
      <c r="L157" s="5"/>
      <c r="M157" s="5"/>
      <c r="N157" s="131"/>
    </row>
    <row r="158" spans="1:14" ht="15.75">
      <c r="A158" s="82"/>
      <c r="B158" s="83"/>
      <c r="C158" s="84"/>
      <c r="D158" s="84"/>
      <c r="E158" s="84"/>
      <c r="F158" s="84"/>
      <c r="G158" s="85"/>
      <c r="H158" s="85"/>
      <c r="I158" s="85"/>
      <c r="J158" s="85"/>
      <c r="K158" s="10"/>
      <c r="L158" s="10"/>
      <c r="M158" s="10"/>
      <c r="N158" s="131"/>
    </row>
    <row r="159" spans="1:14" ht="15.75">
      <c r="A159" s="86"/>
      <c r="B159" s="87" t="s">
        <v>108</v>
      </c>
      <c r="C159" s="88"/>
      <c r="D159" s="88"/>
      <c r="E159" s="88"/>
      <c r="F159" s="88"/>
      <c r="G159" s="72"/>
      <c r="H159" s="72"/>
      <c r="I159" s="72"/>
      <c r="J159" s="89">
        <v>0.0714</v>
      </c>
      <c r="K159" s="28"/>
      <c r="L159" s="28"/>
      <c r="M159" s="28"/>
      <c r="N159" s="131"/>
    </row>
    <row r="160" spans="1:14" ht="15.75">
      <c r="A160" s="86"/>
      <c r="B160" s="87" t="s">
        <v>109</v>
      </c>
      <c r="C160" s="88"/>
      <c r="D160" s="88"/>
      <c r="E160" s="88"/>
      <c r="F160" s="88"/>
      <c r="G160" s="72"/>
      <c r="H160" s="72"/>
      <c r="I160" s="72"/>
      <c r="J160" s="46">
        <v>0.0553</v>
      </c>
      <c r="K160" s="28"/>
      <c r="L160" s="28"/>
      <c r="M160" s="28"/>
      <c r="N160" s="131"/>
    </row>
    <row r="161" spans="1:14" ht="15.75">
      <c r="A161" s="86"/>
      <c r="B161" s="87" t="s">
        <v>110</v>
      </c>
      <c r="C161" s="88"/>
      <c r="D161" s="88"/>
      <c r="E161" s="88"/>
      <c r="F161" s="88"/>
      <c r="G161" s="72"/>
      <c r="H161" s="72"/>
      <c r="I161" s="72"/>
      <c r="J161" s="89">
        <f>J159-J160</f>
        <v>0.016100000000000003</v>
      </c>
      <c r="K161" s="28"/>
      <c r="L161" s="28"/>
      <c r="M161" s="28"/>
      <c r="N161" s="131"/>
    </row>
    <row r="162" spans="1:14" ht="15.75">
      <c r="A162" s="86"/>
      <c r="B162" s="87" t="s">
        <v>111</v>
      </c>
      <c r="C162" s="88"/>
      <c r="D162" s="88"/>
      <c r="E162" s="88"/>
      <c r="F162" s="88"/>
      <c r="G162" s="72"/>
      <c r="H162" s="72"/>
      <c r="I162" s="72"/>
      <c r="J162" s="89">
        <v>0.0611</v>
      </c>
      <c r="K162" s="28"/>
      <c r="L162" s="28"/>
      <c r="M162" s="28"/>
      <c r="N162" s="131"/>
    </row>
    <row r="163" spans="1:14" ht="15.75">
      <c r="A163" s="86"/>
      <c r="B163" s="87" t="s">
        <v>112</v>
      </c>
      <c r="C163" s="88"/>
      <c r="D163" s="88"/>
      <c r="E163" s="88"/>
      <c r="F163" s="88"/>
      <c r="G163" s="72"/>
      <c r="H163" s="72"/>
      <c r="I163" s="72"/>
      <c r="J163" s="89">
        <f>L33</f>
        <v>0.04026977501810973</v>
      </c>
      <c r="K163" s="28"/>
      <c r="L163" s="28"/>
      <c r="M163" s="28"/>
      <c r="N163" s="131"/>
    </row>
    <row r="164" spans="1:14" ht="15.75">
      <c r="A164" s="86"/>
      <c r="B164" s="87" t="s">
        <v>113</v>
      </c>
      <c r="C164" s="88"/>
      <c r="D164" s="88"/>
      <c r="E164" s="88"/>
      <c r="F164" s="88"/>
      <c r="G164" s="72"/>
      <c r="H164" s="72"/>
      <c r="I164" s="72"/>
      <c r="J164" s="89">
        <f>J162-J163</f>
        <v>0.020830224981890272</v>
      </c>
      <c r="K164" s="28"/>
      <c r="L164" s="28"/>
      <c r="M164" s="28"/>
      <c r="N164" s="131"/>
    </row>
    <row r="165" spans="1:14" ht="15.75">
      <c r="A165" s="86"/>
      <c r="B165" s="87" t="s">
        <v>114</v>
      </c>
      <c r="C165" s="88"/>
      <c r="D165" s="88"/>
      <c r="E165" s="88"/>
      <c r="F165" s="88"/>
      <c r="G165" s="72"/>
      <c r="H165" s="72"/>
      <c r="I165" s="72"/>
      <c r="J165" s="90" t="s">
        <v>179</v>
      </c>
      <c r="K165" s="28"/>
      <c r="L165" s="28"/>
      <c r="M165" s="28"/>
      <c r="N165" s="131"/>
    </row>
    <row r="166" spans="1:14" ht="15.75">
      <c r="A166" s="86"/>
      <c r="B166" s="87" t="s">
        <v>115</v>
      </c>
      <c r="C166" s="88"/>
      <c r="D166" s="88"/>
      <c r="E166" s="88"/>
      <c r="F166" s="88"/>
      <c r="G166" s="72"/>
      <c r="H166" s="72"/>
      <c r="I166" s="72"/>
      <c r="J166" s="90" t="s">
        <v>180</v>
      </c>
      <c r="K166" s="28"/>
      <c r="L166" s="28"/>
      <c r="M166" s="28"/>
      <c r="N166" s="131"/>
    </row>
    <row r="167" spans="1:14" ht="15.75">
      <c r="A167" s="86"/>
      <c r="B167" s="87" t="s">
        <v>116</v>
      </c>
      <c r="C167" s="88"/>
      <c r="D167" s="88"/>
      <c r="E167" s="88"/>
      <c r="F167" s="88"/>
      <c r="G167" s="72"/>
      <c r="H167" s="72"/>
      <c r="I167" s="72"/>
      <c r="J167" s="91">
        <v>18.53</v>
      </c>
      <c r="K167" s="28" t="s">
        <v>184</v>
      </c>
      <c r="L167" s="28"/>
      <c r="M167" s="28"/>
      <c r="N167" s="131"/>
    </row>
    <row r="168" spans="1:14" ht="15.75">
      <c r="A168" s="86"/>
      <c r="B168" s="87" t="s">
        <v>117</v>
      </c>
      <c r="C168" s="88"/>
      <c r="D168" s="88"/>
      <c r="E168" s="88"/>
      <c r="F168" s="88"/>
      <c r="G168" s="72"/>
      <c r="H168" s="72"/>
      <c r="I168" s="72"/>
      <c r="J168" s="91">
        <v>15.19</v>
      </c>
      <c r="K168" s="28" t="s">
        <v>184</v>
      </c>
      <c r="L168" s="28"/>
      <c r="M168" s="28"/>
      <c r="N168" s="131"/>
    </row>
    <row r="169" spans="1:14" ht="15.75">
      <c r="A169" s="86"/>
      <c r="B169" s="87" t="s">
        <v>118</v>
      </c>
      <c r="C169" s="88"/>
      <c r="D169" s="88"/>
      <c r="E169" s="88"/>
      <c r="F169" s="88"/>
      <c r="G169" s="72"/>
      <c r="H169" s="72"/>
      <c r="I169" s="72"/>
      <c r="J169" s="89">
        <f>+F56/Mar03!L56</f>
        <v>0.06150596421471173</v>
      </c>
      <c r="K169" s="28"/>
      <c r="L169" s="28"/>
      <c r="M169" s="28"/>
      <c r="N169" s="131"/>
    </row>
    <row r="170" spans="1:14" ht="15.75">
      <c r="A170" s="86"/>
      <c r="B170" s="87" t="s">
        <v>119</v>
      </c>
      <c r="C170" s="88"/>
      <c r="D170" s="88"/>
      <c r="E170" s="88"/>
      <c r="F170" s="88"/>
      <c r="G170" s="72"/>
      <c r="H170" s="72"/>
      <c r="I170" s="72"/>
      <c r="J170" s="89">
        <v>0.1429</v>
      </c>
      <c r="K170" s="28"/>
      <c r="L170" s="28"/>
      <c r="M170" s="28"/>
      <c r="N170" s="131"/>
    </row>
    <row r="171" spans="1:14" ht="15.75">
      <c r="A171" s="86"/>
      <c r="B171" s="87"/>
      <c r="C171" s="87"/>
      <c r="D171" s="87"/>
      <c r="E171" s="87"/>
      <c r="F171" s="87"/>
      <c r="G171" s="28"/>
      <c r="H171" s="28"/>
      <c r="I171" s="28"/>
      <c r="J171" s="68"/>
      <c r="K171" s="28"/>
      <c r="L171" s="92"/>
      <c r="M171" s="28"/>
      <c r="N171" s="131"/>
    </row>
    <row r="172" spans="1:14" ht="15.75">
      <c r="A172" s="93"/>
      <c r="B172" s="17" t="s">
        <v>120</v>
      </c>
      <c r="C172" s="20"/>
      <c r="D172" s="94"/>
      <c r="E172" s="20"/>
      <c r="F172" s="94"/>
      <c r="G172" s="20"/>
      <c r="H172" s="94"/>
      <c r="I172" s="20" t="s">
        <v>172</v>
      </c>
      <c r="J172" s="94" t="s">
        <v>181</v>
      </c>
      <c r="K172" s="18"/>
      <c r="L172" s="18"/>
      <c r="M172" s="10"/>
      <c r="N172" s="131"/>
    </row>
    <row r="173" spans="1:14" ht="15.75">
      <c r="A173" s="95"/>
      <c r="B173" s="87" t="s">
        <v>121</v>
      </c>
      <c r="C173" s="61"/>
      <c r="D173" s="61"/>
      <c r="E173" s="61"/>
      <c r="F173" s="28"/>
      <c r="G173" s="28"/>
      <c r="H173" s="28"/>
      <c r="I173" s="31">
        <v>14</v>
      </c>
      <c r="J173" s="96">
        <v>512</v>
      </c>
      <c r="K173" s="28"/>
      <c r="L173" s="92"/>
      <c r="M173" s="97"/>
      <c r="N173" s="131"/>
    </row>
    <row r="174" spans="1:14" ht="15.75">
      <c r="A174" s="95"/>
      <c r="B174" s="87" t="s">
        <v>122</v>
      </c>
      <c r="C174" s="61"/>
      <c r="D174" s="61"/>
      <c r="E174" s="61"/>
      <c r="F174" s="28"/>
      <c r="G174" s="28"/>
      <c r="H174" s="28"/>
      <c r="I174" s="31">
        <v>0</v>
      </c>
      <c r="J174" s="96">
        <v>0</v>
      </c>
      <c r="K174" s="28"/>
      <c r="L174" s="92"/>
      <c r="M174" s="97"/>
      <c r="N174" s="131"/>
    </row>
    <row r="175" spans="1:14" ht="15.75">
      <c r="A175" s="95"/>
      <c r="B175" s="170" t="s">
        <v>123</v>
      </c>
      <c r="C175" s="61"/>
      <c r="D175" s="61"/>
      <c r="E175" s="61"/>
      <c r="F175" s="28"/>
      <c r="G175" s="28"/>
      <c r="H175" s="28"/>
      <c r="I175" s="28"/>
      <c r="J175" s="96">
        <v>0</v>
      </c>
      <c r="K175" s="28"/>
      <c r="L175" s="92"/>
      <c r="M175" s="97"/>
      <c r="N175" s="131"/>
    </row>
    <row r="176" spans="1:14" ht="15.75">
      <c r="A176" s="95"/>
      <c r="B176" s="170" t="s">
        <v>124</v>
      </c>
      <c r="C176" s="61"/>
      <c r="D176" s="61"/>
      <c r="E176" s="61"/>
      <c r="F176" s="28"/>
      <c r="G176" s="28"/>
      <c r="H176" s="28"/>
      <c r="I176" s="28"/>
      <c r="J176" s="96">
        <v>22352</v>
      </c>
      <c r="K176" s="28"/>
      <c r="L176" s="92"/>
      <c r="M176" s="97"/>
      <c r="N176" s="131"/>
    </row>
    <row r="177" spans="1:14" ht="15.75">
      <c r="A177" s="98"/>
      <c r="B177" s="170" t="s">
        <v>125</v>
      </c>
      <c r="C177" s="61"/>
      <c r="D177" s="87"/>
      <c r="E177" s="87"/>
      <c r="F177" s="87"/>
      <c r="G177" s="28"/>
      <c r="H177" s="28"/>
      <c r="I177" s="28"/>
      <c r="J177" s="96">
        <v>0</v>
      </c>
      <c r="K177" s="28"/>
      <c r="L177" s="92"/>
      <c r="M177" s="99"/>
      <c r="N177" s="131"/>
    </row>
    <row r="178" spans="1:14" ht="15.75">
      <c r="A178" s="95"/>
      <c r="B178" s="87" t="s">
        <v>126</v>
      </c>
      <c r="C178" s="61"/>
      <c r="D178" s="61"/>
      <c r="E178" s="61"/>
      <c r="F178" s="61"/>
      <c r="G178" s="28"/>
      <c r="H178" s="28"/>
      <c r="I178" s="28">
        <v>0</v>
      </c>
      <c r="J178" s="96">
        <v>0</v>
      </c>
      <c r="K178" s="28"/>
      <c r="L178" s="92"/>
      <c r="M178" s="99"/>
      <c r="N178" s="131"/>
    </row>
    <row r="179" spans="1:14" ht="15.75">
      <c r="A179" s="95"/>
      <c r="B179" s="87" t="s">
        <v>127</v>
      </c>
      <c r="C179" s="61"/>
      <c r="D179" s="61"/>
      <c r="E179" s="61"/>
      <c r="F179" s="61"/>
      <c r="G179" s="28"/>
      <c r="H179" s="28"/>
      <c r="I179" s="28">
        <v>3</v>
      </c>
      <c r="J179" s="96">
        <v>39</v>
      </c>
      <c r="K179" s="28"/>
      <c r="L179" s="92"/>
      <c r="M179" s="99"/>
      <c r="N179" s="131"/>
    </row>
    <row r="180" spans="1:14" ht="15.75">
      <c r="A180" s="95"/>
      <c r="B180" s="87" t="s">
        <v>204</v>
      </c>
      <c r="C180" s="61"/>
      <c r="D180" s="61"/>
      <c r="E180" s="61"/>
      <c r="F180" s="61"/>
      <c r="G180" s="28"/>
      <c r="H180" s="28"/>
      <c r="I180" s="28"/>
      <c r="J180" s="96">
        <v>0</v>
      </c>
      <c r="K180" s="28"/>
      <c r="L180" s="92"/>
      <c r="M180" s="99"/>
      <c r="N180" s="131"/>
    </row>
    <row r="181" spans="1:14" ht="15.75">
      <c r="A181" s="98"/>
      <c r="B181" s="170" t="s">
        <v>128</v>
      </c>
      <c r="C181" s="61"/>
      <c r="D181" s="87"/>
      <c r="E181" s="87"/>
      <c r="F181" s="87"/>
      <c r="G181" s="28"/>
      <c r="H181" s="28"/>
      <c r="I181" s="28"/>
      <c r="J181" s="96"/>
      <c r="K181" s="28"/>
      <c r="L181" s="92"/>
      <c r="M181" s="99"/>
      <c r="N181" s="131"/>
    </row>
    <row r="182" spans="1:14" ht="15.75">
      <c r="A182" s="98"/>
      <c r="B182" s="87" t="s">
        <v>129</v>
      </c>
      <c r="C182" s="61"/>
      <c r="D182" s="87"/>
      <c r="E182" s="87"/>
      <c r="F182" s="87"/>
      <c r="G182" s="28"/>
      <c r="H182" s="28"/>
      <c r="I182" s="28">
        <v>1</v>
      </c>
      <c r="J182" s="96">
        <v>35</v>
      </c>
      <c r="K182" s="28"/>
      <c r="L182" s="92"/>
      <c r="M182" s="99"/>
      <c r="N182" s="131"/>
    </row>
    <row r="183" spans="1:14" ht="15.75">
      <c r="A183" s="95"/>
      <c r="B183" s="87" t="s">
        <v>130</v>
      </c>
      <c r="C183" s="61"/>
      <c r="D183" s="100"/>
      <c r="E183" s="100"/>
      <c r="F183" s="101"/>
      <c r="G183" s="28"/>
      <c r="H183" s="28"/>
      <c r="I183" s="28"/>
      <c r="J183" s="96">
        <v>10.44</v>
      </c>
      <c r="K183" s="28"/>
      <c r="L183" s="92"/>
      <c r="M183" s="99"/>
      <c r="N183" s="131"/>
    </row>
    <row r="184" spans="1:14" ht="15.75">
      <c r="A184" s="95"/>
      <c r="B184" s="87" t="s">
        <v>131</v>
      </c>
      <c r="C184" s="61"/>
      <c r="D184" s="100"/>
      <c r="E184" s="100"/>
      <c r="F184" s="101"/>
      <c r="G184" s="28"/>
      <c r="H184" s="28"/>
      <c r="I184" s="28"/>
      <c r="J184" s="96">
        <v>4</v>
      </c>
      <c r="K184" s="28"/>
      <c r="L184" s="92"/>
      <c r="M184" s="99"/>
      <c r="N184" s="131"/>
    </row>
    <row r="185" spans="1:14" ht="15.75">
      <c r="A185" s="95"/>
      <c r="B185" s="87" t="s">
        <v>132</v>
      </c>
      <c r="C185" s="61"/>
      <c r="D185" s="102"/>
      <c r="E185" s="100"/>
      <c r="F185" s="101"/>
      <c r="G185" s="28"/>
      <c r="H185" s="28"/>
      <c r="I185" s="28"/>
      <c r="J185" s="103">
        <v>1.1667</v>
      </c>
      <c r="K185" s="28"/>
      <c r="L185" s="92"/>
      <c r="M185" s="99"/>
      <c r="N185" s="131"/>
    </row>
    <row r="186" spans="1:14" ht="15.75">
      <c r="A186" s="95"/>
      <c r="B186" s="87"/>
      <c r="C186" s="61"/>
      <c r="D186" s="102"/>
      <c r="E186" s="100"/>
      <c r="F186" s="101"/>
      <c r="G186" s="28"/>
      <c r="H186" s="28"/>
      <c r="I186" s="28"/>
      <c r="J186" s="103"/>
      <c r="K186" s="28"/>
      <c r="L186" s="92"/>
      <c r="M186" s="99"/>
      <c r="N186" s="131"/>
    </row>
    <row r="187" spans="1:14" ht="15.75">
      <c r="A187" s="8"/>
      <c r="B187" s="17" t="s">
        <v>133</v>
      </c>
      <c r="C187" s="20"/>
      <c r="D187" s="94"/>
      <c r="E187" s="20"/>
      <c r="F187" s="94"/>
      <c r="G187" s="20"/>
      <c r="H187" s="94" t="s">
        <v>172</v>
      </c>
      <c r="I187" s="20" t="s">
        <v>173</v>
      </c>
      <c r="J187" s="94" t="s">
        <v>182</v>
      </c>
      <c r="K187" s="20" t="s">
        <v>173</v>
      </c>
      <c r="L187" s="18"/>
      <c r="M187" s="104"/>
      <c r="N187" s="131"/>
    </row>
    <row r="188" spans="1:14" ht="15.75">
      <c r="A188" s="27"/>
      <c r="B188" s="61" t="s">
        <v>134</v>
      </c>
      <c r="C188" s="105"/>
      <c r="D188" s="61"/>
      <c r="E188" s="105"/>
      <c r="F188" s="28"/>
      <c r="G188" s="105"/>
      <c r="H188" s="61">
        <v>2192</v>
      </c>
      <c r="I188" s="105">
        <f>H188/H194</f>
        <v>0.9803220035778175</v>
      </c>
      <c r="J188" s="60">
        <v>111606</v>
      </c>
      <c r="K188" s="106">
        <f>J188/J194</f>
        <v>0.9850920164173176</v>
      </c>
      <c r="L188" s="92"/>
      <c r="M188" s="99"/>
      <c r="N188" s="131"/>
    </row>
    <row r="189" spans="1:14" ht="15.75">
      <c r="A189" s="27"/>
      <c r="B189" s="61" t="s">
        <v>135</v>
      </c>
      <c r="C189" s="105"/>
      <c r="D189" s="61"/>
      <c r="E189" s="105"/>
      <c r="F189" s="28"/>
      <c r="G189" s="107"/>
      <c r="H189" s="61">
        <v>10</v>
      </c>
      <c r="I189" s="105">
        <f>H189/H194</f>
        <v>0.004472271914132379</v>
      </c>
      <c r="J189" s="60">
        <v>300</v>
      </c>
      <c r="K189" s="106">
        <f>J189/J194</f>
        <v>0.0026479544551833707</v>
      </c>
      <c r="L189" s="92"/>
      <c r="M189" s="99"/>
      <c r="N189" s="131"/>
    </row>
    <row r="190" spans="1:14" ht="15.75">
      <c r="A190" s="27"/>
      <c r="B190" s="61" t="s">
        <v>136</v>
      </c>
      <c r="C190" s="105"/>
      <c r="D190" s="61"/>
      <c r="E190" s="105"/>
      <c r="F190" s="28"/>
      <c r="G190" s="107"/>
      <c r="H190" s="61">
        <v>9</v>
      </c>
      <c r="I190" s="105">
        <f>H190/H194</f>
        <v>0.004025044722719142</v>
      </c>
      <c r="J190" s="60">
        <v>245</v>
      </c>
      <c r="K190" s="106">
        <f>J190/J194</f>
        <v>0.002162496138399753</v>
      </c>
      <c r="L190" s="92"/>
      <c r="M190" s="99"/>
      <c r="N190" s="131"/>
    </row>
    <row r="191" spans="1:14" ht="15.75">
      <c r="A191" s="27"/>
      <c r="B191" s="61" t="s">
        <v>137</v>
      </c>
      <c r="C191" s="105"/>
      <c r="D191" s="61"/>
      <c r="E191" s="105"/>
      <c r="F191" s="28"/>
      <c r="G191" s="107"/>
      <c r="H191" s="61">
        <f>2+6+3+14</f>
        <v>25</v>
      </c>
      <c r="I191" s="105">
        <f>H191/H194</f>
        <v>0.011180679785330949</v>
      </c>
      <c r="J191" s="60">
        <f>80+234+102+728</f>
        <v>1144</v>
      </c>
      <c r="K191" s="106">
        <f>J191/J194</f>
        <v>0.010097532989099255</v>
      </c>
      <c r="L191" s="92"/>
      <c r="M191" s="99"/>
      <c r="N191" s="131"/>
    </row>
    <row r="192" spans="1:14" ht="15.75">
      <c r="A192" s="27"/>
      <c r="B192" s="147"/>
      <c r="C192" s="105"/>
      <c r="D192" s="61"/>
      <c r="E192" s="105"/>
      <c r="F192" s="28"/>
      <c r="G192" s="107"/>
      <c r="H192" s="61"/>
      <c r="I192" s="105"/>
      <c r="J192" s="60"/>
      <c r="K192" s="106"/>
      <c r="L192" s="92"/>
      <c r="M192" s="99"/>
      <c r="N192" s="131"/>
    </row>
    <row r="193" spans="1:14" ht="15.75">
      <c r="A193" s="27"/>
      <c r="B193" s="61"/>
      <c r="C193" s="108"/>
      <c r="D193" s="97"/>
      <c r="E193" s="108"/>
      <c r="F193" s="28"/>
      <c r="G193" s="108"/>
      <c r="H193" s="97"/>
      <c r="I193" s="108"/>
      <c r="J193" s="60"/>
      <c r="K193" s="106"/>
      <c r="L193" s="92"/>
      <c r="M193" s="99"/>
      <c r="N193" s="131"/>
    </row>
    <row r="194" spans="1:14" ht="15.75">
      <c r="A194" s="27"/>
      <c r="B194" s="28"/>
      <c r="C194" s="28"/>
      <c r="D194" s="28"/>
      <c r="E194" s="28"/>
      <c r="F194" s="28"/>
      <c r="G194" s="28"/>
      <c r="H194" s="38">
        <f>SUM(H188:H192)</f>
        <v>2236</v>
      </c>
      <c r="I194" s="109">
        <f>SUM(I188:I193)</f>
        <v>1</v>
      </c>
      <c r="J194" s="60">
        <f>SUM(J188:J193)</f>
        <v>113295</v>
      </c>
      <c r="K194" s="127">
        <f>SUM(K188:K193)</f>
        <v>1</v>
      </c>
      <c r="L194" s="28"/>
      <c r="M194" s="28"/>
      <c r="N194" s="131"/>
    </row>
    <row r="195" spans="1:14" ht="15.75">
      <c r="A195" s="27"/>
      <c r="B195" s="28"/>
      <c r="C195" s="28"/>
      <c r="D195" s="28"/>
      <c r="E195" s="28"/>
      <c r="F195" s="28"/>
      <c r="G195" s="28"/>
      <c r="H195" s="38"/>
      <c r="I195" s="109"/>
      <c r="J195" s="60"/>
      <c r="K195" s="127"/>
      <c r="L195" s="28"/>
      <c r="M195" s="28"/>
      <c r="N195" s="131"/>
    </row>
    <row r="196" spans="1:14" ht="15.75">
      <c r="A196" s="27"/>
      <c r="B196" s="28"/>
      <c r="C196" s="28"/>
      <c r="D196" s="28"/>
      <c r="E196" s="28"/>
      <c r="F196" s="28"/>
      <c r="G196" s="28"/>
      <c r="H196" s="38"/>
      <c r="I196" s="109"/>
      <c r="J196" s="60"/>
      <c r="K196" s="127"/>
      <c r="L196" s="28"/>
      <c r="M196" s="28"/>
      <c r="N196" s="131"/>
    </row>
    <row r="197" spans="1:14" ht="15.75">
      <c r="A197" s="149"/>
      <c r="B197" s="17" t="s">
        <v>139</v>
      </c>
      <c r="C197" s="115"/>
      <c r="D197" s="20" t="s">
        <v>148</v>
      </c>
      <c r="E197" s="18"/>
      <c r="F197" s="17" t="s">
        <v>161</v>
      </c>
      <c r="G197" s="116"/>
      <c r="H197" s="116"/>
      <c r="I197" s="146"/>
      <c r="J197" s="146"/>
      <c r="K197" s="146"/>
      <c r="L197" s="146"/>
      <c r="M197" s="146"/>
      <c r="N197" s="131"/>
    </row>
    <row r="198" spans="1:14" ht="15.75">
      <c r="A198" s="149"/>
      <c r="B198" s="146"/>
      <c r="C198" s="146"/>
      <c r="D198" s="10"/>
      <c r="E198" s="10"/>
      <c r="F198" s="10"/>
      <c r="G198" s="146"/>
      <c r="H198" s="146"/>
      <c r="I198" s="146"/>
      <c r="J198" s="146"/>
      <c r="K198" s="146"/>
      <c r="L198" s="146"/>
      <c r="M198" s="146"/>
      <c r="N198" s="131"/>
    </row>
    <row r="199" spans="1:14" ht="15.75">
      <c r="A199" s="149"/>
      <c r="B199" s="16" t="s">
        <v>140</v>
      </c>
      <c r="C199" s="117"/>
      <c r="D199" s="118" t="s">
        <v>149</v>
      </c>
      <c r="E199" s="16"/>
      <c r="F199" s="16" t="s">
        <v>162</v>
      </c>
      <c r="G199" s="117"/>
      <c r="H199" s="117"/>
      <c r="I199" s="146"/>
      <c r="J199" s="146"/>
      <c r="K199" s="146"/>
      <c r="L199" s="146"/>
      <c r="M199" s="146"/>
      <c r="N199" s="131"/>
    </row>
    <row r="200" spans="1:14" ht="15.75">
      <c r="A200" s="149"/>
      <c r="B200" s="16" t="s">
        <v>141</v>
      </c>
      <c r="C200" s="117"/>
      <c r="D200" s="118" t="s">
        <v>150</v>
      </c>
      <c r="E200" s="16"/>
      <c r="F200" s="16" t="s">
        <v>163</v>
      </c>
      <c r="G200" s="117"/>
      <c r="H200" s="117"/>
      <c r="I200" s="146"/>
      <c r="J200" s="146"/>
      <c r="K200" s="146"/>
      <c r="L200" s="146"/>
      <c r="M200" s="146"/>
      <c r="N200" s="131"/>
    </row>
    <row r="201" spans="1:14" ht="15.75">
      <c r="A201" s="149"/>
      <c r="B201" s="16"/>
      <c r="C201" s="117"/>
      <c r="D201" s="118"/>
      <c r="E201" s="16"/>
      <c r="F201" s="16"/>
      <c r="G201" s="117"/>
      <c r="H201" s="117"/>
      <c r="I201" s="146"/>
      <c r="J201" s="146"/>
      <c r="K201" s="146"/>
      <c r="L201" s="146"/>
      <c r="M201" s="146"/>
      <c r="N201" s="131"/>
    </row>
    <row r="202" spans="1:14" ht="15.75">
      <c r="A202" s="149"/>
      <c r="B202" s="16"/>
      <c r="C202" s="117"/>
      <c r="D202" s="118"/>
      <c r="E202" s="16"/>
      <c r="F202" s="16"/>
      <c r="G202" s="117"/>
      <c r="H202" s="117"/>
      <c r="I202" s="146"/>
      <c r="J202" s="146"/>
      <c r="K202" s="146"/>
      <c r="L202" s="146"/>
      <c r="M202" s="146"/>
      <c r="N202" s="131"/>
    </row>
    <row r="203" spans="1:14" ht="18.75">
      <c r="A203" s="149"/>
      <c r="B203" s="55" t="str">
        <f>B156</f>
        <v>PM1 INVESTOR REPORT QUARTER ENDING JUNE 2003</v>
      </c>
      <c r="C203" s="117"/>
      <c r="D203" s="118"/>
      <c r="E203" s="16"/>
      <c r="F203" s="16"/>
      <c r="G203" s="117"/>
      <c r="H203" s="117"/>
      <c r="I203" s="146"/>
      <c r="J203" s="146"/>
      <c r="K203" s="146"/>
      <c r="L203" s="146"/>
      <c r="M203" s="146"/>
      <c r="N203" s="131"/>
    </row>
    <row r="204" spans="1:13" ht="15">
      <c r="A204" s="130"/>
      <c r="B204" s="130"/>
      <c r="C204" s="130"/>
      <c r="D204" s="130"/>
      <c r="E204" s="130"/>
      <c r="F204" s="130"/>
      <c r="G204" s="130"/>
      <c r="H204" s="130"/>
      <c r="I204" s="130"/>
      <c r="J204" s="130"/>
      <c r="K204" s="130"/>
      <c r="L204" s="130"/>
      <c r="M204" s="130"/>
    </row>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4" manualBreakCount="4">
    <brk id="51" max="255" man="1"/>
    <brk id="105" max="13" man="1"/>
    <brk id="156" max="13" man="1"/>
    <brk id="204" max="0" man="1"/>
  </rowBreaks>
  <drawing r:id="rId1"/>
</worksheet>
</file>

<file path=xl/worksheets/sheet17.xml><?xml version="1.0" encoding="utf-8"?>
<worksheet xmlns="http://schemas.openxmlformats.org/spreadsheetml/2006/main" xmlns:r="http://schemas.openxmlformats.org/officeDocument/2006/relationships">
  <dimension ref="A1:O204"/>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21.77734375" style="1" customWidth="1"/>
    <col min="14" max="16384" width="9.6640625" style="1" customWidth="1"/>
  </cols>
  <sheetData>
    <row r="1" spans="1:14" ht="20.25">
      <c r="A1" s="153"/>
      <c r="B1" s="3" t="s">
        <v>0</v>
      </c>
      <c r="C1" s="4"/>
      <c r="D1" s="5"/>
      <c r="E1" s="5"/>
      <c r="F1" s="5"/>
      <c r="G1" s="5"/>
      <c r="H1" s="5"/>
      <c r="I1" s="5"/>
      <c r="J1" s="5"/>
      <c r="K1" s="5"/>
      <c r="L1" s="5"/>
      <c r="M1" s="5"/>
      <c r="N1" s="131"/>
    </row>
    <row r="2" spans="1:14" ht="15.75">
      <c r="A2" s="8"/>
      <c r="B2" s="9"/>
      <c r="C2" s="9"/>
      <c r="D2" s="10"/>
      <c r="E2" s="10"/>
      <c r="F2" s="10"/>
      <c r="G2" s="10"/>
      <c r="H2" s="10"/>
      <c r="I2" s="10"/>
      <c r="J2" s="10"/>
      <c r="K2" s="10"/>
      <c r="L2" s="10"/>
      <c r="M2" s="10"/>
      <c r="N2" s="131"/>
    </row>
    <row r="3" spans="1:14" ht="15.75">
      <c r="A3" s="11"/>
      <c r="B3" s="154" t="s">
        <v>1</v>
      </c>
      <c r="C3" s="10"/>
      <c r="D3" s="10"/>
      <c r="E3" s="10"/>
      <c r="F3" s="10"/>
      <c r="G3" s="10"/>
      <c r="H3" s="10"/>
      <c r="I3" s="10"/>
      <c r="J3" s="10"/>
      <c r="K3" s="10"/>
      <c r="L3" s="10"/>
      <c r="M3" s="10"/>
      <c r="N3" s="131"/>
    </row>
    <row r="4" spans="1:14" ht="15.75">
      <c r="A4" s="8"/>
      <c r="B4" s="9"/>
      <c r="C4" s="9"/>
      <c r="D4" s="10"/>
      <c r="E4" s="10"/>
      <c r="F4" s="10"/>
      <c r="G4" s="10"/>
      <c r="H4" s="10"/>
      <c r="I4" s="10"/>
      <c r="J4" s="10"/>
      <c r="K4" s="10"/>
      <c r="L4" s="10"/>
      <c r="M4" s="10"/>
      <c r="N4" s="131"/>
    </row>
    <row r="5" spans="1:14" ht="12" customHeight="1">
      <c r="A5" s="8"/>
      <c r="B5" s="13" t="s">
        <v>2</v>
      </c>
      <c r="C5" s="14"/>
      <c r="D5" s="10"/>
      <c r="E5" s="10"/>
      <c r="F5" s="10"/>
      <c r="G5" s="10"/>
      <c r="H5" s="10"/>
      <c r="I5" s="10"/>
      <c r="J5" s="10"/>
      <c r="K5" s="10"/>
      <c r="L5" s="10"/>
      <c r="M5" s="10"/>
      <c r="N5" s="131"/>
    </row>
    <row r="6" spans="1:14" ht="12" customHeight="1">
      <c r="A6" s="8"/>
      <c r="B6" s="13" t="s">
        <v>3</v>
      </c>
      <c r="C6" s="14"/>
      <c r="D6" s="10"/>
      <c r="E6" s="10"/>
      <c r="F6" s="10"/>
      <c r="G6" s="10"/>
      <c r="H6" s="10"/>
      <c r="I6" s="10"/>
      <c r="J6" s="10"/>
      <c r="K6" s="10"/>
      <c r="L6" s="10"/>
      <c r="M6" s="10"/>
      <c r="N6" s="131"/>
    </row>
    <row r="7" spans="1:14" ht="12" customHeight="1">
      <c r="A7" s="8"/>
      <c r="B7" s="13" t="s">
        <v>4</v>
      </c>
      <c r="C7" s="14"/>
      <c r="D7" s="10"/>
      <c r="E7" s="10"/>
      <c r="F7" s="10"/>
      <c r="G7" s="10"/>
      <c r="H7" s="10"/>
      <c r="I7" s="10"/>
      <c r="J7" s="10"/>
      <c r="K7" s="10"/>
      <c r="L7" s="10"/>
      <c r="M7" s="10"/>
      <c r="N7" s="131"/>
    </row>
    <row r="8" spans="1:14" ht="12" customHeight="1">
      <c r="A8" s="8"/>
      <c r="B8" s="13" t="s">
        <v>5</v>
      </c>
      <c r="C8" s="14"/>
      <c r="D8" s="10"/>
      <c r="E8" s="10"/>
      <c r="F8" s="10"/>
      <c r="G8" s="10"/>
      <c r="H8" s="10"/>
      <c r="I8" s="10"/>
      <c r="J8" s="10"/>
      <c r="K8" s="10"/>
      <c r="L8" s="10"/>
      <c r="M8" s="10"/>
      <c r="N8" s="131"/>
    </row>
    <row r="9" spans="1:14" ht="12" customHeight="1">
      <c r="A9" s="8"/>
      <c r="B9" s="146"/>
      <c r="C9" s="14"/>
      <c r="D9" s="10"/>
      <c r="E9" s="10"/>
      <c r="F9" s="10"/>
      <c r="G9" s="10"/>
      <c r="H9" s="10"/>
      <c r="I9" s="10"/>
      <c r="J9" s="10"/>
      <c r="K9" s="10"/>
      <c r="L9" s="10"/>
      <c r="M9" s="10"/>
      <c r="N9" s="131"/>
    </row>
    <row r="10" spans="1:14" ht="15.75">
      <c r="A10" s="8"/>
      <c r="B10" s="13"/>
      <c r="C10" s="14"/>
      <c r="D10" s="16"/>
      <c r="E10" s="16"/>
      <c r="F10" s="10"/>
      <c r="G10" s="10"/>
      <c r="H10" s="10"/>
      <c r="I10" s="10"/>
      <c r="J10" s="10"/>
      <c r="K10" s="10"/>
      <c r="L10" s="10"/>
      <c r="M10" s="10"/>
      <c r="N10" s="131"/>
    </row>
    <row r="11" spans="1:14" ht="15.75">
      <c r="A11" s="8"/>
      <c r="B11" s="16" t="s">
        <v>6</v>
      </c>
      <c r="C11" s="16"/>
      <c r="D11" s="10"/>
      <c r="E11" s="10"/>
      <c r="F11" s="10"/>
      <c r="G11" s="10"/>
      <c r="H11" s="10"/>
      <c r="I11" s="10"/>
      <c r="J11" s="10"/>
      <c r="K11" s="10"/>
      <c r="L11" s="10"/>
      <c r="M11" s="10"/>
      <c r="N11" s="131"/>
    </row>
    <row r="12" spans="1:14" ht="15.75">
      <c r="A12" s="8"/>
      <c r="B12" s="16"/>
      <c r="C12" s="16"/>
      <c r="D12" s="10"/>
      <c r="E12" s="10"/>
      <c r="F12" s="10"/>
      <c r="G12" s="10"/>
      <c r="H12" s="10"/>
      <c r="I12" s="10"/>
      <c r="J12" s="10"/>
      <c r="K12" s="10"/>
      <c r="L12" s="10"/>
      <c r="M12" s="10"/>
      <c r="N12" s="131"/>
    </row>
    <row r="13" spans="1:14" ht="15.75">
      <c r="A13" s="2"/>
      <c r="B13" s="5"/>
      <c r="C13" s="5"/>
      <c r="D13" s="5"/>
      <c r="E13" s="5"/>
      <c r="F13" s="5"/>
      <c r="G13" s="5"/>
      <c r="H13" s="5"/>
      <c r="I13" s="5"/>
      <c r="J13" s="5"/>
      <c r="K13" s="5"/>
      <c r="L13" s="5"/>
      <c r="M13" s="5"/>
      <c r="N13" s="131"/>
    </row>
    <row r="14" spans="1:14" ht="15.75">
      <c r="A14" s="8"/>
      <c r="B14" s="17" t="s">
        <v>7</v>
      </c>
      <c r="C14" s="17"/>
      <c r="D14" s="18"/>
      <c r="E14" s="18"/>
      <c r="F14" s="18"/>
      <c r="G14" s="18"/>
      <c r="H14" s="18"/>
      <c r="I14" s="18"/>
      <c r="J14" s="18"/>
      <c r="K14" s="18"/>
      <c r="L14" s="19" t="s">
        <v>185</v>
      </c>
      <c r="M14" s="18"/>
      <c r="N14" s="131"/>
    </row>
    <row r="15" spans="1:14" ht="15.75">
      <c r="A15" s="8"/>
      <c r="B15" s="17" t="s">
        <v>199</v>
      </c>
      <c r="C15" s="17"/>
      <c r="D15" s="18"/>
      <c r="E15" s="18"/>
      <c r="F15" s="18"/>
      <c r="G15" s="18"/>
      <c r="H15" s="20"/>
      <c r="I15" s="135"/>
      <c r="J15" s="20" t="s">
        <v>202</v>
      </c>
      <c r="K15" s="135">
        <v>1</v>
      </c>
      <c r="L15" s="19"/>
      <c r="M15" s="18"/>
      <c r="N15" s="131"/>
    </row>
    <row r="16" spans="1:14" ht="15.75">
      <c r="A16" s="8"/>
      <c r="B16" s="17" t="s">
        <v>200</v>
      </c>
      <c r="C16" s="17"/>
      <c r="D16" s="18"/>
      <c r="E16" s="18"/>
      <c r="F16" s="18"/>
      <c r="G16" s="18"/>
      <c r="H16" s="20"/>
      <c r="I16" s="135"/>
      <c r="J16" s="20" t="s">
        <v>202</v>
      </c>
      <c r="K16" s="135">
        <v>1</v>
      </c>
      <c r="L16" s="19"/>
      <c r="M16" s="18"/>
      <c r="N16" s="131"/>
    </row>
    <row r="17" spans="1:14" ht="15.75">
      <c r="A17" s="8"/>
      <c r="B17" s="17" t="s">
        <v>8</v>
      </c>
      <c r="C17" s="17"/>
      <c r="D17" s="18"/>
      <c r="E17" s="18"/>
      <c r="F17" s="18"/>
      <c r="G17" s="18"/>
      <c r="H17" s="18"/>
      <c r="I17" s="18"/>
      <c r="J17" s="18"/>
      <c r="K17" s="18"/>
      <c r="L17" s="20" t="s">
        <v>186</v>
      </c>
      <c r="M17" s="18"/>
      <c r="N17" s="131"/>
    </row>
    <row r="18" spans="1:14" ht="15.75">
      <c r="A18" s="8"/>
      <c r="B18" s="17" t="s">
        <v>9</v>
      </c>
      <c r="C18" s="17"/>
      <c r="D18" s="18"/>
      <c r="E18" s="18"/>
      <c r="F18" s="18"/>
      <c r="G18" s="18"/>
      <c r="H18" s="18"/>
      <c r="I18" s="18"/>
      <c r="J18" s="18"/>
      <c r="K18" s="18"/>
      <c r="L18" s="21">
        <v>37917</v>
      </c>
      <c r="M18" s="18"/>
      <c r="N18" s="131"/>
    </row>
    <row r="19" spans="1:14" ht="15.75">
      <c r="A19" s="8"/>
      <c r="B19" s="10"/>
      <c r="C19" s="10"/>
      <c r="D19" s="10"/>
      <c r="E19" s="10"/>
      <c r="F19" s="10"/>
      <c r="G19" s="10"/>
      <c r="H19" s="10"/>
      <c r="I19" s="10"/>
      <c r="J19" s="10"/>
      <c r="K19" s="10"/>
      <c r="L19" s="22"/>
      <c r="M19" s="10"/>
      <c r="N19" s="131"/>
    </row>
    <row r="20" spans="1:14" ht="15.75">
      <c r="A20" s="8"/>
      <c r="B20" s="23" t="s">
        <v>10</v>
      </c>
      <c r="C20" s="10"/>
      <c r="D20" s="10"/>
      <c r="E20" s="10"/>
      <c r="F20" s="10"/>
      <c r="G20" s="10"/>
      <c r="H20" s="10"/>
      <c r="I20" s="10"/>
      <c r="J20" s="22" t="s">
        <v>174</v>
      </c>
      <c r="K20" s="10"/>
      <c r="L20" s="146"/>
      <c r="M20" s="10"/>
      <c r="N20" s="131"/>
    </row>
    <row r="21" spans="1:14" ht="15.75">
      <c r="A21" s="8"/>
      <c r="B21" s="10"/>
      <c r="C21" s="10"/>
      <c r="D21" s="10"/>
      <c r="E21" s="10"/>
      <c r="F21" s="10"/>
      <c r="G21" s="10"/>
      <c r="H21" s="10"/>
      <c r="I21" s="10"/>
      <c r="J21" s="10"/>
      <c r="K21" s="10"/>
      <c r="L21" s="24"/>
      <c r="M21" s="10"/>
      <c r="N21" s="131"/>
    </row>
    <row r="22" spans="1:14" ht="15.75">
      <c r="A22" s="8"/>
      <c r="B22" s="10"/>
      <c r="C22" s="155" t="s">
        <v>143</v>
      </c>
      <c r="D22" s="25"/>
      <c r="E22" s="25"/>
      <c r="F22" s="157" t="s">
        <v>151</v>
      </c>
      <c r="G22" s="157"/>
      <c r="H22" s="157" t="s">
        <v>164</v>
      </c>
      <c r="I22" s="158"/>
      <c r="J22" s="25"/>
      <c r="K22" s="146"/>
      <c r="L22" s="146"/>
      <c r="M22" s="10"/>
      <c r="N22" s="131"/>
    </row>
    <row r="23" spans="1:14" ht="15.75">
      <c r="A23" s="27"/>
      <c r="B23" s="28" t="s">
        <v>11</v>
      </c>
      <c r="C23" s="156" t="s">
        <v>144</v>
      </c>
      <c r="D23" s="29"/>
      <c r="E23" s="29"/>
      <c r="F23" s="29" t="s">
        <v>152</v>
      </c>
      <c r="G23" s="29"/>
      <c r="H23" s="29" t="s">
        <v>165</v>
      </c>
      <c r="I23" s="29"/>
      <c r="J23" s="29"/>
      <c r="K23" s="147"/>
      <c r="L23" s="147"/>
      <c r="M23" s="28"/>
      <c r="N23" s="131"/>
    </row>
    <row r="24" spans="1:14" ht="15.75">
      <c r="A24" s="27"/>
      <c r="B24" s="28" t="s">
        <v>12</v>
      </c>
      <c r="C24" s="31"/>
      <c r="D24" s="29"/>
      <c r="E24" s="29"/>
      <c r="F24" s="29" t="s">
        <v>153</v>
      </c>
      <c r="G24" s="29"/>
      <c r="H24" s="29" t="s">
        <v>166</v>
      </c>
      <c r="I24" s="29"/>
      <c r="J24" s="29"/>
      <c r="K24" s="147"/>
      <c r="L24" s="147"/>
      <c r="M24" s="28"/>
      <c r="N24" s="131"/>
    </row>
    <row r="25" spans="1:14" ht="15.75">
      <c r="A25" s="32"/>
      <c r="B25" s="33" t="s">
        <v>13</v>
      </c>
      <c r="C25" s="33"/>
      <c r="D25" s="34"/>
      <c r="E25" s="34"/>
      <c r="F25" s="34" t="s">
        <v>152</v>
      </c>
      <c r="G25" s="34"/>
      <c r="H25" s="34" t="s">
        <v>207</v>
      </c>
      <c r="I25" s="29"/>
      <c r="J25" s="29"/>
      <c r="K25" s="147"/>
      <c r="L25" s="147"/>
      <c r="M25" s="28"/>
      <c r="N25" s="131"/>
    </row>
    <row r="26" spans="1:14" ht="15.75">
      <c r="A26" s="32"/>
      <c r="B26" s="33" t="s">
        <v>14</v>
      </c>
      <c r="C26" s="33"/>
      <c r="D26" s="34"/>
      <c r="E26" s="34"/>
      <c r="F26" s="34" t="s">
        <v>153</v>
      </c>
      <c r="G26" s="34"/>
      <c r="H26" s="34" t="s">
        <v>215</v>
      </c>
      <c r="I26" s="29"/>
      <c r="J26" s="29"/>
      <c r="K26" s="147"/>
      <c r="L26" s="147"/>
      <c r="M26" s="28"/>
      <c r="N26" s="131"/>
    </row>
    <row r="27" spans="1:14" ht="15.75">
      <c r="A27" s="27"/>
      <c r="B27" s="28" t="s">
        <v>15</v>
      </c>
      <c r="C27" s="28"/>
      <c r="D27" s="31"/>
      <c r="E27" s="29"/>
      <c r="F27" s="31" t="s">
        <v>154</v>
      </c>
      <c r="G27" s="29"/>
      <c r="H27" s="31" t="s">
        <v>167</v>
      </c>
      <c r="I27" s="29"/>
      <c r="J27" s="31"/>
      <c r="K27" s="147"/>
      <c r="L27" s="147"/>
      <c r="M27" s="28"/>
      <c r="N27" s="131"/>
    </row>
    <row r="28" spans="1:14" ht="15.75">
      <c r="A28" s="27"/>
      <c r="B28" s="28"/>
      <c r="C28" s="28"/>
      <c r="D28" s="28"/>
      <c r="E28" s="29"/>
      <c r="F28" s="29"/>
      <c r="G28" s="29"/>
      <c r="H28" s="29"/>
      <c r="I28" s="29"/>
      <c r="J28" s="29"/>
      <c r="K28" s="147"/>
      <c r="L28" s="147"/>
      <c r="M28" s="28"/>
      <c r="N28" s="131"/>
    </row>
    <row r="29" spans="1:14" ht="15.75">
      <c r="A29" s="27"/>
      <c r="B29" s="28" t="s">
        <v>16</v>
      </c>
      <c r="C29" s="28"/>
      <c r="D29" s="35"/>
      <c r="E29" s="36"/>
      <c r="F29" s="35">
        <v>168000</v>
      </c>
      <c r="G29" s="35"/>
      <c r="H29" s="35">
        <v>17000</v>
      </c>
      <c r="I29" s="35"/>
      <c r="J29" s="35"/>
      <c r="K29" s="148"/>
      <c r="L29" s="35">
        <f>H29+F29</f>
        <v>185000</v>
      </c>
      <c r="M29" s="38"/>
      <c r="N29" s="131"/>
    </row>
    <row r="30" spans="1:14" ht="15.75">
      <c r="A30" s="27"/>
      <c r="B30" s="28" t="s">
        <v>17</v>
      </c>
      <c r="C30" s="126">
        <v>0.573182</v>
      </c>
      <c r="D30" s="35"/>
      <c r="E30" s="36"/>
      <c r="F30" s="35">
        <f>168000*C30</f>
        <v>96294.576</v>
      </c>
      <c r="G30" s="35"/>
      <c r="H30" s="35">
        <v>17000</v>
      </c>
      <c r="I30" s="35"/>
      <c r="J30" s="35"/>
      <c r="K30" s="148"/>
      <c r="L30" s="35">
        <f>H30+F30</f>
        <v>113294.576</v>
      </c>
      <c r="M30" s="38"/>
      <c r="N30" s="131"/>
    </row>
    <row r="31" spans="1:14" ht="13.5" customHeight="1">
      <c r="A31" s="32"/>
      <c r="B31" s="33" t="s">
        <v>18</v>
      </c>
      <c r="C31" s="40">
        <v>0.54041</v>
      </c>
      <c r="D31" s="41"/>
      <c r="E31" s="42"/>
      <c r="F31" s="41">
        <f>168000*C31</f>
        <v>90788.87999999999</v>
      </c>
      <c r="G31" s="41"/>
      <c r="H31" s="41">
        <v>17000</v>
      </c>
      <c r="I31" s="41"/>
      <c r="J31" s="41"/>
      <c r="K31" s="43"/>
      <c r="L31" s="41">
        <f>H31+F31+D31</f>
        <v>107788.87999999999</v>
      </c>
      <c r="M31" s="38"/>
      <c r="N31" s="131"/>
    </row>
    <row r="32" spans="1:14" ht="15.75">
      <c r="A32" s="27"/>
      <c r="B32" s="28" t="s">
        <v>19</v>
      </c>
      <c r="C32" s="44"/>
      <c r="D32" s="31"/>
      <c r="E32" s="28"/>
      <c r="F32" s="31" t="s">
        <v>155</v>
      </c>
      <c r="G32" s="31"/>
      <c r="H32" s="31" t="s">
        <v>168</v>
      </c>
      <c r="I32" s="31"/>
      <c r="J32" s="31"/>
      <c r="K32" s="147"/>
      <c r="L32" s="147"/>
      <c r="M32" s="28"/>
      <c r="N32" s="131"/>
    </row>
    <row r="33" spans="1:14" ht="15.75">
      <c r="A33" s="27"/>
      <c r="B33" s="28" t="s">
        <v>20</v>
      </c>
      <c r="C33" s="28"/>
      <c r="D33" s="45"/>
      <c r="E33" s="28"/>
      <c r="F33" s="45">
        <v>0.0371344</v>
      </c>
      <c r="G33" s="46"/>
      <c r="H33" s="45">
        <v>0.0423344</v>
      </c>
      <c r="I33" s="46"/>
      <c r="J33" s="45"/>
      <c r="K33" s="147"/>
      <c r="L33" s="46">
        <f>SUMPRODUCT(F33:H33,F30:H30)/L30</f>
        <v>0.037914666832897626</v>
      </c>
      <c r="M33" s="28"/>
      <c r="N33" s="131"/>
    </row>
    <row r="34" spans="1:14" ht="15.75">
      <c r="A34" s="27"/>
      <c r="B34" s="28" t="s">
        <v>21</v>
      </c>
      <c r="C34" s="28"/>
      <c r="D34" s="45"/>
      <c r="E34" s="28"/>
      <c r="F34" s="45">
        <v>0.0395375</v>
      </c>
      <c r="G34" s="46"/>
      <c r="H34" s="45">
        <v>0.0447375</v>
      </c>
      <c r="I34" s="46"/>
      <c r="J34" s="45"/>
      <c r="K34" s="147"/>
      <c r="L34" s="147"/>
      <c r="M34" s="28"/>
      <c r="N34" s="131"/>
    </row>
    <row r="35" spans="1:14" ht="15.75">
      <c r="A35" s="27"/>
      <c r="B35" s="28" t="s">
        <v>22</v>
      </c>
      <c r="C35" s="28"/>
      <c r="D35" s="31"/>
      <c r="E35" s="28"/>
      <c r="F35" s="31" t="s">
        <v>157</v>
      </c>
      <c r="G35" s="31"/>
      <c r="H35" s="31" t="s">
        <v>157</v>
      </c>
      <c r="I35" s="31"/>
      <c r="J35" s="31"/>
      <c r="K35" s="147"/>
      <c r="L35" s="147"/>
      <c r="M35" s="28"/>
      <c r="N35" s="131"/>
    </row>
    <row r="36" spans="1:14" ht="15.75">
      <c r="A36" s="27"/>
      <c r="B36" s="28" t="s">
        <v>23</v>
      </c>
      <c r="C36" s="28"/>
      <c r="D36" s="31"/>
      <c r="E36" s="28"/>
      <c r="F36" s="31" t="s">
        <v>158</v>
      </c>
      <c r="G36" s="31"/>
      <c r="H36" s="31" t="s">
        <v>158</v>
      </c>
      <c r="I36" s="31"/>
      <c r="J36" s="31"/>
      <c r="K36" s="147"/>
      <c r="L36" s="147"/>
      <c r="M36" s="28"/>
      <c r="N36" s="131"/>
    </row>
    <row r="37" spans="1:14" ht="15.75">
      <c r="A37" s="27"/>
      <c r="B37" s="28" t="s">
        <v>24</v>
      </c>
      <c r="C37" s="28"/>
      <c r="D37" s="31"/>
      <c r="E37" s="28"/>
      <c r="F37" s="31" t="s">
        <v>159</v>
      </c>
      <c r="G37" s="31"/>
      <c r="H37" s="31" t="s">
        <v>169</v>
      </c>
      <c r="I37" s="31"/>
      <c r="J37" s="31"/>
      <c r="K37" s="147"/>
      <c r="L37" s="147"/>
      <c r="M37" s="28"/>
      <c r="N37" s="131"/>
    </row>
    <row r="38" spans="1:14" ht="15.75">
      <c r="A38" s="27"/>
      <c r="B38" s="28"/>
      <c r="C38" s="28"/>
      <c r="D38" s="47"/>
      <c r="E38" s="47"/>
      <c r="F38" s="28"/>
      <c r="G38" s="47"/>
      <c r="H38" s="152"/>
      <c r="I38" s="47"/>
      <c r="J38" s="47"/>
      <c r="K38" s="47"/>
      <c r="L38" s="47"/>
      <c r="M38" s="28"/>
      <c r="N38" s="131"/>
    </row>
    <row r="39" spans="1:14" ht="15.75">
      <c r="A39" s="27"/>
      <c r="B39" s="28" t="s">
        <v>25</v>
      </c>
      <c r="C39" s="28"/>
      <c r="D39" s="28"/>
      <c r="E39" s="28"/>
      <c r="F39" s="28"/>
      <c r="G39" s="28"/>
      <c r="H39" s="136"/>
      <c r="I39" s="28"/>
      <c r="J39" s="28"/>
      <c r="K39" s="28"/>
      <c r="L39" s="46">
        <f>H29/F29</f>
        <v>0.10119047619047619</v>
      </c>
      <c r="M39" s="28"/>
      <c r="N39" s="131"/>
    </row>
    <row r="40" spans="1:14" ht="15.75">
      <c r="A40" s="27"/>
      <c r="B40" s="28" t="s">
        <v>26</v>
      </c>
      <c r="C40" s="28"/>
      <c r="D40" s="28"/>
      <c r="E40" s="28"/>
      <c r="F40" s="136"/>
      <c r="G40" s="28"/>
      <c r="H40" s="136"/>
      <c r="I40" s="28"/>
      <c r="J40" s="28"/>
      <c r="K40" s="28"/>
      <c r="L40" s="46">
        <f>H31/F31</f>
        <v>0.18724760124808237</v>
      </c>
      <c r="M40" s="28"/>
      <c r="N40" s="131"/>
    </row>
    <row r="41" spans="1:14" ht="15.75">
      <c r="A41" s="27"/>
      <c r="B41" s="28" t="s">
        <v>27</v>
      </c>
      <c r="C41" s="28"/>
      <c r="D41" s="28"/>
      <c r="E41" s="28"/>
      <c r="F41" s="136"/>
      <c r="G41" s="28"/>
      <c r="H41" s="136"/>
      <c r="I41" s="28"/>
      <c r="J41" s="31" t="s">
        <v>151</v>
      </c>
      <c r="K41" s="31" t="s">
        <v>183</v>
      </c>
      <c r="L41" s="35">
        <v>75500</v>
      </c>
      <c r="M41" s="28"/>
      <c r="N41" s="131"/>
    </row>
    <row r="42" spans="1:14" ht="15.75">
      <c r="A42" s="27"/>
      <c r="B42" s="28"/>
      <c r="C42" s="28"/>
      <c r="D42" s="28"/>
      <c r="E42" s="28"/>
      <c r="F42" s="28"/>
      <c r="G42" s="28"/>
      <c r="H42" s="28"/>
      <c r="I42" s="28"/>
      <c r="J42" s="28" t="s">
        <v>175</v>
      </c>
      <c r="K42" s="28"/>
      <c r="L42" s="48"/>
      <c r="M42" s="28"/>
      <c r="N42" s="131"/>
    </row>
    <row r="43" spans="1:14" ht="15.75">
      <c r="A43" s="27"/>
      <c r="B43" s="28" t="s">
        <v>28</v>
      </c>
      <c r="C43" s="28"/>
      <c r="D43" s="28"/>
      <c r="E43" s="28"/>
      <c r="F43" s="28"/>
      <c r="G43" s="28"/>
      <c r="H43" s="28"/>
      <c r="I43" s="28"/>
      <c r="J43" s="31"/>
      <c r="K43" s="31"/>
      <c r="L43" s="31" t="s">
        <v>187</v>
      </c>
      <c r="M43" s="28"/>
      <c r="N43" s="131"/>
    </row>
    <row r="44" spans="1:14" ht="15.75">
      <c r="A44" s="32"/>
      <c r="B44" s="33" t="s">
        <v>29</v>
      </c>
      <c r="C44" s="33"/>
      <c r="D44" s="33"/>
      <c r="E44" s="33"/>
      <c r="F44" s="33"/>
      <c r="G44" s="33"/>
      <c r="H44" s="33"/>
      <c r="I44" s="33"/>
      <c r="J44" s="49"/>
      <c r="K44" s="49"/>
      <c r="L44" s="50">
        <v>37909</v>
      </c>
      <c r="M44" s="33"/>
      <c r="N44" s="131"/>
    </row>
    <row r="45" spans="1:14" ht="15.75">
      <c r="A45" s="27"/>
      <c r="B45" s="28" t="s">
        <v>30</v>
      </c>
      <c r="C45" s="28"/>
      <c r="D45" s="28"/>
      <c r="E45" s="28"/>
      <c r="F45" s="28"/>
      <c r="G45" s="28"/>
      <c r="H45" s="28"/>
      <c r="I45" s="28">
        <f>L45-J45+1</f>
        <v>91</v>
      </c>
      <c r="J45" s="51">
        <v>37726</v>
      </c>
      <c r="K45" s="52"/>
      <c r="L45" s="51">
        <v>37816</v>
      </c>
      <c r="M45" s="28"/>
      <c r="N45" s="131"/>
    </row>
    <row r="46" spans="1:14" ht="15.75">
      <c r="A46" s="27"/>
      <c r="B46" s="28" t="s">
        <v>31</v>
      </c>
      <c r="C46" s="28"/>
      <c r="D46" s="28"/>
      <c r="E46" s="28"/>
      <c r="F46" s="28"/>
      <c r="G46" s="28"/>
      <c r="H46" s="28"/>
      <c r="I46" s="28">
        <f>L46-J46+1</f>
        <v>92</v>
      </c>
      <c r="J46" s="51">
        <v>37817</v>
      </c>
      <c r="K46" s="52"/>
      <c r="L46" s="51">
        <v>37908</v>
      </c>
      <c r="M46" s="28"/>
      <c r="N46" s="131"/>
    </row>
    <row r="47" spans="1:14" ht="15.75">
      <c r="A47" s="27"/>
      <c r="B47" s="28" t="s">
        <v>32</v>
      </c>
      <c r="C47" s="28"/>
      <c r="D47" s="28"/>
      <c r="E47" s="28"/>
      <c r="F47" s="28"/>
      <c r="G47" s="28"/>
      <c r="H47" s="28"/>
      <c r="I47" s="28"/>
      <c r="J47" s="51"/>
      <c r="K47" s="52"/>
      <c r="L47" s="51" t="s">
        <v>188</v>
      </c>
      <c r="M47" s="28"/>
      <c r="N47" s="131"/>
    </row>
    <row r="48" spans="1:14" ht="15.75">
      <c r="A48" s="27"/>
      <c r="B48" s="28" t="s">
        <v>33</v>
      </c>
      <c r="C48" s="28"/>
      <c r="D48" s="28"/>
      <c r="E48" s="28"/>
      <c r="F48" s="28"/>
      <c r="G48" s="28"/>
      <c r="H48" s="28"/>
      <c r="I48" s="28"/>
      <c r="J48" s="51"/>
      <c r="K48" s="52"/>
      <c r="L48" s="51">
        <v>37901</v>
      </c>
      <c r="M48" s="28"/>
      <c r="N48" s="131"/>
    </row>
    <row r="49" spans="1:14" ht="15.75">
      <c r="A49" s="27"/>
      <c r="B49" s="28"/>
      <c r="C49" s="28"/>
      <c r="D49" s="28"/>
      <c r="E49" s="28"/>
      <c r="F49" s="28"/>
      <c r="G49" s="28"/>
      <c r="H49" s="28"/>
      <c r="I49" s="28"/>
      <c r="J49" s="51"/>
      <c r="K49" s="52"/>
      <c r="L49" s="51"/>
      <c r="M49" s="28"/>
      <c r="N49" s="131"/>
    </row>
    <row r="50" spans="1:14" ht="15.75">
      <c r="A50" s="8"/>
      <c r="B50" s="10"/>
      <c r="C50" s="10"/>
      <c r="D50" s="10"/>
      <c r="E50" s="10"/>
      <c r="F50" s="10"/>
      <c r="G50" s="10"/>
      <c r="H50" s="10"/>
      <c r="I50" s="10"/>
      <c r="J50" s="53"/>
      <c r="K50" s="54"/>
      <c r="L50" s="53"/>
      <c r="M50" s="10"/>
      <c r="N50" s="131"/>
    </row>
    <row r="51" spans="1:14" ht="19.5" thickBot="1">
      <c r="A51" s="138"/>
      <c r="B51" s="139" t="s">
        <v>217</v>
      </c>
      <c r="C51" s="140"/>
      <c r="D51" s="140"/>
      <c r="E51" s="140"/>
      <c r="F51" s="140"/>
      <c r="G51" s="140"/>
      <c r="H51" s="140"/>
      <c r="I51" s="140"/>
      <c r="J51" s="140"/>
      <c r="K51" s="140"/>
      <c r="L51" s="141"/>
      <c r="M51" s="142"/>
      <c r="N51" s="131"/>
    </row>
    <row r="52" spans="1:14" ht="15.75">
      <c r="A52" s="2"/>
      <c r="B52" s="5"/>
      <c r="C52" s="5"/>
      <c r="D52" s="5"/>
      <c r="E52" s="5"/>
      <c r="F52" s="5"/>
      <c r="G52" s="5"/>
      <c r="H52" s="5"/>
      <c r="I52" s="5"/>
      <c r="J52" s="5"/>
      <c r="K52" s="5"/>
      <c r="L52" s="57"/>
      <c r="M52" s="5"/>
      <c r="N52" s="131"/>
    </row>
    <row r="53" spans="1:14" ht="15.75">
      <c r="A53" s="8"/>
      <c r="B53" s="58" t="s">
        <v>35</v>
      </c>
      <c r="C53" s="16"/>
      <c r="D53" s="10"/>
      <c r="E53" s="10"/>
      <c r="F53" s="10"/>
      <c r="G53" s="10"/>
      <c r="H53" s="10"/>
      <c r="I53" s="10"/>
      <c r="J53" s="10"/>
      <c r="K53" s="10"/>
      <c r="L53" s="59"/>
      <c r="M53" s="10"/>
      <c r="N53" s="131"/>
    </row>
    <row r="54" spans="1:14" ht="15.75">
      <c r="A54" s="8"/>
      <c r="B54" s="16"/>
      <c r="C54" s="16"/>
      <c r="D54" s="10"/>
      <c r="E54" s="10"/>
      <c r="F54" s="10"/>
      <c r="G54" s="10"/>
      <c r="H54" s="10"/>
      <c r="I54" s="10"/>
      <c r="J54" s="10"/>
      <c r="K54" s="10"/>
      <c r="L54" s="59"/>
      <c r="M54" s="10"/>
      <c r="N54" s="131"/>
    </row>
    <row r="55" spans="1:14" s="165" customFormat="1" ht="63">
      <c r="A55" s="159"/>
      <c r="B55" s="160" t="s">
        <v>36</v>
      </c>
      <c r="C55" s="161" t="s">
        <v>145</v>
      </c>
      <c r="D55" s="161" t="s">
        <v>147</v>
      </c>
      <c r="E55" s="161"/>
      <c r="F55" s="161" t="s">
        <v>160</v>
      </c>
      <c r="G55" s="161"/>
      <c r="H55" s="161" t="s">
        <v>170</v>
      </c>
      <c r="I55" s="161"/>
      <c r="J55" s="161" t="s">
        <v>176</v>
      </c>
      <c r="K55" s="161"/>
      <c r="L55" s="162" t="s">
        <v>189</v>
      </c>
      <c r="M55" s="163"/>
      <c r="N55" s="171"/>
    </row>
    <row r="56" spans="1:14" ht="15.75">
      <c r="A56" s="27"/>
      <c r="B56" s="28" t="s">
        <v>37</v>
      </c>
      <c r="C56" s="38">
        <v>162582</v>
      </c>
      <c r="D56" s="60">
        <v>113295</v>
      </c>
      <c r="E56" s="38"/>
      <c r="F56" s="38">
        <v>5506</v>
      </c>
      <c r="G56" s="38"/>
      <c r="H56" s="38">
        <v>0</v>
      </c>
      <c r="I56" s="38"/>
      <c r="J56" s="38">
        <v>0</v>
      </c>
      <c r="K56" s="38"/>
      <c r="L56" s="60">
        <f>D56-F56+H56-J56</f>
        <v>107789</v>
      </c>
      <c r="M56" s="28"/>
      <c r="N56" s="131"/>
    </row>
    <row r="57" spans="1:14" ht="15.75">
      <c r="A57" s="27"/>
      <c r="B57" s="28" t="s">
        <v>38</v>
      </c>
      <c r="C57" s="38">
        <v>66</v>
      </c>
      <c r="D57" s="60">
        <v>0</v>
      </c>
      <c r="E57" s="38"/>
      <c r="F57" s="38">
        <v>0</v>
      </c>
      <c r="G57" s="38"/>
      <c r="H57" s="38">
        <v>0</v>
      </c>
      <c r="I57" s="38"/>
      <c r="J57" s="38">
        <v>0</v>
      </c>
      <c r="K57" s="38"/>
      <c r="L57" s="60">
        <f>D57-F57</f>
        <v>0</v>
      </c>
      <c r="M57" s="28"/>
      <c r="N57" s="131"/>
    </row>
    <row r="58" spans="1:14" ht="15.75">
      <c r="A58" s="27"/>
      <c r="B58" s="28"/>
      <c r="C58" s="38"/>
      <c r="D58" s="60"/>
      <c r="E58" s="38"/>
      <c r="F58" s="38"/>
      <c r="G58" s="38"/>
      <c r="H58" s="38"/>
      <c r="I58" s="38"/>
      <c r="J58" s="38"/>
      <c r="K58" s="38"/>
      <c r="L58" s="60"/>
      <c r="M58" s="28"/>
      <c r="N58" s="131"/>
    </row>
    <row r="59" spans="1:14" ht="15.75">
      <c r="A59" s="27"/>
      <c r="B59" s="28" t="s">
        <v>39</v>
      </c>
      <c r="C59" s="38">
        <f>SUM(C56:C58)</f>
        <v>162648</v>
      </c>
      <c r="D59" s="38">
        <f>SUM(D56:D58)</f>
        <v>113295</v>
      </c>
      <c r="E59" s="38"/>
      <c r="F59" s="38">
        <f>SUM(F56:F58)</f>
        <v>5506</v>
      </c>
      <c r="G59" s="38"/>
      <c r="H59" s="38">
        <f>SUM(H56:H58)</f>
        <v>0</v>
      </c>
      <c r="I59" s="38"/>
      <c r="J59" s="38">
        <f>SUM(J56:J58)</f>
        <v>0</v>
      </c>
      <c r="K59" s="38"/>
      <c r="L59" s="61">
        <f>SUM(L56:L58)</f>
        <v>107789</v>
      </c>
      <c r="M59" s="28"/>
      <c r="N59" s="131"/>
    </row>
    <row r="60" spans="1:14" ht="15.75">
      <c r="A60" s="27"/>
      <c r="B60" s="28"/>
      <c r="C60" s="38"/>
      <c r="D60" s="38"/>
      <c r="E60" s="38"/>
      <c r="F60" s="38"/>
      <c r="G60" s="38"/>
      <c r="H60" s="38"/>
      <c r="I60" s="38"/>
      <c r="J60" s="38"/>
      <c r="K60" s="38"/>
      <c r="L60" s="61"/>
      <c r="M60" s="28"/>
      <c r="N60" s="131"/>
    </row>
    <row r="61" spans="1:14" ht="15.75">
      <c r="A61" s="8"/>
      <c r="B61" s="154" t="s">
        <v>40</v>
      </c>
      <c r="C61" s="62"/>
      <c r="D61" s="62"/>
      <c r="E61" s="62"/>
      <c r="F61" s="62"/>
      <c r="G61" s="62"/>
      <c r="H61" s="62"/>
      <c r="I61" s="62"/>
      <c r="J61" s="62"/>
      <c r="K61" s="62"/>
      <c r="L61" s="63"/>
      <c r="M61" s="10"/>
      <c r="N61" s="131"/>
    </row>
    <row r="62" spans="1:14" ht="15.75">
      <c r="A62" s="8"/>
      <c r="B62" s="10"/>
      <c r="C62" s="62"/>
      <c r="D62" s="62"/>
      <c r="E62" s="62"/>
      <c r="F62" s="62"/>
      <c r="G62" s="62"/>
      <c r="H62" s="62"/>
      <c r="I62" s="62"/>
      <c r="J62" s="62"/>
      <c r="K62" s="62"/>
      <c r="L62" s="63"/>
      <c r="M62" s="10"/>
      <c r="N62" s="131"/>
    </row>
    <row r="63" spans="1:14" ht="15.75">
      <c r="A63" s="27"/>
      <c r="B63" s="28" t="s">
        <v>37</v>
      </c>
      <c r="C63" s="38"/>
      <c r="D63" s="38"/>
      <c r="E63" s="38"/>
      <c r="F63" s="38"/>
      <c r="G63" s="38"/>
      <c r="H63" s="38"/>
      <c r="I63" s="38"/>
      <c r="J63" s="38"/>
      <c r="K63" s="38"/>
      <c r="L63" s="61"/>
      <c r="M63" s="28"/>
      <c r="N63" s="131"/>
    </row>
    <row r="64" spans="1:14" ht="15.75">
      <c r="A64" s="27"/>
      <c r="B64" s="28" t="s">
        <v>38</v>
      </c>
      <c r="C64" s="38"/>
      <c r="D64" s="38"/>
      <c r="E64" s="38"/>
      <c r="F64" s="38"/>
      <c r="G64" s="38"/>
      <c r="H64" s="38"/>
      <c r="I64" s="38"/>
      <c r="J64" s="38"/>
      <c r="K64" s="38"/>
      <c r="L64" s="61"/>
      <c r="M64" s="28"/>
      <c r="N64" s="131"/>
    </row>
    <row r="65" spans="1:14" ht="15.75">
      <c r="A65" s="27"/>
      <c r="B65" s="28"/>
      <c r="C65" s="38"/>
      <c r="D65" s="38"/>
      <c r="E65" s="38"/>
      <c r="F65" s="38"/>
      <c r="G65" s="38"/>
      <c r="H65" s="38"/>
      <c r="I65" s="38"/>
      <c r="J65" s="38"/>
      <c r="K65" s="38"/>
      <c r="L65" s="61"/>
      <c r="M65" s="28"/>
      <c r="N65" s="131"/>
    </row>
    <row r="66" spans="1:14" ht="15.75">
      <c r="A66" s="27"/>
      <c r="B66" s="28" t="s">
        <v>39</v>
      </c>
      <c r="C66" s="38"/>
      <c r="D66" s="38"/>
      <c r="E66" s="38"/>
      <c r="F66" s="38"/>
      <c r="G66" s="38"/>
      <c r="H66" s="38"/>
      <c r="I66" s="38"/>
      <c r="J66" s="38"/>
      <c r="K66" s="38"/>
      <c r="L66" s="38"/>
      <c r="M66" s="28"/>
      <c r="N66" s="131"/>
    </row>
    <row r="67" spans="1:14" ht="15.75">
      <c r="A67" s="27"/>
      <c r="B67" s="28"/>
      <c r="C67" s="38"/>
      <c r="D67" s="38"/>
      <c r="E67" s="38"/>
      <c r="F67" s="38"/>
      <c r="G67" s="38"/>
      <c r="H67" s="38"/>
      <c r="I67" s="38"/>
      <c r="J67" s="38"/>
      <c r="K67" s="38"/>
      <c r="L67" s="38"/>
      <c r="M67" s="28"/>
      <c r="N67" s="131"/>
    </row>
    <row r="68" spans="1:14" ht="15.75">
      <c r="A68" s="27"/>
      <c r="B68" s="28" t="s">
        <v>41</v>
      </c>
      <c r="C68" s="38">
        <v>0</v>
      </c>
      <c r="D68" s="38">
        <v>0</v>
      </c>
      <c r="E68" s="38"/>
      <c r="F68" s="38"/>
      <c r="G68" s="38"/>
      <c r="H68" s="38"/>
      <c r="I68" s="38"/>
      <c r="J68" s="38"/>
      <c r="K68" s="38"/>
      <c r="L68" s="60">
        <f>D68-F68+H68-J68</f>
        <v>0</v>
      </c>
      <c r="M68" s="28"/>
      <c r="N68" s="131"/>
    </row>
    <row r="69" spans="1:14" ht="15.75">
      <c r="A69" s="27"/>
      <c r="B69" s="28" t="s">
        <v>42</v>
      </c>
      <c r="C69" s="38">
        <v>22352</v>
      </c>
      <c r="D69" s="38">
        <v>0</v>
      </c>
      <c r="E69" s="38"/>
      <c r="F69" s="38"/>
      <c r="G69" s="38"/>
      <c r="H69" s="38"/>
      <c r="I69" s="38"/>
      <c r="J69" s="38"/>
      <c r="K69" s="38"/>
      <c r="L69" s="61">
        <v>0</v>
      </c>
      <c r="M69" s="28"/>
      <c r="N69" s="131"/>
    </row>
    <row r="70" spans="1:14" ht="15.75">
      <c r="A70" s="27"/>
      <c r="B70" s="28" t="s">
        <v>43</v>
      </c>
      <c r="C70" s="38">
        <v>0</v>
      </c>
      <c r="D70" s="38">
        <v>0</v>
      </c>
      <c r="E70" s="38"/>
      <c r="F70" s="38"/>
      <c r="G70" s="38"/>
      <c r="H70" s="38"/>
      <c r="I70" s="38"/>
      <c r="J70" s="38"/>
      <c r="K70" s="38"/>
      <c r="L70" s="61">
        <v>0</v>
      </c>
      <c r="M70" s="28"/>
      <c r="N70" s="131"/>
    </row>
    <row r="71" spans="1:14" ht="15.75">
      <c r="A71" s="27"/>
      <c r="B71" s="28" t="s">
        <v>44</v>
      </c>
      <c r="C71" s="61">
        <f>SUM(C59:C70)</f>
        <v>185000</v>
      </c>
      <c r="D71" s="61">
        <f>SUM(D59:D70)</f>
        <v>113295</v>
      </c>
      <c r="E71" s="38"/>
      <c r="F71" s="61"/>
      <c r="G71" s="38"/>
      <c r="H71" s="61"/>
      <c r="I71" s="38"/>
      <c r="J71" s="61"/>
      <c r="K71" s="38"/>
      <c r="L71" s="61">
        <f>SUM(L59:L70)</f>
        <v>107789</v>
      </c>
      <c r="M71" s="28"/>
      <c r="N71" s="131"/>
    </row>
    <row r="72" spans="1:14" ht="15.75">
      <c r="A72" s="27"/>
      <c r="B72" s="28"/>
      <c r="C72" s="38"/>
      <c r="D72" s="38"/>
      <c r="E72" s="38"/>
      <c r="F72" s="38"/>
      <c r="G72" s="38"/>
      <c r="H72" s="38"/>
      <c r="I72" s="38"/>
      <c r="J72" s="38"/>
      <c r="K72" s="38"/>
      <c r="L72" s="61"/>
      <c r="M72" s="28"/>
      <c r="N72" s="131"/>
    </row>
    <row r="73" spans="1:14" ht="15.75">
      <c r="A73" s="8"/>
      <c r="B73" s="10"/>
      <c r="C73" s="10"/>
      <c r="D73" s="10"/>
      <c r="E73" s="10"/>
      <c r="F73" s="10"/>
      <c r="G73" s="10"/>
      <c r="H73" s="10"/>
      <c r="I73" s="10"/>
      <c r="J73" s="10"/>
      <c r="K73" s="10"/>
      <c r="L73" s="10"/>
      <c r="M73" s="10"/>
      <c r="N73" s="131"/>
    </row>
    <row r="74" spans="1:14" ht="15.75">
      <c r="A74" s="8"/>
      <c r="B74" s="58" t="s">
        <v>45</v>
      </c>
      <c r="C74" s="17"/>
      <c r="D74" s="17"/>
      <c r="E74" s="17"/>
      <c r="F74" s="17"/>
      <c r="G74" s="17"/>
      <c r="H74" s="17"/>
      <c r="I74" s="20"/>
      <c r="J74" s="20" t="s">
        <v>177</v>
      </c>
      <c r="K74" s="20"/>
      <c r="L74" s="20" t="s">
        <v>190</v>
      </c>
      <c r="M74" s="10"/>
      <c r="N74" s="131"/>
    </row>
    <row r="75" spans="1:14" ht="15.75">
      <c r="A75" s="27"/>
      <c r="B75" s="28" t="s">
        <v>46</v>
      </c>
      <c r="C75" s="28"/>
      <c r="D75" s="28"/>
      <c r="E75" s="28"/>
      <c r="F75" s="28"/>
      <c r="G75" s="28"/>
      <c r="H75" s="28"/>
      <c r="I75" s="28"/>
      <c r="J75" s="38">
        <v>0</v>
      </c>
      <c r="K75" s="28"/>
      <c r="L75" s="60">
        <v>0</v>
      </c>
      <c r="M75" s="28"/>
      <c r="N75" s="131"/>
    </row>
    <row r="76" spans="1:14" ht="15.75">
      <c r="A76" s="27"/>
      <c r="B76" s="28" t="s">
        <v>47</v>
      </c>
      <c r="C76" s="47" t="s">
        <v>146</v>
      </c>
      <c r="D76" s="65">
        <v>37894</v>
      </c>
      <c r="E76" s="28"/>
      <c r="F76" s="28"/>
      <c r="G76" s="28"/>
      <c r="H76" s="28"/>
      <c r="I76" s="28"/>
      <c r="J76" s="38">
        <v>5506</v>
      </c>
      <c r="K76" s="28"/>
      <c r="L76" s="60"/>
      <c r="M76" s="28"/>
      <c r="N76" s="131"/>
    </row>
    <row r="77" spans="1:14" ht="15.75">
      <c r="A77" s="27"/>
      <c r="B77" s="28" t="s">
        <v>48</v>
      </c>
      <c r="C77" s="28"/>
      <c r="D77" s="28"/>
      <c r="E77" s="28"/>
      <c r="F77" s="28"/>
      <c r="G77" s="28"/>
      <c r="H77" s="28"/>
      <c r="I77" s="28"/>
      <c r="J77" s="38"/>
      <c r="K77" s="28"/>
      <c r="L77" s="60">
        <f>1564-4+241-11</f>
        <v>1790</v>
      </c>
      <c r="M77" s="28"/>
      <c r="N77" s="131"/>
    </row>
    <row r="78" spans="1:14" ht="15.75">
      <c r="A78" s="27"/>
      <c r="B78" s="28" t="s">
        <v>49</v>
      </c>
      <c r="C78" s="28"/>
      <c r="D78" s="28"/>
      <c r="E78" s="28"/>
      <c r="F78" s="28"/>
      <c r="G78" s="28"/>
      <c r="H78" s="28"/>
      <c r="I78" s="28"/>
      <c r="J78" s="38"/>
      <c r="K78" s="28"/>
      <c r="L78" s="60">
        <v>0</v>
      </c>
      <c r="M78" s="28"/>
      <c r="N78" s="131"/>
    </row>
    <row r="79" spans="1:14" ht="15.75">
      <c r="A79" s="27"/>
      <c r="B79" s="28" t="s">
        <v>50</v>
      </c>
      <c r="C79" s="28"/>
      <c r="D79" s="28"/>
      <c r="E79" s="28"/>
      <c r="F79" s="28"/>
      <c r="G79" s="28"/>
      <c r="H79" s="28"/>
      <c r="I79" s="28"/>
      <c r="J79" s="38">
        <f>SUM(J75:J78)</f>
        <v>5506</v>
      </c>
      <c r="K79" s="28"/>
      <c r="L79" s="61">
        <f>SUM(L75:L78)</f>
        <v>1790</v>
      </c>
      <c r="M79" s="28"/>
      <c r="N79" s="131"/>
    </row>
    <row r="80" spans="1:14" ht="15.75">
      <c r="A80" s="27"/>
      <c r="B80" s="28" t="s">
        <v>51</v>
      </c>
      <c r="C80" s="28"/>
      <c r="D80" s="28"/>
      <c r="E80" s="28"/>
      <c r="F80" s="28"/>
      <c r="G80" s="28"/>
      <c r="H80" s="28"/>
      <c r="I80" s="28"/>
      <c r="J80" s="38">
        <v>0</v>
      </c>
      <c r="K80" s="28"/>
      <c r="L80" s="60">
        <v>0</v>
      </c>
      <c r="M80" s="28"/>
      <c r="N80" s="131"/>
    </row>
    <row r="81" spans="1:14" ht="15.75">
      <c r="A81" s="27"/>
      <c r="B81" s="28" t="s">
        <v>52</v>
      </c>
      <c r="C81" s="28"/>
      <c r="D81" s="28"/>
      <c r="E81" s="28"/>
      <c r="F81" s="28"/>
      <c r="G81" s="28"/>
      <c r="H81" s="28"/>
      <c r="I81" s="28"/>
      <c r="J81" s="38">
        <f>J79+J80</f>
        <v>5506</v>
      </c>
      <c r="K81" s="28"/>
      <c r="L81" s="61">
        <f>L79+L80</f>
        <v>1790</v>
      </c>
      <c r="M81" s="28"/>
      <c r="N81" s="131"/>
    </row>
    <row r="82" spans="1:14" ht="15.75">
      <c r="A82" s="27"/>
      <c r="B82" s="166" t="s">
        <v>53</v>
      </c>
      <c r="C82" s="66"/>
      <c r="D82" s="28"/>
      <c r="E82" s="28"/>
      <c r="F82" s="28"/>
      <c r="G82" s="28"/>
      <c r="H82" s="28"/>
      <c r="I82" s="28"/>
      <c r="J82" s="38"/>
      <c r="K82" s="28"/>
      <c r="L82" s="60"/>
      <c r="M82" s="28"/>
      <c r="N82" s="131"/>
    </row>
    <row r="83" spans="1:14" ht="15.75">
      <c r="A83" s="27">
        <v>1</v>
      </c>
      <c r="B83" s="28" t="s">
        <v>54</v>
      </c>
      <c r="C83" s="28"/>
      <c r="D83" s="28"/>
      <c r="E83" s="28"/>
      <c r="F83" s="28"/>
      <c r="G83" s="28"/>
      <c r="H83" s="28"/>
      <c r="I83" s="28"/>
      <c r="J83" s="28"/>
      <c r="K83" s="28"/>
      <c r="L83" s="60">
        <v>0</v>
      </c>
      <c r="M83" s="28"/>
      <c r="N83" s="131"/>
    </row>
    <row r="84" spans="1:14" ht="15.75">
      <c r="A84" s="27">
        <v>2</v>
      </c>
      <c r="B84" s="28" t="s">
        <v>55</v>
      </c>
      <c r="C84" s="28"/>
      <c r="D84" s="28"/>
      <c r="E84" s="28"/>
      <c r="F84" s="28"/>
      <c r="G84" s="28"/>
      <c r="H84" s="28"/>
      <c r="I84" s="28"/>
      <c r="J84" s="28"/>
      <c r="K84" s="28"/>
      <c r="L84" s="60">
        <v>-3</v>
      </c>
      <c r="M84" s="28"/>
      <c r="N84" s="131"/>
    </row>
    <row r="85" spans="1:14" ht="15.75">
      <c r="A85" s="27">
        <v>3</v>
      </c>
      <c r="B85" s="28" t="s">
        <v>56</v>
      </c>
      <c r="C85" s="28"/>
      <c r="D85" s="28"/>
      <c r="E85" s="28"/>
      <c r="F85" s="28"/>
      <c r="G85" s="28"/>
      <c r="H85" s="28"/>
      <c r="I85" s="28"/>
      <c r="J85" s="28"/>
      <c r="K85" s="28"/>
      <c r="L85" s="60">
        <f>-86-4</f>
        <v>-90</v>
      </c>
      <c r="M85" s="28"/>
      <c r="N85" s="131"/>
    </row>
    <row r="86" spans="1:14" ht="15.75">
      <c r="A86" s="27">
        <v>4</v>
      </c>
      <c r="B86" s="28" t="s">
        <v>57</v>
      </c>
      <c r="C86" s="28"/>
      <c r="D86" s="28"/>
      <c r="E86" s="28"/>
      <c r="F86" s="28"/>
      <c r="G86" s="28"/>
      <c r="H86" s="28"/>
      <c r="I86" s="28"/>
      <c r="J86" s="28"/>
      <c r="K86" s="28"/>
      <c r="L86" s="60">
        <v>-213</v>
      </c>
      <c r="M86" s="28"/>
      <c r="N86" s="131"/>
    </row>
    <row r="87" spans="1:14" ht="15.75">
      <c r="A87" s="27">
        <v>5</v>
      </c>
      <c r="B87" s="28" t="s">
        <v>58</v>
      </c>
      <c r="C87" s="28"/>
      <c r="D87" s="28"/>
      <c r="E87" s="28"/>
      <c r="F87" s="28"/>
      <c r="G87" s="28"/>
      <c r="H87" s="28"/>
      <c r="I87" s="28"/>
      <c r="J87" s="28"/>
      <c r="K87" s="28"/>
      <c r="L87" s="60">
        <v>-901</v>
      </c>
      <c r="M87" s="28"/>
      <c r="N87" s="131"/>
    </row>
    <row r="88" spans="1:14" ht="15.75">
      <c r="A88" s="27">
        <v>6</v>
      </c>
      <c r="B88" s="28" t="s">
        <v>59</v>
      </c>
      <c r="C88" s="28"/>
      <c r="D88" s="28"/>
      <c r="E88" s="28"/>
      <c r="F88" s="28"/>
      <c r="G88" s="28"/>
      <c r="H88" s="28"/>
      <c r="I88" s="28"/>
      <c r="J88" s="28"/>
      <c r="K88" s="28"/>
      <c r="L88" s="60">
        <v>-181</v>
      </c>
      <c r="M88" s="28"/>
      <c r="N88" s="131"/>
    </row>
    <row r="89" spans="1:14" ht="15.75">
      <c r="A89" s="27">
        <v>7</v>
      </c>
      <c r="B89" s="28" t="s">
        <v>60</v>
      </c>
      <c r="C89" s="28"/>
      <c r="D89" s="28"/>
      <c r="E89" s="28"/>
      <c r="F89" s="28"/>
      <c r="G89" s="28"/>
      <c r="H89" s="28"/>
      <c r="I89" s="28"/>
      <c r="J89" s="28"/>
      <c r="K89" s="28"/>
      <c r="L89" s="60">
        <v>-5</v>
      </c>
      <c r="M89" s="28"/>
      <c r="N89" s="131"/>
    </row>
    <row r="90" spans="1:14" ht="15.75">
      <c r="A90" s="27">
        <v>8</v>
      </c>
      <c r="B90" s="28" t="s">
        <v>61</v>
      </c>
      <c r="C90" s="28"/>
      <c r="D90" s="28"/>
      <c r="E90" s="28"/>
      <c r="F90" s="28"/>
      <c r="G90" s="28"/>
      <c r="H90" s="28"/>
      <c r="I90" s="28"/>
      <c r="J90" s="28"/>
      <c r="K90" s="28"/>
      <c r="L90" s="60">
        <v>0</v>
      </c>
      <c r="M90" s="28"/>
      <c r="N90" s="131"/>
    </row>
    <row r="91" spans="1:14" ht="15.75">
      <c r="A91" s="27">
        <v>9</v>
      </c>
      <c r="B91" s="28" t="s">
        <v>62</v>
      </c>
      <c r="C91" s="28"/>
      <c r="D91" s="28"/>
      <c r="E91" s="28"/>
      <c r="F91" s="28"/>
      <c r="G91" s="28"/>
      <c r="H91" s="28"/>
      <c r="I91" s="28"/>
      <c r="J91" s="28"/>
      <c r="K91" s="28"/>
      <c r="L91" s="60">
        <v>0</v>
      </c>
      <c r="M91" s="28"/>
      <c r="N91" s="131"/>
    </row>
    <row r="92" spans="1:14" ht="15.75">
      <c r="A92" s="27">
        <v>10</v>
      </c>
      <c r="B92" s="28" t="s">
        <v>63</v>
      </c>
      <c r="C92" s="28"/>
      <c r="D92" s="28"/>
      <c r="E92" s="28"/>
      <c r="F92" s="28"/>
      <c r="G92" s="28"/>
      <c r="H92" s="28"/>
      <c r="I92" s="28"/>
      <c r="J92" s="28"/>
      <c r="K92" s="28"/>
      <c r="L92" s="60">
        <v>0</v>
      </c>
      <c r="M92" s="28"/>
      <c r="N92" s="131"/>
    </row>
    <row r="93" spans="1:14" ht="15.75">
      <c r="A93" s="27">
        <v>11</v>
      </c>
      <c r="B93" s="28" t="s">
        <v>64</v>
      </c>
      <c r="C93" s="28"/>
      <c r="D93" s="28"/>
      <c r="E93" s="28"/>
      <c r="F93" s="28"/>
      <c r="G93" s="28"/>
      <c r="H93" s="28"/>
      <c r="I93" s="28"/>
      <c r="J93" s="28"/>
      <c r="K93" s="28"/>
      <c r="L93" s="60">
        <v>0</v>
      </c>
      <c r="M93" s="28"/>
      <c r="N93" s="131"/>
    </row>
    <row r="94" spans="1:14" ht="15.75">
      <c r="A94" s="27">
        <v>12</v>
      </c>
      <c r="B94" s="28" t="s">
        <v>65</v>
      </c>
      <c r="C94" s="28"/>
      <c r="D94" s="28"/>
      <c r="E94" s="28"/>
      <c r="F94" s="28"/>
      <c r="G94" s="28"/>
      <c r="H94" s="28"/>
      <c r="I94" s="28"/>
      <c r="J94" s="28"/>
      <c r="K94" s="28"/>
      <c r="L94" s="60">
        <v>0</v>
      </c>
      <c r="M94" s="28"/>
      <c r="N94" s="131"/>
    </row>
    <row r="95" spans="1:14" ht="15.75">
      <c r="A95" s="27">
        <v>13</v>
      </c>
      <c r="B95" s="28" t="s">
        <v>66</v>
      </c>
      <c r="C95" s="28"/>
      <c r="D95" s="28"/>
      <c r="E95" s="28"/>
      <c r="F95" s="28"/>
      <c r="G95" s="28"/>
      <c r="H95" s="28"/>
      <c r="I95" s="28"/>
      <c r="J95" s="28"/>
      <c r="K95" s="28"/>
      <c r="L95" s="60">
        <f>-SUM(L81:L94)</f>
        <v>-397</v>
      </c>
      <c r="M95" s="28"/>
      <c r="N95" s="131"/>
    </row>
    <row r="96" spans="1:14" ht="15.75">
      <c r="A96" s="27"/>
      <c r="B96" s="166" t="s">
        <v>67</v>
      </c>
      <c r="C96" s="66"/>
      <c r="D96" s="28"/>
      <c r="E96" s="28"/>
      <c r="F96" s="28"/>
      <c r="G96" s="28"/>
      <c r="H96" s="28"/>
      <c r="I96" s="28"/>
      <c r="J96" s="28"/>
      <c r="K96" s="28"/>
      <c r="L96" s="67"/>
      <c r="M96" s="28"/>
      <c r="N96" s="131"/>
    </row>
    <row r="97" spans="1:14" ht="15.75">
      <c r="A97" s="27"/>
      <c r="B97" s="28" t="s">
        <v>68</v>
      </c>
      <c r="C97" s="66"/>
      <c r="D97" s="28"/>
      <c r="E97" s="28"/>
      <c r="F97" s="28"/>
      <c r="G97" s="28"/>
      <c r="H97" s="28"/>
      <c r="I97" s="28"/>
      <c r="J97" s="38">
        <f>-J143</f>
        <v>0</v>
      </c>
      <c r="K97" s="38"/>
      <c r="L97" s="60"/>
      <c r="M97" s="28"/>
      <c r="N97" s="131"/>
    </row>
    <row r="98" spans="1:14" ht="15.75">
      <c r="A98" s="27"/>
      <c r="B98" s="28" t="s">
        <v>69</v>
      </c>
      <c r="C98" s="28"/>
      <c r="D98" s="28"/>
      <c r="E98" s="28"/>
      <c r="F98" s="28"/>
      <c r="G98" s="28"/>
      <c r="H98" s="28"/>
      <c r="I98" s="28"/>
      <c r="J98" s="38">
        <f>-H143</f>
        <v>0</v>
      </c>
      <c r="K98" s="38"/>
      <c r="L98" s="60"/>
      <c r="M98" s="28"/>
      <c r="N98" s="131"/>
    </row>
    <row r="99" spans="1:14" ht="15.75">
      <c r="A99" s="27"/>
      <c r="B99" s="28" t="s">
        <v>70</v>
      </c>
      <c r="C99" s="28"/>
      <c r="D99" s="28"/>
      <c r="E99" s="28"/>
      <c r="F99" s="28"/>
      <c r="G99" s="28"/>
      <c r="H99" s="28"/>
      <c r="I99" s="28"/>
      <c r="J99" s="38">
        <v>-5506</v>
      </c>
      <c r="K99" s="38"/>
      <c r="L99" s="60"/>
      <c r="M99" s="28"/>
      <c r="N99" s="131"/>
    </row>
    <row r="100" spans="1:14" ht="15.75">
      <c r="A100" s="27"/>
      <c r="B100" s="28" t="s">
        <v>71</v>
      </c>
      <c r="C100" s="28"/>
      <c r="D100" s="28"/>
      <c r="E100" s="28"/>
      <c r="F100" s="28"/>
      <c r="G100" s="28"/>
      <c r="H100" s="28"/>
      <c r="I100" s="28"/>
      <c r="J100" s="38">
        <v>0</v>
      </c>
      <c r="K100" s="38"/>
      <c r="L100" s="60"/>
      <c r="M100" s="28"/>
      <c r="N100" s="131"/>
    </row>
    <row r="101" spans="1:14" ht="15.75">
      <c r="A101" s="27"/>
      <c r="B101" s="28" t="s">
        <v>72</v>
      </c>
      <c r="C101" s="28"/>
      <c r="D101" s="28"/>
      <c r="E101" s="28"/>
      <c r="F101" s="28"/>
      <c r="G101" s="28"/>
      <c r="H101" s="28"/>
      <c r="I101" s="28"/>
      <c r="J101" s="38">
        <f>SUM(J82:J100)</f>
        <v>-5506</v>
      </c>
      <c r="K101" s="38"/>
      <c r="L101" s="38">
        <f>SUM(L82:L100)</f>
        <v>-1790</v>
      </c>
      <c r="M101" s="28"/>
      <c r="N101" s="131"/>
    </row>
    <row r="102" spans="1:14" ht="15.75">
      <c r="A102" s="27"/>
      <c r="B102" s="28" t="s">
        <v>73</v>
      </c>
      <c r="C102" s="28"/>
      <c r="D102" s="28"/>
      <c r="E102" s="28"/>
      <c r="F102" s="28"/>
      <c r="G102" s="28"/>
      <c r="H102" s="28"/>
      <c r="I102" s="28"/>
      <c r="J102" s="38">
        <f>J81+J101</f>
        <v>0</v>
      </c>
      <c r="K102" s="38"/>
      <c r="L102" s="38">
        <f>L81+L101</f>
        <v>0</v>
      </c>
      <c r="M102" s="28"/>
      <c r="N102" s="131"/>
    </row>
    <row r="103" spans="1:14" ht="15.75">
      <c r="A103" s="27"/>
      <c r="B103" s="28"/>
      <c r="C103" s="28"/>
      <c r="D103" s="28"/>
      <c r="E103" s="28"/>
      <c r="F103" s="28"/>
      <c r="G103" s="28"/>
      <c r="H103" s="28"/>
      <c r="I103" s="28"/>
      <c r="J103" s="38"/>
      <c r="K103" s="38"/>
      <c r="L103" s="38"/>
      <c r="M103" s="28"/>
      <c r="N103" s="131"/>
    </row>
    <row r="104" spans="1:14" ht="15.75">
      <c r="A104" s="8"/>
      <c r="B104" s="10"/>
      <c r="C104" s="10"/>
      <c r="D104" s="10"/>
      <c r="E104" s="10"/>
      <c r="F104" s="10"/>
      <c r="G104" s="10"/>
      <c r="H104" s="10"/>
      <c r="I104" s="10"/>
      <c r="J104" s="62"/>
      <c r="K104" s="62"/>
      <c r="L104" s="62"/>
      <c r="M104" s="10"/>
      <c r="N104" s="131"/>
    </row>
    <row r="105" spans="1:14" ht="19.5" thickBot="1">
      <c r="A105" s="138"/>
      <c r="B105" s="139" t="str">
        <f>B51</f>
        <v>PM1 INVESTOR REPORT QUARTER ENDING SEPTEMBER 2003</v>
      </c>
      <c r="C105" s="140"/>
      <c r="D105" s="140"/>
      <c r="E105" s="140"/>
      <c r="F105" s="140"/>
      <c r="G105" s="140"/>
      <c r="H105" s="140"/>
      <c r="I105" s="140"/>
      <c r="J105" s="143"/>
      <c r="K105" s="143"/>
      <c r="L105" s="143"/>
      <c r="M105" s="142"/>
      <c r="N105" s="131"/>
    </row>
    <row r="106" spans="1:14" ht="12" customHeight="1">
      <c r="A106" s="2"/>
      <c r="B106" s="5"/>
      <c r="C106" s="5"/>
      <c r="D106" s="5"/>
      <c r="E106" s="5"/>
      <c r="F106" s="5"/>
      <c r="G106" s="5"/>
      <c r="H106" s="5"/>
      <c r="I106" s="5"/>
      <c r="J106" s="5"/>
      <c r="K106" s="5"/>
      <c r="L106" s="57"/>
      <c r="M106" s="5"/>
      <c r="N106" s="131"/>
    </row>
    <row r="107" spans="1:14" ht="12" customHeight="1">
      <c r="A107" s="8"/>
      <c r="B107" s="10"/>
      <c r="C107" s="10"/>
      <c r="D107" s="10"/>
      <c r="E107" s="10"/>
      <c r="F107" s="10"/>
      <c r="G107" s="10"/>
      <c r="H107" s="10"/>
      <c r="I107" s="10"/>
      <c r="J107" s="10"/>
      <c r="K107" s="10"/>
      <c r="L107" s="59"/>
      <c r="M107" s="10"/>
      <c r="N107" s="131"/>
    </row>
    <row r="108" spans="1:14" ht="15.75">
      <c r="A108" s="8"/>
      <c r="B108" s="58" t="s">
        <v>74</v>
      </c>
      <c r="C108" s="16"/>
      <c r="D108" s="10"/>
      <c r="E108" s="10"/>
      <c r="F108" s="10"/>
      <c r="G108" s="10"/>
      <c r="H108" s="10"/>
      <c r="I108" s="10"/>
      <c r="J108" s="10"/>
      <c r="K108" s="10"/>
      <c r="L108" s="59"/>
      <c r="M108" s="10"/>
      <c r="N108" s="131"/>
    </row>
    <row r="109" spans="1:14" ht="15.75">
      <c r="A109" s="8"/>
      <c r="B109" s="23"/>
      <c r="C109" s="16"/>
      <c r="D109" s="10"/>
      <c r="E109" s="10"/>
      <c r="F109" s="10"/>
      <c r="G109" s="10"/>
      <c r="H109" s="10"/>
      <c r="I109" s="10"/>
      <c r="J109" s="10"/>
      <c r="K109" s="10"/>
      <c r="L109" s="59"/>
      <c r="M109" s="10"/>
      <c r="N109" s="131"/>
    </row>
    <row r="110" spans="1:14" ht="15.75">
      <c r="A110" s="8"/>
      <c r="B110" s="167" t="s">
        <v>75</v>
      </c>
      <c r="C110" s="16"/>
      <c r="D110" s="10"/>
      <c r="E110" s="10"/>
      <c r="F110" s="10"/>
      <c r="G110" s="10"/>
      <c r="H110" s="10"/>
      <c r="I110" s="10"/>
      <c r="J110" s="10"/>
      <c r="K110" s="10"/>
      <c r="L110" s="59"/>
      <c r="M110" s="10"/>
      <c r="N110" s="131"/>
    </row>
    <row r="111" spans="1:14" ht="15.75">
      <c r="A111" s="27"/>
      <c r="B111" s="28" t="s">
        <v>76</v>
      </c>
      <c r="C111" s="28"/>
      <c r="D111" s="28"/>
      <c r="E111" s="28"/>
      <c r="F111" s="28"/>
      <c r="G111" s="28"/>
      <c r="H111" s="28"/>
      <c r="I111" s="28"/>
      <c r="J111" s="28"/>
      <c r="K111" s="28"/>
      <c r="L111" s="60">
        <v>4625</v>
      </c>
      <c r="M111" s="28"/>
      <c r="N111" s="131"/>
    </row>
    <row r="112" spans="1:14" ht="15.75">
      <c r="A112" s="27"/>
      <c r="B112" s="28" t="s">
        <v>77</v>
      </c>
      <c r="C112" s="28"/>
      <c r="D112" s="28"/>
      <c r="E112" s="28"/>
      <c r="F112" s="28"/>
      <c r="G112" s="28"/>
      <c r="H112" s="28"/>
      <c r="I112" s="28"/>
      <c r="J112" s="28"/>
      <c r="K112" s="28"/>
      <c r="L112" s="60">
        <v>4625</v>
      </c>
      <c r="M112" s="28"/>
      <c r="N112" s="131"/>
    </row>
    <row r="113" spans="1:14" ht="15.75">
      <c r="A113" s="27"/>
      <c r="B113" s="28" t="s">
        <v>78</v>
      </c>
      <c r="C113" s="28"/>
      <c r="D113" s="28"/>
      <c r="E113" s="28"/>
      <c r="F113" s="28"/>
      <c r="G113" s="28"/>
      <c r="H113" s="28"/>
      <c r="I113" s="28"/>
      <c r="J113" s="28"/>
      <c r="K113" s="28"/>
      <c r="L113" s="60">
        <v>0</v>
      </c>
      <c r="M113" s="28"/>
      <c r="N113" s="131"/>
    </row>
    <row r="114" spans="1:14" ht="15.75">
      <c r="A114" s="27"/>
      <c r="B114" s="28" t="s">
        <v>79</v>
      </c>
      <c r="C114" s="28"/>
      <c r="D114" s="28"/>
      <c r="E114" s="28"/>
      <c r="F114" s="28"/>
      <c r="G114" s="28"/>
      <c r="H114" s="28"/>
      <c r="I114" s="28"/>
      <c r="J114" s="28"/>
      <c r="K114" s="28"/>
      <c r="L114" s="60">
        <v>0</v>
      </c>
      <c r="M114" s="28"/>
      <c r="N114" s="131"/>
    </row>
    <row r="115" spans="1:14" ht="15.75">
      <c r="A115" s="27"/>
      <c r="B115" s="28" t="s">
        <v>80</v>
      </c>
      <c r="C115" s="28"/>
      <c r="D115" s="28"/>
      <c r="E115" s="28"/>
      <c r="F115" s="28"/>
      <c r="G115" s="28"/>
      <c r="H115" s="28"/>
      <c r="I115" s="28"/>
      <c r="J115" s="28"/>
      <c r="K115" s="28"/>
      <c r="L115" s="60">
        <v>0</v>
      </c>
      <c r="M115" s="28"/>
      <c r="N115" s="131"/>
    </row>
    <row r="116" spans="1:14" ht="15.75">
      <c r="A116" s="27"/>
      <c r="B116" s="28" t="s">
        <v>58</v>
      </c>
      <c r="C116" s="28"/>
      <c r="D116" s="28"/>
      <c r="E116" s="28"/>
      <c r="F116" s="28"/>
      <c r="G116" s="28"/>
      <c r="H116" s="28"/>
      <c r="I116" s="28"/>
      <c r="J116" s="28"/>
      <c r="K116" s="28"/>
      <c r="L116" s="60">
        <v>0</v>
      </c>
      <c r="M116" s="28"/>
      <c r="N116" s="131"/>
    </row>
    <row r="117" spans="1:14" ht="15.75">
      <c r="A117" s="27"/>
      <c r="B117" s="28" t="s">
        <v>59</v>
      </c>
      <c r="C117" s="28"/>
      <c r="D117" s="28"/>
      <c r="E117" s="28"/>
      <c r="F117" s="28"/>
      <c r="G117" s="28"/>
      <c r="H117" s="28"/>
      <c r="I117" s="28"/>
      <c r="J117" s="28"/>
      <c r="K117" s="28"/>
      <c r="L117" s="60">
        <v>0</v>
      </c>
      <c r="M117" s="28"/>
      <c r="N117" s="131"/>
    </row>
    <row r="118" spans="1:14" ht="15.75">
      <c r="A118" s="27"/>
      <c r="B118" s="28" t="s">
        <v>81</v>
      </c>
      <c r="C118" s="28"/>
      <c r="D118" s="28"/>
      <c r="E118" s="28"/>
      <c r="F118" s="28"/>
      <c r="G118" s="28"/>
      <c r="H118" s="28"/>
      <c r="I118" s="28"/>
      <c r="J118" s="28"/>
      <c r="K118" s="28"/>
      <c r="L118" s="60">
        <f>SUM(L112:L116)</f>
        <v>4625</v>
      </c>
      <c r="M118" s="28"/>
      <c r="N118" s="131"/>
    </row>
    <row r="119" spans="1:14" ht="15.75">
      <c r="A119" s="27"/>
      <c r="B119" s="28"/>
      <c r="C119" s="28"/>
      <c r="D119" s="28"/>
      <c r="E119" s="28"/>
      <c r="F119" s="28"/>
      <c r="G119" s="28"/>
      <c r="H119" s="28"/>
      <c r="I119" s="28"/>
      <c r="J119" s="28"/>
      <c r="K119" s="28"/>
      <c r="L119" s="68"/>
      <c r="M119" s="28"/>
      <c r="N119" s="131"/>
    </row>
    <row r="120" spans="1:14" ht="15.75">
      <c r="A120" s="8"/>
      <c r="B120" s="167" t="s">
        <v>82</v>
      </c>
      <c r="C120" s="10"/>
      <c r="D120" s="10"/>
      <c r="E120" s="10"/>
      <c r="F120" s="10"/>
      <c r="G120" s="10"/>
      <c r="H120" s="10"/>
      <c r="I120" s="10"/>
      <c r="J120" s="10"/>
      <c r="K120" s="10"/>
      <c r="L120" s="59"/>
      <c r="M120" s="10"/>
      <c r="N120" s="131"/>
    </row>
    <row r="121" spans="1:14" ht="15.75">
      <c r="A121" s="27"/>
      <c r="B121" s="28" t="s">
        <v>83</v>
      </c>
      <c r="C121" s="28"/>
      <c r="D121" s="69"/>
      <c r="E121" s="28"/>
      <c r="F121" s="28"/>
      <c r="G121" s="28"/>
      <c r="H121" s="28"/>
      <c r="I121" s="28"/>
      <c r="J121" s="28"/>
      <c r="K121" s="28"/>
      <c r="L121" s="70" t="s">
        <v>156</v>
      </c>
      <c r="M121" s="28"/>
      <c r="N121" s="131"/>
    </row>
    <row r="122" spans="1:14" ht="15.75">
      <c r="A122" s="27"/>
      <c r="B122" s="28" t="s">
        <v>84</v>
      </c>
      <c r="C122" s="147"/>
      <c r="D122" s="147"/>
      <c r="E122" s="147"/>
      <c r="F122" s="147"/>
      <c r="G122" s="147"/>
      <c r="H122" s="147"/>
      <c r="I122" s="147"/>
      <c r="J122" s="147"/>
      <c r="K122" s="147"/>
      <c r="L122" s="70" t="s">
        <v>156</v>
      </c>
      <c r="M122" s="28"/>
      <c r="N122" s="131"/>
    </row>
    <row r="123" spans="1:14" ht="15.75">
      <c r="A123" s="27"/>
      <c r="B123" s="28" t="s">
        <v>85</v>
      </c>
      <c r="C123" s="28"/>
      <c r="D123" s="28"/>
      <c r="E123" s="28"/>
      <c r="F123" s="28"/>
      <c r="G123" s="28"/>
      <c r="H123" s="28"/>
      <c r="I123" s="28"/>
      <c r="J123" s="28"/>
      <c r="K123" s="28"/>
      <c r="L123" s="70" t="s">
        <v>156</v>
      </c>
      <c r="M123" s="28"/>
      <c r="N123" s="131"/>
    </row>
    <row r="124" spans="1:14" ht="15.75">
      <c r="A124" s="27"/>
      <c r="B124" s="28" t="s">
        <v>86</v>
      </c>
      <c r="C124" s="28"/>
      <c r="D124" s="28"/>
      <c r="E124" s="28"/>
      <c r="F124" s="28"/>
      <c r="G124" s="28"/>
      <c r="H124" s="28"/>
      <c r="I124" s="28"/>
      <c r="J124" s="28"/>
      <c r="K124" s="28"/>
      <c r="L124" s="70" t="s">
        <v>156</v>
      </c>
      <c r="M124" s="28"/>
      <c r="N124" s="131"/>
    </row>
    <row r="125" spans="1:14" ht="15.75">
      <c r="A125" s="27"/>
      <c r="B125" s="28"/>
      <c r="C125" s="28"/>
      <c r="D125" s="28"/>
      <c r="E125" s="28"/>
      <c r="F125" s="28"/>
      <c r="G125" s="28"/>
      <c r="H125" s="28"/>
      <c r="I125" s="28"/>
      <c r="J125" s="28"/>
      <c r="K125" s="28"/>
      <c r="L125" s="68"/>
      <c r="M125" s="28"/>
      <c r="N125" s="131"/>
    </row>
    <row r="126" spans="1:14" ht="15.75">
      <c r="A126" s="8"/>
      <c r="B126" s="167" t="s">
        <v>87</v>
      </c>
      <c r="C126" s="16"/>
      <c r="D126" s="10"/>
      <c r="E126" s="10"/>
      <c r="F126" s="10"/>
      <c r="G126" s="10"/>
      <c r="H126" s="10"/>
      <c r="I126" s="10"/>
      <c r="J126" s="10"/>
      <c r="K126" s="10"/>
      <c r="L126" s="71"/>
      <c r="M126" s="10"/>
      <c r="N126" s="131"/>
    </row>
    <row r="127" spans="1:14" ht="15.75">
      <c r="A127" s="27"/>
      <c r="B127" s="28" t="s">
        <v>88</v>
      </c>
      <c r="C127" s="28"/>
      <c r="D127" s="28"/>
      <c r="E127" s="28"/>
      <c r="F127" s="28"/>
      <c r="G127" s="28"/>
      <c r="H127" s="28"/>
      <c r="I127" s="28"/>
      <c r="J127" s="28"/>
      <c r="K127" s="28"/>
      <c r="L127" s="60">
        <v>0</v>
      </c>
      <c r="M127" s="28"/>
      <c r="N127" s="131"/>
    </row>
    <row r="128" spans="1:14" ht="15.75">
      <c r="A128" s="27"/>
      <c r="B128" s="28" t="s">
        <v>89</v>
      </c>
      <c r="C128" s="28"/>
      <c r="D128" s="28"/>
      <c r="E128" s="28"/>
      <c r="F128" s="28"/>
      <c r="G128" s="28"/>
      <c r="H128" s="28"/>
      <c r="I128" s="28"/>
      <c r="J128" s="28"/>
      <c r="K128" s="28"/>
      <c r="L128" s="60">
        <v>0</v>
      </c>
      <c r="M128" s="28"/>
      <c r="N128" s="131"/>
    </row>
    <row r="129" spans="1:14" ht="15.75">
      <c r="A129" s="27"/>
      <c r="B129" s="28" t="s">
        <v>90</v>
      </c>
      <c r="C129" s="28"/>
      <c r="D129" s="28"/>
      <c r="E129" s="28"/>
      <c r="F129" s="28"/>
      <c r="G129" s="28"/>
      <c r="H129" s="28"/>
      <c r="I129" s="28"/>
      <c r="J129" s="28"/>
      <c r="K129" s="28"/>
      <c r="L129" s="60">
        <f>L127+L128</f>
        <v>0</v>
      </c>
      <c r="M129" s="28"/>
      <c r="N129" s="131"/>
    </row>
    <row r="130" spans="1:14" ht="15.75">
      <c r="A130" s="27"/>
      <c r="B130" s="28" t="s">
        <v>91</v>
      </c>
      <c r="C130" s="28"/>
      <c r="D130" s="28"/>
      <c r="E130" s="28"/>
      <c r="F130" s="28"/>
      <c r="G130" s="28"/>
      <c r="H130" s="72"/>
      <c r="I130" s="28"/>
      <c r="J130" s="28"/>
      <c r="K130" s="28"/>
      <c r="L130" s="60">
        <v>0</v>
      </c>
      <c r="M130" s="28"/>
      <c r="N130" s="131"/>
    </row>
    <row r="131" spans="1:14" ht="15.75">
      <c r="A131" s="27"/>
      <c r="B131" s="28" t="s">
        <v>92</v>
      </c>
      <c r="C131" s="28"/>
      <c r="D131" s="28"/>
      <c r="E131" s="28"/>
      <c r="F131" s="28"/>
      <c r="G131" s="28"/>
      <c r="H131" s="28"/>
      <c r="I131" s="28"/>
      <c r="J131" s="28"/>
      <c r="K131" s="28"/>
      <c r="L131" s="60">
        <f>L129+L130</f>
        <v>0</v>
      </c>
      <c r="M131" s="28"/>
      <c r="N131" s="131"/>
    </row>
    <row r="132" spans="1:14" ht="7.5" customHeight="1">
      <c r="A132" s="27"/>
      <c r="B132" s="28"/>
      <c r="C132" s="28"/>
      <c r="D132" s="28"/>
      <c r="E132" s="28"/>
      <c r="F132" s="28"/>
      <c r="G132" s="28"/>
      <c r="H132" s="28"/>
      <c r="I132" s="28"/>
      <c r="J132" s="28"/>
      <c r="K132" s="28"/>
      <c r="L132" s="68"/>
      <c r="M132" s="28"/>
      <c r="N132" s="131"/>
    </row>
    <row r="133" spans="1:14" ht="6" customHeight="1">
      <c r="A133" s="2"/>
      <c r="B133" s="5"/>
      <c r="C133" s="5"/>
      <c r="D133" s="5"/>
      <c r="E133" s="5"/>
      <c r="F133" s="5"/>
      <c r="G133" s="5"/>
      <c r="H133" s="5"/>
      <c r="I133" s="5"/>
      <c r="J133" s="5"/>
      <c r="K133" s="5"/>
      <c r="L133" s="57"/>
      <c r="M133" s="5"/>
      <c r="N133" s="131"/>
    </row>
    <row r="134" spans="1:14" ht="15.75">
      <c r="A134" s="8"/>
      <c r="B134" s="167" t="s">
        <v>93</v>
      </c>
      <c r="C134" s="16"/>
      <c r="D134" s="10"/>
      <c r="E134" s="10"/>
      <c r="F134" s="10"/>
      <c r="G134" s="10"/>
      <c r="H134" s="10"/>
      <c r="I134" s="10"/>
      <c r="J134" s="10"/>
      <c r="K134" s="10"/>
      <c r="L134" s="59"/>
      <c r="M134" s="10"/>
      <c r="N134" s="131"/>
    </row>
    <row r="135" spans="1:14" ht="15.75">
      <c r="A135" s="8"/>
      <c r="B135" s="23"/>
      <c r="C135" s="16"/>
      <c r="D135" s="10"/>
      <c r="E135" s="10"/>
      <c r="F135" s="10"/>
      <c r="G135" s="10"/>
      <c r="H135" s="10"/>
      <c r="I135" s="10"/>
      <c r="J135" s="10"/>
      <c r="K135" s="10"/>
      <c r="L135" s="59"/>
      <c r="M135" s="10"/>
      <c r="N135" s="131"/>
    </row>
    <row r="136" spans="1:14" ht="15.75">
      <c r="A136" s="27"/>
      <c r="B136" s="28" t="s">
        <v>94</v>
      </c>
      <c r="C136" s="73"/>
      <c r="D136" s="28"/>
      <c r="E136" s="28"/>
      <c r="F136" s="28"/>
      <c r="G136" s="28"/>
      <c r="H136" s="28"/>
      <c r="I136" s="28"/>
      <c r="J136" s="28"/>
      <c r="K136" s="28"/>
      <c r="L136" s="60">
        <f>L59</f>
        <v>107789</v>
      </c>
      <c r="M136" s="28"/>
      <c r="N136" s="131"/>
    </row>
    <row r="137" spans="1:15" ht="15.75">
      <c r="A137" s="27"/>
      <c r="B137" s="28" t="s">
        <v>95</v>
      </c>
      <c r="C137" s="73"/>
      <c r="D137" s="28"/>
      <c r="E137" s="28"/>
      <c r="F137" s="28"/>
      <c r="G137" s="28"/>
      <c r="H137" s="28"/>
      <c r="I137" s="28"/>
      <c r="J137" s="28"/>
      <c r="K137" s="28"/>
      <c r="L137" s="60">
        <f>L71</f>
        <v>107789</v>
      </c>
      <c r="M137" s="28"/>
      <c r="N137" s="131"/>
      <c r="O137" s="137"/>
    </row>
    <row r="138" spans="1:14" ht="7.5" customHeight="1">
      <c r="A138" s="27"/>
      <c r="B138" s="28"/>
      <c r="C138" s="28"/>
      <c r="D138" s="28"/>
      <c r="E138" s="28"/>
      <c r="F138" s="28"/>
      <c r="G138" s="28"/>
      <c r="H138" s="28"/>
      <c r="I138" s="28"/>
      <c r="J138" s="28"/>
      <c r="K138" s="28"/>
      <c r="L138" s="68"/>
      <c r="M138" s="28"/>
      <c r="N138" s="131"/>
    </row>
    <row r="139" spans="1:14" ht="15.75">
      <c r="A139" s="2"/>
      <c r="B139" s="5"/>
      <c r="C139" s="5"/>
      <c r="D139" s="5"/>
      <c r="E139" s="5"/>
      <c r="F139" s="5"/>
      <c r="G139" s="5"/>
      <c r="H139" s="5"/>
      <c r="I139" s="5"/>
      <c r="J139" s="5"/>
      <c r="K139" s="5"/>
      <c r="L139" s="57"/>
      <c r="M139" s="5"/>
      <c r="N139" s="131"/>
    </row>
    <row r="140" spans="1:14" ht="15.75">
      <c r="A140" s="132"/>
      <c r="B140" s="167" t="s">
        <v>96</v>
      </c>
      <c r="C140" s="154"/>
      <c r="D140" s="154"/>
      <c r="E140" s="154"/>
      <c r="F140" s="154"/>
      <c r="G140" s="154"/>
      <c r="H140" s="168" t="s">
        <v>171</v>
      </c>
      <c r="I140" s="168"/>
      <c r="J140" s="168" t="s">
        <v>178</v>
      </c>
      <c r="K140" s="154"/>
      <c r="L140" s="169" t="s">
        <v>191</v>
      </c>
      <c r="M140" s="12"/>
      <c r="N140" s="131"/>
    </row>
    <row r="141" spans="1:14" ht="15.75">
      <c r="A141" s="27"/>
      <c r="B141" s="28" t="s">
        <v>97</v>
      </c>
      <c r="C141" s="28"/>
      <c r="D141" s="28"/>
      <c r="E141" s="28"/>
      <c r="F141" s="28"/>
      <c r="G141" s="28"/>
      <c r="H141" s="60">
        <v>20000</v>
      </c>
      <c r="I141" s="28"/>
      <c r="J141" s="47"/>
      <c r="K141" s="28"/>
      <c r="L141" s="60"/>
      <c r="M141" s="28"/>
      <c r="N141" s="131"/>
    </row>
    <row r="142" spans="1:14" ht="15.75">
      <c r="A142" s="27"/>
      <c r="B142" s="28" t="s">
        <v>98</v>
      </c>
      <c r="C142" s="28"/>
      <c r="D142" s="28"/>
      <c r="E142" s="28"/>
      <c r="F142" s="28"/>
      <c r="G142" s="28"/>
      <c r="H142" s="60">
        <v>19448</v>
      </c>
      <c r="I142" s="28"/>
      <c r="J142" s="28">
        <v>552</v>
      </c>
      <c r="K142" s="28"/>
      <c r="L142" s="60">
        <f>J142+H142</f>
        <v>20000</v>
      </c>
      <c r="M142" s="28"/>
      <c r="N142" s="131"/>
    </row>
    <row r="143" spans="1:14" ht="15.75">
      <c r="A143" s="27"/>
      <c r="B143" s="28" t="s">
        <v>99</v>
      </c>
      <c r="C143" s="28"/>
      <c r="D143" s="28"/>
      <c r="E143" s="28"/>
      <c r="F143" s="28"/>
      <c r="G143" s="28"/>
      <c r="H143" s="38">
        <v>0</v>
      </c>
      <c r="I143" s="28"/>
      <c r="J143" s="28">
        <v>0</v>
      </c>
      <c r="K143" s="28"/>
      <c r="L143" s="60">
        <f>J143+H143</f>
        <v>0</v>
      </c>
      <c r="M143" s="28"/>
      <c r="N143" s="131"/>
    </row>
    <row r="144" spans="1:14" ht="15.75">
      <c r="A144" s="27"/>
      <c r="B144" s="28" t="s">
        <v>100</v>
      </c>
      <c r="C144" s="28"/>
      <c r="D144" s="28"/>
      <c r="E144" s="28"/>
      <c r="F144" s="28"/>
      <c r="G144" s="28"/>
      <c r="H144" s="60">
        <f>H142+H143</f>
        <v>19448</v>
      </c>
      <c r="I144" s="28"/>
      <c r="J144" s="60">
        <f>J143+J142</f>
        <v>552</v>
      </c>
      <c r="K144" s="28"/>
      <c r="L144" s="60">
        <f>J144+H144</f>
        <v>20000</v>
      </c>
      <c r="M144" s="28"/>
      <c r="N144" s="131"/>
    </row>
    <row r="145" spans="1:14" ht="15.75">
      <c r="A145" s="27"/>
      <c r="B145" s="28" t="s">
        <v>101</v>
      </c>
      <c r="C145" s="28"/>
      <c r="D145" s="28"/>
      <c r="E145" s="28"/>
      <c r="F145" s="28"/>
      <c r="G145" s="28"/>
      <c r="H145" s="60">
        <f>H141-H144-J144</f>
        <v>0</v>
      </c>
      <c r="I145" s="28"/>
      <c r="J145" s="47"/>
      <c r="K145" s="28"/>
      <c r="L145" s="60"/>
      <c r="M145" s="28"/>
      <c r="N145" s="131"/>
    </row>
    <row r="146" spans="1:14" ht="7.5" customHeight="1">
      <c r="A146" s="27"/>
      <c r="B146" s="28"/>
      <c r="C146" s="28"/>
      <c r="D146" s="28"/>
      <c r="E146" s="28"/>
      <c r="F146" s="28"/>
      <c r="G146" s="28"/>
      <c r="H146" s="28"/>
      <c r="I146" s="28"/>
      <c r="J146" s="28"/>
      <c r="K146" s="28"/>
      <c r="L146" s="68"/>
      <c r="M146" s="28"/>
      <c r="N146" s="131"/>
    </row>
    <row r="147" spans="1:14" ht="9" customHeight="1">
      <c r="A147" s="2"/>
      <c r="B147" s="5"/>
      <c r="C147" s="5"/>
      <c r="D147" s="5"/>
      <c r="E147" s="5"/>
      <c r="F147" s="5"/>
      <c r="G147" s="5"/>
      <c r="H147" s="5"/>
      <c r="I147" s="5"/>
      <c r="J147" s="5"/>
      <c r="K147" s="5"/>
      <c r="L147" s="57"/>
      <c r="M147" s="5"/>
      <c r="N147" s="131"/>
    </row>
    <row r="148" spans="1:14" ht="15.75">
      <c r="A148" s="8"/>
      <c r="B148" s="167" t="s">
        <v>102</v>
      </c>
      <c r="C148" s="16"/>
      <c r="D148" s="10"/>
      <c r="E148" s="10"/>
      <c r="F148" s="10"/>
      <c r="G148" s="10"/>
      <c r="H148" s="10"/>
      <c r="I148" s="10"/>
      <c r="J148" s="10"/>
      <c r="K148" s="10"/>
      <c r="L148" s="74"/>
      <c r="M148" s="10"/>
      <c r="N148" s="131"/>
    </row>
    <row r="149" spans="1:14" ht="15.75">
      <c r="A149" s="27"/>
      <c r="B149" s="28" t="s">
        <v>103</v>
      </c>
      <c r="C149" s="28"/>
      <c r="D149" s="28"/>
      <c r="E149" s="28"/>
      <c r="F149" s="28"/>
      <c r="G149" s="28"/>
      <c r="H149" s="28"/>
      <c r="I149" s="28"/>
      <c r="J149" s="28"/>
      <c r="K149" s="28"/>
      <c r="L149" s="67">
        <f>(L81+L83+L84+L85+L86)/-L87</f>
        <v>1.6470588235294117</v>
      </c>
      <c r="M149" s="28" t="s">
        <v>192</v>
      </c>
      <c r="N149" s="131"/>
    </row>
    <row r="150" spans="1:14" ht="15.75">
      <c r="A150" s="27"/>
      <c r="B150" s="28" t="s">
        <v>104</v>
      </c>
      <c r="C150" s="28"/>
      <c r="D150" s="28"/>
      <c r="E150" s="28"/>
      <c r="F150" s="28"/>
      <c r="G150" s="28"/>
      <c r="H150" s="28"/>
      <c r="I150" s="28"/>
      <c r="J150" s="28"/>
      <c r="K150" s="28"/>
      <c r="L150" s="67">
        <v>1.43</v>
      </c>
      <c r="M150" s="28" t="s">
        <v>192</v>
      </c>
      <c r="N150" s="131"/>
    </row>
    <row r="151" spans="1:14" ht="15.75">
      <c r="A151" s="27"/>
      <c r="B151" s="28" t="s">
        <v>105</v>
      </c>
      <c r="C151" s="28"/>
      <c r="D151" s="28"/>
      <c r="E151" s="28"/>
      <c r="F151" s="28"/>
      <c r="G151" s="28"/>
      <c r="H151" s="28"/>
      <c r="I151" s="28"/>
      <c r="J151" s="28"/>
      <c r="K151" s="28"/>
      <c r="L151" s="67">
        <f>(L81+SUM(L83:L87))/-L88</f>
        <v>3.2209944751381214</v>
      </c>
      <c r="M151" s="28" t="s">
        <v>192</v>
      </c>
      <c r="N151" s="131"/>
    </row>
    <row r="152" spans="1:14" ht="15.75">
      <c r="A152" s="27"/>
      <c r="B152" s="28" t="s">
        <v>106</v>
      </c>
      <c r="C152" s="28"/>
      <c r="D152" s="28"/>
      <c r="E152" s="28"/>
      <c r="F152" s="28"/>
      <c r="G152" s="28"/>
      <c r="H152" s="28"/>
      <c r="I152" s="28"/>
      <c r="J152" s="28"/>
      <c r="K152" s="28"/>
      <c r="L152" s="75">
        <v>3.3</v>
      </c>
      <c r="M152" s="28" t="s">
        <v>192</v>
      </c>
      <c r="N152" s="131"/>
    </row>
    <row r="153" spans="1:14" ht="7.5" customHeight="1">
      <c r="A153" s="27"/>
      <c r="B153" s="28"/>
      <c r="C153" s="28"/>
      <c r="D153" s="28"/>
      <c r="E153" s="28"/>
      <c r="F153" s="28"/>
      <c r="G153" s="28"/>
      <c r="H153" s="28"/>
      <c r="I153" s="28"/>
      <c r="J153" s="28"/>
      <c r="K153" s="28"/>
      <c r="L153" s="28"/>
      <c r="M153" s="28"/>
      <c r="N153" s="131"/>
    </row>
    <row r="154" spans="1:14" ht="15.75">
      <c r="A154" s="8"/>
      <c r="B154" s="146"/>
      <c r="C154" s="146"/>
      <c r="D154" s="146"/>
      <c r="E154" s="146"/>
      <c r="F154" s="146"/>
      <c r="G154" s="146"/>
      <c r="H154" s="146"/>
      <c r="I154" s="146"/>
      <c r="J154" s="146"/>
      <c r="K154" s="146"/>
      <c r="L154" s="146"/>
      <c r="M154" s="146"/>
      <c r="N154" s="131"/>
    </row>
    <row r="155" spans="1:14" ht="15.75">
      <c r="A155" s="8"/>
      <c r="B155" s="146"/>
      <c r="C155" s="146"/>
      <c r="D155" s="146"/>
      <c r="E155" s="146"/>
      <c r="F155" s="146"/>
      <c r="G155" s="146"/>
      <c r="H155" s="146"/>
      <c r="I155" s="146"/>
      <c r="J155" s="146"/>
      <c r="K155" s="146"/>
      <c r="L155" s="146"/>
      <c r="M155" s="146"/>
      <c r="N155" s="131"/>
    </row>
    <row r="156" spans="1:14" ht="19.5" thickBot="1">
      <c r="A156" s="138"/>
      <c r="B156" s="139" t="str">
        <f>B105</f>
        <v>PM1 INVESTOR REPORT QUARTER ENDING SEPTEMBER 2003</v>
      </c>
      <c r="C156" s="150"/>
      <c r="D156" s="150"/>
      <c r="E156" s="150"/>
      <c r="F156" s="150"/>
      <c r="G156" s="150"/>
      <c r="H156" s="150"/>
      <c r="I156" s="150"/>
      <c r="J156" s="150"/>
      <c r="K156" s="150"/>
      <c r="L156" s="150"/>
      <c r="M156" s="151"/>
      <c r="N156" s="131"/>
    </row>
    <row r="157" spans="1:14" ht="15.75">
      <c r="A157" s="133"/>
      <c r="B157" s="77" t="s">
        <v>107</v>
      </c>
      <c r="C157" s="78"/>
      <c r="D157" s="78"/>
      <c r="E157" s="78"/>
      <c r="F157" s="78"/>
      <c r="G157" s="79"/>
      <c r="H157" s="79"/>
      <c r="I157" s="79"/>
      <c r="J157" s="79">
        <v>37894</v>
      </c>
      <c r="K157" s="80"/>
      <c r="L157" s="5"/>
      <c r="M157" s="5"/>
      <c r="N157" s="131"/>
    </row>
    <row r="158" spans="1:14" ht="15.75">
      <c r="A158" s="82"/>
      <c r="B158" s="83"/>
      <c r="C158" s="84"/>
      <c r="D158" s="84"/>
      <c r="E158" s="84"/>
      <c r="F158" s="84"/>
      <c r="G158" s="85"/>
      <c r="H158" s="85"/>
      <c r="I158" s="85"/>
      <c r="J158" s="85"/>
      <c r="K158" s="10"/>
      <c r="L158" s="10"/>
      <c r="M158" s="10"/>
      <c r="N158" s="131"/>
    </row>
    <row r="159" spans="1:14" ht="15.75">
      <c r="A159" s="86"/>
      <c r="B159" s="87" t="s">
        <v>108</v>
      </c>
      <c r="C159" s="88"/>
      <c r="D159" s="88"/>
      <c r="E159" s="88"/>
      <c r="F159" s="88"/>
      <c r="G159" s="72"/>
      <c r="H159" s="72"/>
      <c r="I159" s="72"/>
      <c r="J159" s="89">
        <v>0.0714</v>
      </c>
      <c r="K159" s="28"/>
      <c r="L159" s="28"/>
      <c r="M159" s="28"/>
      <c r="N159" s="131"/>
    </row>
    <row r="160" spans="1:14" ht="15.75">
      <c r="A160" s="86"/>
      <c r="B160" s="87" t="s">
        <v>109</v>
      </c>
      <c r="C160" s="88"/>
      <c r="D160" s="88"/>
      <c r="E160" s="88"/>
      <c r="F160" s="88"/>
      <c r="G160" s="72"/>
      <c r="H160" s="72"/>
      <c r="I160" s="72"/>
      <c r="J160" s="46">
        <v>0.0553</v>
      </c>
      <c r="K160" s="28"/>
      <c r="L160" s="28"/>
      <c r="M160" s="28"/>
      <c r="N160" s="131"/>
    </row>
    <row r="161" spans="1:14" ht="15.75">
      <c r="A161" s="86"/>
      <c r="B161" s="87" t="s">
        <v>110</v>
      </c>
      <c r="C161" s="88"/>
      <c r="D161" s="88"/>
      <c r="E161" s="88"/>
      <c r="F161" s="88"/>
      <c r="G161" s="72"/>
      <c r="H161" s="72"/>
      <c r="I161" s="72"/>
      <c r="J161" s="89">
        <f>J159-J160</f>
        <v>0.016100000000000003</v>
      </c>
      <c r="K161" s="28"/>
      <c r="L161" s="28"/>
      <c r="M161" s="28"/>
      <c r="N161" s="131"/>
    </row>
    <row r="162" spans="1:14" ht="15.75">
      <c r="A162" s="86"/>
      <c r="B162" s="87" t="s">
        <v>111</v>
      </c>
      <c r="C162" s="88"/>
      <c r="D162" s="88"/>
      <c r="E162" s="88"/>
      <c r="F162" s="88"/>
      <c r="G162" s="72"/>
      <c r="H162" s="72"/>
      <c r="I162" s="72"/>
      <c r="J162" s="89">
        <v>0.0602</v>
      </c>
      <c r="K162" s="28"/>
      <c r="L162" s="28"/>
      <c r="M162" s="28"/>
      <c r="N162" s="131"/>
    </row>
    <row r="163" spans="1:14" ht="15.75">
      <c r="A163" s="86"/>
      <c r="B163" s="87" t="s">
        <v>112</v>
      </c>
      <c r="C163" s="88"/>
      <c r="D163" s="88"/>
      <c r="E163" s="88"/>
      <c r="F163" s="88"/>
      <c r="G163" s="72"/>
      <c r="H163" s="72"/>
      <c r="I163" s="72"/>
      <c r="J163" s="89">
        <f>L33</f>
        <v>0.037914666832897626</v>
      </c>
      <c r="K163" s="28"/>
      <c r="L163" s="28"/>
      <c r="M163" s="28"/>
      <c r="N163" s="131"/>
    </row>
    <row r="164" spans="1:14" ht="15.75">
      <c r="A164" s="86"/>
      <c r="B164" s="87" t="s">
        <v>113</v>
      </c>
      <c r="C164" s="88"/>
      <c r="D164" s="88"/>
      <c r="E164" s="88"/>
      <c r="F164" s="88"/>
      <c r="G164" s="72"/>
      <c r="H164" s="72"/>
      <c r="I164" s="72"/>
      <c r="J164" s="89">
        <f>J162-J163</f>
        <v>0.02228533316710237</v>
      </c>
      <c r="K164" s="28"/>
      <c r="L164" s="28"/>
      <c r="M164" s="28"/>
      <c r="N164" s="131"/>
    </row>
    <row r="165" spans="1:14" ht="15.75">
      <c r="A165" s="86"/>
      <c r="B165" s="87" t="s">
        <v>114</v>
      </c>
      <c r="C165" s="88"/>
      <c r="D165" s="88"/>
      <c r="E165" s="88"/>
      <c r="F165" s="88"/>
      <c r="G165" s="72"/>
      <c r="H165" s="72"/>
      <c r="I165" s="72"/>
      <c r="J165" s="90" t="s">
        <v>179</v>
      </c>
      <c r="K165" s="28"/>
      <c r="L165" s="28"/>
      <c r="M165" s="28"/>
      <c r="N165" s="131"/>
    </row>
    <row r="166" spans="1:14" ht="15.75">
      <c r="A166" s="86"/>
      <c r="B166" s="87" t="s">
        <v>115</v>
      </c>
      <c r="C166" s="88"/>
      <c r="D166" s="88"/>
      <c r="E166" s="88"/>
      <c r="F166" s="88"/>
      <c r="G166" s="72"/>
      <c r="H166" s="72"/>
      <c r="I166" s="72"/>
      <c r="J166" s="90" t="s">
        <v>180</v>
      </c>
      <c r="K166" s="28"/>
      <c r="L166" s="28"/>
      <c r="M166" s="28"/>
      <c r="N166" s="131"/>
    </row>
    <row r="167" spans="1:14" ht="15.75">
      <c r="A167" s="86"/>
      <c r="B167" s="87" t="s">
        <v>116</v>
      </c>
      <c r="C167" s="88"/>
      <c r="D167" s="88"/>
      <c r="E167" s="88"/>
      <c r="F167" s="88"/>
      <c r="G167" s="72"/>
      <c r="H167" s="72"/>
      <c r="I167" s="72"/>
      <c r="J167" s="91">
        <v>18.53</v>
      </c>
      <c r="K167" s="28" t="s">
        <v>184</v>
      </c>
      <c r="L167" s="28"/>
      <c r="M167" s="28"/>
      <c r="N167" s="131"/>
    </row>
    <row r="168" spans="1:14" ht="15.75">
      <c r="A168" s="86"/>
      <c r="B168" s="87" t="s">
        <v>117</v>
      </c>
      <c r="C168" s="88"/>
      <c r="D168" s="88"/>
      <c r="E168" s="88"/>
      <c r="F168" s="88"/>
      <c r="G168" s="72"/>
      <c r="H168" s="72"/>
      <c r="I168" s="72"/>
      <c r="J168" s="91">
        <v>14.98</v>
      </c>
      <c r="K168" s="28" t="s">
        <v>184</v>
      </c>
      <c r="L168" s="28"/>
      <c r="M168" s="28"/>
      <c r="N168" s="131"/>
    </row>
    <row r="169" spans="1:14" ht="15.75">
      <c r="A169" s="86"/>
      <c r="B169" s="87" t="s">
        <v>118</v>
      </c>
      <c r="C169" s="88"/>
      <c r="D169" s="88"/>
      <c r="E169" s="88"/>
      <c r="F169" s="88"/>
      <c r="G169" s="72"/>
      <c r="H169" s="72"/>
      <c r="I169" s="72"/>
      <c r="J169" s="89">
        <f>+F56/'June 03'!L56</f>
        <v>0.04859879076746547</v>
      </c>
      <c r="K169" s="28"/>
      <c r="L169" s="28"/>
      <c r="M169" s="28"/>
      <c r="N169" s="131"/>
    </row>
    <row r="170" spans="1:14" ht="15.75">
      <c r="A170" s="86"/>
      <c r="B170" s="87" t="s">
        <v>119</v>
      </c>
      <c r="C170" s="88"/>
      <c r="D170" s="88"/>
      <c r="E170" s="88"/>
      <c r="F170" s="88"/>
      <c r="G170" s="72"/>
      <c r="H170" s="72"/>
      <c r="I170" s="72"/>
      <c r="J170" s="89">
        <v>0.1452</v>
      </c>
      <c r="K170" s="28"/>
      <c r="L170" s="28"/>
      <c r="M170" s="28"/>
      <c r="N170" s="131"/>
    </row>
    <row r="171" spans="1:14" ht="15.75">
      <c r="A171" s="86"/>
      <c r="B171" s="87"/>
      <c r="C171" s="87"/>
      <c r="D171" s="87"/>
      <c r="E171" s="87"/>
      <c r="F171" s="87"/>
      <c r="G171" s="28"/>
      <c r="H171" s="28"/>
      <c r="I171" s="28"/>
      <c r="J171" s="68"/>
      <c r="K171" s="28"/>
      <c r="L171" s="92"/>
      <c r="M171" s="28"/>
      <c r="N171" s="131"/>
    </row>
    <row r="172" spans="1:14" ht="15.75">
      <c r="A172" s="93"/>
      <c r="B172" s="17" t="s">
        <v>120</v>
      </c>
      <c r="C172" s="20"/>
      <c r="D172" s="94"/>
      <c r="E172" s="20"/>
      <c r="F172" s="94"/>
      <c r="G172" s="20"/>
      <c r="H172" s="94"/>
      <c r="I172" s="20" t="s">
        <v>172</v>
      </c>
      <c r="J172" s="94" t="s">
        <v>181</v>
      </c>
      <c r="K172" s="18"/>
      <c r="L172" s="18"/>
      <c r="M172" s="10"/>
      <c r="N172" s="131"/>
    </row>
    <row r="173" spans="1:14" ht="15.75">
      <c r="A173" s="95"/>
      <c r="B173" s="87" t="s">
        <v>121</v>
      </c>
      <c r="C173" s="61"/>
      <c r="D173" s="61"/>
      <c r="E173" s="61"/>
      <c r="F173" s="28"/>
      <c r="G173" s="28"/>
      <c r="H173" s="28"/>
      <c r="I173" s="31">
        <v>14</v>
      </c>
      <c r="J173" s="96">
        <v>546</v>
      </c>
      <c r="K173" s="28"/>
      <c r="L173" s="92"/>
      <c r="M173" s="97"/>
      <c r="N173" s="131"/>
    </row>
    <row r="174" spans="1:14" ht="15.75">
      <c r="A174" s="95"/>
      <c r="B174" s="87" t="s">
        <v>122</v>
      </c>
      <c r="C174" s="61"/>
      <c r="D174" s="61"/>
      <c r="E174" s="61"/>
      <c r="F174" s="28"/>
      <c r="G174" s="28"/>
      <c r="H174" s="28"/>
      <c r="I174" s="31">
        <v>0</v>
      </c>
      <c r="J174" s="96">
        <v>0</v>
      </c>
      <c r="K174" s="28"/>
      <c r="L174" s="92"/>
      <c r="M174" s="97"/>
      <c r="N174" s="131"/>
    </row>
    <row r="175" spans="1:14" ht="15.75">
      <c r="A175" s="95"/>
      <c r="B175" s="170" t="s">
        <v>123</v>
      </c>
      <c r="C175" s="61"/>
      <c r="D175" s="61"/>
      <c r="E175" s="61"/>
      <c r="F175" s="28"/>
      <c r="G175" s="28"/>
      <c r="H175" s="28"/>
      <c r="I175" s="28"/>
      <c r="J175" s="96">
        <v>0</v>
      </c>
      <c r="K175" s="28"/>
      <c r="L175" s="92"/>
      <c r="M175" s="97"/>
      <c r="N175" s="131"/>
    </row>
    <row r="176" spans="1:14" ht="15.75">
      <c r="A176" s="95"/>
      <c r="B176" s="170" t="s">
        <v>124</v>
      </c>
      <c r="C176" s="61"/>
      <c r="D176" s="61"/>
      <c r="E176" s="61"/>
      <c r="F176" s="28"/>
      <c r="G176" s="28"/>
      <c r="H176" s="28"/>
      <c r="I176" s="28"/>
      <c r="J176" s="96">
        <v>22352</v>
      </c>
      <c r="K176" s="28"/>
      <c r="L176" s="92"/>
      <c r="M176" s="97"/>
      <c r="N176" s="131"/>
    </row>
    <row r="177" spans="1:14" ht="15.75">
      <c r="A177" s="98"/>
      <c r="B177" s="170" t="s">
        <v>125</v>
      </c>
      <c r="C177" s="61"/>
      <c r="D177" s="87"/>
      <c r="E177" s="87"/>
      <c r="F177" s="87"/>
      <c r="G177" s="28"/>
      <c r="H177" s="28"/>
      <c r="I177" s="28"/>
      <c r="J177" s="96">
        <v>0</v>
      </c>
      <c r="K177" s="28"/>
      <c r="L177" s="92"/>
      <c r="M177" s="99"/>
      <c r="N177" s="131"/>
    </row>
    <row r="178" spans="1:14" ht="15.75">
      <c r="A178" s="95"/>
      <c r="B178" s="87" t="s">
        <v>126</v>
      </c>
      <c r="C178" s="61"/>
      <c r="D178" s="61"/>
      <c r="E178" s="61"/>
      <c r="F178" s="61"/>
      <c r="G178" s="28"/>
      <c r="H178" s="28"/>
      <c r="I178" s="28">
        <v>0</v>
      </c>
      <c r="J178" s="96">
        <v>0</v>
      </c>
      <c r="K178" s="28"/>
      <c r="L178" s="92"/>
      <c r="M178" s="99"/>
      <c r="N178" s="131"/>
    </row>
    <row r="179" spans="1:14" ht="15.75">
      <c r="A179" s="95"/>
      <c r="B179" s="87" t="s">
        <v>127</v>
      </c>
      <c r="C179" s="61"/>
      <c r="D179" s="61"/>
      <c r="E179" s="61"/>
      <c r="F179" s="61"/>
      <c r="G179" s="28"/>
      <c r="H179" s="28"/>
      <c r="I179" s="28">
        <v>3</v>
      </c>
      <c r="J179" s="96">
        <v>39</v>
      </c>
      <c r="K179" s="28"/>
      <c r="L179" s="92"/>
      <c r="M179" s="99"/>
      <c r="N179" s="131"/>
    </row>
    <row r="180" spans="1:14" ht="15.75">
      <c r="A180" s="95"/>
      <c r="B180" s="87" t="s">
        <v>204</v>
      </c>
      <c r="C180" s="61"/>
      <c r="D180" s="61"/>
      <c r="E180" s="61"/>
      <c r="F180" s="61"/>
      <c r="G180" s="28"/>
      <c r="H180" s="28"/>
      <c r="I180" s="28"/>
      <c r="J180" s="96">
        <v>0</v>
      </c>
      <c r="K180" s="28"/>
      <c r="L180" s="92"/>
      <c r="M180" s="99"/>
      <c r="N180" s="131"/>
    </row>
    <row r="181" spans="1:14" ht="15.75">
      <c r="A181" s="98"/>
      <c r="B181" s="170" t="s">
        <v>128</v>
      </c>
      <c r="C181" s="61"/>
      <c r="D181" s="87"/>
      <c r="E181" s="87"/>
      <c r="F181" s="87"/>
      <c r="G181" s="28"/>
      <c r="H181" s="28"/>
      <c r="I181" s="28"/>
      <c r="J181" s="96"/>
      <c r="K181" s="28"/>
      <c r="L181" s="92"/>
      <c r="M181" s="99"/>
      <c r="N181" s="131"/>
    </row>
    <row r="182" spans="1:14" ht="15.75">
      <c r="A182" s="98"/>
      <c r="B182" s="87" t="s">
        <v>129</v>
      </c>
      <c r="C182" s="61"/>
      <c r="D182" s="87"/>
      <c r="E182" s="87"/>
      <c r="F182" s="87"/>
      <c r="G182" s="28"/>
      <c r="H182" s="28"/>
      <c r="I182" s="28">
        <v>0</v>
      </c>
      <c r="J182" s="96">
        <v>0</v>
      </c>
      <c r="K182" s="28"/>
      <c r="L182" s="92"/>
      <c r="M182" s="99"/>
      <c r="N182" s="131"/>
    </row>
    <row r="183" spans="1:14" ht="15.75">
      <c r="A183" s="95"/>
      <c r="B183" s="87" t="s">
        <v>130</v>
      </c>
      <c r="C183" s="61"/>
      <c r="D183" s="100"/>
      <c r="E183" s="100"/>
      <c r="F183" s="101"/>
      <c r="G183" s="28"/>
      <c r="H183" s="28"/>
      <c r="I183" s="28"/>
      <c r="J183" s="96">
        <v>0</v>
      </c>
      <c r="K183" s="28"/>
      <c r="L183" s="92"/>
      <c r="M183" s="99"/>
      <c r="N183" s="131"/>
    </row>
    <row r="184" spans="1:14" ht="15.75">
      <c r="A184" s="95"/>
      <c r="B184" s="87" t="s">
        <v>131</v>
      </c>
      <c r="C184" s="61"/>
      <c r="D184" s="100"/>
      <c r="E184" s="100"/>
      <c r="F184" s="101"/>
      <c r="G184" s="28"/>
      <c r="H184" s="28"/>
      <c r="I184" s="28"/>
      <c r="J184" s="96">
        <v>0</v>
      </c>
      <c r="K184" s="28"/>
      <c r="L184" s="92"/>
      <c r="M184" s="99"/>
      <c r="N184" s="131"/>
    </row>
    <row r="185" spans="1:14" ht="15.75">
      <c r="A185" s="95"/>
      <c r="B185" s="87" t="s">
        <v>132</v>
      </c>
      <c r="C185" s="61"/>
      <c r="D185" s="102"/>
      <c r="E185" s="100"/>
      <c r="F185" s="101"/>
      <c r="G185" s="28"/>
      <c r="H185" s="28"/>
      <c r="I185" s="28"/>
      <c r="J185" s="103">
        <v>0</v>
      </c>
      <c r="K185" s="28"/>
      <c r="L185" s="92"/>
      <c r="M185" s="99"/>
      <c r="N185" s="131"/>
    </row>
    <row r="186" spans="1:14" ht="15.75">
      <c r="A186" s="95"/>
      <c r="B186" s="87"/>
      <c r="C186" s="61"/>
      <c r="D186" s="102"/>
      <c r="E186" s="100"/>
      <c r="F186" s="101"/>
      <c r="G186" s="28"/>
      <c r="H186" s="28"/>
      <c r="I186" s="28"/>
      <c r="J186" s="103"/>
      <c r="K186" s="28"/>
      <c r="L186" s="92"/>
      <c r="M186" s="99"/>
      <c r="N186" s="131"/>
    </row>
    <row r="187" spans="1:14" ht="15.75">
      <c r="A187" s="8"/>
      <c r="B187" s="17" t="s">
        <v>133</v>
      </c>
      <c r="C187" s="20"/>
      <c r="D187" s="94"/>
      <c r="E187" s="20"/>
      <c r="F187" s="94"/>
      <c r="G187" s="20"/>
      <c r="H187" s="94" t="s">
        <v>172</v>
      </c>
      <c r="I187" s="20" t="s">
        <v>173</v>
      </c>
      <c r="J187" s="94" t="s">
        <v>182</v>
      </c>
      <c r="K187" s="20" t="s">
        <v>173</v>
      </c>
      <c r="L187" s="18"/>
      <c r="M187" s="104"/>
      <c r="N187" s="131"/>
    </row>
    <row r="188" spans="1:14" ht="15.75">
      <c r="A188" s="27"/>
      <c r="B188" s="61" t="s">
        <v>134</v>
      </c>
      <c r="C188" s="105"/>
      <c r="D188" s="61"/>
      <c r="E188" s="105"/>
      <c r="F188" s="28"/>
      <c r="G188" s="105"/>
      <c r="H188" s="61">
        <v>2094</v>
      </c>
      <c r="I188" s="105">
        <f>H188/H194</f>
        <v>0.9762237762237762</v>
      </c>
      <c r="J188" s="60">
        <v>105593</v>
      </c>
      <c r="K188" s="106">
        <f>J188/J194</f>
        <v>0.9796268635946154</v>
      </c>
      <c r="L188" s="92"/>
      <c r="M188" s="99"/>
      <c r="N188" s="131"/>
    </row>
    <row r="189" spans="1:14" ht="15.75">
      <c r="A189" s="27"/>
      <c r="B189" s="61" t="s">
        <v>135</v>
      </c>
      <c r="C189" s="105"/>
      <c r="D189" s="61"/>
      <c r="E189" s="105"/>
      <c r="F189" s="28"/>
      <c r="G189" s="107"/>
      <c r="H189" s="61">
        <v>20</v>
      </c>
      <c r="I189" s="105">
        <f>H189/H194</f>
        <v>0.009324009324009324</v>
      </c>
      <c r="J189" s="60">
        <v>845</v>
      </c>
      <c r="K189" s="106">
        <f>J189/J194</f>
        <v>0.00783938991919398</v>
      </c>
      <c r="L189" s="92"/>
      <c r="M189" s="99"/>
      <c r="N189" s="131"/>
    </row>
    <row r="190" spans="1:14" ht="15.75">
      <c r="A190" s="27"/>
      <c r="B190" s="61" t="s">
        <v>136</v>
      </c>
      <c r="C190" s="105"/>
      <c r="D190" s="61"/>
      <c r="E190" s="105"/>
      <c r="F190" s="28"/>
      <c r="G190" s="107"/>
      <c r="H190" s="61">
        <v>9</v>
      </c>
      <c r="I190" s="105">
        <f>H190/H194</f>
        <v>0.004195804195804196</v>
      </c>
      <c r="J190" s="60">
        <v>407</v>
      </c>
      <c r="K190" s="106">
        <f>J190/J194</f>
        <v>0.0037758954995407695</v>
      </c>
      <c r="L190" s="92"/>
      <c r="M190" s="99"/>
      <c r="N190" s="131"/>
    </row>
    <row r="191" spans="1:14" ht="15.75">
      <c r="A191" s="27"/>
      <c r="B191" s="61" t="s">
        <v>137</v>
      </c>
      <c r="C191" s="105"/>
      <c r="D191" s="61"/>
      <c r="E191" s="105"/>
      <c r="F191" s="28"/>
      <c r="G191" s="107"/>
      <c r="H191" s="61">
        <v>22</v>
      </c>
      <c r="I191" s="105">
        <f>H191/H194</f>
        <v>0.010256410256410256</v>
      </c>
      <c r="J191" s="60">
        <f>127+45+76+696</f>
        <v>944</v>
      </c>
      <c r="K191" s="106">
        <f>J191/J194</f>
        <v>0.008757850986649844</v>
      </c>
      <c r="L191" s="92"/>
      <c r="M191" s="99"/>
      <c r="N191" s="131"/>
    </row>
    <row r="192" spans="1:14" ht="15.75">
      <c r="A192" s="27"/>
      <c r="B192" s="147"/>
      <c r="C192" s="105"/>
      <c r="D192" s="61"/>
      <c r="E192" s="105"/>
      <c r="F192" s="28"/>
      <c r="G192" s="107"/>
      <c r="H192" s="61"/>
      <c r="I192" s="105"/>
      <c r="J192" s="60"/>
      <c r="K192" s="106"/>
      <c r="L192" s="92"/>
      <c r="M192" s="99"/>
      <c r="N192" s="131"/>
    </row>
    <row r="193" spans="1:14" ht="15.75">
      <c r="A193" s="27"/>
      <c r="B193" s="61"/>
      <c r="C193" s="108"/>
      <c r="D193" s="97"/>
      <c r="E193" s="108"/>
      <c r="F193" s="28"/>
      <c r="G193" s="108"/>
      <c r="H193" s="97"/>
      <c r="I193" s="108"/>
      <c r="J193" s="60"/>
      <c r="K193" s="106"/>
      <c r="L193" s="92"/>
      <c r="M193" s="99"/>
      <c r="N193" s="131"/>
    </row>
    <row r="194" spans="1:14" ht="15.75">
      <c r="A194" s="27"/>
      <c r="B194" s="28"/>
      <c r="C194" s="28"/>
      <c r="D194" s="28"/>
      <c r="E194" s="28"/>
      <c r="F194" s="28"/>
      <c r="G194" s="28"/>
      <c r="H194" s="38">
        <f>SUM(H188:H192)</f>
        <v>2145</v>
      </c>
      <c r="I194" s="109">
        <f>SUM(I188:I193)</f>
        <v>1</v>
      </c>
      <c r="J194" s="60">
        <f>SUM(J188:J193)</f>
        <v>107789</v>
      </c>
      <c r="K194" s="127">
        <f>SUM(K188:K193)</f>
        <v>0.9999999999999999</v>
      </c>
      <c r="L194" s="28"/>
      <c r="M194" s="28"/>
      <c r="N194" s="131"/>
    </row>
    <row r="195" spans="1:14" ht="15.75">
      <c r="A195" s="27"/>
      <c r="B195" s="28"/>
      <c r="C195" s="28"/>
      <c r="D195" s="28"/>
      <c r="E195" s="28"/>
      <c r="F195" s="28"/>
      <c r="G195" s="28"/>
      <c r="H195" s="38"/>
      <c r="I195" s="109"/>
      <c r="J195" s="60"/>
      <c r="K195" s="127"/>
      <c r="L195" s="28"/>
      <c r="M195" s="28"/>
      <c r="N195" s="131"/>
    </row>
    <row r="196" spans="1:14" ht="15.75">
      <c r="A196" s="27"/>
      <c r="B196" s="28"/>
      <c r="C196" s="28"/>
      <c r="D196" s="28"/>
      <c r="E196" s="28"/>
      <c r="F196" s="28"/>
      <c r="G196" s="28"/>
      <c r="H196" s="38"/>
      <c r="I196" s="109"/>
      <c r="J196" s="60"/>
      <c r="K196" s="127"/>
      <c r="L196" s="28"/>
      <c r="M196" s="28"/>
      <c r="N196" s="131"/>
    </row>
    <row r="197" spans="1:14" ht="15.75">
      <c r="A197" s="149"/>
      <c r="B197" s="17" t="s">
        <v>139</v>
      </c>
      <c r="C197" s="115"/>
      <c r="D197" s="20" t="s">
        <v>148</v>
      </c>
      <c r="E197" s="18"/>
      <c r="F197" s="17" t="s">
        <v>161</v>
      </c>
      <c r="G197" s="116"/>
      <c r="H197" s="116"/>
      <c r="I197" s="146"/>
      <c r="J197" s="146"/>
      <c r="K197" s="146"/>
      <c r="L197" s="146"/>
      <c r="M197" s="146"/>
      <c r="N197" s="131"/>
    </row>
    <row r="198" spans="1:14" ht="15.75">
      <c r="A198" s="149"/>
      <c r="B198" s="146"/>
      <c r="C198" s="146"/>
      <c r="D198" s="10"/>
      <c r="E198" s="10"/>
      <c r="F198" s="10"/>
      <c r="G198" s="146"/>
      <c r="H198" s="146"/>
      <c r="I198" s="146"/>
      <c r="J198" s="146"/>
      <c r="K198" s="146"/>
      <c r="L198" s="146"/>
      <c r="M198" s="146"/>
      <c r="N198" s="131"/>
    </row>
    <row r="199" spans="1:14" ht="15.75">
      <c r="A199" s="149"/>
      <c r="B199" s="16" t="s">
        <v>140</v>
      </c>
      <c r="C199" s="117"/>
      <c r="D199" s="118" t="s">
        <v>149</v>
      </c>
      <c r="E199" s="16"/>
      <c r="F199" s="16" t="s">
        <v>162</v>
      </c>
      <c r="G199" s="117"/>
      <c r="H199" s="117"/>
      <c r="I199" s="146"/>
      <c r="J199" s="146"/>
      <c r="K199" s="146"/>
      <c r="L199" s="146"/>
      <c r="M199" s="146"/>
      <c r="N199" s="131"/>
    </row>
    <row r="200" spans="1:14" ht="15.75">
      <c r="A200" s="149"/>
      <c r="B200" s="16" t="s">
        <v>141</v>
      </c>
      <c r="C200" s="117"/>
      <c r="D200" s="118" t="s">
        <v>150</v>
      </c>
      <c r="E200" s="16"/>
      <c r="F200" s="16" t="s">
        <v>163</v>
      </c>
      <c r="G200" s="117"/>
      <c r="H200" s="117"/>
      <c r="I200" s="146"/>
      <c r="J200" s="146"/>
      <c r="K200" s="146"/>
      <c r="L200" s="146"/>
      <c r="M200" s="146"/>
      <c r="N200" s="131"/>
    </row>
    <row r="201" spans="1:14" ht="15.75">
      <c r="A201" s="149"/>
      <c r="B201" s="16"/>
      <c r="C201" s="117"/>
      <c r="D201" s="118"/>
      <c r="E201" s="16"/>
      <c r="F201" s="16"/>
      <c r="G201" s="117"/>
      <c r="H201" s="117"/>
      <c r="I201" s="146"/>
      <c r="J201" s="146"/>
      <c r="K201" s="146"/>
      <c r="L201" s="146"/>
      <c r="M201" s="146"/>
      <c r="N201" s="131"/>
    </row>
    <row r="202" spans="1:14" ht="15.75">
      <c r="A202" s="149"/>
      <c r="B202" s="16"/>
      <c r="C202" s="117"/>
      <c r="D202" s="118"/>
      <c r="E202" s="16"/>
      <c r="F202" s="16"/>
      <c r="G202" s="117"/>
      <c r="H202" s="117"/>
      <c r="I202" s="146"/>
      <c r="J202" s="146"/>
      <c r="K202" s="146"/>
      <c r="L202" s="146"/>
      <c r="M202" s="146"/>
      <c r="N202" s="131"/>
    </row>
    <row r="203" spans="1:14" ht="18.75">
      <c r="A203" s="149"/>
      <c r="B203" s="55" t="str">
        <f>B156</f>
        <v>PM1 INVESTOR REPORT QUARTER ENDING SEPTEMBER 2003</v>
      </c>
      <c r="C203" s="117"/>
      <c r="D203" s="118"/>
      <c r="E203" s="16"/>
      <c r="F203" s="16"/>
      <c r="G203" s="117"/>
      <c r="H203" s="117"/>
      <c r="I203" s="146"/>
      <c r="J203" s="146"/>
      <c r="K203" s="146"/>
      <c r="L203" s="146"/>
      <c r="M203" s="146"/>
      <c r="N203" s="131"/>
    </row>
    <row r="204" spans="1:13" ht="15">
      <c r="A204" s="130"/>
      <c r="B204" s="130"/>
      <c r="C204" s="130"/>
      <c r="D204" s="130"/>
      <c r="E204" s="130"/>
      <c r="F204" s="130"/>
      <c r="G204" s="130"/>
      <c r="H204" s="130"/>
      <c r="I204" s="130"/>
      <c r="J204" s="130"/>
      <c r="K204" s="130"/>
      <c r="L204" s="130"/>
      <c r="M204" s="130"/>
    </row>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4" manualBreakCount="4">
    <brk id="51" max="255" man="1"/>
    <brk id="105" max="13" man="1"/>
    <brk id="156" max="13" man="1"/>
    <brk id="204" max="0" man="1"/>
  </rowBreaks>
  <drawing r:id="rId1"/>
</worksheet>
</file>

<file path=xl/worksheets/sheet18.xml><?xml version="1.0" encoding="utf-8"?>
<worksheet xmlns="http://schemas.openxmlformats.org/spreadsheetml/2006/main" xmlns:r="http://schemas.openxmlformats.org/officeDocument/2006/relationships">
  <dimension ref="A1:O204"/>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21.77734375" style="1" customWidth="1"/>
    <col min="14" max="16384" width="9.6640625" style="1" customWidth="1"/>
  </cols>
  <sheetData>
    <row r="1" spans="1:14" ht="20.25">
      <c r="A1" s="153"/>
      <c r="B1" s="3" t="s">
        <v>0</v>
      </c>
      <c r="C1" s="4"/>
      <c r="D1" s="5"/>
      <c r="E1" s="5"/>
      <c r="F1" s="5"/>
      <c r="G1" s="5"/>
      <c r="H1" s="5"/>
      <c r="I1" s="5"/>
      <c r="J1" s="5"/>
      <c r="K1" s="5"/>
      <c r="L1" s="5"/>
      <c r="M1" s="5"/>
      <c r="N1" s="131"/>
    </row>
    <row r="2" spans="1:14" ht="15.75">
      <c r="A2" s="8"/>
      <c r="B2" s="9"/>
      <c r="C2" s="9"/>
      <c r="D2" s="10"/>
      <c r="E2" s="10"/>
      <c r="F2" s="10"/>
      <c r="G2" s="10"/>
      <c r="H2" s="10"/>
      <c r="I2" s="10"/>
      <c r="J2" s="10"/>
      <c r="K2" s="10"/>
      <c r="L2" s="10"/>
      <c r="M2" s="10"/>
      <c r="N2" s="131"/>
    </row>
    <row r="3" spans="1:14" ht="15.75">
      <c r="A3" s="11"/>
      <c r="B3" s="154" t="s">
        <v>1</v>
      </c>
      <c r="C3" s="10"/>
      <c r="D3" s="10"/>
      <c r="E3" s="10"/>
      <c r="F3" s="10"/>
      <c r="G3" s="10"/>
      <c r="H3" s="10"/>
      <c r="I3" s="10"/>
      <c r="J3" s="10"/>
      <c r="K3" s="10"/>
      <c r="L3" s="10"/>
      <c r="M3" s="10"/>
      <c r="N3" s="131"/>
    </row>
    <row r="4" spans="1:14" ht="15.75">
      <c r="A4" s="8"/>
      <c r="B4" s="9"/>
      <c r="C4" s="9"/>
      <c r="D4" s="10"/>
      <c r="E4" s="10"/>
      <c r="F4" s="10"/>
      <c r="G4" s="10"/>
      <c r="H4" s="10"/>
      <c r="I4" s="10"/>
      <c r="J4" s="10"/>
      <c r="K4" s="10"/>
      <c r="L4" s="10"/>
      <c r="M4" s="10"/>
      <c r="N4" s="131"/>
    </row>
    <row r="5" spans="1:14" ht="12" customHeight="1">
      <c r="A5" s="8"/>
      <c r="B5" s="13" t="s">
        <v>2</v>
      </c>
      <c r="C5" s="14"/>
      <c r="D5" s="10"/>
      <c r="E5" s="10"/>
      <c r="F5" s="10"/>
      <c r="G5" s="10"/>
      <c r="H5" s="10"/>
      <c r="I5" s="10"/>
      <c r="J5" s="10"/>
      <c r="K5" s="10"/>
      <c r="L5" s="10"/>
      <c r="M5" s="10"/>
      <c r="N5" s="131"/>
    </row>
    <row r="6" spans="1:14" ht="12" customHeight="1">
      <c r="A6" s="8"/>
      <c r="B6" s="13" t="s">
        <v>3</v>
      </c>
      <c r="C6" s="14"/>
      <c r="D6" s="10"/>
      <c r="E6" s="10"/>
      <c r="F6" s="10"/>
      <c r="G6" s="10"/>
      <c r="H6" s="10"/>
      <c r="I6" s="10"/>
      <c r="J6" s="10"/>
      <c r="K6" s="10"/>
      <c r="L6" s="10"/>
      <c r="M6" s="10"/>
      <c r="N6" s="131"/>
    </row>
    <row r="7" spans="1:14" ht="12" customHeight="1">
      <c r="A7" s="8"/>
      <c r="B7" s="13" t="s">
        <v>4</v>
      </c>
      <c r="C7" s="14"/>
      <c r="D7" s="10"/>
      <c r="E7" s="10"/>
      <c r="F7" s="10"/>
      <c r="G7" s="10"/>
      <c r="H7" s="10"/>
      <c r="I7" s="10"/>
      <c r="J7" s="10"/>
      <c r="K7" s="10"/>
      <c r="L7" s="10"/>
      <c r="M7" s="10"/>
      <c r="N7" s="131"/>
    </row>
    <row r="8" spans="1:14" ht="12" customHeight="1">
      <c r="A8" s="8"/>
      <c r="B8" s="13" t="s">
        <v>5</v>
      </c>
      <c r="C8" s="14"/>
      <c r="D8" s="10"/>
      <c r="E8" s="10"/>
      <c r="F8" s="10"/>
      <c r="G8" s="10"/>
      <c r="H8" s="10"/>
      <c r="I8" s="10"/>
      <c r="J8" s="10"/>
      <c r="K8" s="10"/>
      <c r="L8" s="10"/>
      <c r="M8" s="10"/>
      <c r="N8" s="131"/>
    </row>
    <row r="9" spans="1:14" ht="12" customHeight="1">
      <c r="A9" s="8"/>
      <c r="B9" s="146"/>
      <c r="C9" s="14"/>
      <c r="D9" s="10"/>
      <c r="E9" s="10"/>
      <c r="F9" s="10"/>
      <c r="G9" s="10"/>
      <c r="H9" s="10"/>
      <c r="I9" s="10"/>
      <c r="J9" s="10"/>
      <c r="K9" s="10"/>
      <c r="L9" s="10"/>
      <c r="M9" s="10"/>
      <c r="N9" s="131"/>
    </row>
    <row r="10" spans="1:14" ht="15.75">
      <c r="A10" s="8"/>
      <c r="B10" s="13"/>
      <c r="C10" s="14"/>
      <c r="D10" s="16"/>
      <c r="E10" s="16"/>
      <c r="F10" s="10"/>
      <c r="G10" s="10"/>
      <c r="H10" s="10"/>
      <c r="I10" s="10"/>
      <c r="J10" s="10"/>
      <c r="K10" s="10"/>
      <c r="L10" s="10"/>
      <c r="M10" s="10"/>
      <c r="N10" s="131"/>
    </row>
    <row r="11" spans="1:14" ht="15.75">
      <c r="A11" s="8"/>
      <c r="B11" s="16" t="s">
        <v>6</v>
      </c>
      <c r="C11" s="16"/>
      <c r="D11" s="10"/>
      <c r="E11" s="10"/>
      <c r="F11" s="10"/>
      <c r="G11" s="10"/>
      <c r="H11" s="10"/>
      <c r="I11" s="10"/>
      <c r="J11" s="10"/>
      <c r="K11" s="10"/>
      <c r="L11" s="10"/>
      <c r="M11" s="10"/>
      <c r="N11" s="131"/>
    </row>
    <row r="12" spans="1:14" ht="15.75">
      <c r="A12" s="8"/>
      <c r="B12" s="16"/>
      <c r="C12" s="16"/>
      <c r="D12" s="10"/>
      <c r="E12" s="10"/>
      <c r="F12" s="10"/>
      <c r="G12" s="10"/>
      <c r="H12" s="10"/>
      <c r="I12" s="10"/>
      <c r="J12" s="10"/>
      <c r="K12" s="10"/>
      <c r="L12" s="10"/>
      <c r="M12" s="10"/>
      <c r="N12" s="131"/>
    </row>
    <row r="13" spans="1:14" ht="15.75">
      <c r="A13" s="2"/>
      <c r="B13" s="5"/>
      <c r="C13" s="5"/>
      <c r="D13" s="5"/>
      <c r="E13" s="5"/>
      <c r="F13" s="5"/>
      <c r="G13" s="5"/>
      <c r="H13" s="5"/>
      <c r="I13" s="5"/>
      <c r="J13" s="5"/>
      <c r="K13" s="5"/>
      <c r="L13" s="5"/>
      <c r="M13" s="5"/>
      <c r="N13" s="131"/>
    </row>
    <row r="14" spans="1:14" ht="15.75">
      <c r="A14" s="8"/>
      <c r="B14" s="17" t="s">
        <v>7</v>
      </c>
      <c r="C14" s="17"/>
      <c r="D14" s="18"/>
      <c r="E14" s="18"/>
      <c r="F14" s="18"/>
      <c r="G14" s="18"/>
      <c r="H14" s="18"/>
      <c r="I14" s="18"/>
      <c r="J14" s="18"/>
      <c r="K14" s="18"/>
      <c r="L14" s="19" t="s">
        <v>185</v>
      </c>
      <c r="M14" s="18"/>
      <c r="N14" s="131"/>
    </row>
    <row r="15" spans="1:14" ht="15.75">
      <c r="A15" s="8"/>
      <c r="B15" s="17" t="s">
        <v>199</v>
      </c>
      <c r="C15" s="17"/>
      <c r="D15" s="18"/>
      <c r="E15" s="18"/>
      <c r="F15" s="18"/>
      <c r="G15" s="18"/>
      <c r="H15" s="20"/>
      <c r="I15" s="135"/>
      <c r="J15" s="20" t="s">
        <v>202</v>
      </c>
      <c r="K15" s="135">
        <v>1</v>
      </c>
      <c r="L15" s="19"/>
      <c r="M15" s="18"/>
      <c r="N15" s="131"/>
    </row>
    <row r="16" spans="1:14" ht="15.75">
      <c r="A16" s="8"/>
      <c r="B16" s="17" t="s">
        <v>200</v>
      </c>
      <c r="C16" s="17"/>
      <c r="D16" s="18"/>
      <c r="E16" s="18"/>
      <c r="F16" s="18"/>
      <c r="G16" s="18"/>
      <c r="H16" s="20"/>
      <c r="I16" s="135"/>
      <c r="J16" s="20" t="s">
        <v>202</v>
      </c>
      <c r="K16" s="135">
        <v>1</v>
      </c>
      <c r="L16" s="19"/>
      <c r="M16" s="18"/>
      <c r="N16" s="131"/>
    </row>
    <row r="17" spans="1:14" ht="15.75">
      <c r="A17" s="8"/>
      <c r="B17" s="17" t="s">
        <v>8</v>
      </c>
      <c r="C17" s="17"/>
      <c r="D17" s="18"/>
      <c r="E17" s="18"/>
      <c r="F17" s="18"/>
      <c r="G17" s="18"/>
      <c r="H17" s="18"/>
      <c r="I17" s="18"/>
      <c r="J17" s="18"/>
      <c r="K17" s="18"/>
      <c r="L17" s="20" t="s">
        <v>186</v>
      </c>
      <c r="M17" s="18"/>
      <c r="N17" s="131"/>
    </row>
    <row r="18" spans="1:14" ht="15.75">
      <c r="A18" s="8"/>
      <c r="B18" s="17" t="s">
        <v>9</v>
      </c>
      <c r="C18" s="17"/>
      <c r="D18" s="18"/>
      <c r="E18" s="18"/>
      <c r="F18" s="18"/>
      <c r="G18" s="18"/>
      <c r="H18" s="18"/>
      <c r="I18" s="18"/>
      <c r="J18" s="18"/>
      <c r="K18" s="18"/>
      <c r="L18" s="21">
        <v>38009</v>
      </c>
      <c r="M18" s="18"/>
      <c r="N18" s="131"/>
    </row>
    <row r="19" spans="1:14" ht="15.75">
      <c r="A19" s="8"/>
      <c r="B19" s="10"/>
      <c r="C19" s="10"/>
      <c r="D19" s="10"/>
      <c r="E19" s="10"/>
      <c r="F19" s="10"/>
      <c r="G19" s="10"/>
      <c r="H19" s="10"/>
      <c r="I19" s="10"/>
      <c r="J19" s="10"/>
      <c r="K19" s="10"/>
      <c r="L19" s="22"/>
      <c r="M19" s="10"/>
      <c r="N19" s="131"/>
    </row>
    <row r="20" spans="1:14" ht="15.75">
      <c r="A20" s="8"/>
      <c r="B20" s="23" t="s">
        <v>10</v>
      </c>
      <c r="C20" s="10"/>
      <c r="D20" s="10"/>
      <c r="E20" s="10"/>
      <c r="F20" s="10"/>
      <c r="G20" s="10"/>
      <c r="H20" s="10"/>
      <c r="I20" s="10"/>
      <c r="J20" s="22" t="s">
        <v>174</v>
      </c>
      <c r="K20" s="10"/>
      <c r="L20" s="146"/>
      <c r="M20" s="10"/>
      <c r="N20" s="131"/>
    </row>
    <row r="21" spans="1:14" ht="15.75">
      <c r="A21" s="8"/>
      <c r="B21" s="10"/>
      <c r="C21" s="10"/>
      <c r="D21" s="10"/>
      <c r="E21" s="10"/>
      <c r="F21" s="10"/>
      <c r="G21" s="10"/>
      <c r="H21" s="10"/>
      <c r="I21" s="10"/>
      <c r="J21" s="10"/>
      <c r="K21" s="10"/>
      <c r="L21" s="24"/>
      <c r="M21" s="10"/>
      <c r="N21" s="131"/>
    </row>
    <row r="22" spans="1:14" ht="15.75">
      <c r="A22" s="8"/>
      <c r="B22" s="10"/>
      <c r="C22" s="155" t="s">
        <v>143</v>
      </c>
      <c r="D22" s="25"/>
      <c r="E22" s="25"/>
      <c r="F22" s="157" t="s">
        <v>151</v>
      </c>
      <c r="G22" s="157"/>
      <c r="H22" s="157" t="s">
        <v>164</v>
      </c>
      <c r="I22" s="158"/>
      <c r="J22" s="25"/>
      <c r="K22" s="146"/>
      <c r="L22" s="146"/>
      <c r="M22" s="10"/>
      <c r="N22" s="131"/>
    </row>
    <row r="23" spans="1:14" ht="15.75">
      <c r="A23" s="27"/>
      <c r="B23" s="28" t="s">
        <v>11</v>
      </c>
      <c r="C23" s="156" t="s">
        <v>144</v>
      </c>
      <c r="D23" s="29"/>
      <c r="E23" s="29"/>
      <c r="F23" s="29" t="s">
        <v>152</v>
      </c>
      <c r="G23" s="29"/>
      <c r="H23" s="29" t="s">
        <v>165</v>
      </c>
      <c r="I23" s="29"/>
      <c r="J23" s="29"/>
      <c r="K23" s="147"/>
      <c r="L23" s="147"/>
      <c r="M23" s="28"/>
      <c r="N23" s="131"/>
    </row>
    <row r="24" spans="1:14" ht="15.75">
      <c r="A24" s="27"/>
      <c r="B24" s="28" t="s">
        <v>12</v>
      </c>
      <c r="C24" s="31"/>
      <c r="D24" s="29"/>
      <c r="E24" s="29"/>
      <c r="F24" s="29" t="s">
        <v>153</v>
      </c>
      <c r="G24" s="29"/>
      <c r="H24" s="29" t="s">
        <v>166</v>
      </c>
      <c r="I24" s="29"/>
      <c r="J24" s="29"/>
      <c r="K24" s="147"/>
      <c r="L24" s="147"/>
      <c r="M24" s="28"/>
      <c r="N24" s="131"/>
    </row>
    <row r="25" spans="1:14" ht="15.75">
      <c r="A25" s="32"/>
      <c r="B25" s="33" t="s">
        <v>13</v>
      </c>
      <c r="C25" s="33"/>
      <c r="D25" s="34"/>
      <c r="E25" s="34"/>
      <c r="F25" s="34" t="s">
        <v>152</v>
      </c>
      <c r="G25" s="34"/>
      <c r="H25" s="34" t="s">
        <v>207</v>
      </c>
      <c r="I25" s="29"/>
      <c r="J25" s="29"/>
      <c r="K25" s="147"/>
      <c r="L25" s="147"/>
      <c r="M25" s="28"/>
      <c r="N25" s="131"/>
    </row>
    <row r="26" spans="1:14" ht="15.75">
      <c r="A26" s="32"/>
      <c r="B26" s="33" t="s">
        <v>14</v>
      </c>
      <c r="C26" s="33"/>
      <c r="D26" s="34"/>
      <c r="E26" s="34"/>
      <c r="F26" s="34" t="s">
        <v>153</v>
      </c>
      <c r="G26" s="34"/>
      <c r="H26" s="34" t="s">
        <v>215</v>
      </c>
      <c r="I26" s="29"/>
      <c r="J26" s="29"/>
      <c r="K26" s="147"/>
      <c r="L26" s="147"/>
      <c r="M26" s="28"/>
      <c r="N26" s="131"/>
    </row>
    <row r="27" spans="1:14" ht="15.75">
      <c r="A27" s="27"/>
      <c r="B27" s="28" t="s">
        <v>15</v>
      </c>
      <c r="C27" s="28"/>
      <c r="D27" s="31"/>
      <c r="E27" s="29"/>
      <c r="F27" s="31" t="s">
        <v>154</v>
      </c>
      <c r="G27" s="29"/>
      <c r="H27" s="31" t="s">
        <v>167</v>
      </c>
      <c r="I27" s="29"/>
      <c r="J27" s="31"/>
      <c r="K27" s="147"/>
      <c r="L27" s="147"/>
      <c r="M27" s="28"/>
      <c r="N27" s="131"/>
    </row>
    <row r="28" spans="1:14" ht="15.75">
      <c r="A28" s="27"/>
      <c r="B28" s="28"/>
      <c r="C28" s="28"/>
      <c r="D28" s="28"/>
      <c r="E28" s="29"/>
      <c r="F28" s="29"/>
      <c r="G28" s="29"/>
      <c r="H28" s="29"/>
      <c r="I28" s="29"/>
      <c r="J28" s="29"/>
      <c r="K28" s="147"/>
      <c r="L28" s="147"/>
      <c r="M28" s="28"/>
      <c r="N28" s="131"/>
    </row>
    <row r="29" spans="1:14" ht="15.75">
      <c r="A29" s="27"/>
      <c r="B29" s="28" t="s">
        <v>16</v>
      </c>
      <c r="C29" s="28"/>
      <c r="D29" s="35"/>
      <c r="E29" s="36"/>
      <c r="F29" s="35">
        <v>168000</v>
      </c>
      <c r="G29" s="35"/>
      <c r="H29" s="35">
        <v>17000</v>
      </c>
      <c r="I29" s="35"/>
      <c r="J29" s="35"/>
      <c r="K29" s="148"/>
      <c r="L29" s="35">
        <f>H29+F29</f>
        <v>185000</v>
      </c>
      <c r="M29" s="38"/>
      <c r="N29" s="131"/>
    </row>
    <row r="30" spans="1:14" ht="15.75">
      <c r="A30" s="27"/>
      <c r="B30" s="28" t="s">
        <v>17</v>
      </c>
      <c r="C30" s="126">
        <v>0.54041</v>
      </c>
      <c r="D30" s="35"/>
      <c r="E30" s="36"/>
      <c r="F30" s="35">
        <f>168000*C30</f>
        <v>90788.87999999999</v>
      </c>
      <c r="G30" s="35"/>
      <c r="H30" s="35">
        <v>17000</v>
      </c>
      <c r="I30" s="35"/>
      <c r="J30" s="35"/>
      <c r="K30" s="148"/>
      <c r="L30" s="35">
        <f>H30+F30</f>
        <v>107788.87999999999</v>
      </c>
      <c r="M30" s="38"/>
      <c r="N30" s="131"/>
    </row>
    <row r="31" spans="1:14" ht="13.5" customHeight="1">
      <c r="A31" s="32"/>
      <c r="B31" s="33" t="s">
        <v>18</v>
      </c>
      <c r="C31" s="40">
        <v>0.501608</v>
      </c>
      <c r="D31" s="41"/>
      <c r="E31" s="42"/>
      <c r="F31" s="41">
        <f>168000*C31</f>
        <v>84270.14400000001</v>
      </c>
      <c r="G31" s="41"/>
      <c r="H31" s="41">
        <v>17000</v>
      </c>
      <c r="I31" s="41"/>
      <c r="J31" s="41"/>
      <c r="K31" s="43"/>
      <c r="L31" s="41">
        <f>H31+F31+D31</f>
        <v>101270.14400000001</v>
      </c>
      <c r="M31" s="38"/>
      <c r="N31" s="131"/>
    </row>
    <row r="32" spans="1:14" ht="15.75">
      <c r="A32" s="27"/>
      <c r="B32" s="28" t="s">
        <v>19</v>
      </c>
      <c r="C32" s="44"/>
      <c r="D32" s="31"/>
      <c r="E32" s="28"/>
      <c r="F32" s="31" t="s">
        <v>155</v>
      </c>
      <c r="G32" s="31"/>
      <c r="H32" s="31" t="s">
        <v>168</v>
      </c>
      <c r="I32" s="31"/>
      <c r="J32" s="31"/>
      <c r="K32" s="147"/>
      <c r="L32" s="147"/>
      <c r="M32" s="28"/>
      <c r="N32" s="131"/>
    </row>
    <row r="33" spans="1:14" ht="15.75">
      <c r="A33" s="27"/>
      <c r="B33" s="28" t="s">
        <v>20</v>
      </c>
      <c r="C33" s="28"/>
      <c r="D33" s="45"/>
      <c r="E33" s="28"/>
      <c r="F33" s="45">
        <v>0.0403</v>
      </c>
      <c r="G33" s="46"/>
      <c r="H33" s="45">
        <v>0.0455</v>
      </c>
      <c r="I33" s="46"/>
      <c r="J33" s="45"/>
      <c r="K33" s="147"/>
      <c r="L33" s="46">
        <f>SUMPRODUCT(F33:H33,F30:H30)/L30</f>
        <v>0.04112012170457658</v>
      </c>
      <c r="M33" s="28"/>
      <c r="N33" s="131"/>
    </row>
    <row r="34" spans="1:14" ht="15.75">
      <c r="A34" s="27"/>
      <c r="B34" s="28" t="s">
        <v>21</v>
      </c>
      <c r="C34" s="28"/>
      <c r="D34" s="45"/>
      <c r="E34" s="28"/>
      <c r="F34" s="45">
        <v>0.0371344</v>
      </c>
      <c r="G34" s="46"/>
      <c r="H34" s="45">
        <v>0.0423344</v>
      </c>
      <c r="I34" s="46"/>
      <c r="J34" s="45"/>
      <c r="K34" s="147"/>
      <c r="L34" s="147"/>
      <c r="M34" s="28"/>
      <c r="N34" s="131"/>
    </row>
    <row r="35" spans="1:14" ht="15.75">
      <c r="A35" s="27"/>
      <c r="B35" s="28" t="s">
        <v>22</v>
      </c>
      <c r="C35" s="28"/>
      <c r="D35" s="31"/>
      <c r="E35" s="28"/>
      <c r="F35" s="31" t="s">
        <v>157</v>
      </c>
      <c r="G35" s="31"/>
      <c r="H35" s="31" t="s">
        <v>157</v>
      </c>
      <c r="I35" s="31"/>
      <c r="J35" s="31"/>
      <c r="K35" s="147"/>
      <c r="L35" s="147"/>
      <c r="M35" s="28"/>
      <c r="N35" s="131"/>
    </row>
    <row r="36" spans="1:14" ht="15.75">
      <c r="A36" s="27"/>
      <c r="B36" s="28" t="s">
        <v>23</v>
      </c>
      <c r="C36" s="28"/>
      <c r="D36" s="31"/>
      <c r="E36" s="28"/>
      <c r="F36" s="31" t="s">
        <v>158</v>
      </c>
      <c r="G36" s="31"/>
      <c r="H36" s="31" t="s">
        <v>158</v>
      </c>
      <c r="I36" s="31"/>
      <c r="J36" s="31"/>
      <c r="K36" s="147"/>
      <c r="L36" s="147"/>
      <c r="M36" s="28"/>
      <c r="N36" s="131"/>
    </row>
    <row r="37" spans="1:14" ht="15.75">
      <c r="A37" s="27"/>
      <c r="B37" s="28" t="s">
        <v>24</v>
      </c>
      <c r="C37" s="28"/>
      <c r="D37" s="31"/>
      <c r="E37" s="28"/>
      <c r="F37" s="31" t="s">
        <v>159</v>
      </c>
      <c r="G37" s="31"/>
      <c r="H37" s="31" t="s">
        <v>169</v>
      </c>
      <c r="I37" s="31"/>
      <c r="J37" s="31"/>
      <c r="K37" s="147"/>
      <c r="L37" s="147"/>
      <c r="M37" s="28"/>
      <c r="N37" s="131"/>
    </row>
    <row r="38" spans="1:14" ht="15.75">
      <c r="A38" s="27"/>
      <c r="B38" s="28"/>
      <c r="C38" s="28"/>
      <c r="D38" s="47"/>
      <c r="E38" s="47"/>
      <c r="F38" s="28"/>
      <c r="G38" s="47"/>
      <c r="H38" s="152"/>
      <c r="I38" s="47"/>
      <c r="J38" s="47"/>
      <c r="K38" s="47"/>
      <c r="L38" s="47"/>
      <c r="M38" s="28"/>
      <c r="N38" s="131"/>
    </row>
    <row r="39" spans="1:14" ht="15.75">
      <c r="A39" s="27"/>
      <c r="B39" s="28" t="s">
        <v>25</v>
      </c>
      <c r="C39" s="28"/>
      <c r="D39" s="28"/>
      <c r="E39" s="28"/>
      <c r="F39" s="28"/>
      <c r="G39" s="28"/>
      <c r="H39" s="136"/>
      <c r="I39" s="28"/>
      <c r="J39" s="28"/>
      <c r="K39" s="28"/>
      <c r="L39" s="46">
        <f>H29/F29</f>
        <v>0.10119047619047619</v>
      </c>
      <c r="M39" s="28"/>
      <c r="N39" s="131"/>
    </row>
    <row r="40" spans="1:14" ht="15.75">
      <c r="A40" s="27"/>
      <c r="B40" s="28" t="s">
        <v>26</v>
      </c>
      <c r="C40" s="28"/>
      <c r="D40" s="28"/>
      <c r="E40" s="28"/>
      <c r="F40" s="136"/>
      <c r="G40" s="28"/>
      <c r="H40" s="136"/>
      <c r="I40" s="28"/>
      <c r="J40" s="28"/>
      <c r="K40" s="28"/>
      <c r="L40" s="46">
        <f>H31/F31</f>
        <v>0.2017321816846545</v>
      </c>
      <c r="M40" s="28"/>
      <c r="N40" s="131"/>
    </row>
    <row r="41" spans="1:14" ht="15.75">
      <c r="A41" s="27"/>
      <c r="B41" s="28" t="s">
        <v>27</v>
      </c>
      <c r="C41" s="28"/>
      <c r="D41" s="28"/>
      <c r="E41" s="28"/>
      <c r="F41" s="136"/>
      <c r="G41" s="28"/>
      <c r="H41" s="136"/>
      <c r="I41" s="28"/>
      <c r="J41" s="31" t="s">
        <v>151</v>
      </c>
      <c r="K41" s="31" t="s">
        <v>183</v>
      </c>
      <c r="L41" s="35">
        <v>75500</v>
      </c>
      <c r="M41" s="28"/>
      <c r="N41" s="131"/>
    </row>
    <row r="42" spans="1:14" ht="15.75">
      <c r="A42" s="27"/>
      <c r="B42" s="28"/>
      <c r="C42" s="28"/>
      <c r="D42" s="28"/>
      <c r="E42" s="28"/>
      <c r="F42" s="28"/>
      <c r="G42" s="28"/>
      <c r="H42" s="28"/>
      <c r="I42" s="28"/>
      <c r="J42" s="28" t="s">
        <v>175</v>
      </c>
      <c r="K42" s="28"/>
      <c r="L42" s="48"/>
      <c r="M42" s="28"/>
      <c r="N42" s="131"/>
    </row>
    <row r="43" spans="1:14" ht="15.75">
      <c r="A43" s="27"/>
      <c r="B43" s="28" t="s">
        <v>28</v>
      </c>
      <c r="C43" s="28"/>
      <c r="D43" s="28"/>
      <c r="E43" s="28"/>
      <c r="F43" s="28"/>
      <c r="G43" s="28"/>
      <c r="H43" s="28"/>
      <c r="I43" s="28"/>
      <c r="J43" s="31"/>
      <c r="K43" s="31"/>
      <c r="L43" s="31" t="s">
        <v>187</v>
      </c>
      <c r="M43" s="28"/>
      <c r="N43" s="131"/>
    </row>
    <row r="44" spans="1:14" ht="15.75">
      <c r="A44" s="32"/>
      <c r="B44" s="33" t="s">
        <v>29</v>
      </c>
      <c r="C44" s="33"/>
      <c r="D44" s="33"/>
      <c r="E44" s="33"/>
      <c r="F44" s="33"/>
      <c r="G44" s="33"/>
      <c r="H44" s="33"/>
      <c r="I44" s="33"/>
      <c r="J44" s="49"/>
      <c r="K44" s="49"/>
      <c r="L44" s="50">
        <v>38001</v>
      </c>
      <c r="M44" s="33"/>
      <c r="N44" s="131"/>
    </row>
    <row r="45" spans="1:14" ht="15.75">
      <c r="A45" s="27"/>
      <c r="B45" s="28" t="s">
        <v>30</v>
      </c>
      <c r="C45" s="28"/>
      <c r="D45" s="28"/>
      <c r="E45" s="28"/>
      <c r="F45" s="28"/>
      <c r="G45" s="28"/>
      <c r="H45" s="28"/>
      <c r="I45" s="28">
        <f>L45-J45+1</f>
        <v>92</v>
      </c>
      <c r="J45" s="51">
        <v>37817</v>
      </c>
      <c r="K45" s="52"/>
      <c r="L45" s="51">
        <v>37908</v>
      </c>
      <c r="M45" s="28"/>
      <c r="N45" s="131"/>
    </row>
    <row r="46" spans="1:14" ht="15.75">
      <c r="A46" s="27"/>
      <c r="B46" s="28" t="s">
        <v>31</v>
      </c>
      <c r="C46" s="28"/>
      <c r="D46" s="28"/>
      <c r="E46" s="28"/>
      <c r="F46" s="28"/>
      <c r="G46" s="28"/>
      <c r="H46" s="28"/>
      <c r="I46" s="28">
        <f>L46-J46+1</f>
        <v>92</v>
      </c>
      <c r="J46" s="51">
        <v>37909</v>
      </c>
      <c r="K46" s="52"/>
      <c r="L46" s="51">
        <v>38000</v>
      </c>
      <c r="M46" s="28"/>
      <c r="N46" s="131"/>
    </row>
    <row r="47" spans="1:14" ht="15.75">
      <c r="A47" s="27"/>
      <c r="B47" s="28" t="s">
        <v>32</v>
      </c>
      <c r="C47" s="28"/>
      <c r="D47" s="28"/>
      <c r="E47" s="28"/>
      <c r="F47" s="28"/>
      <c r="G47" s="28"/>
      <c r="H47" s="28"/>
      <c r="I47" s="28"/>
      <c r="J47" s="51"/>
      <c r="K47" s="52"/>
      <c r="L47" s="51" t="s">
        <v>194</v>
      </c>
      <c r="M47" s="28"/>
      <c r="N47" s="131"/>
    </row>
    <row r="48" spans="1:14" ht="15.75">
      <c r="A48" s="27"/>
      <c r="B48" s="28" t="s">
        <v>33</v>
      </c>
      <c r="C48" s="28"/>
      <c r="D48" s="28"/>
      <c r="E48" s="28"/>
      <c r="F48" s="28"/>
      <c r="G48" s="28"/>
      <c r="H48" s="28"/>
      <c r="I48" s="28"/>
      <c r="J48" s="51"/>
      <c r="K48" s="52"/>
      <c r="L48" s="51">
        <v>37989</v>
      </c>
      <c r="M48" s="28"/>
      <c r="N48" s="131"/>
    </row>
    <row r="49" spans="1:14" ht="15.75">
      <c r="A49" s="27"/>
      <c r="B49" s="28"/>
      <c r="C49" s="28"/>
      <c r="D49" s="28"/>
      <c r="E49" s="28"/>
      <c r="F49" s="28"/>
      <c r="G49" s="28"/>
      <c r="H49" s="28"/>
      <c r="I49" s="28"/>
      <c r="J49" s="51"/>
      <c r="K49" s="52"/>
      <c r="L49" s="51"/>
      <c r="M49" s="28"/>
      <c r="N49" s="131"/>
    </row>
    <row r="50" spans="1:14" ht="15.75">
      <c r="A50" s="8"/>
      <c r="B50" s="10"/>
      <c r="C50" s="10"/>
      <c r="D50" s="10"/>
      <c r="E50" s="10"/>
      <c r="F50" s="10"/>
      <c r="G50" s="10"/>
      <c r="H50" s="10"/>
      <c r="I50" s="10"/>
      <c r="J50" s="53"/>
      <c r="K50" s="54"/>
      <c r="L50" s="53"/>
      <c r="M50" s="10"/>
      <c r="N50" s="131"/>
    </row>
    <row r="51" spans="1:14" ht="19.5" thickBot="1">
      <c r="A51" s="138"/>
      <c r="B51" s="139" t="s">
        <v>218</v>
      </c>
      <c r="C51" s="140"/>
      <c r="D51" s="140"/>
      <c r="E51" s="140"/>
      <c r="F51" s="140"/>
      <c r="G51" s="140"/>
      <c r="H51" s="140"/>
      <c r="I51" s="140"/>
      <c r="J51" s="140"/>
      <c r="K51" s="140"/>
      <c r="L51" s="141"/>
      <c r="M51" s="142"/>
      <c r="N51" s="131"/>
    </row>
    <row r="52" spans="1:14" ht="15.75">
      <c r="A52" s="2"/>
      <c r="B52" s="5"/>
      <c r="C52" s="5"/>
      <c r="D52" s="5"/>
      <c r="E52" s="5"/>
      <c r="F52" s="5"/>
      <c r="G52" s="5"/>
      <c r="H52" s="5"/>
      <c r="I52" s="5"/>
      <c r="J52" s="5"/>
      <c r="K52" s="5"/>
      <c r="L52" s="57"/>
      <c r="M52" s="5"/>
      <c r="N52" s="131"/>
    </row>
    <row r="53" spans="1:14" ht="15.75">
      <c r="A53" s="8"/>
      <c r="B53" s="58" t="s">
        <v>35</v>
      </c>
      <c r="C53" s="16"/>
      <c r="D53" s="10"/>
      <c r="E53" s="10"/>
      <c r="F53" s="10"/>
      <c r="G53" s="10"/>
      <c r="H53" s="10"/>
      <c r="I53" s="10"/>
      <c r="J53" s="10"/>
      <c r="K53" s="10"/>
      <c r="L53" s="59"/>
      <c r="M53" s="10"/>
      <c r="N53" s="131"/>
    </row>
    <row r="54" spans="1:14" ht="15.75">
      <c r="A54" s="8"/>
      <c r="B54" s="16"/>
      <c r="C54" s="16"/>
      <c r="D54" s="10"/>
      <c r="E54" s="10"/>
      <c r="F54" s="10"/>
      <c r="G54" s="10"/>
      <c r="H54" s="10"/>
      <c r="I54" s="10"/>
      <c r="J54" s="10"/>
      <c r="K54" s="10"/>
      <c r="L54" s="59"/>
      <c r="M54" s="10"/>
      <c r="N54" s="131"/>
    </row>
    <row r="55" spans="1:14" s="165" customFormat="1" ht="63">
      <c r="A55" s="159"/>
      <c r="B55" s="160" t="s">
        <v>36</v>
      </c>
      <c r="C55" s="161" t="s">
        <v>145</v>
      </c>
      <c r="D55" s="161" t="s">
        <v>147</v>
      </c>
      <c r="E55" s="161"/>
      <c r="F55" s="161" t="s">
        <v>160</v>
      </c>
      <c r="G55" s="161"/>
      <c r="H55" s="161" t="s">
        <v>170</v>
      </c>
      <c r="I55" s="161"/>
      <c r="J55" s="161" t="s">
        <v>176</v>
      </c>
      <c r="K55" s="161"/>
      <c r="L55" s="162" t="s">
        <v>189</v>
      </c>
      <c r="M55" s="163"/>
      <c r="N55" s="171"/>
    </row>
    <row r="56" spans="1:14" ht="15.75">
      <c r="A56" s="27"/>
      <c r="B56" s="28" t="s">
        <v>37</v>
      </c>
      <c r="C56" s="38">
        <v>162582</v>
      </c>
      <c r="D56" s="60">
        <v>107789</v>
      </c>
      <c r="E56" s="38"/>
      <c r="F56" s="38">
        <v>6519</v>
      </c>
      <c r="G56" s="38"/>
      <c r="H56" s="38">
        <v>0</v>
      </c>
      <c r="I56" s="38"/>
      <c r="J56" s="38">
        <v>0</v>
      </c>
      <c r="K56" s="38"/>
      <c r="L56" s="60">
        <f>D56-F56+H56-J56</f>
        <v>101270</v>
      </c>
      <c r="M56" s="28"/>
      <c r="N56" s="131"/>
    </row>
    <row r="57" spans="1:14" ht="15.75">
      <c r="A57" s="27"/>
      <c r="B57" s="28" t="s">
        <v>38</v>
      </c>
      <c r="C57" s="38">
        <v>66</v>
      </c>
      <c r="D57" s="60">
        <v>0</v>
      </c>
      <c r="E57" s="38"/>
      <c r="F57" s="38">
        <v>0</v>
      </c>
      <c r="G57" s="38"/>
      <c r="H57" s="38">
        <v>0</v>
      </c>
      <c r="I57" s="38"/>
      <c r="J57" s="38">
        <v>0</v>
      </c>
      <c r="K57" s="38"/>
      <c r="L57" s="60">
        <f>D57-F57</f>
        <v>0</v>
      </c>
      <c r="M57" s="28"/>
      <c r="N57" s="131"/>
    </row>
    <row r="58" spans="1:14" ht="15.75">
      <c r="A58" s="27"/>
      <c r="B58" s="28"/>
      <c r="C58" s="38"/>
      <c r="D58" s="60"/>
      <c r="E58" s="38"/>
      <c r="F58" s="38"/>
      <c r="G58" s="38"/>
      <c r="H58" s="38"/>
      <c r="I58" s="38"/>
      <c r="J58" s="38"/>
      <c r="K58" s="38"/>
      <c r="L58" s="60"/>
      <c r="M58" s="28"/>
      <c r="N58" s="131"/>
    </row>
    <row r="59" spans="1:14" ht="15.75">
      <c r="A59" s="27"/>
      <c r="B59" s="28" t="s">
        <v>39</v>
      </c>
      <c r="C59" s="38">
        <f>SUM(C56:C58)</f>
        <v>162648</v>
      </c>
      <c r="D59" s="38">
        <f>SUM(D56:D58)</f>
        <v>107789</v>
      </c>
      <c r="E59" s="38"/>
      <c r="F59" s="38">
        <f>SUM(F56:F58)</f>
        <v>6519</v>
      </c>
      <c r="G59" s="38"/>
      <c r="H59" s="38">
        <f>SUM(H56:H58)</f>
        <v>0</v>
      </c>
      <c r="I59" s="38"/>
      <c r="J59" s="38">
        <f>SUM(J56:J58)</f>
        <v>0</v>
      </c>
      <c r="K59" s="38"/>
      <c r="L59" s="61">
        <f>SUM(L56:L58)</f>
        <v>101270</v>
      </c>
      <c r="M59" s="28"/>
      <c r="N59" s="131"/>
    </row>
    <row r="60" spans="1:14" ht="15.75">
      <c r="A60" s="27"/>
      <c r="B60" s="28"/>
      <c r="C60" s="38"/>
      <c r="D60" s="38"/>
      <c r="E60" s="38"/>
      <c r="F60" s="38"/>
      <c r="G60" s="38"/>
      <c r="H60" s="38"/>
      <c r="I60" s="38"/>
      <c r="J60" s="38"/>
      <c r="K60" s="38"/>
      <c r="L60" s="61"/>
      <c r="M60" s="28"/>
      <c r="N60" s="131"/>
    </row>
    <row r="61" spans="1:14" ht="15.75">
      <c r="A61" s="8"/>
      <c r="B61" s="154" t="s">
        <v>40</v>
      </c>
      <c r="C61" s="62"/>
      <c r="D61" s="62"/>
      <c r="E61" s="62"/>
      <c r="F61" s="62"/>
      <c r="G61" s="62"/>
      <c r="H61" s="62"/>
      <c r="I61" s="62"/>
      <c r="J61" s="62"/>
      <c r="K61" s="62"/>
      <c r="L61" s="63"/>
      <c r="M61" s="10"/>
      <c r="N61" s="131"/>
    </row>
    <row r="62" spans="1:14" ht="15.75">
      <c r="A62" s="8"/>
      <c r="B62" s="10"/>
      <c r="C62" s="62"/>
      <c r="D62" s="62"/>
      <c r="E62" s="62"/>
      <c r="F62" s="62"/>
      <c r="G62" s="62"/>
      <c r="H62" s="62"/>
      <c r="I62" s="62"/>
      <c r="J62" s="62"/>
      <c r="K62" s="62"/>
      <c r="L62" s="63"/>
      <c r="M62" s="10"/>
      <c r="N62" s="131"/>
    </row>
    <row r="63" spans="1:14" ht="15.75">
      <c r="A63" s="27"/>
      <c r="B63" s="28" t="s">
        <v>37</v>
      </c>
      <c r="C63" s="38"/>
      <c r="D63" s="38"/>
      <c r="E63" s="38"/>
      <c r="F63" s="38"/>
      <c r="G63" s="38"/>
      <c r="H63" s="38"/>
      <c r="I63" s="38"/>
      <c r="J63" s="38"/>
      <c r="K63" s="38"/>
      <c r="L63" s="61"/>
      <c r="M63" s="28"/>
      <c r="N63" s="131"/>
    </row>
    <row r="64" spans="1:14" ht="15.75">
      <c r="A64" s="27"/>
      <c r="B64" s="28" t="s">
        <v>38</v>
      </c>
      <c r="C64" s="38"/>
      <c r="D64" s="38"/>
      <c r="E64" s="38"/>
      <c r="F64" s="38"/>
      <c r="G64" s="38"/>
      <c r="H64" s="38"/>
      <c r="I64" s="38"/>
      <c r="J64" s="38"/>
      <c r="K64" s="38"/>
      <c r="L64" s="61"/>
      <c r="M64" s="28"/>
      <c r="N64" s="131"/>
    </row>
    <row r="65" spans="1:14" ht="15.75">
      <c r="A65" s="27"/>
      <c r="B65" s="28"/>
      <c r="C65" s="38"/>
      <c r="D65" s="38"/>
      <c r="E65" s="38"/>
      <c r="F65" s="38"/>
      <c r="G65" s="38"/>
      <c r="H65" s="38"/>
      <c r="I65" s="38"/>
      <c r="J65" s="38"/>
      <c r="K65" s="38"/>
      <c r="L65" s="61"/>
      <c r="M65" s="28"/>
      <c r="N65" s="131"/>
    </row>
    <row r="66" spans="1:14" ht="15.75">
      <c r="A66" s="27"/>
      <c r="B66" s="28" t="s">
        <v>39</v>
      </c>
      <c r="C66" s="38"/>
      <c r="D66" s="38"/>
      <c r="E66" s="38"/>
      <c r="F66" s="38"/>
      <c r="G66" s="38"/>
      <c r="H66" s="38"/>
      <c r="I66" s="38"/>
      <c r="J66" s="38"/>
      <c r="K66" s="38"/>
      <c r="L66" s="38"/>
      <c r="M66" s="28"/>
      <c r="N66" s="131"/>
    </row>
    <row r="67" spans="1:14" ht="15.75">
      <c r="A67" s="27"/>
      <c r="B67" s="28"/>
      <c r="C67" s="38"/>
      <c r="D67" s="38"/>
      <c r="E67" s="38"/>
      <c r="F67" s="38"/>
      <c r="G67" s="38"/>
      <c r="H67" s="38"/>
      <c r="I67" s="38"/>
      <c r="J67" s="38"/>
      <c r="K67" s="38"/>
      <c r="L67" s="38"/>
      <c r="M67" s="28"/>
      <c r="N67" s="131"/>
    </row>
    <row r="68" spans="1:14" ht="15.75">
      <c r="A68" s="27"/>
      <c r="B68" s="28" t="s">
        <v>41</v>
      </c>
      <c r="C68" s="38">
        <v>0</v>
      </c>
      <c r="D68" s="38">
        <v>0</v>
      </c>
      <c r="E68" s="38"/>
      <c r="F68" s="38"/>
      <c r="G68" s="38"/>
      <c r="H68" s="38"/>
      <c r="I68" s="38"/>
      <c r="J68" s="38"/>
      <c r="K68" s="38"/>
      <c r="L68" s="60">
        <f>D68-F68+H68-J68</f>
        <v>0</v>
      </c>
      <c r="M68" s="28"/>
      <c r="N68" s="131"/>
    </row>
    <row r="69" spans="1:14" ht="15.75">
      <c r="A69" s="27"/>
      <c r="B69" s="28" t="s">
        <v>42</v>
      </c>
      <c r="C69" s="38">
        <v>22352</v>
      </c>
      <c r="D69" s="38">
        <v>0</v>
      </c>
      <c r="E69" s="38"/>
      <c r="F69" s="38"/>
      <c r="G69" s="38"/>
      <c r="H69" s="38"/>
      <c r="I69" s="38"/>
      <c r="J69" s="38"/>
      <c r="K69" s="38"/>
      <c r="L69" s="61">
        <v>0</v>
      </c>
      <c r="M69" s="28"/>
      <c r="N69" s="131"/>
    </row>
    <row r="70" spans="1:14" ht="15.75">
      <c r="A70" s="27"/>
      <c r="B70" s="28" t="s">
        <v>43</v>
      </c>
      <c r="C70" s="38">
        <v>0</v>
      </c>
      <c r="D70" s="38">
        <v>0</v>
      </c>
      <c r="E70" s="38"/>
      <c r="F70" s="38"/>
      <c r="G70" s="38"/>
      <c r="H70" s="38"/>
      <c r="I70" s="38"/>
      <c r="J70" s="38"/>
      <c r="K70" s="38"/>
      <c r="L70" s="61">
        <v>0</v>
      </c>
      <c r="M70" s="28"/>
      <c r="N70" s="131"/>
    </row>
    <row r="71" spans="1:14" ht="15.75">
      <c r="A71" s="27"/>
      <c r="B71" s="28" t="s">
        <v>44</v>
      </c>
      <c r="C71" s="61">
        <f>SUM(C59:C70)</f>
        <v>185000</v>
      </c>
      <c r="D71" s="61">
        <f>SUM(D59:D70)</f>
        <v>107789</v>
      </c>
      <c r="E71" s="38"/>
      <c r="F71" s="61"/>
      <c r="G71" s="38"/>
      <c r="H71" s="61"/>
      <c r="I71" s="38"/>
      <c r="J71" s="61"/>
      <c r="K71" s="38"/>
      <c r="L71" s="61">
        <f>SUM(L59:L70)</f>
        <v>101270</v>
      </c>
      <c r="M71" s="28"/>
      <c r="N71" s="131"/>
    </row>
    <row r="72" spans="1:14" ht="15.75">
      <c r="A72" s="27"/>
      <c r="B72" s="28"/>
      <c r="C72" s="38"/>
      <c r="D72" s="38"/>
      <c r="E72" s="38"/>
      <c r="F72" s="38"/>
      <c r="G72" s="38"/>
      <c r="H72" s="38"/>
      <c r="I72" s="38"/>
      <c r="J72" s="38"/>
      <c r="K72" s="38"/>
      <c r="L72" s="61"/>
      <c r="M72" s="28"/>
      <c r="N72" s="131"/>
    </row>
    <row r="73" spans="1:14" ht="15.75">
      <c r="A73" s="8"/>
      <c r="B73" s="10"/>
      <c r="C73" s="10"/>
      <c r="D73" s="10"/>
      <c r="E73" s="10"/>
      <c r="F73" s="10"/>
      <c r="G73" s="10"/>
      <c r="H73" s="10"/>
      <c r="I73" s="10"/>
      <c r="J73" s="10"/>
      <c r="K73" s="10"/>
      <c r="L73" s="10"/>
      <c r="M73" s="10"/>
      <c r="N73" s="131"/>
    </row>
    <row r="74" spans="1:14" ht="15.75">
      <c r="A74" s="8"/>
      <c r="B74" s="58" t="s">
        <v>45</v>
      </c>
      <c r="C74" s="17"/>
      <c r="D74" s="17"/>
      <c r="E74" s="17"/>
      <c r="F74" s="17"/>
      <c r="G74" s="17"/>
      <c r="H74" s="17"/>
      <c r="I74" s="20"/>
      <c r="J74" s="20" t="s">
        <v>177</v>
      </c>
      <c r="K74" s="20"/>
      <c r="L74" s="20" t="s">
        <v>190</v>
      </c>
      <c r="M74" s="10"/>
      <c r="N74" s="131"/>
    </row>
    <row r="75" spans="1:14" ht="15.75">
      <c r="A75" s="27"/>
      <c r="B75" s="28" t="s">
        <v>46</v>
      </c>
      <c r="C75" s="28"/>
      <c r="D75" s="28"/>
      <c r="E75" s="28"/>
      <c r="F75" s="28"/>
      <c r="G75" s="28"/>
      <c r="H75" s="28"/>
      <c r="I75" s="28"/>
      <c r="J75" s="38">
        <v>0</v>
      </c>
      <c r="K75" s="28"/>
      <c r="L75" s="60">
        <v>0</v>
      </c>
      <c r="M75" s="28"/>
      <c r="N75" s="131"/>
    </row>
    <row r="76" spans="1:14" ht="15.75">
      <c r="A76" s="27"/>
      <c r="B76" s="28" t="s">
        <v>47</v>
      </c>
      <c r="C76" s="47" t="s">
        <v>146</v>
      </c>
      <c r="D76" s="65">
        <v>37986</v>
      </c>
      <c r="E76" s="28"/>
      <c r="F76" s="28"/>
      <c r="G76" s="28"/>
      <c r="H76" s="28"/>
      <c r="I76" s="28"/>
      <c r="J76" s="38">
        <v>6519</v>
      </c>
      <c r="K76" s="28"/>
      <c r="L76" s="60"/>
      <c r="M76" s="28"/>
      <c r="N76" s="131"/>
    </row>
    <row r="77" spans="1:14" ht="15.75">
      <c r="A77" s="27"/>
      <c r="B77" s="28" t="s">
        <v>48</v>
      </c>
      <c r="C77" s="28"/>
      <c r="D77" s="28"/>
      <c r="E77" s="28"/>
      <c r="F77" s="28"/>
      <c r="G77" s="28"/>
      <c r="H77" s="28"/>
      <c r="I77" s="28"/>
      <c r="J77" s="38"/>
      <c r="K77" s="28"/>
      <c r="L77" s="60">
        <f>1472+238-4-15</f>
        <v>1691</v>
      </c>
      <c r="M77" s="28"/>
      <c r="N77" s="131"/>
    </row>
    <row r="78" spans="1:14" ht="15.75">
      <c r="A78" s="27"/>
      <c r="B78" s="28" t="s">
        <v>49</v>
      </c>
      <c r="C78" s="28"/>
      <c r="D78" s="28"/>
      <c r="E78" s="28"/>
      <c r="F78" s="28"/>
      <c r="G78" s="28"/>
      <c r="H78" s="28"/>
      <c r="I78" s="28"/>
      <c r="J78" s="38"/>
      <c r="K78" s="28"/>
      <c r="L78" s="60">
        <v>0</v>
      </c>
      <c r="M78" s="28"/>
      <c r="N78" s="131"/>
    </row>
    <row r="79" spans="1:14" ht="15.75">
      <c r="A79" s="27"/>
      <c r="B79" s="28" t="s">
        <v>50</v>
      </c>
      <c r="C79" s="28"/>
      <c r="D79" s="28"/>
      <c r="E79" s="28"/>
      <c r="F79" s="28"/>
      <c r="G79" s="28"/>
      <c r="H79" s="28"/>
      <c r="I79" s="28"/>
      <c r="J79" s="38">
        <f>SUM(J75:J78)</f>
        <v>6519</v>
      </c>
      <c r="K79" s="28"/>
      <c r="L79" s="61">
        <f>SUM(L75:L78)</f>
        <v>1691</v>
      </c>
      <c r="M79" s="28"/>
      <c r="N79" s="131"/>
    </row>
    <row r="80" spans="1:14" ht="15.75">
      <c r="A80" s="27"/>
      <c r="B80" s="28" t="s">
        <v>51</v>
      </c>
      <c r="C80" s="28"/>
      <c r="D80" s="28"/>
      <c r="E80" s="28"/>
      <c r="F80" s="28"/>
      <c r="G80" s="28"/>
      <c r="H80" s="28"/>
      <c r="I80" s="28"/>
      <c r="J80" s="38">
        <v>0</v>
      </c>
      <c r="K80" s="28"/>
      <c r="L80" s="60">
        <v>0</v>
      </c>
      <c r="M80" s="28"/>
      <c r="N80" s="131"/>
    </row>
    <row r="81" spans="1:14" ht="15.75">
      <c r="A81" s="27"/>
      <c r="B81" s="28" t="s">
        <v>52</v>
      </c>
      <c r="C81" s="28"/>
      <c r="D81" s="28"/>
      <c r="E81" s="28"/>
      <c r="F81" s="28"/>
      <c r="G81" s="28"/>
      <c r="H81" s="28"/>
      <c r="I81" s="28"/>
      <c r="J81" s="38">
        <f>J79+J80</f>
        <v>6519</v>
      </c>
      <c r="K81" s="28"/>
      <c r="L81" s="61">
        <f>L79+L80</f>
        <v>1691</v>
      </c>
      <c r="M81" s="28"/>
      <c r="N81" s="131"/>
    </row>
    <row r="82" spans="1:14" ht="15.75">
      <c r="A82" s="27"/>
      <c r="B82" s="166" t="s">
        <v>53</v>
      </c>
      <c r="C82" s="66"/>
      <c r="D82" s="28"/>
      <c r="E82" s="28"/>
      <c r="F82" s="28"/>
      <c r="G82" s="28"/>
      <c r="H82" s="28"/>
      <c r="I82" s="28"/>
      <c r="J82" s="38"/>
      <c r="K82" s="28"/>
      <c r="L82" s="60"/>
      <c r="M82" s="28"/>
      <c r="N82" s="131"/>
    </row>
    <row r="83" spans="1:14" ht="15.75">
      <c r="A83" s="27">
        <v>1</v>
      </c>
      <c r="B83" s="28" t="s">
        <v>54</v>
      </c>
      <c r="C83" s="28"/>
      <c r="D83" s="28"/>
      <c r="E83" s="28"/>
      <c r="F83" s="28"/>
      <c r="G83" s="28"/>
      <c r="H83" s="28"/>
      <c r="I83" s="28"/>
      <c r="J83" s="28"/>
      <c r="K83" s="28"/>
      <c r="L83" s="60">
        <v>0</v>
      </c>
      <c r="M83" s="28"/>
      <c r="N83" s="131"/>
    </row>
    <row r="84" spans="1:14" ht="15.75">
      <c r="A84" s="27">
        <v>2</v>
      </c>
      <c r="B84" s="28" t="s">
        <v>55</v>
      </c>
      <c r="C84" s="28"/>
      <c r="D84" s="28"/>
      <c r="E84" s="28"/>
      <c r="F84" s="28"/>
      <c r="G84" s="28"/>
      <c r="H84" s="28"/>
      <c r="I84" s="28"/>
      <c r="J84" s="28"/>
      <c r="K84" s="28"/>
      <c r="L84" s="60">
        <v>-3</v>
      </c>
      <c r="M84" s="28"/>
      <c r="N84" s="131"/>
    </row>
    <row r="85" spans="1:14" ht="15.75">
      <c r="A85" s="27">
        <v>3</v>
      </c>
      <c r="B85" s="28" t="s">
        <v>56</v>
      </c>
      <c r="C85" s="28"/>
      <c r="D85" s="28"/>
      <c r="E85" s="28"/>
      <c r="F85" s="28"/>
      <c r="G85" s="28"/>
      <c r="H85" s="28"/>
      <c r="I85" s="28"/>
      <c r="J85" s="28"/>
      <c r="K85" s="28"/>
      <c r="L85" s="60">
        <f>-82-4</f>
        <v>-86</v>
      </c>
      <c r="M85" s="28"/>
      <c r="N85" s="131"/>
    </row>
    <row r="86" spans="1:14" ht="15.75">
      <c r="A86" s="27">
        <v>4</v>
      </c>
      <c r="B86" s="28" t="s">
        <v>57</v>
      </c>
      <c r="C86" s="28"/>
      <c r="D86" s="28"/>
      <c r="E86" s="28"/>
      <c r="F86" s="28"/>
      <c r="G86" s="28"/>
      <c r="H86" s="28"/>
      <c r="I86" s="28"/>
      <c r="J86" s="28"/>
      <c r="K86" s="28"/>
      <c r="L86" s="60">
        <v>-111</v>
      </c>
      <c r="M86" s="28"/>
      <c r="N86" s="131"/>
    </row>
    <row r="87" spans="1:14" ht="15.75">
      <c r="A87" s="27">
        <v>5</v>
      </c>
      <c r="B87" s="28" t="s">
        <v>58</v>
      </c>
      <c r="C87" s="28"/>
      <c r="D87" s="28"/>
      <c r="E87" s="28"/>
      <c r="F87" s="28"/>
      <c r="G87" s="28"/>
      <c r="H87" s="28"/>
      <c r="I87" s="28"/>
      <c r="J87" s="28"/>
      <c r="K87" s="28"/>
      <c r="L87" s="60">
        <v>-920</v>
      </c>
      <c r="M87" s="28"/>
      <c r="N87" s="131"/>
    </row>
    <row r="88" spans="1:14" ht="15.75">
      <c r="A88" s="27">
        <v>6</v>
      </c>
      <c r="B88" s="28" t="s">
        <v>59</v>
      </c>
      <c r="C88" s="28"/>
      <c r="D88" s="28"/>
      <c r="E88" s="28"/>
      <c r="F88" s="28"/>
      <c r="G88" s="28"/>
      <c r="H88" s="28"/>
      <c r="I88" s="28"/>
      <c r="J88" s="28"/>
      <c r="K88" s="28"/>
      <c r="L88" s="60">
        <v>-194</v>
      </c>
      <c r="M88" s="28"/>
      <c r="N88" s="131"/>
    </row>
    <row r="89" spans="1:14" ht="15.75">
      <c r="A89" s="27">
        <v>7</v>
      </c>
      <c r="B89" s="28" t="s">
        <v>60</v>
      </c>
      <c r="C89" s="28"/>
      <c r="D89" s="28"/>
      <c r="E89" s="28"/>
      <c r="F89" s="28"/>
      <c r="G89" s="28"/>
      <c r="H89" s="28"/>
      <c r="I89" s="28"/>
      <c r="J89" s="28"/>
      <c r="K89" s="28"/>
      <c r="L89" s="60">
        <v>-5</v>
      </c>
      <c r="M89" s="28"/>
      <c r="N89" s="131"/>
    </row>
    <row r="90" spans="1:14" ht="15.75">
      <c r="A90" s="27">
        <v>8</v>
      </c>
      <c r="B90" s="28" t="s">
        <v>61</v>
      </c>
      <c r="C90" s="28"/>
      <c r="D90" s="28"/>
      <c r="E90" s="28"/>
      <c r="F90" s="28"/>
      <c r="G90" s="28"/>
      <c r="H90" s="28"/>
      <c r="I90" s="28"/>
      <c r="J90" s="28"/>
      <c r="K90" s="28"/>
      <c r="L90" s="60">
        <v>0</v>
      </c>
      <c r="M90" s="28"/>
      <c r="N90" s="131"/>
    </row>
    <row r="91" spans="1:14" ht="15.75">
      <c r="A91" s="27">
        <v>9</v>
      </c>
      <c r="B91" s="28" t="s">
        <v>62</v>
      </c>
      <c r="C91" s="28"/>
      <c r="D91" s="28"/>
      <c r="E91" s="28"/>
      <c r="F91" s="28"/>
      <c r="G91" s="28"/>
      <c r="H91" s="28"/>
      <c r="I91" s="28"/>
      <c r="J91" s="28"/>
      <c r="K91" s="28"/>
      <c r="L91" s="60">
        <v>0</v>
      </c>
      <c r="M91" s="28"/>
      <c r="N91" s="131"/>
    </row>
    <row r="92" spans="1:14" ht="15.75">
      <c r="A92" s="27">
        <v>10</v>
      </c>
      <c r="B92" s="28" t="s">
        <v>63</v>
      </c>
      <c r="C92" s="28"/>
      <c r="D92" s="28"/>
      <c r="E92" s="28"/>
      <c r="F92" s="28"/>
      <c r="G92" s="28"/>
      <c r="H92" s="28"/>
      <c r="I92" s="28"/>
      <c r="J92" s="28"/>
      <c r="K92" s="28"/>
      <c r="L92" s="60">
        <v>0</v>
      </c>
      <c r="M92" s="28"/>
      <c r="N92" s="131"/>
    </row>
    <row r="93" spans="1:14" ht="15.75">
      <c r="A93" s="27">
        <v>11</v>
      </c>
      <c r="B93" s="28" t="s">
        <v>64</v>
      </c>
      <c r="C93" s="28"/>
      <c r="D93" s="28"/>
      <c r="E93" s="28"/>
      <c r="F93" s="28"/>
      <c r="G93" s="28"/>
      <c r="H93" s="28"/>
      <c r="I93" s="28"/>
      <c r="J93" s="28"/>
      <c r="K93" s="28"/>
      <c r="L93" s="60">
        <v>0</v>
      </c>
      <c r="M93" s="28"/>
      <c r="N93" s="131"/>
    </row>
    <row r="94" spans="1:14" ht="15.75">
      <c r="A94" s="27">
        <v>12</v>
      </c>
      <c r="B94" s="28" t="s">
        <v>65</v>
      </c>
      <c r="C94" s="28"/>
      <c r="D94" s="28"/>
      <c r="E94" s="28"/>
      <c r="F94" s="28"/>
      <c r="G94" s="28"/>
      <c r="H94" s="28"/>
      <c r="I94" s="28"/>
      <c r="J94" s="28"/>
      <c r="K94" s="28"/>
      <c r="L94" s="60">
        <v>0</v>
      </c>
      <c r="M94" s="28"/>
      <c r="N94" s="131"/>
    </row>
    <row r="95" spans="1:14" ht="15.75">
      <c r="A95" s="27">
        <v>13</v>
      </c>
      <c r="B95" s="28" t="s">
        <v>66</v>
      </c>
      <c r="C95" s="28"/>
      <c r="D95" s="28"/>
      <c r="E95" s="28"/>
      <c r="F95" s="28"/>
      <c r="G95" s="28"/>
      <c r="H95" s="28"/>
      <c r="I95" s="28"/>
      <c r="J95" s="28"/>
      <c r="K95" s="28"/>
      <c r="L95" s="60">
        <f>-SUM(L81:L94)</f>
        <v>-372</v>
      </c>
      <c r="M95" s="28"/>
      <c r="N95" s="131"/>
    </row>
    <row r="96" spans="1:14" ht="15.75">
      <c r="A96" s="27"/>
      <c r="B96" s="166" t="s">
        <v>67</v>
      </c>
      <c r="C96" s="66"/>
      <c r="D96" s="28"/>
      <c r="E96" s="28"/>
      <c r="F96" s="28"/>
      <c r="G96" s="28"/>
      <c r="H96" s="28"/>
      <c r="I96" s="28"/>
      <c r="J96" s="28"/>
      <c r="K96" s="28"/>
      <c r="L96" s="67"/>
      <c r="M96" s="28"/>
      <c r="N96" s="131"/>
    </row>
    <row r="97" spans="1:14" ht="15.75">
      <c r="A97" s="27"/>
      <c r="B97" s="28" t="s">
        <v>68</v>
      </c>
      <c r="C97" s="66"/>
      <c r="D97" s="28"/>
      <c r="E97" s="28"/>
      <c r="F97" s="28"/>
      <c r="G97" s="28"/>
      <c r="H97" s="28"/>
      <c r="I97" s="28"/>
      <c r="J97" s="38">
        <f>-J143</f>
        <v>0</v>
      </c>
      <c r="K97" s="38"/>
      <c r="L97" s="60"/>
      <c r="M97" s="28"/>
      <c r="N97" s="131"/>
    </row>
    <row r="98" spans="1:14" ht="15.75">
      <c r="A98" s="27"/>
      <c r="B98" s="28" t="s">
        <v>69</v>
      </c>
      <c r="C98" s="28"/>
      <c r="D98" s="28"/>
      <c r="E98" s="28"/>
      <c r="F98" s="28"/>
      <c r="G98" s="28"/>
      <c r="H98" s="28"/>
      <c r="I98" s="28"/>
      <c r="J98" s="38">
        <f>-H143</f>
        <v>0</v>
      </c>
      <c r="K98" s="38"/>
      <c r="L98" s="60"/>
      <c r="M98" s="28"/>
      <c r="N98" s="131"/>
    </row>
    <row r="99" spans="1:14" ht="15.75">
      <c r="A99" s="27"/>
      <c r="B99" s="28" t="s">
        <v>70</v>
      </c>
      <c r="C99" s="28"/>
      <c r="D99" s="28"/>
      <c r="E99" s="28"/>
      <c r="F99" s="28"/>
      <c r="G99" s="28"/>
      <c r="H99" s="28"/>
      <c r="I99" s="28"/>
      <c r="J99" s="38">
        <v>-6519</v>
      </c>
      <c r="K99" s="38"/>
      <c r="L99" s="60"/>
      <c r="M99" s="28"/>
      <c r="N99" s="131"/>
    </row>
    <row r="100" spans="1:14" ht="15.75">
      <c r="A100" s="27"/>
      <c r="B100" s="28" t="s">
        <v>71</v>
      </c>
      <c r="C100" s="28"/>
      <c r="D100" s="28"/>
      <c r="E100" s="28"/>
      <c r="F100" s="28"/>
      <c r="G100" s="28"/>
      <c r="H100" s="28"/>
      <c r="I100" s="28"/>
      <c r="J100" s="38">
        <v>0</v>
      </c>
      <c r="K100" s="38"/>
      <c r="L100" s="60"/>
      <c r="M100" s="28"/>
      <c r="N100" s="131"/>
    </row>
    <row r="101" spans="1:14" ht="15.75">
      <c r="A101" s="27"/>
      <c r="B101" s="28" t="s">
        <v>72</v>
      </c>
      <c r="C101" s="28"/>
      <c r="D101" s="28"/>
      <c r="E101" s="28"/>
      <c r="F101" s="28"/>
      <c r="G101" s="28"/>
      <c r="H101" s="28"/>
      <c r="I101" s="28"/>
      <c r="J101" s="38">
        <f>SUM(J82:J100)</f>
        <v>-6519</v>
      </c>
      <c r="K101" s="38"/>
      <c r="L101" s="38">
        <f>SUM(L82:L100)</f>
        <v>-1691</v>
      </c>
      <c r="M101" s="28"/>
      <c r="N101" s="131"/>
    </row>
    <row r="102" spans="1:14" ht="15.75">
      <c r="A102" s="27"/>
      <c r="B102" s="28" t="s">
        <v>73</v>
      </c>
      <c r="C102" s="28"/>
      <c r="D102" s="28"/>
      <c r="E102" s="28"/>
      <c r="F102" s="28"/>
      <c r="G102" s="28"/>
      <c r="H102" s="28"/>
      <c r="I102" s="28"/>
      <c r="J102" s="38">
        <f>J81+J101</f>
        <v>0</v>
      </c>
      <c r="K102" s="38"/>
      <c r="L102" s="38">
        <f>L81+L101</f>
        <v>0</v>
      </c>
      <c r="M102" s="28"/>
      <c r="N102" s="131"/>
    </row>
    <row r="103" spans="1:14" ht="15.75">
      <c r="A103" s="27"/>
      <c r="B103" s="28"/>
      <c r="C103" s="28"/>
      <c r="D103" s="28"/>
      <c r="E103" s="28"/>
      <c r="F103" s="28"/>
      <c r="G103" s="28"/>
      <c r="H103" s="28"/>
      <c r="I103" s="28"/>
      <c r="J103" s="38"/>
      <c r="K103" s="38"/>
      <c r="L103" s="38"/>
      <c r="M103" s="28"/>
      <c r="N103" s="131"/>
    </row>
    <row r="104" spans="1:14" ht="15.75">
      <c r="A104" s="8"/>
      <c r="B104" s="10"/>
      <c r="C104" s="10"/>
      <c r="D104" s="10"/>
      <c r="E104" s="10"/>
      <c r="F104" s="10"/>
      <c r="G104" s="10"/>
      <c r="H104" s="10"/>
      <c r="I104" s="10"/>
      <c r="J104" s="62"/>
      <c r="K104" s="62"/>
      <c r="L104" s="62"/>
      <c r="M104" s="10"/>
      <c r="N104" s="131"/>
    </row>
    <row r="105" spans="1:14" ht="19.5" thickBot="1">
      <c r="A105" s="138"/>
      <c r="B105" s="139" t="str">
        <f>B51</f>
        <v>PM1 INVESTOR REPORT QUARTER ENDING DECEMBER 2003</v>
      </c>
      <c r="C105" s="140"/>
      <c r="D105" s="140"/>
      <c r="E105" s="140"/>
      <c r="F105" s="140"/>
      <c r="G105" s="140"/>
      <c r="H105" s="140"/>
      <c r="I105" s="140"/>
      <c r="J105" s="143"/>
      <c r="K105" s="143"/>
      <c r="L105" s="143"/>
      <c r="M105" s="142"/>
      <c r="N105" s="131"/>
    </row>
    <row r="106" spans="1:14" ht="12" customHeight="1">
      <c r="A106" s="2"/>
      <c r="B106" s="5"/>
      <c r="C106" s="5"/>
      <c r="D106" s="5"/>
      <c r="E106" s="5"/>
      <c r="F106" s="5"/>
      <c r="G106" s="5"/>
      <c r="H106" s="5"/>
      <c r="I106" s="5"/>
      <c r="J106" s="5"/>
      <c r="K106" s="5"/>
      <c r="L106" s="57"/>
      <c r="M106" s="5"/>
      <c r="N106" s="131"/>
    </row>
    <row r="107" spans="1:14" ht="12" customHeight="1">
      <c r="A107" s="8"/>
      <c r="B107" s="10"/>
      <c r="C107" s="10"/>
      <c r="D107" s="10"/>
      <c r="E107" s="10"/>
      <c r="F107" s="10"/>
      <c r="G107" s="10"/>
      <c r="H107" s="10"/>
      <c r="I107" s="10"/>
      <c r="J107" s="10"/>
      <c r="K107" s="10"/>
      <c r="L107" s="59"/>
      <c r="M107" s="10"/>
      <c r="N107" s="131"/>
    </row>
    <row r="108" spans="1:14" ht="15.75">
      <c r="A108" s="8"/>
      <c r="B108" s="58" t="s">
        <v>74</v>
      </c>
      <c r="C108" s="16"/>
      <c r="D108" s="10"/>
      <c r="E108" s="10"/>
      <c r="F108" s="10"/>
      <c r="G108" s="10"/>
      <c r="H108" s="10"/>
      <c r="I108" s="10"/>
      <c r="J108" s="10"/>
      <c r="K108" s="10"/>
      <c r="L108" s="59"/>
      <c r="M108" s="10"/>
      <c r="N108" s="131"/>
    </row>
    <row r="109" spans="1:14" ht="15.75">
      <c r="A109" s="8"/>
      <c r="B109" s="23"/>
      <c r="C109" s="16"/>
      <c r="D109" s="10"/>
      <c r="E109" s="10"/>
      <c r="F109" s="10"/>
      <c r="G109" s="10"/>
      <c r="H109" s="10"/>
      <c r="I109" s="10"/>
      <c r="J109" s="10"/>
      <c r="K109" s="10"/>
      <c r="L109" s="59"/>
      <c r="M109" s="10"/>
      <c r="N109" s="131"/>
    </row>
    <row r="110" spans="1:14" ht="15.75">
      <c r="A110" s="8"/>
      <c r="B110" s="167" t="s">
        <v>75</v>
      </c>
      <c r="C110" s="16"/>
      <c r="D110" s="10"/>
      <c r="E110" s="10"/>
      <c r="F110" s="10"/>
      <c r="G110" s="10"/>
      <c r="H110" s="10"/>
      <c r="I110" s="10"/>
      <c r="J110" s="10"/>
      <c r="K110" s="10"/>
      <c r="L110" s="59"/>
      <c r="M110" s="10"/>
      <c r="N110" s="131"/>
    </row>
    <row r="111" spans="1:14" ht="15.75">
      <c r="A111" s="27"/>
      <c r="B111" s="28" t="s">
        <v>76</v>
      </c>
      <c r="C111" s="28"/>
      <c r="D111" s="28"/>
      <c r="E111" s="28"/>
      <c r="F111" s="28"/>
      <c r="G111" s="28"/>
      <c r="H111" s="28"/>
      <c r="I111" s="28"/>
      <c r="J111" s="28"/>
      <c r="K111" s="28"/>
      <c r="L111" s="60">
        <v>4625</v>
      </c>
      <c r="M111" s="28"/>
      <c r="N111" s="131"/>
    </row>
    <row r="112" spans="1:14" ht="15.75">
      <c r="A112" s="27"/>
      <c r="B112" s="28" t="s">
        <v>77</v>
      </c>
      <c r="C112" s="28"/>
      <c r="D112" s="28"/>
      <c r="E112" s="28"/>
      <c r="F112" s="28"/>
      <c r="G112" s="28"/>
      <c r="H112" s="28"/>
      <c r="I112" s="28"/>
      <c r="J112" s="28"/>
      <c r="K112" s="28"/>
      <c r="L112" s="60">
        <v>4625</v>
      </c>
      <c r="M112" s="28"/>
      <c r="N112" s="131"/>
    </row>
    <row r="113" spans="1:14" ht="15.75">
      <c r="A113" s="27"/>
      <c r="B113" s="28" t="s">
        <v>78</v>
      </c>
      <c r="C113" s="28"/>
      <c r="D113" s="28"/>
      <c r="E113" s="28"/>
      <c r="F113" s="28"/>
      <c r="G113" s="28"/>
      <c r="H113" s="28"/>
      <c r="I113" s="28"/>
      <c r="J113" s="28"/>
      <c r="K113" s="28"/>
      <c r="L113" s="60">
        <v>0</v>
      </c>
      <c r="M113" s="28"/>
      <c r="N113" s="131"/>
    </row>
    <row r="114" spans="1:14" ht="15.75">
      <c r="A114" s="27"/>
      <c r="B114" s="28" t="s">
        <v>79</v>
      </c>
      <c r="C114" s="28"/>
      <c r="D114" s="28"/>
      <c r="E114" s="28"/>
      <c r="F114" s="28"/>
      <c r="G114" s="28"/>
      <c r="H114" s="28"/>
      <c r="I114" s="28"/>
      <c r="J114" s="28"/>
      <c r="K114" s="28"/>
      <c r="L114" s="60">
        <v>0</v>
      </c>
      <c r="M114" s="28"/>
      <c r="N114" s="131"/>
    </row>
    <row r="115" spans="1:14" ht="15.75">
      <c r="A115" s="27"/>
      <c r="B115" s="28" t="s">
        <v>80</v>
      </c>
      <c r="C115" s="28"/>
      <c r="D115" s="28"/>
      <c r="E115" s="28"/>
      <c r="F115" s="28"/>
      <c r="G115" s="28"/>
      <c r="H115" s="28"/>
      <c r="I115" s="28"/>
      <c r="J115" s="28"/>
      <c r="K115" s="28"/>
      <c r="L115" s="60">
        <v>0</v>
      </c>
      <c r="M115" s="28"/>
      <c r="N115" s="131"/>
    </row>
    <row r="116" spans="1:14" ht="15.75">
      <c r="A116" s="27"/>
      <c r="B116" s="28" t="s">
        <v>58</v>
      </c>
      <c r="C116" s="28"/>
      <c r="D116" s="28"/>
      <c r="E116" s="28"/>
      <c r="F116" s="28"/>
      <c r="G116" s="28"/>
      <c r="H116" s="28"/>
      <c r="I116" s="28"/>
      <c r="J116" s="28"/>
      <c r="K116" s="28"/>
      <c r="L116" s="60">
        <v>0</v>
      </c>
      <c r="M116" s="28"/>
      <c r="N116" s="131"/>
    </row>
    <row r="117" spans="1:14" ht="15.75">
      <c r="A117" s="27"/>
      <c r="B117" s="28" t="s">
        <v>59</v>
      </c>
      <c r="C117" s="28"/>
      <c r="D117" s="28"/>
      <c r="E117" s="28"/>
      <c r="F117" s="28"/>
      <c r="G117" s="28"/>
      <c r="H117" s="28"/>
      <c r="I117" s="28"/>
      <c r="J117" s="28"/>
      <c r="K117" s="28"/>
      <c r="L117" s="60">
        <v>0</v>
      </c>
      <c r="M117" s="28"/>
      <c r="N117" s="131"/>
    </row>
    <row r="118" spans="1:14" ht="15.75">
      <c r="A118" s="27"/>
      <c r="B118" s="28" t="s">
        <v>81</v>
      </c>
      <c r="C118" s="28"/>
      <c r="D118" s="28"/>
      <c r="E118" s="28"/>
      <c r="F118" s="28"/>
      <c r="G118" s="28"/>
      <c r="H118" s="28"/>
      <c r="I118" s="28"/>
      <c r="J118" s="28"/>
      <c r="K118" s="28"/>
      <c r="L118" s="60">
        <f>SUM(L112:L116)</f>
        <v>4625</v>
      </c>
      <c r="M118" s="28"/>
      <c r="N118" s="131"/>
    </row>
    <row r="119" spans="1:14" ht="15.75">
      <c r="A119" s="27"/>
      <c r="B119" s="28"/>
      <c r="C119" s="28"/>
      <c r="D119" s="28"/>
      <c r="E119" s="28"/>
      <c r="F119" s="28"/>
      <c r="G119" s="28"/>
      <c r="H119" s="28"/>
      <c r="I119" s="28"/>
      <c r="J119" s="28"/>
      <c r="K119" s="28"/>
      <c r="L119" s="68"/>
      <c r="M119" s="28"/>
      <c r="N119" s="131"/>
    </row>
    <row r="120" spans="1:14" ht="15.75">
      <c r="A120" s="8"/>
      <c r="B120" s="167" t="s">
        <v>82</v>
      </c>
      <c r="C120" s="10"/>
      <c r="D120" s="10"/>
      <c r="E120" s="10"/>
      <c r="F120" s="10"/>
      <c r="G120" s="10"/>
      <c r="H120" s="10"/>
      <c r="I120" s="10"/>
      <c r="J120" s="10"/>
      <c r="K120" s="10"/>
      <c r="L120" s="59"/>
      <c r="M120" s="10"/>
      <c r="N120" s="131"/>
    </row>
    <row r="121" spans="1:14" ht="15.75">
      <c r="A121" s="27"/>
      <c r="B121" s="28" t="s">
        <v>83</v>
      </c>
      <c r="C121" s="28"/>
      <c r="D121" s="69"/>
      <c r="E121" s="28"/>
      <c r="F121" s="28"/>
      <c r="G121" s="28"/>
      <c r="H121" s="28"/>
      <c r="I121" s="28"/>
      <c r="J121" s="28"/>
      <c r="K121" s="28"/>
      <c r="L121" s="70" t="s">
        <v>156</v>
      </c>
      <c r="M121" s="28"/>
      <c r="N121" s="131"/>
    </row>
    <row r="122" spans="1:14" ht="15.75">
      <c r="A122" s="27"/>
      <c r="B122" s="28" t="s">
        <v>84</v>
      </c>
      <c r="C122" s="147"/>
      <c r="D122" s="147"/>
      <c r="E122" s="147"/>
      <c r="F122" s="147"/>
      <c r="G122" s="147"/>
      <c r="H122" s="147"/>
      <c r="I122" s="147"/>
      <c r="J122" s="147"/>
      <c r="K122" s="147"/>
      <c r="L122" s="70" t="s">
        <v>156</v>
      </c>
      <c r="M122" s="28"/>
      <c r="N122" s="131"/>
    </row>
    <row r="123" spans="1:14" ht="15.75">
      <c r="A123" s="27"/>
      <c r="B123" s="28" t="s">
        <v>85</v>
      </c>
      <c r="C123" s="28"/>
      <c r="D123" s="28"/>
      <c r="E123" s="28"/>
      <c r="F123" s="28"/>
      <c r="G123" s="28"/>
      <c r="H123" s="28"/>
      <c r="I123" s="28"/>
      <c r="J123" s="28"/>
      <c r="K123" s="28"/>
      <c r="L123" s="70" t="s">
        <v>156</v>
      </c>
      <c r="M123" s="28"/>
      <c r="N123" s="131"/>
    </row>
    <row r="124" spans="1:14" ht="15.75">
      <c r="A124" s="27"/>
      <c r="B124" s="28" t="s">
        <v>86</v>
      </c>
      <c r="C124" s="28"/>
      <c r="D124" s="28"/>
      <c r="E124" s="28"/>
      <c r="F124" s="28"/>
      <c r="G124" s="28"/>
      <c r="H124" s="28"/>
      <c r="I124" s="28"/>
      <c r="J124" s="28"/>
      <c r="K124" s="28"/>
      <c r="L124" s="70" t="s">
        <v>156</v>
      </c>
      <c r="M124" s="28"/>
      <c r="N124" s="131"/>
    </row>
    <row r="125" spans="1:14" ht="15.75">
      <c r="A125" s="27"/>
      <c r="B125" s="28"/>
      <c r="C125" s="28"/>
      <c r="D125" s="28"/>
      <c r="E125" s="28"/>
      <c r="F125" s="28"/>
      <c r="G125" s="28"/>
      <c r="H125" s="28"/>
      <c r="I125" s="28"/>
      <c r="J125" s="28"/>
      <c r="K125" s="28"/>
      <c r="L125" s="68"/>
      <c r="M125" s="28"/>
      <c r="N125" s="131"/>
    </row>
    <row r="126" spans="1:14" ht="15.75">
      <c r="A126" s="8"/>
      <c r="B126" s="167" t="s">
        <v>87</v>
      </c>
      <c r="C126" s="16"/>
      <c r="D126" s="10"/>
      <c r="E126" s="10"/>
      <c r="F126" s="10"/>
      <c r="G126" s="10"/>
      <c r="H126" s="10"/>
      <c r="I126" s="10"/>
      <c r="J126" s="10"/>
      <c r="K126" s="10"/>
      <c r="L126" s="71"/>
      <c r="M126" s="10"/>
      <c r="N126" s="131"/>
    </row>
    <row r="127" spans="1:14" ht="15.75">
      <c r="A127" s="27"/>
      <c r="B127" s="28" t="s">
        <v>88</v>
      </c>
      <c r="C127" s="28"/>
      <c r="D127" s="28"/>
      <c r="E127" s="28"/>
      <c r="F127" s="28"/>
      <c r="G127" s="28"/>
      <c r="H127" s="28"/>
      <c r="I127" s="28"/>
      <c r="J127" s="28"/>
      <c r="K127" s="28"/>
      <c r="L127" s="60">
        <v>0</v>
      </c>
      <c r="M127" s="28"/>
      <c r="N127" s="131"/>
    </row>
    <row r="128" spans="1:14" ht="15.75">
      <c r="A128" s="27"/>
      <c r="B128" s="28" t="s">
        <v>89</v>
      </c>
      <c r="C128" s="28"/>
      <c r="D128" s="28"/>
      <c r="E128" s="28"/>
      <c r="F128" s="28"/>
      <c r="G128" s="28"/>
      <c r="H128" s="28"/>
      <c r="I128" s="28"/>
      <c r="J128" s="28"/>
      <c r="K128" s="28"/>
      <c r="L128" s="60">
        <v>0</v>
      </c>
      <c r="M128" s="28"/>
      <c r="N128" s="131"/>
    </row>
    <row r="129" spans="1:14" ht="15.75">
      <c r="A129" s="27"/>
      <c r="B129" s="28" t="s">
        <v>90</v>
      </c>
      <c r="C129" s="28"/>
      <c r="D129" s="28"/>
      <c r="E129" s="28"/>
      <c r="F129" s="28"/>
      <c r="G129" s="28"/>
      <c r="H129" s="28"/>
      <c r="I129" s="28"/>
      <c r="J129" s="28"/>
      <c r="K129" s="28"/>
      <c r="L129" s="60">
        <f>L127+L128</f>
        <v>0</v>
      </c>
      <c r="M129" s="28"/>
      <c r="N129" s="131"/>
    </row>
    <row r="130" spans="1:14" ht="15.75">
      <c r="A130" s="27"/>
      <c r="B130" s="28" t="s">
        <v>91</v>
      </c>
      <c r="C130" s="28"/>
      <c r="D130" s="28"/>
      <c r="E130" s="28"/>
      <c r="F130" s="28"/>
      <c r="G130" s="28"/>
      <c r="H130" s="72"/>
      <c r="I130" s="28"/>
      <c r="J130" s="28"/>
      <c r="K130" s="28"/>
      <c r="L130" s="60">
        <v>0</v>
      </c>
      <c r="M130" s="28"/>
      <c r="N130" s="131"/>
    </row>
    <row r="131" spans="1:14" ht="15.75">
      <c r="A131" s="27"/>
      <c r="B131" s="28" t="s">
        <v>92</v>
      </c>
      <c r="C131" s="28"/>
      <c r="D131" s="28"/>
      <c r="E131" s="28"/>
      <c r="F131" s="28"/>
      <c r="G131" s="28"/>
      <c r="H131" s="28"/>
      <c r="I131" s="28"/>
      <c r="J131" s="28"/>
      <c r="K131" s="28"/>
      <c r="L131" s="60">
        <f>L129+L130</f>
        <v>0</v>
      </c>
      <c r="M131" s="28"/>
      <c r="N131" s="131"/>
    </row>
    <row r="132" spans="1:14" ht="7.5" customHeight="1">
      <c r="A132" s="27"/>
      <c r="B132" s="28"/>
      <c r="C132" s="28"/>
      <c r="D132" s="28"/>
      <c r="E132" s="28"/>
      <c r="F132" s="28"/>
      <c r="G132" s="28"/>
      <c r="H132" s="28"/>
      <c r="I132" s="28"/>
      <c r="J132" s="28"/>
      <c r="K132" s="28"/>
      <c r="L132" s="68"/>
      <c r="M132" s="28"/>
      <c r="N132" s="131"/>
    </row>
    <row r="133" spans="1:14" ht="6" customHeight="1">
      <c r="A133" s="2"/>
      <c r="B133" s="5"/>
      <c r="C133" s="5"/>
      <c r="D133" s="5"/>
      <c r="E133" s="5"/>
      <c r="F133" s="5"/>
      <c r="G133" s="5"/>
      <c r="H133" s="5"/>
      <c r="I133" s="5"/>
      <c r="J133" s="5"/>
      <c r="K133" s="5"/>
      <c r="L133" s="57"/>
      <c r="M133" s="5"/>
      <c r="N133" s="131"/>
    </row>
    <row r="134" spans="1:14" ht="15.75">
      <c r="A134" s="8"/>
      <c r="B134" s="167" t="s">
        <v>93</v>
      </c>
      <c r="C134" s="16"/>
      <c r="D134" s="10"/>
      <c r="E134" s="10"/>
      <c r="F134" s="10"/>
      <c r="G134" s="10"/>
      <c r="H134" s="10"/>
      <c r="I134" s="10"/>
      <c r="J134" s="10"/>
      <c r="K134" s="10"/>
      <c r="L134" s="59"/>
      <c r="M134" s="10"/>
      <c r="N134" s="131"/>
    </row>
    <row r="135" spans="1:14" ht="15.75">
      <c r="A135" s="8"/>
      <c r="B135" s="23"/>
      <c r="C135" s="16"/>
      <c r="D135" s="10"/>
      <c r="E135" s="10"/>
      <c r="F135" s="10"/>
      <c r="G135" s="10"/>
      <c r="H135" s="10"/>
      <c r="I135" s="10"/>
      <c r="J135" s="10"/>
      <c r="K135" s="10"/>
      <c r="L135" s="59"/>
      <c r="M135" s="10"/>
      <c r="N135" s="131"/>
    </row>
    <row r="136" spans="1:14" ht="15.75">
      <c r="A136" s="27"/>
      <c r="B136" s="28" t="s">
        <v>94</v>
      </c>
      <c r="C136" s="73"/>
      <c r="D136" s="28"/>
      <c r="E136" s="28"/>
      <c r="F136" s="28"/>
      <c r="G136" s="28"/>
      <c r="H136" s="28"/>
      <c r="I136" s="28"/>
      <c r="J136" s="28"/>
      <c r="K136" s="28"/>
      <c r="L136" s="60">
        <f>L59</f>
        <v>101270</v>
      </c>
      <c r="M136" s="28"/>
      <c r="N136" s="131"/>
    </row>
    <row r="137" spans="1:15" ht="15.75">
      <c r="A137" s="27"/>
      <c r="B137" s="28" t="s">
        <v>95</v>
      </c>
      <c r="C137" s="73"/>
      <c r="D137" s="28"/>
      <c r="E137" s="28"/>
      <c r="F137" s="28"/>
      <c r="G137" s="28"/>
      <c r="H137" s="28"/>
      <c r="I137" s="28"/>
      <c r="J137" s="28"/>
      <c r="K137" s="28"/>
      <c r="L137" s="60">
        <f>L71</f>
        <v>101270</v>
      </c>
      <c r="M137" s="28"/>
      <c r="N137" s="131"/>
      <c r="O137" s="137"/>
    </row>
    <row r="138" spans="1:14" ht="7.5" customHeight="1">
      <c r="A138" s="27"/>
      <c r="B138" s="28"/>
      <c r="C138" s="28"/>
      <c r="D138" s="28"/>
      <c r="E138" s="28"/>
      <c r="F138" s="28"/>
      <c r="G138" s="28"/>
      <c r="H138" s="28"/>
      <c r="I138" s="28"/>
      <c r="J138" s="28"/>
      <c r="K138" s="28"/>
      <c r="L138" s="68"/>
      <c r="M138" s="28"/>
      <c r="N138" s="131"/>
    </row>
    <row r="139" spans="1:14" ht="15.75">
      <c r="A139" s="2"/>
      <c r="B139" s="5"/>
      <c r="C139" s="5"/>
      <c r="D139" s="5"/>
      <c r="E139" s="5"/>
      <c r="F139" s="5"/>
      <c r="G139" s="5"/>
      <c r="H139" s="5"/>
      <c r="I139" s="5"/>
      <c r="J139" s="5"/>
      <c r="K139" s="5"/>
      <c r="L139" s="57"/>
      <c r="M139" s="5"/>
      <c r="N139" s="131"/>
    </row>
    <row r="140" spans="1:14" ht="15.75">
      <c r="A140" s="132"/>
      <c r="B140" s="167" t="s">
        <v>96</v>
      </c>
      <c r="C140" s="154"/>
      <c r="D140" s="154"/>
      <c r="E140" s="154"/>
      <c r="F140" s="154"/>
      <c r="G140" s="154"/>
      <c r="H140" s="168" t="s">
        <v>171</v>
      </c>
      <c r="I140" s="168"/>
      <c r="J140" s="168" t="s">
        <v>178</v>
      </c>
      <c r="K140" s="154"/>
      <c r="L140" s="169" t="s">
        <v>191</v>
      </c>
      <c r="M140" s="12"/>
      <c r="N140" s="131"/>
    </row>
    <row r="141" spans="1:14" ht="15.75">
      <c r="A141" s="27"/>
      <c r="B141" s="28" t="s">
        <v>97</v>
      </c>
      <c r="C141" s="28"/>
      <c r="D141" s="28"/>
      <c r="E141" s="28"/>
      <c r="F141" s="28"/>
      <c r="G141" s="28"/>
      <c r="H141" s="60">
        <v>20000</v>
      </c>
      <c r="I141" s="28"/>
      <c r="J141" s="47"/>
      <c r="K141" s="28"/>
      <c r="L141" s="60"/>
      <c r="M141" s="28"/>
      <c r="N141" s="131"/>
    </row>
    <row r="142" spans="1:14" ht="15.75">
      <c r="A142" s="27"/>
      <c r="B142" s="28" t="s">
        <v>98</v>
      </c>
      <c r="C142" s="28"/>
      <c r="D142" s="28"/>
      <c r="E142" s="28"/>
      <c r="F142" s="28"/>
      <c r="G142" s="28"/>
      <c r="H142" s="60">
        <v>19448</v>
      </c>
      <c r="I142" s="28"/>
      <c r="J142" s="28">
        <v>552</v>
      </c>
      <c r="K142" s="28"/>
      <c r="L142" s="60">
        <f>J142+H142</f>
        <v>20000</v>
      </c>
      <c r="M142" s="28"/>
      <c r="N142" s="131"/>
    </row>
    <row r="143" spans="1:14" ht="15.75">
      <c r="A143" s="27"/>
      <c r="B143" s="28" t="s">
        <v>99</v>
      </c>
      <c r="C143" s="28"/>
      <c r="D143" s="28"/>
      <c r="E143" s="28"/>
      <c r="F143" s="28"/>
      <c r="G143" s="28"/>
      <c r="H143" s="38">
        <v>0</v>
      </c>
      <c r="I143" s="28"/>
      <c r="J143" s="28">
        <v>0</v>
      </c>
      <c r="K143" s="28"/>
      <c r="L143" s="60">
        <f>J143+H143</f>
        <v>0</v>
      </c>
      <c r="M143" s="28"/>
      <c r="N143" s="131"/>
    </row>
    <row r="144" spans="1:14" ht="15.75">
      <c r="A144" s="27"/>
      <c r="B144" s="28" t="s">
        <v>100</v>
      </c>
      <c r="C144" s="28"/>
      <c r="D144" s="28"/>
      <c r="E144" s="28"/>
      <c r="F144" s="28"/>
      <c r="G144" s="28"/>
      <c r="H144" s="60">
        <f>H142+H143</f>
        <v>19448</v>
      </c>
      <c r="I144" s="28"/>
      <c r="J144" s="60">
        <f>J143+J142</f>
        <v>552</v>
      </c>
      <c r="K144" s="28"/>
      <c r="L144" s="60">
        <f>J144+H144</f>
        <v>20000</v>
      </c>
      <c r="M144" s="28"/>
      <c r="N144" s="131"/>
    </row>
    <row r="145" spans="1:14" ht="15.75">
      <c r="A145" s="27"/>
      <c r="B145" s="28" t="s">
        <v>101</v>
      </c>
      <c r="C145" s="28"/>
      <c r="D145" s="28"/>
      <c r="E145" s="28"/>
      <c r="F145" s="28"/>
      <c r="G145" s="28"/>
      <c r="H145" s="60">
        <f>H141-H144-J144</f>
        <v>0</v>
      </c>
      <c r="I145" s="28"/>
      <c r="J145" s="47"/>
      <c r="K145" s="28"/>
      <c r="L145" s="60"/>
      <c r="M145" s="28"/>
      <c r="N145" s="131"/>
    </row>
    <row r="146" spans="1:14" ht="7.5" customHeight="1">
      <c r="A146" s="27"/>
      <c r="B146" s="28"/>
      <c r="C146" s="28"/>
      <c r="D146" s="28"/>
      <c r="E146" s="28"/>
      <c r="F146" s="28"/>
      <c r="G146" s="28"/>
      <c r="H146" s="28"/>
      <c r="I146" s="28"/>
      <c r="J146" s="28"/>
      <c r="K146" s="28"/>
      <c r="L146" s="68"/>
      <c r="M146" s="28"/>
      <c r="N146" s="131"/>
    </row>
    <row r="147" spans="1:14" ht="9" customHeight="1">
      <c r="A147" s="2"/>
      <c r="B147" s="5"/>
      <c r="C147" s="5"/>
      <c r="D147" s="5"/>
      <c r="E147" s="5"/>
      <c r="F147" s="5"/>
      <c r="G147" s="5"/>
      <c r="H147" s="5"/>
      <c r="I147" s="5"/>
      <c r="J147" s="5"/>
      <c r="K147" s="5"/>
      <c r="L147" s="57"/>
      <c r="M147" s="5"/>
      <c r="N147" s="131"/>
    </row>
    <row r="148" spans="1:14" ht="15.75">
      <c r="A148" s="8"/>
      <c r="B148" s="167" t="s">
        <v>102</v>
      </c>
      <c r="C148" s="16"/>
      <c r="D148" s="10"/>
      <c r="E148" s="10"/>
      <c r="F148" s="10"/>
      <c r="G148" s="10"/>
      <c r="H148" s="10"/>
      <c r="I148" s="10"/>
      <c r="J148" s="10"/>
      <c r="K148" s="10"/>
      <c r="L148" s="74"/>
      <c r="M148" s="10"/>
      <c r="N148" s="131"/>
    </row>
    <row r="149" spans="1:14" ht="15.75">
      <c r="A149" s="27"/>
      <c r="B149" s="28" t="s">
        <v>103</v>
      </c>
      <c r="C149" s="28"/>
      <c r="D149" s="28"/>
      <c r="E149" s="28"/>
      <c r="F149" s="28"/>
      <c r="G149" s="28"/>
      <c r="H149" s="28"/>
      <c r="I149" s="28"/>
      <c r="J149" s="28"/>
      <c r="K149" s="28"/>
      <c r="L149" s="67">
        <f>(L81+L83+L84+L85+L86)/-L87</f>
        <v>1.6206521739130435</v>
      </c>
      <c r="M149" s="28" t="s">
        <v>192</v>
      </c>
      <c r="N149" s="131"/>
    </row>
    <row r="150" spans="1:14" ht="15.75">
      <c r="A150" s="27"/>
      <c r="B150" s="28" t="s">
        <v>104</v>
      </c>
      <c r="C150" s="28"/>
      <c r="D150" s="28"/>
      <c r="E150" s="28"/>
      <c r="F150" s="28"/>
      <c r="G150" s="28"/>
      <c r="H150" s="28"/>
      <c r="I150" s="28"/>
      <c r="J150" s="28"/>
      <c r="K150" s="28"/>
      <c r="L150" s="67">
        <v>1.43</v>
      </c>
      <c r="M150" s="28" t="s">
        <v>192</v>
      </c>
      <c r="N150" s="131"/>
    </row>
    <row r="151" spans="1:14" ht="15.75">
      <c r="A151" s="27"/>
      <c r="B151" s="28" t="s">
        <v>105</v>
      </c>
      <c r="C151" s="28"/>
      <c r="D151" s="28"/>
      <c r="E151" s="28"/>
      <c r="F151" s="28"/>
      <c r="G151" s="28"/>
      <c r="H151" s="28"/>
      <c r="I151" s="28"/>
      <c r="J151" s="28"/>
      <c r="K151" s="28"/>
      <c r="L151" s="67">
        <f>(L81+SUM(L83:L87))/-L88</f>
        <v>2.943298969072165</v>
      </c>
      <c r="M151" s="28" t="s">
        <v>192</v>
      </c>
      <c r="N151" s="131"/>
    </row>
    <row r="152" spans="1:14" ht="15.75">
      <c r="A152" s="27"/>
      <c r="B152" s="28" t="s">
        <v>106</v>
      </c>
      <c r="C152" s="28"/>
      <c r="D152" s="28"/>
      <c r="E152" s="28"/>
      <c r="F152" s="28"/>
      <c r="G152" s="28"/>
      <c r="H152" s="28"/>
      <c r="I152" s="28"/>
      <c r="J152" s="28"/>
      <c r="K152" s="28"/>
      <c r="L152" s="75">
        <v>3.28</v>
      </c>
      <c r="M152" s="28" t="s">
        <v>192</v>
      </c>
      <c r="N152" s="131"/>
    </row>
    <row r="153" spans="1:14" ht="7.5" customHeight="1">
      <c r="A153" s="27"/>
      <c r="B153" s="28"/>
      <c r="C153" s="28"/>
      <c r="D153" s="28"/>
      <c r="E153" s="28"/>
      <c r="F153" s="28"/>
      <c r="G153" s="28"/>
      <c r="H153" s="28"/>
      <c r="I153" s="28"/>
      <c r="J153" s="28"/>
      <c r="K153" s="28"/>
      <c r="L153" s="28"/>
      <c r="M153" s="28"/>
      <c r="N153" s="131"/>
    </row>
    <row r="154" spans="1:14" ht="15.75">
      <c r="A154" s="8"/>
      <c r="B154" s="146"/>
      <c r="C154" s="146"/>
      <c r="D154" s="146"/>
      <c r="E154" s="146"/>
      <c r="F154" s="146"/>
      <c r="G154" s="146"/>
      <c r="H154" s="146"/>
      <c r="I154" s="146"/>
      <c r="J154" s="146"/>
      <c r="K154" s="146"/>
      <c r="L154" s="146"/>
      <c r="M154" s="146"/>
      <c r="N154" s="131"/>
    </row>
    <row r="155" spans="1:14" ht="15.75">
      <c r="A155" s="8"/>
      <c r="B155" s="146"/>
      <c r="C155" s="146"/>
      <c r="D155" s="146"/>
      <c r="E155" s="146"/>
      <c r="F155" s="146"/>
      <c r="G155" s="146"/>
      <c r="H155" s="146"/>
      <c r="I155" s="146"/>
      <c r="J155" s="146"/>
      <c r="K155" s="146"/>
      <c r="L155" s="146"/>
      <c r="M155" s="146"/>
      <c r="N155" s="131"/>
    </row>
    <row r="156" spans="1:14" ht="19.5" thickBot="1">
      <c r="A156" s="138"/>
      <c r="B156" s="139" t="str">
        <f>B105</f>
        <v>PM1 INVESTOR REPORT QUARTER ENDING DECEMBER 2003</v>
      </c>
      <c r="C156" s="150"/>
      <c r="D156" s="150"/>
      <c r="E156" s="150"/>
      <c r="F156" s="150"/>
      <c r="G156" s="150"/>
      <c r="H156" s="150"/>
      <c r="I156" s="150"/>
      <c r="J156" s="150"/>
      <c r="K156" s="150"/>
      <c r="L156" s="150"/>
      <c r="M156" s="151"/>
      <c r="N156" s="131"/>
    </row>
    <row r="157" spans="1:14" ht="15.75">
      <c r="A157" s="133"/>
      <c r="B157" s="77" t="s">
        <v>107</v>
      </c>
      <c r="C157" s="78"/>
      <c r="D157" s="78"/>
      <c r="E157" s="78"/>
      <c r="F157" s="78"/>
      <c r="G157" s="79"/>
      <c r="H157" s="79"/>
      <c r="I157" s="79"/>
      <c r="J157" s="79">
        <v>37986</v>
      </c>
      <c r="K157" s="80"/>
      <c r="L157" s="5"/>
      <c r="M157" s="5"/>
      <c r="N157" s="131"/>
    </row>
    <row r="158" spans="1:14" ht="15.75">
      <c r="A158" s="82"/>
      <c r="B158" s="83"/>
      <c r="C158" s="84"/>
      <c r="D158" s="84"/>
      <c r="E158" s="84"/>
      <c r="F158" s="84"/>
      <c r="G158" s="85"/>
      <c r="H158" s="85"/>
      <c r="I158" s="85"/>
      <c r="J158" s="85"/>
      <c r="K158" s="10"/>
      <c r="L158" s="10"/>
      <c r="M158" s="10"/>
      <c r="N158" s="131"/>
    </row>
    <row r="159" spans="1:14" ht="15.75">
      <c r="A159" s="86"/>
      <c r="B159" s="87" t="s">
        <v>108</v>
      </c>
      <c r="C159" s="88"/>
      <c r="D159" s="88"/>
      <c r="E159" s="88"/>
      <c r="F159" s="88"/>
      <c r="G159" s="72"/>
      <c r="H159" s="72"/>
      <c r="I159" s="72"/>
      <c r="J159" s="89">
        <v>0.0714</v>
      </c>
      <c r="K159" s="28"/>
      <c r="L159" s="28"/>
      <c r="M159" s="28"/>
      <c r="N159" s="131"/>
    </row>
    <row r="160" spans="1:14" ht="15.75">
      <c r="A160" s="86"/>
      <c r="B160" s="87" t="s">
        <v>109</v>
      </c>
      <c r="C160" s="88"/>
      <c r="D160" s="88"/>
      <c r="E160" s="88"/>
      <c r="F160" s="88"/>
      <c r="G160" s="72"/>
      <c r="H160" s="72"/>
      <c r="I160" s="72"/>
      <c r="J160" s="46">
        <v>0.0553</v>
      </c>
      <c r="K160" s="28"/>
      <c r="L160" s="28"/>
      <c r="M160" s="28"/>
      <c r="N160" s="131"/>
    </row>
    <row r="161" spans="1:14" ht="15.75">
      <c r="A161" s="86"/>
      <c r="B161" s="87" t="s">
        <v>110</v>
      </c>
      <c r="C161" s="88"/>
      <c r="D161" s="88"/>
      <c r="E161" s="88"/>
      <c r="F161" s="88"/>
      <c r="G161" s="72"/>
      <c r="H161" s="72"/>
      <c r="I161" s="72"/>
      <c r="J161" s="89">
        <f>J159-J160</f>
        <v>0.016100000000000003</v>
      </c>
      <c r="K161" s="28"/>
      <c r="L161" s="28"/>
      <c r="M161" s="28"/>
      <c r="N161" s="131"/>
    </row>
    <row r="162" spans="1:14" ht="15.75">
      <c r="A162" s="86"/>
      <c r="B162" s="87" t="s">
        <v>111</v>
      </c>
      <c r="C162" s="88"/>
      <c r="D162" s="88"/>
      <c r="E162" s="88"/>
      <c r="F162" s="88"/>
      <c r="G162" s="72"/>
      <c r="H162" s="72"/>
      <c r="I162" s="72"/>
      <c r="J162" s="89">
        <v>0.0606</v>
      </c>
      <c r="K162" s="28"/>
      <c r="L162" s="28"/>
      <c r="M162" s="28"/>
      <c r="N162" s="131"/>
    </row>
    <row r="163" spans="1:14" ht="15.75">
      <c r="A163" s="86"/>
      <c r="B163" s="87" t="s">
        <v>112</v>
      </c>
      <c r="C163" s="88"/>
      <c r="D163" s="88"/>
      <c r="E163" s="88"/>
      <c r="F163" s="88"/>
      <c r="G163" s="72"/>
      <c r="H163" s="72"/>
      <c r="I163" s="72"/>
      <c r="J163" s="89">
        <f>L33</f>
        <v>0.04112012170457658</v>
      </c>
      <c r="K163" s="28"/>
      <c r="L163" s="28"/>
      <c r="M163" s="28"/>
      <c r="N163" s="131"/>
    </row>
    <row r="164" spans="1:14" ht="15.75">
      <c r="A164" s="86"/>
      <c r="B164" s="87" t="s">
        <v>113</v>
      </c>
      <c r="C164" s="88"/>
      <c r="D164" s="88"/>
      <c r="E164" s="88"/>
      <c r="F164" s="88"/>
      <c r="G164" s="72"/>
      <c r="H164" s="72"/>
      <c r="I164" s="72"/>
      <c r="J164" s="89">
        <f>J162-J163</f>
        <v>0.01947987829542342</v>
      </c>
      <c r="K164" s="28"/>
      <c r="L164" s="28"/>
      <c r="M164" s="28"/>
      <c r="N164" s="131"/>
    </row>
    <row r="165" spans="1:14" ht="15.75">
      <c r="A165" s="86"/>
      <c r="B165" s="87" t="s">
        <v>114</v>
      </c>
      <c r="C165" s="88"/>
      <c r="D165" s="88"/>
      <c r="E165" s="88"/>
      <c r="F165" s="88"/>
      <c r="G165" s="72"/>
      <c r="H165" s="72"/>
      <c r="I165" s="72"/>
      <c r="J165" s="90" t="s">
        <v>179</v>
      </c>
      <c r="K165" s="28"/>
      <c r="L165" s="28"/>
      <c r="M165" s="28"/>
      <c r="N165" s="131"/>
    </row>
    <row r="166" spans="1:14" ht="15.75">
      <c r="A166" s="86"/>
      <c r="B166" s="87" t="s">
        <v>115</v>
      </c>
      <c r="C166" s="88"/>
      <c r="D166" s="88"/>
      <c r="E166" s="88"/>
      <c r="F166" s="88"/>
      <c r="G166" s="72"/>
      <c r="H166" s="72"/>
      <c r="I166" s="72"/>
      <c r="J166" s="90" t="s">
        <v>180</v>
      </c>
      <c r="K166" s="28"/>
      <c r="L166" s="28"/>
      <c r="M166" s="28"/>
      <c r="N166" s="131"/>
    </row>
    <row r="167" spans="1:14" ht="15.75">
      <c r="A167" s="86"/>
      <c r="B167" s="87" t="s">
        <v>116</v>
      </c>
      <c r="C167" s="88"/>
      <c r="D167" s="88"/>
      <c r="E167" s="88"/>
      <c r="F167" s="88"/>
      <c r="G167" s="72"/>
      <c r="H167" s="72"/>
      <c r="I167" s="72"/>
      <c r="J167" s="91">
        <v>18.53</v>
      </c>
      <c r="K167" s="28" t="s">
        <v>184</v>
      </c>
      <c r="L167" s="28"/>
      <c r="M167" s="28"/>
      <c r="N167" s="131"/>
    </row>
    <row r="168" spans="1:14" ht="15.75">
      <c r="A168" s="86"/>
      <c r="B168" s="87" t="s">
        <v>117</v>
      </c>
      <c r="C168" s="88"/>
      <c r="D168" s="88"/>
      <c r="E168" s="88"/>
      <c r="F168" s="88"/>
      <c r="G168" s="72"/>
      <c r="H168" s="72"/>
      <c r="I168" s="72"/>
      <c r="J168" s="91">
        <v>14.83</v>
      </c>
      <c r="K168" s="28" t="s">
        <v>184</v>
      </c>
      <c r="L168" s="28"/>
      <c r="M168" s="28"/>
      <c r="N168" s="131"/>
    </row>
    <row r="169" spans="1:14" ht="15.75">
      <c r="A169" s="86"/>
      <c r="B169" s="87" t="s">
        <v>118</v>
      </c>
      <c r="C169" s="88"/>
      <c r="D169" s="88"/>
      <c r="E169" s="88"/>
      <c r="F169" s="88"/>
      <c r="G169" s="72"/>
      <c r="H169" s="72"/>
      <c r="I169" s="72"/>
      <c r="J169" s="89">
        <f>+F56/'Sept 03'!L56</f>
        <v>0.060479269684290606</v>
      </c>
      <c r="K169" s="28"/>
      <c r="L169" s="28"/>
      <c r="M169" s="28"/>
      <c r="N169" s="131"/>
    </row>
    <row r="170" spans="1:14" ht="15.75">
      <c r="A170" s="86"/>
      <c r="B170" s="87" t="s">
        <v>119</v>
      </c>
      <c r="C170" s="88"/>
      <c r="D170" s="88"/>
      <c r="E170" s="88"/>
      <c r="F170" s="88"/>
      <c r="G170" s="72"/>
      <c r="H170" s="72"/>
      <c r="I170" s="72"/>
      <c r="J170" s="89">
        <v>0.1496</v>
      </c>
      <c r="K170" s="28"/>
      <c r="L170" s="28"/>
      <c r="M170" s="28"/>
      <c r="N170" s="131"/>
    </row>
    <row r="171" spans="1:14" ht="15.75">
      <c r="A171" s="86"/>
      <c r="B171" s="87"/>
      <c r="C171" s="87"/>
      <c r="D171" s="87"/>
      <c r="E171" s="87"/>
      <c r="F171" s="87"/>
      <c r="G171" s="28"/>
      <c r="H171" s="28"/>
      <c r="I171" s="28"/>
      <c r="J171" s="68"/>
      <c r="K171" s="28"/>
      <c r="L171" s="92"/>
      <c r="M171" s="28"/>
      <c r="N171" s="131"/>
    </row>
    <row r="172" spans="1:14" ht="15.75">
      <c r="A172" s="93"/>
      <c r="B172" s="17" t="s">
        <v>120</v>
      </c>
      <c r="C172" s="20"/>
      <c r="D172" s="94"/>
      <c r="E172" s="20"/>
      <c r="F172" s="94"/>
      <c r="G172" s="20"/>
      <c r="H172" s="94"/>
      <c r="I172" s="20" t="s">
        <v>172</v>
      </c>
      <c r="J172" s="94" t="s">
        <v>181</v>
      </c>
      <c r="K172" s="18"/>
      <c r="L172" s="18"/>
      <c r="M172" s="10"/>
      <c r="N172" s="131"/>
    </row>
    <row r="173" spans="1:14" ht="15.75">
      <c r="A173" s="95"/>
      <c r="B173" s="87" t="s">
        <v>121</v>
      </c>
      <c r="C173" s="61"/>
      <c r="D173" s="61"/>
      <c r="E173" s="61"/>
      <c r="F173" s="28"/>
      <c r="G173" s="28"/>
      <c r="H173" s="28"/>
      <c r="I173" s="31">
        <v>11</v>
      </c>
      <c r="J173" s="96">
        <v>411</v>
      </c>
      <c r="K173" s="28"/>
      <c r="L173" s="92"/>
      <c r="M173" s="97"/>
      <c r="N173" s="131"/>
    </row>
    <row r="174" spans="1:14" ht="15.75">
      <c r="A174" s="95"/>
      <c r="B174" s="87" t="s">
        <v>122</v>
      </c>
      <c r="C174" s="61"/>
      <c r="D174" s="61"/>
      <c r="E174" s="61"/>
      <c r="F174" s="28"/>
      <c r="G174" s="28"/>
      <c r="H174" s="28"/>
      <c r="I174" s="31">
        <v>0</v>
      </c>
      <c r="J174" s="96">
        <v>0</v>
      </c>
      <c r="K174" s="28"/>
      <c r="L174" s="92"/>
      <c r="M174" s="97"/>
      <c r="N174" s="131"/>
    </row>
    <row r="175" spans="1:14" ht="15.75">
      <c r="A175" s="95"/>
      <c r="B175" s="170" t="s">
        <v>123</v>
      </c>
      <c r="C175" s="61"/>
      <c r="D175" s="61"/>
      <c r="E175" s="61"/>
      <c r="F175" s="28"/>
      <c r="G175" s="28"/>
      <c r="H175" s="28"/>
      <c r="I175" s="28"/>
      <c r="J175" s="96">
        <v>0</v>
      </c>
      <c r="K175" s="28"/>
      <c r="L175" s="92"/>
      <c r="M175" s="97"/>
      <c r="N175" s="131"/>
    </row>
    <row r="176" spans="1:14" ht="15.75">
      <c r="A176" s="95"/>
      <c r="B176" s="170" t="s">
        <v>124</v>
      </c>
      <c r="C176" s="61"/>
      <c r="D176" s="61"/>
      <c r="E176" s="61"/>
      <c r="F176" s="28"/>
      <c r="G176" s="28"/>
      <c r="H176" s="28"/>
      <c r="I176" s="28"/>
      <c r="J176" s="96">
        <v>22352</v>
      </c>
      <c r="K176" s="28"/>
      <c r="L176" s="92"/>
      <c r="M176" s="97"/>
      <c r="N176" s="131"/>
    </row>
    <row r="177" spans="1:14" ht="15.75">
      <c r="A177" s="98"/>
      <c r="B177" s="170" t="s">
        <v>125</v>
      </c>
      <c r="C177" s="61"/>
      <c r="D177" s="87"/>
      <c r="E177" s="87"/>
      <c r="F177" s="87"/>
      <c r="G177" s="28"/>
      <c r="H177" s="28"/>
      <c r="I177" s="28"/>
      <c r="J177" s="96">
        <v>0</v>
      </c>
      <c r="K177" s="28"/>
      <c r="L177" s="92"/>
      <c r="M177" s="99"/>
      <c r="N177" s="131"/>
    </row>
    <row r="178" spans="1:14" ht="15.75">
      <c r="A178" s="95"/>
      <c r="B178" s="87" t="s">
        <v>126</v>
      </c>
      <c r="C178" s="61"/>
      <c r="D178" s="61"/>
      <c r="E178" s="61"/>
      <c r="F178" s="61"/>
      <c r="G178" s="28"/>
      <c r="H178" s="28"/>
      <c r="I178" s="28">
        <v>0</v>
      </c>
      <c r="J178" s="96">
        <v>0</v>
      </c>
      <c r="K178" s="28"/>
      <c r="L178" s="92"/>
      <c r="M178" s="99"/>
      <c r="N178" s="131"/>
    </row>
    <row r="179" spans="1:14" ht="15.75">
      <c r="A179" s="95"/>
      <c r="B179" s="87" t="s">
        <v>127</v>
      </c>
      <c r="C179" s="61"/>
      <c r="D179" s="61"/>
      <c r="E179" s="61"/>
      <c r="F179" s="61"/>
      <c r="G179" s="28"/>
      <c r="H179" s="28"/>
      <c r="I179" s="28">
        <v>3</v>
      </c>
      <c r="J179" s="96">
        <v>39</v>
      </c>
      <c r="K179" s="28"/>
      <c r="L179" s="92"/>
      <c r="M179" s="99"/>
      <c r="N179" s="131"/>
    </row>
    <row r="180" spans="1:14" ht="15.75">
      <c r="A180" s="95"/>
      <c r="B180" s="87" t="s">
        <v>204</v>
      </c>
      <c r="C180" s="61"/>
      <c r="D180" s="61"/>
      <c r="E180" s="61"/>
      <c r="F180" s="61"/>
      <c r="G180" s="28"/>
      <c r="H180" s="28"/>
      <c r="I180" s="28"/>
      <c r="J180" s="96">
        <v>0</v>
      </c>
      <c r="K180" s="28"/>
      <c r="L180" s="92"/>
      <c r="M180" s="99"/>
      <c r="N180" s="131"/>
    </row>
    <row r="181" spans="1:14" ht="15.75">
      <c r="A181" s="98"/>
      <c r="B181" s="170" t="s">
        <v>128</v>
      </c>
      <c r="C181" s="61"/>
      <c r="D181" s="87"/>
      <c r="E181" s="87"/>
      <c r="F181" s="87"/>
      <c r="G181" s="28"/>
      <c r="H181" s="28"/>
      <c r="I181" s="28"/>
      <c r="J181" s="96"/>
      <c r="K181" s="28"/>
      <c r="L181" s="92"/>
      <c r="M181" s="99"/>
      <c r="N181" s="131"/>
    </row>
    <row r="182" spans="1:14" ht="15.75">
      <c r="A182" s="98"/>
      <c r="B182" s="87" t="s">
        <v>129</v>
      </c>
      <c r="C182" s="61"/>
      <c r="D182" s="87"/>
      <c r="E182" s="87"/>
      <c r="F182" s="87"/>
      <c r="G182" s="28"/>
      <c r="H182" s="28"/>
      <c r="I182" s="28">
        <v>0</v>
      </c>
      <c r="J182" s="96">
        <v>0</v>
      </c>
      <c r="K182" s="28"/>
      <c r="L182" s="92"/>
      <c r="M182" s="99"/>
      <c r="N182" s="131"/>
    </row>
    <row r="183" spans="1:14" ht="15.75">
      <c r="A183" s="95"/>
      <c r="B183" s="87" t="s">
        <v>130</v>
      </c>
      <c r="C183" s="61"/>
      <c r="D183" s="100"/>
      <c r="E183" s="100"/>
      <c r="F183" s="101"/>
      <c r="G183" s="28"/>
      <c r="H183" s="28"/>
      <c r="I183" s="28"/>
      <c r="J183" s="96">
        <v>0</v>
      </c>
      <c r="K183" s="28"/>
      <c r="L183" s="92"/>
      <c r="M183" s="99"/>
      <c r="N183" s="131"/>
    </row>
    <row r="184" spans="1:14" ht="15.75">
      <c r="A184" s="95"/>
      <c r="B184" s="87" t="s">
        <v>131</v>
      </c>
      <c r="C184" s="61"/>
      <c r="D184" s="100"/>
      <c r="E184" s="100"/>
      <c r="F184" s="101"/>
      <c r="G184" s="28"/>
      <c r="H184" s="28"/>
      <c r="I184" s="28"/>
      <c r="J184" s="96">
        <v>0</v>
      </c>
      <c r="K184" s="28"/>
      <c r="L184" s="92"/>
      <c r="M184" s="99"/>
      <c r="N184" s="131"/>
    </row>
    <row r="185" spans="1:14" ht="15.75">
      <c r="A185" s="95"/>
      <c r="B185" s="87" t="s">
        <v>132</v>
      </c>
      <c r="C185" s="61"/>
      <c r="D185" s="102"/>
      <c r="E185" s="100"/>
      <c r="F185" s="101"/>
      <c r="G185" s="28"/>
      <c r="H185" s="28"/>
      <c r="I185" s="28"/>
      <c r="J185" s="103">
        <v>0</v>
      </c>
      <c r="K185" s="28"/>
      <c r="L185" s="92"/>
      <c r="M185" s="99"/>
      <c r="N185" s="131"/>
    </row>
    <row r="186" spans="1:14" ht="15.75">
      <c r="A186" s="95"/>
      <c r="B186" s="87"/>
      <c r="C186" s="61"/>
      <c r="D186" s="102"/>
      <c r="E186" s="100"/>
      <c r="F186" s="101"/>
      <c r="G186" s="28"/>
      <c r="H186" s="28"/>
      <c r="I186" s="28"/>
      <c r="J186" s="103"/>
      <c r="K186" s="28"/>
      <c r="L186" s="92"/>
      <c r="M186" s="99"/>
      <c r="N186" s="131"/>
    </row>
    <row r="187" spans="1:14" ht="15.75">
      <c r="A187" s="8"/>
      <c r="B187" s="17" t="s">
        <v>133</v>
      </c>
      <c r="C187" s="20"/>
      <c r="D187" s="94"/>
      <c r="E187" s="20"/>
      <c r="F187" s="94"/>
      <c r="G187" s="20"/>
      <c r="H187" s="94" t="s">
        <v>172</v>
      </c>
      <c r="I187" s="20" t="s">
        <v>173</v>
      </c>
      <c r="J187" s="94" t="s">
        <v>182</v>
      </c>
      <c r="K187" s="20" t="s">
        <v>173</v>
      </c>
      <c r="L187" s="18"/>
      <c r="M187" s="104"/>
      <c r="N187" s="131"/>
    </row>
    <row r="188" spans="1:14" ht="15.75">
      <c r="A188" s="27"/>
      <c r="B188" s="61" t="s">
        <v>134</v>
      </c>
      <c r="C188" s="105"/>
      <c r="D188" s="61"/>
      <c r="E188" s="105"/>
      <c r="F188" s="28"/>
      <c r="G188" s="105"/>
      <c r="H188" s="61">
        <v>1946</v>
      </c>
      <c r="I188" s="105">
        <f>H188/H194</f>
        <v>0.9778894472361809</v>
      </c>
      <c r="J188" s="60">
        <v>99347</v>
      </c>
      <c r="K188" s="106">
        <f>J188/J194</f>
        <v>0.9810111582897205</v>
      </c>
      <c r="L188" s="92"/>
      <c r="M188" s="99"/>
      <c r="N188" s="131"/>
    </row>
    <row r="189" spans="1:14" ht="15.75">
      <c r="A189" s="27"/>
      <c r="B189" s="61" t="s">
        <v>135</v>
      </c>
      <c r="C189" s="105"/>
      <c r="D189" s="61"/>
      <c r="E189" s="105"/>
      <c r="F189" s="28"/>
      <c r="G189" s="107"/>
      <c r="H189" s="61">
        <v>20</v>
      </c>
      <c r="I189" s="105">
        <f>H189/H194</f>
        <v>0.010050251256281407</v>
      </c>
      <c r="J189" s="60">
        <v>723</v>
      </c>
      <c r="K189" s="106">
        <f>J189/J194</f>
        <v>0.007139330502616767</v>
      </c>
      <c r="L189" s="92"/>
      <c r="M189" s="99"/>
      <c r="N189" s="131"/>
    </row>
    <row r="190" spans="1:14" ht="15.75">
      <c r="A190" s="27"/>
      <c r="B190" s="61" t="s">
        <v>136</v>
      </c>
      <c r="C190" s="105"/>
      <c r="D190" s="61"/>
      <c r="E190" s="105"/>
      <c r="F190" s="28"/>
      <c r="G190" s="107"/>
      <c r="H190" s="61">
        <v>5</v>
      </c>
      <c r="I190" s="105">
        <f>H190/H194</f>
        <v>0.002512562814070352</v>
      </c>
      <c r="J190" s="60">
        <v>196</v>
      </c>
      <c r="K190" s="106">
        <f>J190/J194</f>
        <v>0.0019354201639182383</v>
      </c>
      <c r="L190" s="92"/>
      <c r="M190" s="99"/>
      <c r="N190" s="131"/>
    </row>
    <row r="191" spans="1:14" ht="15.75">
      <c r="A191" s="27"/>
      <c r="B191" s="61" t="s">
        <v>137</v>
      </c>
      <c r="C191" s="105"/>
      <c r="D191" s="61"/>
      <c r="E191" s="105"/>
      <c r="F191" s="28"/>
      <c r="G191" s="107"/>
      <c r="H191" s="61">
        <v>19</v>
      </c>
      <c r="I191" s="105">
        <f>H191/H194</f>
        <v>0.009547738693467337</v>
      </c>
      <c r="J191" s="60">
        <v>1004</v>
      </c>
      <c r="K191" s="106">
        <f>J191/J194</f>
        <v>0.009914091043744445</v>
      </c>
      <c r="L191" s="92"/>
      <c r="M191" s="99"/>
      <c r="N191" s="131"/>
    </row>
    <row r="192" spans="1:14" ht="15.75">
      <c r="A192" s="27"/>
      <c r="B192" s="147"/>
      <c r="C192" s="105"/>
      <c r="D192" s="61"/>
      <c r="E192" s="105"/>
      <c r="F192" s="28"/>
      <c r="G192" s="107"/>
      <c r="H192" s="61"/>
      <c r="I192" s="105"/>
      <c r="J192" s="60"/>
      <c r="K192" s="106"/>
      <c r="L192" s="92"/>
      <c r="M192" s="99"/>
      <c r="N192" s="131"/>
    </row>
    <row r="193" spans="1:14" ht="15.75">
      <c r="A193" s="27"/>
      <c r="B193" s="61"/>
      <c r="C193" s="108"/>
      <c r="D193" s="97"/>
      <c r="E193" s="108"/>
      <c r="F193" s="28"/>
      <c r="G193" s="108"/>
      <c r="H193" s="97"/>
      <c r="I193" s="108"/>
      <c r="J193" s="60"/>
      <c r="K193" s="106"/>
      <c r="L193" s="92"/>
      <c r="M193" s="99"/>
      <c r="N193" s="131"/>
    </row>
    <row r="194" spans="1:14" ht="15.75">
      <c r="A194" s="27"/>
      <c r="B194" s="28"/>
      <c r="C194" s="28"/>
      <c r="D194" s="28"/>
      <c r="E194" s="28"/>
      <c r="F194" s="28"/>
      <c r="G194" s="28"/>
      <c r="H194" s="38">
        <f>SUM(H188:H192)</f>
        <v>1990</v>
      </c>
      <c r="I194" s="109">
        <f>SUM(I188:I193)</f>
        <v>1</v>
      </c>
      <c r="J194" s="60">
        <f>SUM(J188:J193)</f>
        <v>101270</v>
      </c>
      <c r="K194" s="127">
        <f>SUM(K188:K193)</f>
        <v>0.9999999999999999</v>
      </c>
      <c r="L194" s="28"/>
      <c r="M194" s="28"/>
      <c r="N194" s="131"/>
    </row>
    <row r="195" spans="1:14" ht="15.75">
      <c r="A195" s="27"/>
      <c r="B195" s="28"/>
      <c r="C195" s="28"/>
      <c r="D195" s="28"/>
      <c r="E195" s="28"/>
      <c r="F195" s="28"/>
      <c r="G195" s="28"/>
      <c r="H195" s="38"/>
      <c r="I195" s="109"/>
      <c r="J195" s="60"/>
      <c r="K195" s="127"/>
      <c r="L195" s="28"/>
      <c r="M195" s="28"/>
      <c r="N195" s="131"/>
    </row>
    <row r="196" spans="1:14" ht="15.75">
      <c r="A196" s="27"/>
      <c r="B196" s="28"/>
      <c r="C196" s="28"/>
      <c r="D196" s="28"/>
      <c r="E196" s="28"/>
      <c r="F196" s="28"/>
      <c r="G196" s="28"/>
      <c r="H196" s="38"/>
      <c r="I196" s="109"/>
      <c r="J196" s="60"/>
      <c r="K196" s="127"/>
      <c r="L196" s="28"/>
      <c r="M196" s="28"/>
      <c r="N196" s="131"/>
    </row>
    <row r="197" spans="1:14" ht="15.75">
      <c r="A197" s="149"/>
      <c r="B197" s="17" t="s">
        <v>139</v>
      </c>
      <c r="C197" s="115"/>
      <c r="D197" s="20" t="s">
        <v>148</v>
      </c>
      <c r="E197" s="18"/>
      <c r="F197" s="17" t="s">
        <v>161</v>
      </c>
      <c r="G197" s="116"/>
      <c r="H197" s="116"/>
      <c r="I197" s="146"/>
      <c r="J197" s="146"/>
      <c r="K197" s="146"/>
      <c r="L197" s="146"/>
      <c r="M197" s="146"/>
      <c r="N197" s="131"/>
    </row>
    <row r="198" spans="1:14" ht="15.75">
      <c r="A198" s="149"/>
      <c r="B198" s="146"/>
      <c r="C198" s="146"/>
      <c r="D198" s="10"/>
      <c r="E198" s="10"/>
      <c r="F198" s="10"/>
      <c r="G198" s="146"/>
      <c r="H198" s="146"/>
      <c r="I198" s="146"/>
      <c r="J198" s="146"/>
      <c r="K198" s="146"/>
      <c r="L198" s="146"/>
      <c r="M198" s="146"/>
      <c r="N198" s="131"/>
    </row>
    <row r="199" spans="1:14" ht="15.75">
      <c r="A199" s="149"/>
      <c r="B199" s="16" t="s">
        <v>140</v>
      </c>
      <c r="C199" s="117"/>
      <c r="D199" s="118" t="s">
        <v>149</v>
      </c>
      <c r="E199" s="16"/>
      <c r="F199" s="16" t="s">
        <v>162</v>
      </c>
      <c r="G199" s="117"/>
      <c r="H199" s="117"/>
      <c r="I199" s="146"/>
      <c r="J199" s="146"/>
      <c r="K199" s="146"/>
      <c r="L199" s="146"/>
      <c r="M199" s="146"/>
      <c r="N199" s="131"/>
    </row>
    <row r="200" spans="1:14" ht="15.75">
      <c r="A200" s="149"/>
      <c r="B200" s="16" t="s">
        <v>141</v>
      </c>
      <c r="C200" s="117"/>
      <c r="D200" s="118" t="s">
        <v>150</v>
      </c>
      <c r="E200" s="16"/>
      <c r="F200" s="16" t="s">
        <v>163</v>
      </c>
      <c r="G200" s="117"/>
      <c r="H200" s="117"/>
      <c r="I200" s="146"/>
      <c r="J200" s="146"/>
      <c r="K200" s="146"/>
      <c r="L200" s="146"/>
      <c r="M200" s="146"/>
      <c r="N200" s="131"/>
    </row>
    <row r="201" spans="1:14" ht="15.75">
      <c r="A201" s="149"/>
      <c r="B201" s="16"/>
      <c r="C201" s="117"/>
      <c r="D201" s="118"/>
      <c r="E201" s="16"/>
      <c r="F201" s="16"/>
      <c r="G201" s="117"/>
      <c r="H201" s="117"/>
      <c r="I201" s="146"/>
      <c r="J201" s="146"/>
      <c r="K201" s="146"/>
      <c r="L201" s="146"/>
      <c r="M201" s="146"/>
      <c r="N201" s="131"/>
    </row>
    <row r="202" spans="1:14" ht="15.75">
      <c r="A202" s="149"/>
      <c r="B202" s="16"/>
      <c r="C202" s="117"/>
      <c r="D202" s="118"/>
      <c r="E202" s="16"/>
      <c r="F202" s="16"/>
      <c r="G202" s="117"/>
      <c r="H202" s="117"/>
      <c r="I202" s="146"/>
      <c r="J202" s="146"/>
      <c r="K202" s="146"/>
      <c r="L202" s="146"/>
      <c r="M202" s="146"/>
      <c r="N202" s="131"/>
    </row>
    <row r="203" spans="1:14" ht="18.75">
      <c r="A203" s="149"/>
      <c r="B203" s="55" t="str">
        <f>B156</f>
        <v>PM1 INVESTOR REPORT QUARTER ENDING DECEMBER 2003</v>
      </c>
      <c r="C203" s="117"/>
      <c r="D203" s="118"/>
      <c r="E203" s="16"/>
      <c r="F203" s="16"/>
      <c r="G203" s="117"/>
      <c r="H203" s="117"/>
      <c r="I203" s="146"/>
      <c r="J203" s="146"/>
      <c r="K203" s="146"/>
      <c r="L203" s="146"/>
      <c r="M203" s="146"/>
      <c r="N203" s="131"/>
    </row>
    <row r="204" spans="1:13" ht="15">
      <c r="A204" s="130"/>
      <c r="B204" s="130"/>
      <c r="C204" s="130"/>
      <c r="D204" s="130"/>
      <c r="E204" s="130"/>
      <c r="F204" s="130"/>
      <c r="G204" s="130"/>
      <c r="H204" s="130"/>
      <c r="I204" s="130"/>
      <c r="J204" s="130"/>
      <c r="K204" s="130"/>
      <c r="L204" s="130"/>
      <c r="M204" s="130"/>
    </row>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4" manualBreakCount="4">
    <brk id="51" max="255" man="1"/>
    <brk id="105" max="13" man="1"/>
    <brk id="156" max="13" man="1"/>
    <brk id="204" max="0" man="1"/>
  </rowBreaks>
  <drawing r:id="rId1"/>
</worksheet>
</file>

<file path=xl/worksheets/sheet19.xml><?xml version="1.0" encoding="utf-8"?>
<worksheet xmlns="http://schemas.openxmlformats.org/spreadsheetml/2006/main" xmlns:r="http://schemas.openxmlformats.org/officeDocument/2006/relationships">
  <dimension ref="A1:O205"/>
  <sheetViews>
    <sheetView tabSelected="1"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21.77734375" style="1" customWidth="1"/>
    <col min="14" max="16384" width="9.6640625" style="1" customWidth="1"/>
  </cols>
  <sheetData>
    <row r="1" spans="1:14" ht="20.25">
      <c r="A1" s="153"/>
      <c r="B1" s="3" t="s">
        <v>0</v>
      </c>
      <c r="C1" s="4"/>
      <c r="D1" s="5"/>
      <c r="E1" s="5"/>
      <c r="F1" s="5"/>
      <c r="G1" s="5"/>
      <c r="H1" s="5"/>
      <c r="I1" s="5"/>
      <c r="J1" s="5"/>
      <c r="K1" s="5"/>
      <c r="L1" s="5"/>
      <c r="M1" s="5"/>
      <c r="N1" s="131"/>
    </row>
    <row r="2" spans="1:14" ht="15.75">
      <c r="A2" s="8"/>
      <c r="B2" s="9"/>
      <c r="C2" s="9"/>
      <c r="D2" s="10"/>
      <c r="E2" s="10"/>
      <c r="F2" s="10"/>
      <c r="G2" s="10"/>
      <c r="H2" s="10"/>
      <c r="I2" s="10"/>
      <c r="J2" s="10"/>
      <c r="K2" s="10"/>
      <c r="L2" s="10"/>
      <c r="M2" s="10"/>
      <c r="N2" s="131"/>
    </row>
    <row r="3" spans="1:14" ht="15.75">
      <c r="A3" s="11"/>
      <c r="B3" s="154" t="s">
        <v>1</v>
      </c>
      <c r="C3" s="10"/>
      <c r="D3" s="10"/>
      <c r="E3" s="10"/>
      <c r="F3" s="10"/>
      <c r="G3" s="10"/>
      <c r="H3" s="10"/>
      <c r="I3" s="10"/>
      <c r="J3" s="10"/>
      <c r="K3" s="10"/>
      <c r="L3" s="10"/>
      <c r="M3" s="10"/>
      <c r="N3" s="131"/>
    </row>
    <row r="4" spans="1:14" ht="15.75">
      <c r="A4" s="8"/>
      <c r="B4" s="9"/>
      <c r="C4" s="9"/>
      <c r="D4" s="10"/>
      <c r="E4" s="10"/>
      <c r="F4" s="10"/>
      <c r="G4" s="10"/>
      <c r="H4" s="10"/>
      <c r="I4" s="10"/>
      <c r="J4" s="10"/>
      <c r="K4" s="10"/>
      <c r="L4" s="10"/>
      <c r="M4" s="10"/>
      <c r="N4" s="131"/>
    </row>
    <row r="5" spans="1:14" ht="12" customHeight="1">
      <c r="A5" s="8"/>
      <c r="B5" s="13" t="s">
        <v>2</v>
      </c>
      <c r="C5" s="14"/>
      <c r="D5" s="10"/>
      <c r="E5" s="10"/>
      <c r="F5" s="10"/>
      <c r="G5" s="10"/>
      <c r="H5" s="10"/>
      <c r="I5" s="10"/>
      <c r="J5" s="10"/>
      <c r="K5" s="10"/>
      <c r="L5" s="10"/>
      <c r="M5" s="10"/>
      <c r="N5" s="131"/>
    </row>
    <row r="6" spans="1:14" ht="12" customHeight="1">
      <c r="A6" s="8"/>
      <c r="B6" s="13" t="s">
        <v>3</v>
      </c>
      <c r="C6" s="14"/>
      <c r="D6" s="10"/>
      <c r="E6" s="10"/>
      <c r="F6" s="10"/>
      <c r="G6" s="10"/>
      <c r="H6" s="10"/>
      <c r="I6" s="10"/>
      <c r="J6" s="10"/>
      <c r="K6" s="10"/>
      <c r="L6" s="10"/>
      <c r="M6" s="10"/>
      <c r="N6" s="131"/>
    </row>
    <row r="7" spans="1:14" ht="12" customHeight="1">
      <c r="A7" s="8"/>
      <c r="B7" s="13" t="s">
        <v>4</v>
      </c>
      <c r="C7" s="14"/>
      <c r="D7" s="10"/>
      <c r="E7" s="10"/>
      <c r="F7" s="10"/>
      <c r="G7" s="10"/>
      <c r="H7" s="10"/>
      <c r="I7" s="10"/>
      <c r="J7" s="10"/>
      <c r="K7" s="10"/>
      <c r="L7" s="10"/>
      <c r="M7" s="10"/>
      <c r="N7" s="131"/>
    </row>
    <row r="8" spans="1:14" ht="12" customHeight="1">
      <c r="A8" s="8"/>
      <c r="B8" s="13" t="s">
        <v>5</v>
      </c>
      <c r="C8" s="14"/>
      <c r="D8" s="10"/>
      <c r="E8" s="10"/>
      <c r="F8" s="10"/>
      <c r="G8" s="10"/>
      <c r="H8" s="10"/>
      <c r="I8" s="10"/>
      <c r="J8" s="10"/>
      <c r="K8" s="10"/>
      <c r="L8" s="10"/>
      <c r="M8" s="10"/>
      <c r="N8" s="131"/>
    </row>
    <row r="9" spans="1:14" ht="12" customHeight="1">
      <c r="A9" s="8"/>
      <c r="B9" s="146"/>
      <c r="C9" s="14"/>
      <c r="D9" s="10"/>
      <c r="E9" s="10"/>
      <c r="F9" s="10"/>
      <c r="G9" s="10"/>
      <c r="H9" s="10"/>
      <c r="I9" s="10"/>
      <c r="J9" s="10"/>
      <c r="K9" s="10"/>
      <c r="L9" s="10"/>
      <c r="M9" s="10"/>
      <c r="N9" s="131"/>
    </row>
    <row r="10" spans="1:14" ht="15.75">
      <c r="A10" s="8"/>
      <c r="B10" s="13"/>
      <c r="C10" s="14"/>
      <c r="D10" s="16"/>
      <c r="E10" s="16"/>
      <c r="F10" s="10"/>
      <c r="G10" s="10"/>
      <c r="H10" s="10"/>
      <c r="I10" s="10"/>
      <c r="J10" s="10"/>
      <c r="K10" s="10"/>
      <c r="L10" s="10"/>
      <c r="M10" s="10"/>
      <c r="N10" s="131"/>
    </row>
    <row r="11" spans="1:14" ht="15.75">
      <c r="A11" s="8"/>
      <c r="B11" s="16" t="s">
        <v>6</v>
      </c>
      <c r="C11" s="16"/>
      <c r="D11" s="10"/>
      <c r="E11" s="10"/>
      <c r="F11" s="10"/>
      <c r="G11" s="10"/>
      <c r="H11" s="10"/>
      <c r="I11" s="10"/>
      <c r="J11" s="10"/>
      <c r="K11" s="10"/>
      <c r="L11" s="10"/>
      <c r="M11" s="10"/>
      <c r="N11" s="131"/>
    </row>
    <row r="12" spans="1:14" ht="15.75">
      <c r="A12" s="8"/>
      <c r="B12" s="16"/>
      <c r="C12" s="16"/>
      <c r="D12" s="10"/>
      <c r="E12" s="10"/>
      <c r="F12" s="10"/>
      <c r="G12" s="10"/>
      <c r="H12" s="10"/>
      <c r="I12" s="10"/>
      <c r="J12" s="10"/>
      <c r="K12" s="10"/>
      <c r="L12" s="10"/>
      <c r="M12" s="10"/>
      <c r="N12" s="131"/>
    </row>
    <row r="13" spans="1:14" ht="15.75">
      <c r="A13" s="2"/>
      <c r="B13" s="5"/>
      <c r="C13" s="5"/>
      <c r="D13" s="5"/>
      <c r="E13" s="5"/>
      <c r="F13" s="5"/>
      <c r="G13" s="5"/>
      <c r="H13" s="5"/>
      <c r="I13" s="5"/>
      <c r="J13" s="5"/>
      <c r="K13" s="5"/>
      <c r="L13" s="5"/>
      <c r="M13" s="5"/>
      <c r="N13" s="131"/>
    </row>
    <row r="14" spans="1:14" ht="15.75">
      <c r="A14" s="8"/>
      <c r="B14" s="17" t="s">
        <v>7</v>
      </c>
      <c r="C14" s="17"/>
      <c r="D14" s="18"/>
      <c r="E14" s="18"/>
      <c r="F14" s="18"/>
      <c r="G14" s="18"/>
      <c r="H14" s="18"/>
      <c r="I14" s="18"/>
      <c r="J14" s="18"/>
      <c r="K14" s="18"/>
      <c r="L14" s="19" t="s">
        <v>185</v>
      </c>
      <c r="M14" s="18"/>
      <c r="N14" s="131"/>
    </row>
    <row r="15" spans="1:14" ht="15.75">
      <c r="A15" s="8"/>
      <c r="B15" s="17" t="s">
        <v>199</v>
      </c>
      <c r="C15" s="17"/>
      <c r="D15" s="18"/>
      <c r="E15" s="18"/>
      <c r="F15" s="18"/>
      <c r="G15" s="18"/>
      <c r="H15" s="20"/>
      <c r="I15" s="135"/>
      <c r="J15" s="20" t="s">
        <v>202</v>
      </c>
      <c r="K15" s="135">
        <v>1</v>
      </c>
      <c r="L15" s="19"/>
      <c r="M15" s="18"/>
      <c r="N15" s="131"/>
    </row>
    <row r="16" spans="1:14" ht="15.75">
      <c r="A16" s="8"/>
      <c r="B16" s="17" t="s">
        <v>200</v>
      </c>
      <c r="C16" s="17"/>
      <c r="D16" s="18"/>
      <c r="E16" s="18"/>
      <c r="F16" s="18"/>
      <c r="G16" s="18"/>
      <c r="H16" s="20"/>
      <c r="I16" s="135"/>
      <c r="J16" s="20" t="s">
        <v>202</v>
      </c>
      <c r="K16" s="135">
        <v>1</v>
      </c>
      <c r="L16" s="19"/>
      <c r="M16" s="18"/>
      <c r="N16" s="131"/>
    </row>
    <row r="17" spans="1:14" ht="15.75">
      <c r="A17" s="8"/>
      <c r="B17" s="17" t="s">
        <v>8</v>
      </c>
      <c r="C17" s="17"/>
      <c r="D17" s="18"/>
      <c r="E17" s="18"/>
      <c r="F17" s="18"/>
      <c r="G17" s="18"/>
      <c r="H17" s="18"/>
      <c r="I17" s="18"/>
      <c r="J17" s="18"/>
      <c r="K17" s="18"/>
      <c r="L17" s="20" t="s">
        <v>186</v>
      </c>
      <c r="M17" s="18"/>
      <c r="N17" s="131"/>
    </row>
    <row r="18" spans="1:14" ht="15.75">
      <c r="A18" s="8"/>
      <c r="B18" s="17" t="s">
        <v>9</v>
      </c>
      <c r="C18" s="17"/>
      <c r="D18" s="18"/>
      <c r="E18" s="18"/>
      <c r="F18" s="18"/>
      <c r="G18" s="18"/>
      <c r="H18" s="18"/>
      <c r="I18" s="18"/>
      <c r="J18" s="18"/>
      <c r="K18" s="18"/>
      <c r="L18" s="21">
        <v>38103</v>
      </c>
      <c r="M18" s="18"/>
      <c r="N18" s="131"/>
    </row>
    <row r="19" spans="1:14" ht="15.75">
      <c r="A19" s="8"/>
      <c r="B19" s="10"/>
      <c r="C19" s="10"/>
      <c r="D19" s="10"/>
      <c r="E19" s="10"/>
      <c r="F19" s="10"/>
      <c r="G19" s="10"/>
      <c r="H19" s="10"/>
      <c r="I19" s="10"/>
      <c r="J19" s="10"/>
      <c r="K19" s="10"/>
      <c r="L19" s="22"/>
      <c r="M19" s="10"/>
      <c r="N19" s="131"/>
    </row>
    <row r="20" spans="1:14" ht="15.75">
      <c r="A20" s="8"/>
      <c r="B20" s="23" t="s">
        <v>10</v>
      </c>
      <c r="C20" s="10"/>
      <c r="D20" s="10"/>
      <c r="E20" s="10"/>
      <c r="F20" s="10"/>
      <c r="G20" s="10"/>
      <c r="H20" s="10"/>
      <c r="I20" s="10"/>
      <c r="J20" s="22" t="s">
        <v>174</v>
      </c>
      <c r="K20" s="10"/>
      <c r="L20" s="146"/>
      <c r="M20" s="10"/>
      <c r="N20" s="131"/>
    </row>
    <row r="21" spans="1:14" ht="15.75">
      <c r="A21" s="8"/>
      <c r="B21" s="10"/>
      <c r="C21" s="10"/>
      <c r="D21" s="10"/>
      <c r="E21" s="10"/>
      <c r="F21" s="10"/>
      <c r="G21" s="10"/>
      <c r="H21" s="10"/>
      <c r="I21" s="10"/>
      <c r="J21" s="10"/>
      <c r="K21" s="10"/>
      <c r="L21" s="24"/>
      <c r="M21" s="10"/>
      <c r="N21" s="131"/>
    </row>
    <row r="22" spans="1:14" ht="15.75">
      <c r="A22" s="8"/>
      <c r="B22" s="10"/>
      <c r="C22" s="155" t="s">
        <v>143</v>
      </c>
      <c r="D22" s="25"/>
      <c r="E22" s="25"/>
      <c r="F22" s="157" t="s">
        <v>151</v>
      </c>
      <c r="G22" s="157"/>
      <c r="H22" s="157" t="s">
        <v>164</v>
      </c>
      <c r="I22" s="158"/>
      <c r="J22" s="25"/>
      <c r="K22" s="146"/>
      <c r="L22" s="146"/>
      <c r="M22" s="10"/>
      <c r="N22" s="131"/>
    </row>
    <row r="23" spans="1:14" ht="15.75">
      <c r="A23" s="27"/>
      <c r="B23" s="28" t="s">
        <v>11</v>
      </c>
      <c r="C23" s="156" t="s">
        <v>144</v>
      </c>
      <c r="D23" s="29"/>
      <c r="E23" s="29"/>
      <c r="F23" s="29" t="s">
        <v>152</v>
      </c>
      <c r="G23" s="29"/>
      <c r="H23" s="29" t="s">
        <v>165</v>
      </c>
      <c r="I23" s="29"/>
      <c r="J23" s="29"/>
      <c r="K23" s="147"/>
      <c r="L23" s="147"/>
      <c r="M23" s="28"/>
      <c r="N23" s="131"/>
    </row>
    <row r="24" spans="1:14" ht="15.75">
      <c r="A24" s="27"/>
      <c r="B24" s="28" t="s">
        <v>12</v>
      </c>
      <c r="C24" s="31"/>
      <c r="D24" s="29"/>
      <c r="E24" s="29"/>
      <c r="F24" s="29" t="s">
        <v>153</v>
      </c>
      <c r="G24" s="29"/>
      <c r="H24" s="29" t="s">
        <v>166</v>
      </c>
      <c r="I24" s="29"/>
      <c r="J24" s="29"/>
      <c r="K24" s="147"/>
      <c r="L24" s="147"/>
      <c r="M24" s="28"/>
      <c r="N24" s="131"/>
    </row>
    <row r="25" spans="1:14" ht="15.75">
      <c r="A25" s="32"/>
      <c r="B25" s="33" t="s">
        <v>13</v>
      </c>
      <c r="C25" s="33"/>
      <c r="D25" s="34"/>
      <c r="E25" s="34"/>
      <c r="F25" s="34" t="s">
        <v>152</v>
      </c>
      <c r="G25" s="34"/>
      <c r="H25" s="34" t="s">
        <v>207</v>
      </c>
      <c r="I25" s="29"/>
      <c r="J25" s="29"/>
      <c r="K25" s="147"/>
      <c r="L25" s="147"/>
      <c r="M25" s="28"/>
      <c r="N25" s="131"/>
    </row>
    <row r="26" spans="1:14" ht="15.75">
      <c r="A26" s="32"/>
      <c r="B26" s="33" t="s">
        <v>14</v>
      </c>
      <c r="C26" s="33"/>
      <c r="D26" s="34"/>
      <c r="E26" s="34"/>
      <c r="F26" s="34" t="s">
        <v>153</v>
      </c>
      <c r="G26" s="34"/>
      <c r="H26" s="34" t="s">
        <v>215</v>
      </c>
      <c r="I26" s="29"/>
      <c r="J26" s="29"/>
      <c r="K26" s="147"/>
      <c r="L26" s="147"/>
      <c r="M26" s="28"/>
      <c r="N26" s="131"/>
    </row>
    <row r="27" spans="1:14" ht="15.75">
      <c r="A27" s="27"/>
      <c r="B27" s="28" t="s">
        <v>15</v>
      </c>
      <c r="C27" s="28"/>
      <c r="D27" s="31"/>
      <c r="E27" s="29"/>
      <c r="F27" s="31" t="s">
        <v>154</v>
      </c>
      <c r="G27" s="29"/>
      <c r="H27" s="31" t="s">
        <v>167</v>
      </c>
      <c r="I27" s="29"/>
      <c r="J27" s="31"/>
      <c r="K27" s="147"/>
      <c r="L27" s="147"/>
      <c r="M27" s="28"/>
      <c r="N27" s="131"/>
    </row>
    <row r="28" spans="1:14" ht="15.75">
      <c r="A28" s="27"/>
      <c r="B28" s="28"/>
      <c r="C28" s="28"/>
      <c r="D28" s="28"/>
      <c r="E28" s="29"/>
      <c r="F28" s="29"/>
      <c r="G28" s="29"/>
      <c r="H28" s="29"/>
      <c r="I28" s="29"/>
      <c r="J28" s="29"/>
      <c r="K28" s="147"/>
      <c r="L28" s="147"/>
      <c r="M28" s="28"/>
      <c r="N28" s="131"/>
    </row>
    <row r="29" spans="1:14" ht="15.75">
      <c r="A29" s="27"/>
      <c r="B29" s="28" t="s">
        <v>16</v>
      </c>
      <c r="C29" s="28"/>
      <c r="D29" s="35"/>
      <c r="E29" s="36"/>
      <c r="F29" s="35">
        <v>168000</v>
      </c>
      <c r="G29" s="35"/>
      <c r="H29" s="35">
        <v>17000</v>
      </c>
      <c r="I29" s="35"/>
      <c r="J29" s="35"/>
      <c r="K29" s="148"/>
      <c r="L29" s="35">
        <f>H29+F29</f>
        <v>185000</v>
      </c>
      <c r="M29" s="38"/>
      <c r="N29" s="131"/>
    </row>
    <row r="30" spans="1:14" ht="15.75">
      <c r="A30" s="27"/>
      <c r="B30" s="28" t="s">
        <v>17</v>
      </c>
      <c r="C30" s="126">
        <v>0.501608</v>
      </c>
      <c r="D30" s="126">
        <v>1</v>
      </c>
      <c r="E30" s="36"/>
      <c r="F30" s="35">
        <f>168000*C30</f>
        <v>84270.14400000001</v>
      </c>
      <c r="G30" s="35"/>
      <c r="H30" s="35">
        <v>17000</v>
      </c>
      <c r="I30" s="35"/>
      <c r="J30" s="35"/>
      <c r="K30" s="148"/>
      <c r="L30" s="35">
        <f>H30+F30</f>
        <v>101270.14400000001</v>
      </c>
      <c r="M30" s="38"/>
      <c r="N30" s="131"/>
    </row>
    <row r="31" spans="1:14" ht="13.5" customHeight="1">
      <c r="A31" s="32"/>
      <c r="B31" s="33" t="s">
        <v>18</v>
      </c>
      <c r="C31" s="40">
        <v>0</v>
      </c>
      <c r="D31" s="40">
        <v>0</v>
      </c>
      <c r="E31" s="42"/>
      <c r="F31" s="41">
        <f>168000*C31</f>
        <v>0</v>
      </c>
      <c r="G31" s="41"/>
      <c r="H31" s="41">
        <f>17000*D31</f>
        <v>0</v>
      </c>
      <c r="I31" s="41"/>
      <c r="J31" s="41"/>
      <c r="K31" s="43"/>
      <c r="L31" s="41">
        <f>H31+F31+D31</f>
        <v>0</v>
      </c>
      <c r="M31" s="38"/>
      <c r="N31" s="131"/>
    </row>
    <row r="32" spans="1:14" ht="15.75">
      <c r="A32" s="27"/>
      <c r="B32" s="28" t="s">
        <v>19</v>
      </c>
      <c r="C32" s="44"/>
      <c r="D32" s="31"/>
      <c r="E32" s="28"/>
      <c r="F32" s="31" t="s">
        <v>155</v>
      </c>
      <c r="G32" s="31"/>
      <c r="H32" s="31" t="s">
        <v>168</v>
      </c>
      <c r="I32" s="31"/>
      <c r="J32" s="31"/>
      <c r="K32" s="147"/>
      <c r="L32" s="147"/>
      <c r="M32" s="28"/>
      <c r="N32" s="131"/>
    </row>
    <row r="33" spans="1:14" ht="15.75">
      <c r="A33" s="27"/>
      <c r="B33" s="28" t="s">
        <v>20</v>
      </c>
      <c r="C33" s="28"/>
      <c r="D33" s="45"/>
      <c r="E33" s="28"/>
      <c r="F33" s="45">
        <v>0.0429625</v>
      </c>
      <c r="G33" s="46"/>
      <c r="H33" s="45">
        <v>0.0481625</v>
      </c>
      <c r="I33" s="46"/>
      <c r="J33" s="45"/>
      <c r="K33" s="147"/>
      <c r="L33" s="46">
        <f>SUMPRODUCT(F33:H33,F30:H30)/L30</f>
        <v>0.04383541275106709</v>
      </c>
      <c r="M33" s="28"/>
      <c r="N33" s="131"/>
    </row>
    <row r="34" spans="1:14" ht="15.75">
      <c r="A34" s="27"/>
      <c r="B34" s="28" t="s">
        <v>21</v>
      </c>
      <c r="C34" s="28"/>
      <c r="D34" s="45"/>
      <c r="E34" s="28"/>
      <c r="F34" s="45">
        <v>0.0403</v>
      </c>
      <c r="G34" s="46"/>
      <c r="H34" s="45">
        <v>0.0455</v>
      </c>
      <c r="I34" s="46"/>
      <c r="J34" s="45"/>
      <c r="K34" s="147"/>
      <c r="L34" s="147"/>
      <c r="M34" s="28"/>
      <c r="N34" s="131"/>
    </row>
    <row r="35" spans="1:14" ht="15.75">
      <c r="A35" s="27"/>
      <c r="B35" s="28" t="s">
        <v>22</v>
      </c>
      <c r="C35" s="28"/>
      <c r="D35" s="31"/>
      <c r="E35" s="28"/>
      <c r="F35" s="31" t="s">
        <v>157</v>
      </c>
      <c r="G35" s="31"/>
      <c r="H35" s="31" t="s">
        <v>157</v>
      </c>
      <c r="I35" s="31"/>
      <c r="J35" s="31"/>
      <c r="K35" s="147"/>
      <c r="L35" s="147"/>
      <c r="M35" s="28"/>
      <c r="N35" s="131"/>
    </row>
    <row r="36" spans="1:14" ht="15.75">
      <c r="A36" s="27"/>
      <c r="B36" s="28" t="s">
        <v>23</v>
      </c>
      <c r="C36" s="28"/>
      <c r="D36" s="31"/>
      <c r="E36" s="28"/>
      <c r="F36" s="31" t="s">
        <v>158</v>
      </c>
      <c r="G36" s="31"/>
      <c r="H36" s="31" t="s">
        <v>158</v>
      </c>
      <c r="I36" s="31"/>
      <c r="J36" s="31"/>
      <c r="K36" s="147"/>
      <c r="L36" s="147"/>
      <c r="M36" s="28"/>
      <c r="N36" s="131"/>
    </row>
    <row r="37" spans="1:14" ht="15.75">
      <c r="A37" s="27"/>
      <c r="B37" s="28" t="s">
        <v>24</v>
      </c>
      <c r="C37" s="28"/>
      <c r="D37" s="31"/>
      <c r="E37" s="28"/>
      <c r="F37" s="31" t="s">
        <v>159</v>
      </c>
      <c r="G37" s="31"/>
      <c r="H37" s="31" t="s">
        <v>169</v>
      </c>
      <c r="I37" s="31"/>
      <c r="J37" s="31"/>
      <c r="K37" s="147"/>
      <c r="L37" s="147"/>
      <c r="M37" s="28"/>
      <c r="N37" s="131"/>
    </row>
    <row r="38" spans="1:14" ht="15.75">
      <c r="A38" s="27"/>
      <c r="B38" s="28"/>
      <c r="C38" s="28"/>
      <c r="D38" s="47"/>
      <c r="E38" s="47"/>
      <c r="F38" s="28"/>
      <c r="G38" s="47"/>
      <c r="H38" s="152"/>
      <c r="I38" s="47"/>
      <c r="J38" s="47"/>
      <c r="K38" s="47"/>
      <c r="L38" s="47"/>
      <c r="M38" s="28"/>
      <c r="N38" s="131"/>
    </row>
    <row r="39" spans="1:14" ht="15.75">
      <c r="A39" s="27"/>
      <c r="B39" s="28" t="s">
        <v>25</v>
      </c>
      <c r="C39" s="28"/>
      <c r="D39" s="28"/>
      <c r="E39" s="28"/>
      <c r="F39" s="28"/>
      <c r="G39" s="28"/>
      <c r="H39" s="136"/>
      <c r="I39" s="28"/>
      <c r="J39" s="28"/>
      <c r="K39" s="28"/>
      <c r="L39" s="46">
        <f>H29/F29</f>
        <v>0.10119047619047619</v>
      </c>
      <c r="M39" s="28"/>
      <c r="N39" s="131"/>
    </row>
    <row r="40" spans="1:14" ht="15.75">
      <c r="A40" s="27"/>
      <c r="B40" s="28" t="s">
        <v>26</v>
      </c>
      <c r="C40" s="28"/>
      <c r="D40" s="28"/>
      <c r="E40" s="28"/>
      <c r="F40" s="136"/>
      <c r="G40" s="28"/>
      <c r="H40" s="136"/>
      <c r="I40" s="28"/>
      <c r="J40" s="28"/>
      <c r="K40" s="28"/>
      <c r="L40" s="46">
        <v>0</v>
      </c>
      <c r="M40" s="28"/>
      <c r="N40" s="131"/>
    </row>
    <row r="41" spans="1:14" ht="15.75">
      <c r="A41" s="27"/>
      <c r="B41" s="28" t="s">
        <v>27</v>
      </c>
      <c r="C41" s="28"/>
      <c r="D41" s="28"/>
      <c r="E41" s="28"/>
      <c r="F41" s="136"/>
      <c r="G41" s="28"/>
      <c r="H41" s="136"/>
      <c r="I41" s="28"/>
      <c r="J41" s="31" t="s">
        <v>151</v>
      </c>
      <c r="K41" s="31" t="s">
        <v>183</v>
      </c>
      <c r="L41" s="35">
        <v>75500</v>
      </c>
      <c r="M41" s="28"/>
      <c r="N41" s="131"/>
    </row>
    <row r="42" spans="1:14" ht="15.75">
      <c r="A42" s="27"/>
      <c r="B42" s="28"/>
      <c r="C42" s="28"/>
      <c r="D42" s="28"/>
      <c r="E42" s="28"/>
      <c r="F42" s="28"/>
      <c r="G42" s="28"/>
      <c r="H42" s="28"/>
      <c r="I42" s="28"/>
      <c r="J42" s="28" t="s">
        <v>175</v>
      </c>
      <c r="K42" s="28"/>
      <c r="L42" s="48"/>
      <c r="M42" s="28"/>
      <c r="N42" s="131"/>
    </row>
    <row r="43" spans="1:14" ht="15.75">
      <c r="A43" s="27"/>
      <c r="B43" s="28" t="s">
        <v>28</v>
      </c>
      <c r="C43" s="28"/>
      <c r="D43" s="28"/>
      <c r="E43" s="28"/>
      <c r="F43" s="28"/>
      <c r="G43" s="28"/>
      <c r="H43" s="28"/>
      <c r="I43" s="28"/>
      <c r="J43" s="31"/>
      <c r="K43" s="31"/>
      <c r="L43" s="31" t="s">
        <v>187</v>
      </c>
      <c r="M43" s="28"/>
      <c r="N43" s="131"/>
    </row>
    <row r="44" spans="1:14" ht="15.75">
      <c r="A44" s="32"/>
      <c r="B44" s="33" t="s">
        <v>29</v>
      </c>
      <c r="C44" s="33"/>
      <c r="D44" s="33"/>
      <c r="E44" s="33"/>
      <c r="F44" s="33"/>
      <c r="G44" s="33"/>
      <c r="H44" s="33"/>
      <c r="I44" s="33"/>
      <c r="J44" s="49"/>
      <c r="K44" s="49"/>
      <c r="L44" s="50">
        <v>38092</v>
      </c>
      <c r="M44" s="33"/>
      <c r="N44" s="131"/>
    </row>
    <row r="45" spans="1:14" ht="15.75">
      <c r="A45" s="27"/>
      <c r="B45" s="28" t="s">
        <v>30</v>
      </c>
      <c r="C45" s="28"/>
      <c r="D45" s="28"/>
      <c r="E45" s="28"/>
      <c r="F45" s="28"/>
      <c r="G45" s="28"/>
      <c r="H45" s="28"/>
      <c r="I45" s="28">
        <f>L45-J45+1</f>
        <v>92</v>
      </c>
      <c r="J45" s="51">
        <v>37909</v>
      </c>
      <c r="K45" s="52"/>
      <c r="L45" s="51">
        <v>38000</v>
      </c>
      <c r="M45" s="28"/>
      <c r="N45" s="131"/>
    </row>
    <row r="46" spans="1:14" ht="15.75">
      <c r="A46" s="27"/>
      <c r="B46" s="28" t="s">
        <v>31</v>
      </c>
      <c r="C46" s="28"/>
      <c r="D46" s="28"/>
      <c r="E46" s="28"/>
      <c r="F46" s="28"/>
      <c r="G46" s="28"/>
      <c r="H46" s="28"/>
      <c r="I46" s="28">
        <f>L46-J46+1</f>
        <v>91</v>
      </c>
      <c r="J46" s="51">
        <v>38001</v>
      </c>
      <c r="K46" s="52"/>
      <c r="L46" s="51">
        <v>38091</v>
      </c>
      <c r="M46" s="28"/>
      <c r="N46" s="131"/>
    </row>
    <row r="47" spans="1:14" ht="15.75">
      <c r="A47" s="27"/>
      <c r="B47" s="28" t="s">
        <v>32</v>
      </c>
      <c r="C47" s="28"/>
      <c r="D47" s="28"/>
      <c r="E47" s="28"/>
      <c r="F47" s="28"/>
      <c r="G47" s="28"/>
      <c r="H47" s="28"/>
      <c r="I47" s="28"/>
      <c r="J47" s="51"/>
      <c r="K47" s="52"/>
      <c r="L47" s="51" t="s">
        <v>194</v>
      </c>
      <c r="M47" s="28"/>
      <c r="N47" s="131"/>
    </row>
    <row r="48" spans="1:14" ht="15.75">
      <c r="A48" s="27"/>
      <c r="B48" s="28" t="s">
        <v>33</v>
      </c>
      <c r="C48" s="28"/>
      <c r="D48" s="28"/>
      <c r="E48" s="28"/>
      <c r="F48" s="28"/>
      <c r="G48" s="28"/>
      <c r="H48" s="28"/>
      <c r="I48" s="28"/>
      <c r="J48" s="51"/>
      <c r="K48" s="52"/>
      <c r="L48" s="51">
        <v>38079</v>
      </c>
      <c r="M48" s="28"/>
      <c r="N48" s="131"/>
    </row>
    <row r="49" spans="1:14" ht="15.75">
      <c r="A49" s="27"/>
      <c r="B49" s="28"/>
      <c r="C49" s="28"/>
      <c r="D49" s="28"/>
      <c r="E49" s="28"/>
      <c r="F49" s="28"/>
      <c r="G49" s="28"/>
      <c r="H49" s="28"/>
      <c r="I49" s="28"/>
      <c r="J49" s="51"/>
      <c r="K49" s="52"/>
      <c r="L49" s="51"/>
      <c r="M49" s="28"/>
      <c r="N49" s="131"/>
    </row>
    <row r="50" spans="1:14" ht="15.75">
      <c r="A50" s="8"/>
      <c r="B50" s="10"/>
      <c r="C50" s="10"/>
      <c r="D50" s="10"/>
      <c r="E50" s="10"/>
      <c r="F50" s="10"/>
      <c r="G50" s="10"/>
      <c r="H50" s="10"/>
      <c r="I50" s="10"/>
      <c r="J50" s="53"/>
      <c r="K50" s="54"/>
      <c r="L50" s="53"/>
      <c r="M50" s="10"/>
      <c r="N50" s="131"/>
    </row>
    <row r="51" spans="1:14" ht="19.5" thickBot="1">
      <c r="A51" s="138"/>
      <c r="B51" s="139" t="s">
        <v>219</v>
      </c>
      <c r="C51" s="140"/>
      <c r="D51" s="140"/>
      <c r="E51" s="140"/>
      <c r="F51" s="140"/>
      <c r="G51" s="140"/>
      <c r="H51" s="140"/>
      <c r="I51" s="140"/>
      <c r="J51" s="140"/>
      <c r="K51" s="140"/>
      <c r="L51" s="141"/>
      <c r="M51" s="142"/>
      <c r="N51" s="131"/>
    </row>
    <row r="52" spans="1:14" ht="15.75">
      <c r="A52" s="2"/>
      <c r="B52" s="5"/>
      <c r="C52" s="5"/>
      <c r="D52" s="5"/>
      <c r="E52" s="5"/>
      <c r="F52" s="5"/>
      <c r="G52" s="5"/>
      <c r="H52" s="5"/>
      <c r="I52" s="5"/>
      <c r="J52" s="5"/>
      <c r="K52" s="5"/>
      <c r="L52" s="57"/>
      <c r="M52" s="5"/>
      <c r="N52" s="131"/>
    </row>
    <row r="53" spans="1:14" ht="15.75">
      <c r="A53" s="8"/>
      <c r="B53" s="58" t="s">
        <v>35</v>
      </c>
      <c r="C53" s="16"/>
      <c r="D53" s="10"/>
      <c r="E53" s="10"/>
      <c r="F53" s="10"/>
      <c r="G53" s="10"/>
      <c r="H53" s="10"/>
      <c r="I53" s="10"/>
      <c r="J53" s="10"/>
      <c r="K53" s="10"/>
      <c r="L53" s="59"/>
      <c r="M53" s="10"/>
      <c r="N53" s="131"/>
    </row>
    <row r="54" spans="1:14" ht="15.75">
      <c r="A54" s="8"/>
      <c r="B54" s="16"/>
      <c r="C54" s="16"/>
      <c r="D54" s="10"/>
      <c r="E54" s="10"/>
      <c r="F54" s="10"/>
      <c r="G54" s="10"/>
      <c r="H54" s="10"/>
      <c r="I54" s="10"/>
      <c r="J54" s="10"/>
      <c r="K54" s="10"/>
      <c r="L54" s="59"/>
      <c r="M54" s="10"/>
      <c r="N54" s="131"/>
    </row>
    <row r="55" spans="1:14" s="165" customFormat="1" ht="63">
      <c r="A55" s="159"/>
      <c r="B55" s="160" t="s">
        <v>36</v>
      </c>
      <c r="C55" s="161" t="s">
        <v>145</v>
      </c>
      <c r="D55" s="161" t="s">
        <v>147</v>
      </c>
      <c r="E55" s="161"/>
      <c r="F55" s="161" t="s">
        <v>160</v>
      </c>
      <c r="G55" s="161"/>
      <c r="H55" s="161" t="s">
        <v>170</v>
      </c>
      <c r="I55" s="161"/>
      <c r="J55" s="161" t="s">
        <v>176</v>
      </c>
      <c r="K55" s="161"/>
      <c r="L55" s="162" t="s">
        <v>189</v>
      </c>
      <c r="M55" s="163"/>
      <c r="N55" s="171"/>
    </row>
    <row r="56" spans="1:14" ht="15.75">
      <c r="A56" s="27"/>
      <c r="B56" s="28" t="s">
        <v>37</v>
      </c>
      <c r="C56" s="38">
        <v>162582</v>
      </c>
      <c r="D56" s="60">
        <v>101270</v>
      </c>
      <c r="E56" s="38"/>
      <c r="F56" s="38">
        <v>101270</v>
      </c>
      <c r="G56" s="38"/>
      <c r="H56" s="38">
        <v>0</v>
      </c>
      <c r="I56" s="38"/>
      <c r="J56" s="38">
        <v>0</v>
      </c>
      <c r="K56" s="38"/>
      <c r="L56" s="60">
        <f>D56-F56+H56-J56</f>
        <v>0</v>
      </c>
      <c r="M56" s="28"/>
      <c r="N56" s="131"/>
    </row>
    <row r="57" spans="1:14" ht="15.75">
      <c r="A57" s="27"/>
      <c r="B57" s="28" t="s">
        <v>38</v>
      </c>
      <c r="C57" s="38">
        <v>66</v>
      </c>
      <c r="D57" s="60">
        <v>0</v>
      </c>
      <c r="E57" s="38"/>
      <c r="F57" s="38">
        <v>0</v>
      </c>
      <c r="G57" s="38"/>
      <c r="H57" s="38">
        <v>0</v>
      </c>
      <c r="I57" s="38"/>
      <c r="J57" s="38">
        <v>0</v>
      </c>
      <c r="K57" s="38"/>
      <c r="L57" s="60">
        <f>D57-F57</f>
        <v>0</v>
      </c>
      <c r="M57" s="28"/>
      <c r="N57" s="131"/>
    </row>
    <row r="58" spans="1:14" ht="15.75">
      <c r="A58" s="27"/>
      <c r="B58" s="28"/>
      <c r="C58" s="38"/>
      <c r="D58" s="60"/>
      <c r="E58" s="38"/>
      <c r="F58" s="38"/>
      <c r="G58" s="38"/>
      <c r="H58" s="38"/>
      <c r="I58" s="38"/>
      <c r="J58" s="38"/>
      <c r="K58" s="38"/>
      <c r="L58" s="60"/>
      <c r="M58" s="28"/>
      <c r="N58" s="131"/>
    </row>
    <row r="59" spans="1:14" ht="15.75">
      <c r="A59" s="27"/>
      <c r="B59" s="28" t="s">
        <v>39</v>
      </c>
      <c r="C59" s="38">
        <f>SUM(C56:C58)</f>
        <v>162648</v>
      </c>
      <c r="D59" s="38">
        <f>SUM(D56:D58)</f>
        <v>101270</v>
      </c>
      <c r="E59" s="38"/>
      <c r="F59" s="38">
        <f>SUM(F56:F58)</f>
        <v>101270</v>
      </c>
      <c r="G59" s="38"/>
      <c r="H59" s="38">
        <f>SUM(H56:H58)</f>
        <v>0</v>
      </c>
      <c r="I59" s="38"/>
      <c r="J59" s="38">
        <f>SUM(J56:J58)</f>
        <v>0</v>
      </c>
      <c r="K59" s="38"/>
      <c r="L59" s="61">
        <f>SUM(L56:L58)</f>
        <v>0</v>
      </c>
      <c r="M59" s="28"/>
      <c r="N59" s="131"/>
    </row>
    <row r="60" spans="1:14" ht="15.75">
      <c r="A60" s="27"/>
      <c r="B60" s="28"/>
      <c r="C60" s="38"/>
      <c r="D60" s="38"/>
      <c r="E60" s="38"/>
      <c r="F60" s="38"/>
      <c r="G60" s="38"/>
      <c r="H60" s="38"/>
      <c r="I60" s="38"/>
      <c r="J60" s="38"/>
      <c r="K60" s="38"/>
      <c r="L60" s="61"/>
      <c r="M60" s="28"/>
      <c r="N60" s="131"/>
    </row>
    <row r="61" spans="1:14" ht="15.75">
      <c r="A61" s="8"/>
      <c r="B61" s="154" t="s">
        <v>40</v>
      </c>
      <c r="C61" s="62"/>
      <c r="D61" s="62"/>
      <c r="E61" s="62"/>
      <c r="F61" s="62"/>
      <c r="G61" s="62"/>
      <c r="H61" s="62"/>
      <c r="I61" s="62"/>
      <c r="J61" s="62"/>
      <c r="K61" s="62"/>
      <c r="L61" s="63"/>
      <c r="M61" s="10"/>
      <c r="N61" s="131"/>
    </row>
    <row r="62" spans="1:14" ht="15.75">
      <c r="A62" s="8"/>
      <c r="B62" s="10"/>
      <c r="C62" s="62"/>
      <c r="D62" s="62"/>
      <c r="E62" s="62"/>
      <c r="F62" s="62"/>
      <c r="G62" s="62"/>
      <c r="H62" s="62"/>
      <c r="I62" s="62"/>
      <c r="J62" s="62"/>
      <c r="K62" s="62"/>
      <c r="L62" s="63"/>
      <c r="M62" s="10"/>
      <c r="N62" s="131"/>
    </row>
    <row r="63" spans="1:14" ht="15.75">
      <c r="A63" s="27"/>
      <c r="B63" s="28" t="s">
        <v>37</v>
      </c>
      <c r="C63" s="38"/>
      <c r="D63" s="38"/>
      <c r="E63" s="38"/>
      <c r="F63" s="38"/>
      <c r="G63" s="38"/>
      <c r="H63" s="38"/>
      <c r="I63" s="38"/>
      <c r="J63" s="38"/>
      <c r="K63" s="38"/>
      <c r="L63" s="61"/>
      <c r="M63" s="28"/>
      <c r="N63" s="131"/>
    </row>
    <row r="64" spans="1:14" ht="15.75">
      <c r="A64" s="27"/>
      <c r="B64" s="28" t="s">
        <v>38</v>
      </c>
      <c r="C64" s="38"/>
      <c r="D64" s="38"/>
      <c r="E64" s="38"/>
      <c r="F64" s="38"/>
      <c r="G64" s="38"/>
      <c r="H64" s="38"/>
      <c r="I64" s="38"/>
      <c r="J64" s="38"/>
      <c r="K64" s="38"/>
      <c r="L64" s="61"/>
      <c r="M64" s="28"/>
      <c r="N64" s="131"/>
    </row>
    <row r="65" spans="1:14" ht="15.75">
      <c r="A65" s="27"/>
      <c r="B65" s="28"/>
      <c r="C65" s="38"/>
      <c r="D65" s="38"/>
      <c r="E65" s="38"/>
      <c r="F65" s="38"/>
      <c r="G65" s="38"/>
      <c r="H65" s="38"/>
      <c r="I65" s="38"/>
      <c r="J65" s="38"/>
      <c r="K65" s="38"/>
      <c r="L65" s="61"/>
      <c r="M65" s="28"/>
      <c r="N65" s="131"/>
    </row>
    <row r="66" spans="1:14" ht="15.75">
      <c r="A66" s="27"/>
      <c r="B66" s="28" t="s">
        <v>39</v>
      </c>
      <c r="C66" s="38"/>
      <c r="D66" s="38"/>
      <c r="E66" s="38"/>
      <c r="F66" s="38"/>
      <c r="G66" s="38"/>
      <c r="H66" s="38"/>
      <c r="I66" s="38"/>
      <c r="J66" s="38"/>
      <c r="K66" s="38"/>
      <c r="L66" s="38"/>
      <c r="M66" s="28"/>
      <c r="N66" s="131"/>
    </row>
    <row r="67" spans="1:14" ht="15.75">
      <c r="A67" s="27"/>
      <c r="B67" s="28"/>
      <c r="C67" s="38"/>
      <c r="D67" s="38"/>
      <c r="E67" s="38"/>
      <c r="F67" s="38"/>
      <c r="G67" s="38"/>
      <c r="H67" s="38"/>
      <c r="I67" s="38"/>
      <c r="J67" s="38"/>
      <c r="K67" s="38"/>
      <c r="L67" s="38"/>
      <c r="M67" s="28"/>
      <c r="N67" s="131"/>
    </row>
    <row r="68" spans="1:14" ht="15.75">
      <c r="A68" s="27"/>
      <c r="B68" s="28" t="s">
        <v>41</v>
      </c>
      <c r="C68" s="38">
        <v>0</v>
      </c>
      <c r="D68" s="38">
        <v>0</v>
      </c>
      <c r="E68" s="38"/>
      <c r="F68" s="38"/>
      <c r="G68" s="38"/>
      <c r="H68" s="38"/>
      <c r="I68" s="38"/>
      <c r="J68" s="38"/>
      <c r="K68" s="38"/>
      <c r="L68" s="60">
        <f>D68-F68+H68-J68</f>
        <v>0</v>
      </c>
      <c r="M68" s="28"/>
      <c r="N68" s="131"/>
    </row>
    <row r="69" spans="1:14" ht="15.75">
      <c r="A69" s="27"/>
      <c r="B69" s="28" t="s">
        <v>42</v>
      </c>
      <c r="C69" s="38">
        <v>22352</v>
      </c>
      <c r="D69" s="38">
        <v>0</v>
      </c>
      <c r="E69" s="38"/>
      <c r="F69" s="38"/>
      <c r="G69" s="38"/>
      <c r="H69" s="38"/>
      <c r="I69" s="38"/>
      <c r="J69" s="38"/>
      <c r="K69" s="38"/>
      <c r="L69" s="61">
        <v>0</v>
      </c>
      <c r="M69" s="28"/>
      <c r="N69" s="131"/>
    </row>
    <row r="70" spans="1:14" ht="15.75">
      <c r="A70" s="27"/>
      <c r="B70" s="28" t="s">
        <v>43</v>
      </c>
      <c r="C70" s="38">
        <v>0</v>
      </c>
      <c r="D70" s="38">
        <v>0</v>
      </c>
      <c r="E70" s="38"/>
      <c r="F70" s="38"/>
      <c r="G70" s="38"/>
      <c r="H70" s="38"/>
      <c r="I70" s="38"/>
      <c r="J70" s="38"/>
      <c r="K70" s="38"/>
      <c r="L70" s="61">
        <v>0</v>
      </c>
      <c r="M70" s="28"/>
      <c r="N70" s="131"/>
    </row>
    <row r="71" spans="1:14" ht="15.75">
      <c r="A71" s="27"/>
      <c r="B71" s="28" t="s">
        <v>44</v>
      </c>
      <c r="C71" s="61">
        <f>SUM(C59:C70)</f>
        <v>185000</v>
      </c>
      <c r="D71" s="61">
        <f>SUM(D59:D70)</f>
        <v>101270</v>
      </c>
      <c r="E71" s="38"/>
      <c r="F71" s="61"/>
      <c r="G71" s="38"/>
      <c r="H71" s="61"/>
      <c r="I71" s="38"/>
      <c r="J71" s="61"/>
      <c r="K71" s="38"/>
      <c r="L71" s="61">
        <f>SUM(L59:L70)</f>
        <v>0</v>
      </c>
      <c r="M71" s="28"/>
      <c r="N71" s="131"/>
    </row>
    <row r="72" spans="1:14" ht="15.75">
      <c r="A72" s="27"/>
      <c r="B72" s="28"/>
      <c r="C72" s="38"/>
      <c r="D72" s="38"/>
      <c r="E72" s="38"/>
      <c r="F72" s="38"/>
      <c r="G72" s="38"/>
      <c r="H72" s="38"/>
      <c r="I72" s="38"/>
      <c r="J72" s="38"/>
      <c r="K72" s="38"/>
      <c r="L72" s="61"/>
      <c r="M72" s="28"/>
      <c r="N72" s="131"/>
    </row>
    <row r="73" spans="1:14" ht="15.75">
      <c r="A73" s="8"/>
      <c r="B73" s="10"/>
      <c r="C73" s="10"/>
      <c r="D73" s="10"/>
      <c r="E73" s="10"/>
      <c r="F73" s="10"/>
      <c r="G73" s="10"/>
      <c r="H73" s="10"/>
      <c r="I73" s="10"/>
      <c r="J73" s="10"/>
      <c r="K73" s="10"/>
      <c r="L73" s="10"/>
      <c r="M73" s="10"/>
      <c r="N73" s="131"/>
    </row>
    <row r="74" spans="1:14" ht="15.75">
      <c r="A74" s="8"/>
      <c r="B74" s="58" t="s">
        <v>45</v>
      </c>
      <c r="C74" s="17"/>
      <c r="D74" s="17"/>
      <c r="E74" s="17"/>
      <c r="F74" s="17"/>
      <c r="G74" s="17"/>
      <c r="H74" s="17"/>
      <c r="I74" s="20"/>
      <c r="J74" s="20" t="s">
        <v>177</v>
      </c>
      <c r="K74" s="20"/>
      <c r="L74" s="20" t="s">
        <v>190</v>
      </c>
      <c r="M74" s="10"/>
      <c r="N74" s="131"/>
    </row>
    <row r="75" spans="1:14" ht="15.75">
      <c r="A75" s="27"/>
      <c r="B75" s="28" t="s">
        <v>46</v>
      </c>
      <c r="C75" s="28"/>
      <c r="D75" s="28"/>
      <c r="E75" s="28"/>
      <c r="F75" s="28"/>
      <c r="G75" s="28"/>
      <c r="H75" s="28"/>
      <c r="I75" s="28"/>
      <c r="J75" s="38">
        <v>0</v>
      </c>
      <c r="K75" s="28"/>
      <c r="L75" s="60">
        <v>0</v>
      </c>
      <c r="M75" s="28"/>
      <c r="N75" s="131"/>
    </row>
    <row r="76" spans="1:14" ht="15.75">
      <c r="A76" s="27"/>
      <c r="B76" s="28" t="s">
        <v>47</v>
      </c>
      <c r="C76" s="47" t="s">
        <v>146</v>
      </c>
      <c r="D76" s="65">
        <v>38077</v>
      </c>
      <c r="E76" s="28"/>
      <c r="F76" s="28"/>
      <c r="G76" s="28"/>
      <c r="H76" s="28"/>
      <c r="I76" s="28"/>
      <c r="J76" s="38">
        <v>101270</v>
      </c>
      <c r="K76" s="28"/>
      <c r="L76" s="60"/>
      <c r="M76" s="28"/>
      <c r="N76" s="131"/>
    </row>
    <row r="77" spans="1:14" ht="15.75">
      <c r="A77" s="27"/>
      <c r="B77" s="28" t="s">
        <v>48</v>
      </c>
      <c r="C77" s="28"/>
      <c r="D77" s="28"/>
      <c r="E77" s="28"/>
      <c r="F77" s="28"/>
      <c r="G77" s="28"/>
      <c r="H77" s="28"/>
      <c r="I77" s="28"/>
      <c r="J77" s="38"/>
      <c r="K77" s="28"/>
      <c r="L77" s="60">
        <f>1396+208-9-4+454</f>
        <v>2045</v>
      </c>
      <c r="M77" s="28"/>
      <c r="N77" s="131"/>
    </row>
    <row r="78" spans="1:14" ht="15.75">
      <c r="A78" s="27"/>
      <c r="B78" s="28" t="s">
        <v>221</v>
      </c>
      <c r="C78" s="28"/>
      <c r="D78" s="28"/>
      <c r="E78" s="28"/>
      <c r="F78" s="28"/>
      <c r="G78" s="28"/>
      <c r="H78" s="28"/>
      <c r="I78" s="28"/>
      <c r="J78" s="38"/>
      <c r="K78" s="28"/>
      <c r="L78" s="60">
        <f>-L115</f>
        <v>4625</v>
      </c>
      <c r="M78" s="28"/>
      <c r="N78" s="131"/>
    </row>
    <row r="79" spans="1:14" ht="15.75">
      <c r="A79" s="27"/>
      <c r="B79" s="28" t="s">
        <v>49</v>
      </c>
      <c r="C79" s="28"/>
      <c r="D79" s="28"/>
      <c r="E79" s="28"/>
      <c r="F79" s="28"/>
      <c r="G79" s="28"/>
      <c r="H79" s="28"/>
      <c r="I79" s="28"/>
      <c r="J79" s="38"/>
      <c r="K79" s="28"/>
      <c r="L79" s="60">
        <v>0</v>
      </c>
      <c r="M79" s="28"/>
      <c r="N79" s="131"/>
    </row>
    <row r="80" spans="1:14" ht="15.75">
      <c r="A80" s="27"/>
      <c r="B80" s="28" t="s">
        <v>50</v>
      </c>
      <c r="C80" s="28"/>
      <c r="D80" s="28"/>
      <c r="E80" s="28"/>
      <c r="F80" s="28"/>
      <c r="G80" s="28"/>
      <c r="H80" s="28"/>
      <c r="I80" s="28"/>
      <c r="J80" s="38">
        <f>SUM(J75:J79)</f>
        <v>101270</v>
      </c>
      <c r="K80" s="28"/>
      <c r="L80" s="61">
        <f>SUM(L75:L79)</f>
        <v>6670</v>
      </c>
      <c r="M80" s="28"/>
      <c r="N80" s="131"/>
    </row>
    <row r="81" spans="1:14" ht="15.75">
      <c r="A81" s="27"/>
      <c r="B81" s="28" t="s">
        <v>51</v>
      </c>
      <c r="C81" s="28"/>
      <c r="D81" s="28"/>
      <c r="E81" s="28"/>
      <c r="F81" s="28"/>
      <c r="G81" s="28"/>
      <c r="H81" s="28"/>
      <c r="I81" s="28"/>
      <c r="J81" s="38">
        <v>0</v>
      </c>
      <c r="K81" s="28"/>
      <c r="L81" s="60">
        <v>0</v>
      </c>
      <c r="M81" s="28"/>
      <c r="N81" s="131"/>
    </row>
    <row r="82" spans="1:14" ht="15.75">
      <c r="A82" s="27"/>
      <c r="B82" s="28" t="s">
        <v>52</v>
      </c>
      <c r="C82" s="28"/>
      <c r="D82" s="28"/>
      <c r="E82" s="28"/>
      <c r="F82" s="28"/>
      <c r="G82" s="28"/>
      <c r="H82" s="28"/>
      <c r="I82" s="28"/>
      <c r="J82" s="38">
        <f>J80+J81</f>
        <v>101270</v>
      </c>
      <c r="K82" s="28"/>
      <c r="L82" s="61">
        <f>L80+L81</f>
        <v>6670</v>
      </c>
      <c r="M82" s="28"/>
      <c r="N82" s="131"/>
    </row>
    <row r="83" spans="1:14" ht="15.75">
      <c r="A83" s="27"/>
      <c r="B83" s="166" t="s">
        <v>53</v>
      </c>
      <c r="C83" s="66"/>
      <c r="D83" s="28"/>
      <c r="E83" s="28"/>
      <c r="F83" s="28"/>
      <c r="G83" s="28"/>
      <c r="H83" s="28"/>
      <c r="I83" s="28"/>
      <c r="J83" s="38"/>
      <c r="K83" s="28"/>
      <c r="L83" s="60"/>
      <c r="M83" s="28"/>
      <c r="N83" s="131"/>
    </row>
    <row r="84" spans="1:14" ht="15.75">
      <c r="A84" s="27">
        <v>1</v>
      </c>
      <c r="B84" s="28" t="s">
        <v>54</v>
      </c>
      <c r="C84" s="28"/>
      <c r="D84" s="28"/>
      <c r="E84" s="28"/>
      <c r="F84" s="28"/>
      <c r="G84" s="28"/>
      <c r="H84" s="28"/>
      <c r="I84" s="28"/>
      <c r="J84" s="28"/>
      <c r="K84" s="28"/>
      <c r="L84" s="60">
        <v>0</v>
      </c>
      <c r="M84" s="28"/>
      <c r="N84" s="131"/>
    </row>
    <row r="85" spans="1:14" ht="15.75">
      <c r="A85" s="27">
        <v>2</v>
      </c>
      <c r="B85" s="28" t="s">
        <v>55</v>
      </c>
      <c r="C85" s="28"/>
      <c r="D85" s="28"/>
      <c r="E85" s="28"/>
      <c r="F85" s="28"/>
      <c r="G85" s="28"/>
      <c r="H85" s="28"/>
      <c r="I85" s="28"/>
      <c r="J85" s="28"/>
      <c r="K85" s="28"/>
      <c r="L85" s="60">
        <v>-3</v>
      </c>
      <c r="M85" s="28"/>
      <c r="N85" s="131"/>
    </row>
    <row r="86" spans="1:14" ht="15.75">
      <c r="A86" s="27">
        <v>3</v>
      </c>
      <c r="B86" s="28" t="s">
        <v>56</v>
      </c>
      <c r="C86" s="28"/>
      <c r="D86" s="28"/>
      <c r="E86" s="28"/>
      <c r="F86" s="28"/>
      <c r="G86" s="28"/>
      <c r="H86" s="28"/>
      <c r="I86" s="28"/>
      <c r="J86" s="28"/>
      <c r="K86" s="28"/>
      <c r="L86" s="60">
        <f>-76-4</f>
        <v>-80</v>
      </c>
      <c r="M86" s="28"/>
      <c r="N86" s="131"/>
    </row>
    <row r="87" spans="1:14" ht="15.75">
      <c r="A87" s="27">
        <v>4</v>
      </c>
      <c r="B87" s="28" t="s">
        <v>57</v>
      </c>
      <c r="C87" s="28"/>
      <c r="D87" s="28"/>
      <c r="E87" s="28"/>
      <c r="F87" s="28"/>
      <c r="G87" s="28"/>
      <c r="H87" s="28"/>
      <c r="I87" s="28"/>
      <c r="J87" s="28"/>
      <c r="K87" s="28"/>
      <c r="L87" s="60">
        <v>-53</v>
      </c>
      <c r="M87" s="28"/>
      <c r="N87" s="131"/>
    </row>
    <row r="88" spans="1:14" ht="15.75">
      <c r="A88" s="27">
        <v>5</v>
      </c>
      <c r="B88" s="28" t="s">
        <v>58</v>
      </c>
      <c r="C88" s="28"/>
      <c r="D88" s="28"/>
      <c r="E88" s="28"/>
      <c r="F88" s="28"/>
      <c r="G88" s="28"/>
      <c r="H88" s="28"/>
      <c r="I88" s="28"/>
      <c r="J88" s="28"/>
      <c r="K88" s="28"/>
      <c r="L88" s="60">
        <v>-900</v>
      </c>
      <c r="M88" s="28"/>
      <c r="N88" s="131"/>
    </row>
    <row r="89" spans="1:14" ht="15.75">
      <c r="A89" s="27">
        <v>6</v>
      </c>
      <c r="B89" s="28" t="s">
        <v>59</v>
      </c>
      <c r="C89" s="28"/>
      <c r="D89" s="28"/>
      <c r="E89" s="28"/>
      <c r="F89" s="28"/>
      <c r="G89" s="28"/>
      <c r="H89" s="28"/>
      <c r="I89" s="28"/>
      <c r="J89" s="28"/>
      <c r="K89" s="28"/>
      <c r="L89" s="60">
        <v>-204</v>
      </c>
      <c r="M89" s="28"/>
      <c r="N89" s="131"/>
    </row>
    <row r="90" spans="1:14" ht="15.75">
      <c r="A90" s="27">
        <v>7</v>
      </c>
      <c r="B90" s="28" t="s">
        <v>60</v>
      </c>
      <c r="C90" s="28"/>
      <c r="D90" s="28"/>
      <c r="E90" s="28"/>
      <c r="F90" s="28"/>
      <c r="G90" s="28"/>
      <c r="H90" s="28"/>
      <c r="I90" s="28"/>
      <c r="J90" s="28"/>
      <c r="K90" s="28"/>
      <c r="L90" s="60">
        <v>-5</v>
      </c>
      <c r="M90" s="28"/>
      <c r="N90" s="131"/>
    </row>
    <row r="91" spans="1:14" ht="15.75">
      <c r="A91" s="27">
        <v>8</v>
      </c>
      <c r="B91" s="28" t="s">
        <v>61</v>
      </c>
      <c r="C91" s="28"/>
      <c r="D91" s="28"/>
      <c r="E91" s="28"/>
      <c r="F91" s="28"/>
      <c r="G91" s="28"/>
      <c r="H91" s="28"/>
      <c r="I91" s="28"/>
      <c r="J91" s="28"/>
      <c r="K91" s="28"/>
      <c r="L91" s="60">
        <v>0</v>
      </c>
      <c r="M91" s="28"/>
      <c r="N91" s="131"/>
    </row>
    <row r="92" spans="1:14" ht="15.75">
      <c r="A92" s="27">
        <v>9</v>
      </c>
      <c r="B92" s="28" t="s">
        <v>62</v>
      </c>
      <c r="C92" s="28"/>
      <c r="D92" s="28"/>
      <c r="E92" s="28"/>
      <c r="F92" s="28"/>
      <c r="G92" s="28"/>
      <c r="H92" s="28"/>
      <c r="I92" s="28"/>
      <c r="J92" s="28"/>
      <c r="K92" s="28"/>
      <c r="L92" s="60">
        <v>0</v>
      </c>
      <c r="M92" s="28"/>
      <c r="N92" s="131"/>
    </row>
    <row r="93" spans="1:14" ht="15.75">
      <c r="A93" s="27">
        <v>10</v>
      </c>
      <c r="B93" s="28" t="s">
        <v>63</v>
      </c>
      <c r="C93" s="28"/>
      <c r="D93" s="28"/>
      <c r="E93" s="28"/>
      <c r="F93" s="28"/>
      <c r="G93" s="28"/>
      <c r="H93" s="28"/>
      <c r="I93" s="28"/>
      <c r="J93" s="28"/>
      <c r="K93" s="28"/>
      <c r="L93" s="60">
        <v>0</v>
      </c>
      <c r="M93" s="28"/>
      <c r="N93" s="131"/>
    </row>
    <row r="94" spans="1:14" ht="15.75">
      <c r="A94" s="27">
        <v>11</v>
      </c>
      <c r="B94" s="28" t="s">
        <v>64</v>
      </c>
      <c r="C94" s="28"/>
      <c r="D94" s="28"/>
      <c r="E94" s="28"/>
      <c r="F94" s="28"/>
      <c r="G94" s="28"/>
      <c r="H94" s="28"/>
      <c r="I94" s="28"/>
      <c r="J94" s="28"/>
      <c r="K94" s="28"/>
      <c r="L94" s="60">
        <v>0</v>
      </c>
      <c r="M94" s="28"/>
      <c r="N94" s="131"/>
    </row>
    <row r="95" spans="1:14" ht="15.75">
      <c r="A95" s="27">
        <v>12</v>
      </c>
      <c r="B95" s="28" t="s">
        <v>65</v>
      </c>
      <c r="C95" s="28"/>
      <c r="D95" s="28"/>
      <c r="E95" s="28"/>
      <c r="F95" s="28"/>
      <c r="G95" s="28"/>
      <c r="H95" s="28"/>
      <c r="I95" s="28"/>
      <c r="J95" s="28"/>
      <c r="K95" s="28"/>
      <c r="L95" s="60">
        <v>0</v>
      </c>
      <c r="M95" s="28"/>
      <c r="N95" s="131"/>
    </row>
    <row r="96" spans="1:14" ht="15.75">
      <c r="A96" s="27">
        <v>13</v>
      </c>
      <c r="B96" s="28" t="s">
        <v>66</v>
      </c>
      <c r="C96" s="28"/>
      <c r="D96" s="28"/>
      <c r="E96" s="28"/>
      <c r="F96" s="28"/>
      <c r="G96" s="28"/>
      <c r="H96" s="28"/>
      <c r="I96" s="28"/>
      <c r="J96" s="28"/>
      <c r="K96" s="28"/>
      <c r="L96" s="60">
        <f>-SUM(L82:L95)</f>
        <v>-5425</v>
      </c>
      <c r="M96" s="28"/>
      <c r="N96" s="131"/>
    </row>
    <row r="97" spans="1:14" ht="15.75">
      <c r="A97" s="27"/>
      <c r="B97" s="166" t="s">
        <v>67</v>
      </c>
      <c r="C97" s="66"/>
      <c r="D97" s="28"/>
      <c r="E97" s="28"/>
      <c r="F97" s="28"/>
      <c r="G97" s="28"/>
      <c r="H97" s="28"/>
      <c r="I97" s="28"/>
      <c r="J97" s="28"/>
      <c r="K97" s="28"/>
      <c r="L97" s="67"/>
      <c r="M97" s="28"/>
      <c r="N97" s="131"/>
    </row>
    <row r="98" spans="1:14" ht="15.75">
      <c r="A98" s="27"/>
      <c r="B98" s="28" t="s">
        <v>68</v>
      </c>
      <c r="C98" s="66"/>
      <c r="D98" s="28"/>
      <c r="E98" s="28"/>
      <c r="F98" s="28"/>
      <c r="G98" s="28"/>
      <c r="H98" s="28"/>
      <c r="I98" s="28"/>
      <c r="J98" s="38">
        <f>-J144</f>
        <v>0</v>
      </c>
      <c r="K98" s="38"/>
      <c r="L98" s="60"/>
      <c r="M98" s="28"/>
      <c r="N98" s="131"/>
    </row>
    <row r="99" spans="1:14" ht="15.75">
      <c r="A99" s="27"/>
      <c r="B99" s="28" t="s">
        <v>69</v>
      </c>
      <c r="C99" s="28"/>
      <c r="D99" s="28"/>
      <c r="E99" s="28"/>
      <c r="F99" s="28"/>
      <c r="G99" s="28"/>
      <c r="H99" s="28"/>
      <c r="I99" s="28"/>
      <c r="J99" s="38">
        <f>-H144</f>
        <v>0</v>
      </c>
      <c r="K99" s="38"/>
      <c r="L99" s="60"/>
      <c r="M99" s="28"/>
      <c r="N99" s="131"/>
    </row>
    <row r="100" spans="1:14" ht="15.75">
      <c r="A100" s="27"/>
      <c r="B100" s="28" t="s">
        <v>70</v>
      </c>
      <c r="C100" s="28"/>
      <c r="D100" s="28"/>
      <c r="E100" s="28"/>
      <c r="F100" s="28"/>
      <c r="G100" s="28"/>
      <c r="H100" s="28"/>
      <c r="I100" s="28"/>
      <c r="J100" s="38">
        <v>-84270</v>
      </c>
      <c r="K100" s="38"/>
      <c r="L100" s="60"/>
      <c r="M100" s="28"/>
      <c r="N100" s="131"/>
    </row>
    <row r="101" spans="1:14" ht="15.75">
      <c r="A101" s="27"/>
      <c r="B101" s="28" t="s">
        <v>71</v>
      </c>
      <c r="C101" s="28"/>
      <c r="D101" s="28"/>
      <c r="E101" s="28"/>
      <c r="F101" s="28"/>
      <c r="G101" s="28"/>
      <c r="H101" s="28"/>
      <c r="I101" s="28"/>
      <c r="J101" s="38">
        <v>-17000</v>
      </c>
      <c r="K101" s="38"/>
      <c r="L101" s="60"/>
      <c r="M101" s="28"/>
      <c r="N101" s="131"/>
    </row>
    <row r="102" spans="1:14" ht="15.75">
      <c r="A102" s="27"/>
      <c r="B102" s="28" t="s">
        <v>72</v>
      </c>
      <c r="C102" s="28"/>
      <c r="D102" s="28"/>
      <c r="E102" s="28"/>
      <c r="F102" s="28"/>
      <c r="G102" s="28"/>
      <c r="H102" s="28"/>
      <c r="I102" s="28"/>
      <c r="J102" s="38">
        <f>SUM(J83:J101)</f>
        <v>-101270</v>
      </c>
      <c r="K102" s="38"/>
      <c r="L102" s="38">
        <f>SUM(L83:L101)</f>
        <v>-6670</v>
      </c>
      <c r="M102" s="28"/>
      <c r="N102" s="131"/>
    </row>
    <row r="103" spans="1:14" ht="15.75">
      <c r="A103" s="27"/>
      <c r="B103" s="28" t="s">
        <v>73</v>
      </c>
      <c r="C103" s="28"/>
      <c r="D103" s="28"/>
      <c r="E103" s="28"/>
      <c r="F103" s="28"/>
      <c r="G103" s="28"/>
      <c r="H103" s="28"/>
      <c r="I103" s="28"/>
      <c r="J103" s="38">
        <f>J82+J102</f>
        <v>0</v>
      </c>
      <c r="K103" s="38"/>
      <c r="L103" s="38">
        <f>L82+L102</f>
        <v>0</v>
      </c>
      <c r="M103" s="28"/>
      <c r="N103" s="131"/>
    </row>
    <row r="104" spans="1:14" ht="15.75">
      <c r="A104" s="27"/>
      <c r="B104" s="28"/>
      <c r="C104" s="28"/>
      <c r="D104" s="28"/>
      <c r="E104" s="28"/>
      <c r="F104" s="28"/>
      <c r="G104" s="28"/>
      <c r="H104" s="28"/>
      <c r="I104" s="28"/>
      <c r="J104" s="38"/>
      <c r="K104" s="38"/>
      <c r="L104" s="38"/>
      <c r="M104" s="28"/>
      <c r="N104" s="131"/>
    </row>
    <row r="105" spans="1:14" ht="15.75">
      <c r="A105" s="8"/>
      <c r="B105" s="10"/>
      <c r="C105" s="10"/>
      <c r="D105" s="10"/>
      <c r="E105" s="10"/>
      <c r="F105" s="10"/>
      <c r="G105" s="10"/>
      <c r="H105" s="10"/>
      <c r="I105" s="10"/>
      <c r="J105" s="62"/>
      <c r="K105" s="62"/>
      <c r="L105" s="62"/>
      <c r="M105" s="10"/>
      <c r="N105" s="131"/>
    </row>
    <row r="106" spans="1:14" ht="19.5" thickBot="1">
      <c r="A106" s="138"/>
      <c r="B106" s="139" t="str">
        <f>B51</f>
        <v>PM1 INVESTOR REPORT QUARTER ENDING MARCH 2004</v>
      </c>
      <c r="C106" s="140"/>
      <c r="D106" s="140"/>
      <c r="E106" s="140"/>
      <c r="F106" s="140"/>
      <c r="G106" s="140"/>
      <c r="H106" s="140"/>
      <c r="I106" s="140"/>
      <c r="J106" s="143"/>
      <c r="K106" s="143"/>
      <c r="L106" s="143"/>
      <c r="M106" s="142"/>
      <c r="N106" s="131"/>
    </row>
    <row r="107" spans="1:14" ht="12" customHeight="1">
      <c r="A107" s="2"/>
      <c r="B107" s="5"/>
      <c r="C107" s="5"/>
      <c r="D107" s="5"/>
      <c r="E107" s="5"/>
      <c r="F107" s="5"/>
      <c r="G107" s="5"/>
      <c r="H107" s="5"/>
      <c r="I107" s="5"/>
      <c r="J107" s="5"/>
      <c r="K107" s="5"/>
      <c r="L107" s="57"/>
      <c r="M107" s="5"/>
      <c r="N107" s="131"/>
    </row>
    <row r="108" spans="1:14" ht="12" customHeight="1">
      <c r="A108" s="8"/>
      <c r="B108" s="10"/>
      <c r="C108" s="10"/>
      <c r="D108" s="10"/>
      <c r="E108" s="10"/>
      <c r="F108" s="10"/>
      <c r="G108" s="10"/>
      <c r="H108" s="10"/>
      <c r="I108" s="10"/>
      <c r="J108" s="10"/>
      <c r="K108" s="10"/>
      <c r="L108" s="59"/>
      <c r="M108" s="10"/>
      <c r="N108" s="131"/>
    </row>
    <row r="109" spans="1:14" ht="15.75">
      <c r="A109" s="8"/>
      <c r="B109" s="58" t="s">
        <v>74</v>
      </c>
      <c r="C109" s="16"/>
      <c r="D109" s="10"/>
      <c r="E109" s="10"/>
      <c r="F109" s="10"/>
      <c r="G109" s="10"/>
      <c r="H109" s="10"/>
      <c r="I109" s="10"/>
      <c r="J109" s="10"/>
      <c r="K109" s="10"/>
      <c r="L109" s="59"/>
      <c r="M109" s="10"/>
      <c r="N109" s="131"/>
    </row>
    <row r="110" spans="1:14" ht="15.75">
      <c r="A110" s="8"/>
      <c r="B110" s="23"/>
      <c r="C110" s="16"/>
      <c r="D110" s="10"/>
      <c r="E110" s="10"/>
      <c r="F110" s="10"/>
      <c r="G110" s="10"/>
      <c r="H110" s="10"/>
      <c r="I110" s="10"/>
      <c r="J110" s="10"/>
      <c r="K110" s="10"/>
      <c r="L110" s="59"/>
      <c r="M110" s="10"/>
      <c r="N110" s="131"/>
    </row>
    <row r="111" spans="1:14" ht="15.75">
      <c r="A111" s="8"/>
      <c r="B111" s="167" t="s">
        <v>75</v>
      </c>
      <c r="C111" s="16"/>
      <c r="D111" s="10"/>
      <c r="E111" s="10"/>
      <c r="F111" s="10"/>
      <c r="G111" s="10"/>
      <c r="H111" s="10"/>
      <c r="I111" s="10"/>
      <c r="J111" s="10"/>
      <c r="K111" s="10"/>
      <c r="L111" s="59"/>
      <c r="M111" s="10"/>
      <c r="N111" s="131"/>
    </row>
    <row r="112" spans="1:14" ht="15.75">
      <c r="A112" s="27"/>
      <c r="B112" s="28" t="s">
        <v>76</v>
      </c>
      <c r="C112" s="28"/>
      <c r="D112" s="28"/>
      <c r="E112" s="28"/>
      <c r="F112" s="28"/>
      <c r="G112" s="28"/>
      <c r="H112" s="28"/>
      <c r="I112" s="28"/>
      <c r="J112" s="28"/>
      <c r="K112" s="28"/>
      <c r="L112" s="60">
        <v>4625</v>
      </c>
      <c r="M112" s="28"/>
      <c r="N112" s="131"/>
    </row>
    <row r="113" spans="1:14" ht="15.75">
      <c r="A113" s="27"/>
      <c r="B113" s="28" t="s">
        <v>77</v>
      </c>
      <c r="C113" s="28"/>
      <c r="D113" s="28"/>
      <c r="E113" s="28"/>
      <c r="F113" s="28"/>
      <c r="G113" s="28"/>
      <c r="H113" s="28"/>
      <c r="I113" s="28"/>
      <c r="J113" s="28"/>
      <c r="K113" s="28"/>
      <c r="L113" s="60">
        <v>4625</v>
      </c>
      <c r="M113" s="28"/>
      <c r="N113" s="131"/>
    </row>
    <row r="114" spans="1:14" ht="15.75">
      <c r="A114" s="27"/>
      <c r="B114" s="28" t="s">
        <v>78</v>
      </c>
      <c r="C114" s="28"/>
      <c r="D114" s="28"/>
      <c r="E114" s="28"/>
      <c r="F114" s="28"/>
      <c r="G114" s="28"/>
      <c r="H114" s="28"/>
      <c r="I114" s="28"/>
      <c r="J114" s="28"/>
      <c r="K114" s="28"/>
      <c r="L114" s="60">
        <v>0</v>
      </c>
      <c r="M114" s="28"/>
      <c r="N114" s="131"/>
    </row>
    <row r="115" spans="1:14" ht="15.75">
      <c r="A115" s="27"/>
      <c r="B115" s="28" t="s">
        <v>220</v>
      </c>
      <c r="C115" s="28"/>
      <c r="D115" s="28"/>
      <c r="E115" s="28"/>
      <c r="F115" s="28"/>
      <c r="G115" s="28"/>
      <c r="H115" s="28"/>
      <c r="I115" s="28"/>
      <c r="J115" s="28"/>
      <c r="K115" s="28"/>
      <c r="L115" s="60">
        <v>-4625</v>
      </c>
      <c r="M115" s="28"/>
      <c r="N115" s="131"/>
    </row>
    <row r="116" spans="1:14" ht="15.75">
      <c r="A116" s="27"/>
      <c r="B116" s="28" t="s">
        <v>80</v>
      </c>
      <c r="C116" s="28"/>
      <c r="D116" s="28"/>
      <c r="E116" s="28"/>
      <c r="F116" s="28"/>
      <c r="G116" s="28"/>
      <c r="H116" s="28"/>
      <c r="I116" s="28"/>
      <c r="J116" s="28"/>
      <c r="K116" s="28"/>
      <c r="L116" s="60">
        <v>0</v>
      </c>
      <c r="M116" s="28"/>
      <c r="N116" s="131"/>
    </row>
    <row r="117" spans="1:14" ht="15.75">
      <c r="A117" s="27"/>
      <c r="B117" s="28" t="s">
        <v>58</v>
      </c>
      <c r="C117" s="28"/>
      <c r="D117" s="28"/>
      <c r="E117" s="28"/>
      <c r="F117" s="28"/>
      <c r="G117" s="28"/>
      <c r="H117" s="28"/>
      <c r="I117" s="28"/>
      <c r="J117" s="28"/>
      <c r="K117" s="28"/>
      <c r="L117" s="60">
        <v>0</v>
      </c>
      <c r="M117" s="28"/>
      <c r="N117" s="131"/>
    </row>
    <row r="118" spans="1:14" ht="15.75">
      <c r="A118" s="27"/>
      <c r="B118" s="28" t="s">
        <v>59</v>
      </c>
      <c r="C118" s="28"/>
      <c r="D118" s="28"/>
      <c r="E118" s="28"/>
      <c r="F118" s="28"/>
      <c r="G118" s="28"/>
      <c r="H118" s="28"/>
      <c r="I118" s="28"/>
      <c r="J118" s="28"/>
      <c r="K118" s="28"/>
      <c r="L118" s="60">
        <v>0</v>
      </c>
      <c r="M118" s="28"/>
      <c r="N118" s="131"/>
    </row>
    <row r="119" spans="1:14" ht="15.75">
      <c r="A119" s="27"/>
      <c r="B119" s="28" t="s">
        <v>81</v>
      </c>
      <c r="C119" s="28"/>
      <c r="D119" s="28"/>
      <c r="E119" s="28"/>
      <c r="F119" s="28"/>
      <c r="G119" s="28"/>
      <c r="H119" s="28"/>
      <c r="I119" s="28"/>
      <c r="J119" s="28"/>
      <c r="K119" s="28"/>
      <c r="L119" s="60">
        <f>SUM(L113:L117)</f>
        <v>0</v>
      </c>
      <c r="M119" s="28"/>
      <c r="N119" s="131"/>
    </row>
    <row r="120" spans="1:14" ht="15.75">
      <c r="A120" s="27"/>
      <c r="B120" s="28"/>
      <c r="C120" s="28"/>
      <c r="D120" s="28"/>
      <c r="E120" s="28"/>
      <c r="F120" s="28"/>
      <c r="G120" s="28"/>
      <c r="H120" s="28"/>
      <c r="I120" s="28"/>
      <c r="J120" s="28"/>
      <c r="K120" s="28"/>
      <c r="L120" s="68"/>
      <c r="M120" s="28"/>
      <c r="N120" s="131"/>
    </row>
    <row r="121" spans="1:14" ht="15.75">
      <c r="A121" s="8"/>
      <c r="B121" s="167" t="s">
        <v>82</v>
      </c>
      <c r="C121" s="10"/>
      <c r="D121" s="10"/>
      <c r="E121" s="10"/>
      <c r="F121" s="10"/>
      <c r="G121" s="10"/>
      <c r="H121" s="10"/>
      <c r="I121" s="10"/>
      <c r="J121" s="10"/>
      <c r="K121" s="10"/>
      <c r="L121" s="59"/>
      <c r="M121" s="10"/>
      <c r="N121" s="131"/>
    </row>
    <row r="122" spans="1:14" ht="15.75">
      <c r="A122" s="27"/>
      <c r="B122" s="28" t="s">
        <v>83</v>
      </c>
      <c r="C122" s="28"/>
      <c r="D122" s="69"/>
      <c r="E122" s="28"/>
      <c r="F122" s="28"/>
      <c r="G122" s="28"/>
      <c r="H122" s="28"/>
      <c r="I122" s="28"/>
      <c r="J122" s="28"/>
      <c r="K122" s="28"/>
      <c r="L122" s="70" t="s">
        <v>156</v>
      </c>
      <c r="M122" s="28"/>
      <c r="N122" s="131"/>
    </row>
    <row r="123" spans="1:14" ht="15.75">
      <c r="A123" s="27"/>
      <c r="B123" s="28" t="s">
        <v>84</v>
      </c>
      <c r="C123" s="147"/>
      <c r="D123" s="147"/>
      <c r="E123" s="147"/>
      <c r="F123" s="147"/>
      <c r="G123" s="147"/>
      <c r="H123" s="147"/>
      <c r="I123" s="147"/>
      <c r="J123" s="147"/>
      <c r="K123" s="147"/>
      <c r="L123" s="70" t="s">
        <v>156</v>
      </c>
      <c r="M123" s="28"/>
      <c r="N123" s="131"/>
    </row>
    <row r="124" spans="1:14" ht="15.75">
      <c r="A124" s="27"/>
      <c r="B124" s="28" t="s">
        <v>85</v>
      </c>
      <c r="C124" s="28"/>
      <c r="D124" s="28"/>
      <c r="E124" s="28"/>
      <c r="F124" s="28"/>
      <c r="G124" s="28"/>
      <c r="H124" s="28"/>
      <c r="I124" s="28"/>
      <c r="J124" s="28"/>
      <c r="K124" s="28"/>
      <c r="L124" s="70" t="s">
        <v>156</v>
      </c>
      <c r="M124" s="28"/>
      <c r="N124" s="131"/>
    </row>
    <row r="125" spans="1:14" ht="15.75">
      <c r="A125" s="27"/>
      <c r="B125" s="28" t="s">
        <v>86</v>
      </c>
      <c r="C125" s="28"/>
      <c r="D125" s="28"/>
      <c r="E125" s="28"/>
      <c r="F125" s="28"/>
      <c r="G125" s="28"/>
      <c r="H125" s="28"/>
      <c r="I125" s="28"/>
      <c r="J125" s="28"/>
      <c r="K125" s="28"/>
      <c r="L125" s="70" t="s">
        <v>156</v>
      </c>
      <c r="M125" s="28"/>
      <c r="N125" s="131"/>
    </row>
    <row r="126" spans="1:14" ht="15.75">
      <c r="A126" s="27"/>
      <c r="B126" s="28"/>
      <c r="C126" s="28"/>
      <c r="D126" s="28"/>
      <c r="E126" s="28"/>
      <c r="F126" s="28"/>
      <c r="G126" s="28"/>
      <c r="H126" s="28"/>
      <c r="I126" s="28"/>
      <c r="J126" s="28"/>
      <c r="K126" s="28"/>
      <c r="L126" s="68"/>
      <c r="M126" s="28"/>
      <c r="N126" s="131"/>
    </row>
    <row r="127" spans="1:14" ht="15.75">
      <c r="A127" s="8"/>
      <c r="B127" s="167" t="s">
        <v>87</v>
      </c>
      <c r="C127" s="16"/>
      <c r="D127" s="10"/>
      <c r="E127" s="10"/>
      <c r="F127" s="10"/>
      <c r="G127" s="10"/>
      <c r="H127" s="10"/>
      <c r="I127" s="10"/>
      <c r="J127" s="10"/>
      <c r="K127" s="10"/>
      <c r="L127" s="71"/>
      <c r="M127" s="10"/>
      <c r="N127" s="131"/>
    </row>
    <row r="128" spans="1:14" ht="15.75">
      <c r="A128" s="27"/>
      <c r="B128" s="28" t="s">
        <v>88</v>
      </c>
      <c r="C128" s="28"/>
      <c r="D128" s="28"/>
      <c r="E128" s="28"/>
      <c r="F128" s="28"/>
      <c r="G128" s="28"/>
      <c r="H128" s="28"/>
      <c r="I128" s="28"/>
      <c r="J128" s="28"/>
      <c r="K128" s="28"/>
      <c r="L128" s="60">
        <v>0</v>
      </c>
      <c r="M128" s="28"/>
      <c r="N128" s="131"/>
    </row>
    <row r="129" spans="1:14" ht="15.75">
      <c r="A129" s="27"/>
      <c r="B129" s="28" t="s">
        <v>89</v>
      </c>
      <c r="C129" s="28"/>
      <c r="D129" s="28"/>
      <c r="E129" s="28"/>
      <c r="F129" s="28"/>
      <c r="G129" s="28"/>
      <c r="H129" s="28"/>
      <c r="I129" s="28"/>
      <c r="J129" s="28"/>
      <c r="K129" s="28"/>
      <c r="L129" s="60">
        <v>0</v>
      </c>
      <c r="M129" s="28"/>
      <c r="N129" s="131"/>
    </row>
    <row r="130" spans="1:14" ht="15.75">
      <c r="A130" s="27"/>
      <c r="B130" s="28" t="s">
        <v>90</v>
      </c>
      <c r="C130" s="28"/>
      <c r="D130" s="28"/>
      <c r="E130" s="28"/>
      <c r="F130" s="28"/>
      <c r="G130" s="28"/>
      <c r="H130" s="28"/>
      <c r="I130" s="28"/>
      <c r="J130" s="28"/>
      <c r="K130" s="28"/>
      <c r="L130" s="60">
        <f>L128+L129</f>
        <v>0</v>
      </c>
      <c r="M130" s="28"/>
      <c r="N130" s="131"/>
    </row>
    <row r="131" spans="1:14" ht="15.75">
      <c r="A131" s="27"/>
      <c r="B131" s="28" t="s">
        <v>91</v>
      </c>
      <c r="C131" s="28"/>
      <c r="D131" s="28"/>
      <c r="E131" s="28"/>
      <c r="F131" s="28"/>
      <c r="G131" s="28"/>
      <c r="H131" s="72"/>
      <c r="I131" s="28"/>
      <c r="J131" s="28"/>
      <c r="K131" s="28"/>
      <c r="L131" s="60">
        <v>0</v>
      </c>
      <c r="M131" s="28"/>
      <c r="N131" s="131"/>
    </row>
    <row r="132" spans="1:14" ht="15.75">
      <c r="A132" s="27"/>
      <c r="B132" s="28" t="s">
        <v>92</v>
      </c>
      <c r="C132" s="28"/>
      <c r="D132" s="28"/>
      <c r="E132" s="28"/>
      <c r="F132" s="28"/>
      <c r="G132" s="28"/>
      <c r="H132" s="28"/>
      <c r="I132" s="28"/>
      <c r="J132" s="28"/>
      <c r="K132" s="28"/>
      <c r="L132" s="60">
        <f>L130+L131</f>
        <v>0</v>
      </c>
      <c r="M132" s="28"/>
      <c r="N132" s="131"/>
    </row>
    <row r="133" spans="1:14" ht="7.5" customHeight="1">
      <c r="A133" s="27"/>
      <c r="B133" s="28"/>
      <c r="C133" s="28"/>
      <c r="D133" s="28"/>
      <c r="E133" s="28"/>
      <c r="F133" s="28"/>
      <c r="G133" s="28"/>
      <c r="H133" s="28"/>
      <c r="I133" s="28"/>
      <c r="J133" s="28"/>
      <c r="K133" s="28"/>
      <c r="L133" s="68"/>
      <c r="M133" s="28"/>
      <c r="N133" s="131"/>
    </row>
    <row r="134" spans="1:14" ht="6" customHeight="1">
      <c r="A134" s="2"/>
      <c r="B134" s="5"/>
      <c r="C134" s="5"/>
      <c r="D134" s="5"/>
      <c r="E134" s="5"/>
      <c r="F134" s="5"/>
      <c r="G134" s="5"/>
      <c r="H134" s="5"/>
      <c r="I134" s="5"/>
      <c r="J134" s="5"/>
      <c r="K134" s="5"/>
      <c r="L134" s="57"/>
      <c r="M134" s="5"/>
      <c r="N134" s="131"/>
    </row>
    <row r="135" spans="1:14" ht="15.75">
      <c r="A135" s="8"/>
      <c r="B135" s="167" t="s">
        <v>93</v>
      </c>
      <c r="C135" s="16"/>
      <c r="D135" s="10"/>
      <c r="E135" s="10"/>
      <c r="F135" s="10"/>
      <c r="G135" s="10"/>
      <c r="H135" s="10"/>
      <c r="I135" s="10"/>
      <c r="J135" s="10"/>
      <c r="K135" s="10"/>
      <c r="L135" s="59"/>
      <c r="M135" s="10"/>
      <c r="N135" s="131"/>
    </row>
    <row r="136" spans="1:14" ht="15.75">
      <c r="A136" s="8"/>
      <c r="B136" s="23"/>
      <c r="C136" s="16"/>
      <c r="D136" s="10"/>
      <c r="E136" s="10"/>
      <c r="F136" s="10"/>
      <c r="G136" s="10"/>
      <c r="H136" s="10"/>
      <c r="I136" s="10"/>
      <c r="J136" s="10"/>
      <c r="K136" s="10"/>
      <c r="L136" s="59"/>
      <c r="M136" s="10"/>
      <c r="N136" s="131"/>
    </row>
    <row r="137" spans="1:14" ht="15.75">
      <c r="A137" s="27"/>
      <c r="B137" s="28" t="s">
        <v>94</v>
      </c>
      <c r="C137" s="73"/>
      <c r="D137" s="28"/>
      <c r="E137" s="28"/>
      <c r="F137" s="28"/>
      <c r="G137" s="28"/>
      <c r="H137" s="28"/>
      <c r="I137" s="28"/>
      <c r="J137" s="28"/>
      <c r="K137" s="28"/>
      <c r="L137" s="60">
        <f>L59</f>
        <v>0</v>
      </c>
      <c r="M137" s="28"/>
      <c r="N137" s="131"/>
    </row>
    <row r="138" spans="1:15" ht="15.75">
      <c r="A138" s="27"/>
      <c r="B138" s="28" t="s">
        <v>95</v>
      </c>
      <c r="C138" s="73"/>
      <c r="D138" s="28"/>
      <c r="E138" s="28"/>
      <c r="F138" s="28"/>
      <c r="G138" s="28"/>
      <c r="H138" s="28"/>
      <c r="I138" s="28"/>
      <c r="J138" s="28"/>
      <c r="K138" s="28"/>
      <c r="L138" s="60">
        <f>L71</f>
        <v>0</v>
      </c>
      <c r="M138" s="28"/>
      <c r="N138" s="131"/>
      <c r="O138" s="137"/>
    </row>
    <row r="139" spans="1:14" ht="7.5" customHeight="1">
      <c r="A139" s="27"/>
      <c r="B139" s="28"/>
      <c r="C139" s="28"/>
      <c r="D139" s="28"/>
      <c r="E139" s="28"/>
      <c r="F139" s="28"/>
      <c r="G139" s="28"/>
      <c r="H139" s="28"/>
      <c r="I139" s="28"/>
      <c r="J139" s="28"/>
      <c r="K139" s="28"/>
      <c r="L139" s="68"/>
      <c r="M139" s="28"/>
      <c r="N139" s="131"/>
    </row>
    <row r="140" spans="1:14" ht="15.75">
      <c r="A140" s="2"/>
      <c r="B140" s="5"/>
      <c r="C140" s="5"/>
      <c r="D140" s="5"/>
      <c r="E140" s="5"/>
      <c r="F140" s="5"/>
      <c r="G140" s="5"/>
      <c r="H140" s="5"/>
      <c r="I140" s="5"/>
      <c r="J140" s="5"/>
      <c r="K140" s="5"/>
      <c r="L140" s="57"/>
      <c r="M140" s="5"/>
      <c r="N140" s="131"/>
    </row>
    <row r="141" spans="1:14" ht="15.75">
      <c r="A141" s="132"/>
      <c r="B141" s="167" t="s">
        <v>96</v>
      </c>
      <c r="C141" s="154"/>
      <c r="D141" s="154"/>
      <c r="E141" s="154"/>
      <c r="F141" s="154"/>
      <c r="G141" s="154"/>
      <c r="H141" s="168" t="s">
        <v>171</v>
      </c>
      <c r="I141" s="168"/>
      <c r="J141" s="168" t="s">
        <v>178</v>
      </c>
      <c r="K141" s="154"/>
      <c r="L141" s="169" t="s">
        <v>191</v>
      </c>
      <c r="M141" s="12"/>
      <c r="N141" s="131"/>
    </row>
    <row r="142" spans="1:14" ht="15.75">
      <c r="A142" s="27"/>
      <c r="B142" s="28" t="s">
        <v>97</v>
      </c>
      <c r="C142" s="28"/>
      <c r="D142" s="28"/>
      <c r="E142" s="28"/>
      <c r="F142" s="28"/>
      <c r="G142" s="28"/>
      <c r="H142" s="60">
        <v>20000</v>
      </c>
      <c r="I142" s="28"/>
      <c r="J142" s="47"/>
      <c r="K142" s="28"/>
      <c r="L142" s="60"/>
      <c r="M142" s="28"/>
      <c r="N142" s="131"/>
    </row>
    <row r="143" spans="1:14" ht="15.75">
      <c r="A143" s="27"/>
      <c r="B143" s="28" t="s">
        <v>98</v>
      </c>
      <c r="C143" s="28"/>
      <c r="D143" s="28"/>
      <c r="E143" s="28"/>
      <c r="F143" s="28"/>
      <c r="G143" s="28"/>
      <c r="H143" s="60">
        <v>19448</v>
      </c>
      <c r="I143" s="28"/>
      <c r="J143" s="28">
        <v>552</v>
      </c>
      <c r="K143" s="28"/>
      <c r="L143" s="60">
        <f>J143+H143</f>
        <v>20000</v>
      </c>
      <c r="M143" s="28"/>
      <c r="N143" s="131"/>
    </row>
    <row r="144" spans="1:14" ht="15.75">
      <c r="A144" s="27"/>
      <c r="B144" s="28" t="s">
        <v>99</v>
      </c>
      <c r="C144" s="28"/>
      <c r="D144" s="28"/>
      <c r="E144" s="28"/>
      <c r="F144" s="28"/>
      <c r="G144" s="28"/>
      <c r="H144" s="38">
        <v>0</v>
      </c>
      <c r="I144" s="28"/>
      <c r="J144" s="28">
        <v>0</v>
      </c>
      <c r="K144" s="28"/>
      <c r="L144" s="60">
        <f>J144+H144</f>
        <v>0</v>
      </c>
      <c r="M144" s="28"/>
      <c r="N144" s="131"/>
    </row>
    <row r="145" spans="1:14" ht="15.75">
      <c r="A145" s="27"/>
      <c r="B145" s="28" t="s">
        <v>100</v>
      </c>
      <c r="C145" s="28"/>
      <c r="D145" s="28"/>
      <c r="E145" s="28"/>
      <c r="F145" s="28"/>
      <c r="G145" s="28"/>
      <c r="H145" s="60">
        <f>H143+H144</f>
        <v>19448</v>
      </c>
      <c r="I145" s="28"/>
      <c r="J145" s="60">
        <f>J144+J143</f>
        <v>552</v>
      </c>
      <c r="K145" s="28"/>
      <c r="L145" s="60">
        <f>J145+H145</f>
        <v>20000</v>
      </c>
      <c r="M145" s="28"/>
      <c r="N145" s="131"/>
    </row>
    <row r="146" spans="1:14" ht="15.75">
      <c r="A146" s="27"/>
      <c r="B146" s="28" t="s">
        <v>101</v>
      </c>
      <c r="C146" s="28"/>
      <c r="D146" s="28"/>
      <c r="E146" s="28"/>
      <c r="F146" s="28"/>
      <c r="G146" s="28"/>
      <c r="H146" s="60">
        <f>H142-H145-J145</f>
        <v>0</v>
      </c>
      <c r="I146" s="28"/>
      <c r="J146" s="47"/>
      <c r="K146" s="28"/>
      <c r="L146" s="60"/>
      <c r="M146" s="28"/>
      <c r="N146" s="131"/>
    </row>
    <row r="147" spans="1:14" ht="7.5" customHeight="1">
      <c r="A147" s="27"/>
      <c r="B147" s="28"/>
      <c r="C147" s="28"/>
      <c r="D147" s="28"/>
      <c r="E147" s="28"/>
      <c r="F147" s="28"/>
      <c r="G147" s="28"/>
      <c r="H147" s="28"/>
      <c r="I147" s="28"/>
      <c r="J147" s="28"/>
      <c r="K147" s="28"/>
      <c r="L147" s="68"/>
      <c r="M147" s="28"/>
      <c r="N147" s="131"/>
    </row>
    <row r="148" spans="1:14" ht="9" customHeight="1">
      <c r="A148" s="2"/>
      <c r="B148" s="5"/>
      <c r="C148" s="5"/>
      <c r="D148" s="5"/>
      <c r="E148" s="5"/>
      <c r="F148" s="5"/>
      <c r="G148" s="5"/>
      <c r="H148" s="5"/>
      <c r="I148" s="5"/>
      <c r="J148" s="5"/>
      <c r="K148" s="5"/>
      <c r="L148" s="57"/>
      <c r="M148" s="5"/>
      <c r="N148" s="131"/>
    </row>
    <row r="149" spans="1:14" ht="15.75">
      <c r="A149" s="8"/>
      <c r="B149" s="167" t="s">
        <v>102</v>
      </c>
      <c r="C149" s="16"/>
      <c r="D149" s="10"/>
      <c r="E149" s="10"/>
      <c r="F149" s="10"/>
      <c r="G149" s="10"/>
      <c r="H149" s="10"/>
      <c r="I149" s="10"/>
      <c r="J149" s="10"/>
      <c r="K149" s="10"/>
      <c r="L149" s="74"/>
      <c r="M149" s="10"/>
      <c r="N149" s="131"/>
    </row>
    <row r="150" spans="1:14" ht="15.75">
      <c r="A150" s="27"/>
      <c r="B150" s="28" t="s">
        <v>103</v>
      </c>
      <c r="C150" s="28"/>
      <c r="D150" s="28"/>
      <c r="E150" s="28"/>
      <c r="F150" s="28"/>
      <c r="G150" s="28"/>
      <c r="H150" s="28"/>
      <c r="I150" s="28"/>
      <c r="J150" s="28"/>
      <c r="K150" s="28"/>
      <c r="L150" s="67">
        <f>(L82+L84+L85+L86+L87-L78)/-L88</f>
        <v>2.121111111111111</v>
      </c>
      <c r="M150" s="28" t="s">
        <v>192</v>
      </c>
      <c r="N150" s="131"/>
    </row>
    <row r="151" spans="1:14" ht="15.75">
      <c r="A151" s="27"/>
      <c r="B151" s="28" t="s">
        <v>104</v>
      </c>
      <c r="C151" s="28"/>
      <c r="D151" s="28"/>
      <c r="E151" s="28"/>
      <c r="F151" s="28"/>
      <c r="G151" s="28"/>
      <c r="H151" s="28"/>
      <c r="I151" s="28"/>
      <c r="J151" s="28"/>
      <c r="K151" s="28"/>
      <c r="L151" s="67">
        <v>1.44</v>
      </c>
      <c r="M151" s="28" t="s">
        <v>192</v>
      </c>
      <c r="N151" s="131"/>
    </row>
    <row r="152" spans="1:14" ht="15.75">
      <c r="A152" s="27"/>
      <c r="B152" s="28" t="s">
        <v>105</v>
      </c>
      <c r="C152" s="28"/>
      <c r="D152" s="28"/>
      <c r="E152" s="28"/>
      <c r="F152" s="28"/>
      <c r="G152" s="28"/>
      <c r="H152" s="28"/>
      <c r="I152" s="28"/>
      <c r="J152" s="28"/>
      <c r="K152" s="28"/>
      <c r="L152" s="67">
        <f>(L82-L78+SUM(L84:L88))/-L89</f>
        <v>4.946078431372549</v>
      </c>
      <c r="M152" s="28" t="s">
        <v>192</v>
      </c>
      <c r="N152" s="131"/>
    </row>
    <row r="153" spans="1:14" ht="15.75">
      <c r="A153" s="27"/>
      <c r="B153" s="28" t="s">
        <v>106</v>
      </c>
      <c r="C153" s="28"/>
      <c r="D153" s="28"/>
      <c r="E153" s="28"/>
      <c r="F153" s="28"/>
      <c r="G153" s="28"/>
      <c r="H153" s="28"/>
      <c r="I153" s="28"/>
      <c r="J153" s="28"/>
      <c r="K153" s="28"/>
      <c r="L153" s="75">
        <v>3.26</v>
      </c>
      <c r="M153" s="28" t="s">
        <v>192</v>
      </c>
      <c r="N153" s="131"/>
    </row>
    <row r="154" spans="1:14" ht="7.5" customHeight="1">
      <c r="A154" s="27"/>
      <c r="B154" s="28"/>
      <c r="C154" s="28"/>
      <c r="D154" s="28"/>
      <c r="E154" s="28"/>
      <c r="F154" s="28"/>
      <c r="G154" s="28"/>
      <c r="H154" s="28"/>
      <c r="I154" s="28"/>
      <c r="J154" s="28"/>
      <c r="K154" s="28"/>
      <c r="L154" s="28"/>
      <c r="M154" s="28"/>
      <c r="N154" s="131"/>
    </row>
    <row r="155" spans="1:14" ht="15.75">
      <c r="A155" s="8"/>
      <c r="B155" s="146"/>
      <c r="C155" s="146"/>
      <c r="D155" s="146"/>
      <c r="E155" s="146"/>
      <c r="F155" s="146"/>
      <c r="G155" s="146"/>
      <c r="H155" s="146"/>
      <c r="I155" s="146"/>
      <c r="J155" s="146"/>
      <c r="K155" s="146"/>
      <c r="L155" s="146"/>
      <c r="M155" s="146"/>
      <c r="N155" s="131"/>
    </row>
    <row r="156" spans="1:14" ht="15.75">
      <c r="A156" s="8"/>
      <c r="B156" s="146"/>
      <c r="C156" s="146"/>
      <c r="D156" s="146"/>
      <c r="E156" s="146"/>
      <c r="F156" s="146"/>
      <c r="G156" s="146"/>
      <c r="H156" s="146"/>
      <c r="I156" s="146"/>
      <c r="J156" s="146"/>
      <c r="K156" s="146"/>
      <c r="L156" s="146"/>
      <c r="M156" s="146"/>
      <c r="N156" s="131"/>
    </row>
    <row r="157" spans="1:14" ht="19.5" thickBot="1">
      <c r="A157" s="138"/>
      <c r="B157" s="139" t="str">
        <f>B106</f>
        <v>PM1 INVESTOR REPORT QUARTER ENDING MARCH 2004</v>
      </c>
      <c r="C157" s="150"/>
      <c r="D157" s="150"/>
      <c r="E157" s="150"/>
      <c r="F157" s="150"/>
      <c r="G157" s="150"/>
      <c r="H157" s="150"/>
      <c r="I157" s="150"/>
      <c r="J157" s="150"/>
      <c r="K157" s="150"/>
      <c r="L157" s="150"/>
      <c r="M157" s="151"/>
      <c r="N157" s="131"/>
    </row>
    <row r="158" spans="1:14" ht="15.75">
      <c r="A158" s="133"/>
      <c r="B158" s="77" t="s">
        <v>107</v>
      </c>
      <c r="C158" s="78"/>
      <c r="D158" s="78"/>
      <c r="E158" s="78"/>
      <c r="F158" s="78"/>
      <c r="G158" s="79"/>
      <c r="H158" s="79"/>
      <c r="I158" s="79"/>
      <c r="J158" s="79">
        <v>38077</v>
      </c>
      <c r="K158" s="80"/>
      <c r="L158" s="5"/>
      <c r="M158" s="5"/>
      <c r="N158" s="131"/>
    </row>
    <row r="159" spans="1:14" ht="15.75">
      <c r="A159" s="82"/>
      <c r="B159" s="83"/>
      <c r="C159" s="84"/>
      <c r="D159" s="84"/>
      <c r="E159" s="84"/>
      <c r="F159" s="84"/>
      <c r="G159" s="85"/>
      <c r="H159" s="85"/>
      <c r="I159" s="85"/>
      <c r="J159" s="85"/>
      <c r="K159" s="10"/>
      <c r="L159" s="10"/>
      <c r="M159" s="10"/>
      <c r="N159" s="131"/>
    </row>
    <row r="160" spans="1:14" ht="15.75">
      <c r="A160" s="86"/>
      <c r="B160" s="87" t="s">
        <v>108</v>
      </c>
      <c r="C160" s="88"/>
      <c r="D160" s="88"/>
      <c r="E160" s="88"/>
      <c r="F160" s="88"/>
      <c r="G160" s="72"/>
      <c r="H160" s="72"/>
      <c r="I160" s="72"/>
      <c r="J160" s="89">
        <v>0.0714</v>
      </c>
      <c r="K160" s="28"/>
      <c r="L160" s="28"/>
      <c r="M160" s="28"/>
      <c r="N160" s="131"/>
    </row>
    <row r="161" spans="1:14" ht="15.75">
      <c r="A161" s="86"/>
      <c r="B161" s="87" t="s">
        <v>109</v>
      </c>
      <c r="C161" s="88"/>
      <c r="D161" s="88"/>
      <c r="E161" s="88"/>
      <c r="F161" s="88"/>
      <c r="G161" s="72"/>
      <c r="H161" s="72"/>
      <c r="I161" s="72"/>
      <c r="J161" s="46">
        <v>0.0553</v>
      </c>
      <c r="K161" s="28"/>
      <c r="L161" s="28"/>
      <c r="M161" s="28"/>
      <c r="N161" s="131"/>
    </row>
    <row r="162" spans="1:14" ht="15.75">
      <c r="A162" s="86"/>
      <c r="B162" s="87" t="s">
        <v>110</v>
      </c>
      <c r="C162" s="88"/>
      <c r="D162" s="88"/>
      <c r="E162" s="88"/>
      <c r="F162" s="88"/>
      <c r="G162" s="72"/>
      <c r="H162" s="72"/>
      <c r="I162" s="72"/>
      <c r="J162" s="89">
        <f>J160-J161</f>
        <v>0.016100000000000003</v>
      </c>
      <c r="K162" s="28"/>
      <c r="L162" s="28"/>
      <c r="M162" s="28"/>
      <c r="N162" s="131"/>
    </row>
    <row r="163" spans="1:14" ht="15.75">
      <c r="A163" s="86"/>
      <c r="B163" s="87" t="s">
        <v>111</v>
      </c>
      <c r="C163" s="88"/>
      <c r="D163" s="88"/>
      <c r="E163" s="88"/>
      <c r="F163" s="88"/>
      <c r="G163" s="72"/>
      <c r="H163" s="72"/>
      <c r="I163" s="72"/>
      <c r="J163" s="89">
        <v>0</v>
      </c>
      <c r="K163" s="28"/>
      <c r="L163" s="28"/>
      <c r="M163" s="28"/>
      <c r="N163" s="131"/>
    </row>
    <row r="164" spans="1:14" ht="15.75">
      <c r="A164" s="86"/>
      <c r="B164" s="87" t="s">
        <v>112</v>
      </c>
      <c r="C164" s="88"/>
      <c r="D164" s="88"/>
      <c r="E164" s="88"/>
      <c r="F164" s="88"/>
      <c r="G164" s="72"/>
      <c r="H164" s="72"/>
      <c r="I164" s="72"/>
      <c r="J164" s="89">
        <v>0</v>
      </c>
      <c r="K164" s="28"/>
      <c r="L164" s="28"/>
      <c r="M164" s="28"/>
      <c r="N164" s="131"/>
    </row>
    <row r="165" spans="1:14" ht="15.75">
      <c r="A165" s="86"/>
      <c r="B165" s="87" t="s">
        <v>113</v>
      </c>
      <c r="C165" s="88"/>
      <c r="D165" s="88"/>
      <c r="E165" s="88"/>
      <c r="F165" s="88"/>
      <c r="G165" s="72"/>
      <c r="H165" s="72"/>
      <c r="I165" s="72"/>
      <c r="J165" s="89">
        <f>J163-J164</f>
        <v>0</v>
      </c>
      <c r="K165" s="28"/>
      <c r="L165" s="28"/>
      <c r="M165" s="28"/>
      <c r="N165" s="131"/>
    </row>
    <row r="166" spans="1:14" ht="15.75">
      <c r="A166" s="86"/>
      <c r="B166" s="87" t="s">
        <v>114</v>
      </c>
      <c r="C166" s="88"/>
      <c r="D166" s="88"/>
      <c r="E166" s="88"/>
      <c r="F166" s="88"/>
      <c r="G166" s="72"/>
      <c r="H166" s="72"/>
      <c r="I166" s="72"/>
      <c r="J166" s="90" t="s">
        <v>179</v>
      </c>
      <c r="K166" s="28"/>
      <c r="L166" s="28"/>
      <c r="M166" s="28"/>
      <c r="N166" s="131"/>
    </row>
    <row r="167" spans="1:14" ht="15.75">
      <c r="A167" s="86"/>
      <c r="B167" s="87" t="s">
        <v>115</v>
      </c>
      <c r="C167" s="88"/>
      <c r="D167" s="88"/>
      <c r="E167" s="88"/>
      <c r="F167" s="88"/>
      <c r="G167" s="72"/>
      <c r="H167" s="72"/>
      <c r="I167" s="72"/>
      <c r="J167" s="90" t="s">
        <v>180</v>
      </c>
      <c r="K167" s="28"/>
      <c r="L167" s="28"/>
      <c r="M167" s="28"/>
      <c r="N167" s="131"/>
    </row>
    <row r="168" spans="1:14" ht="15.75">
      <c r="A168" s="86"/>
      <c r="B168" s="87" t="s">
        <v>116</v>
      </c>
      <c r="C168" s="88"/>
      <c r="D168" s="88"/>
      <c r="E168" s="88"/>
      <c r="F168" s="88"/>
      <c r="G168" s="72"/>
      <c r="H168" s="72"/>
      <c r="I168" s="72"/>
      <c r="J168" s="91">
        <v>18.53</v>
      </c>
      <c r="K168" s="28" t="s">
        <v>184</v>
      </c>
      <c r="L168" s="28"/>
      <c r="M168" s="28"/>
      <c r="N168" s="131"/>
    </row>
    <row r="169" spans="1:14" ht="15.75">
      <c r="A169" s="86"/>
      <c r="B169" s="87" t="s">
        <v>117</v>
      </c>
      <c r="C169" s="88"/>
      <c r="D169" s="88"/>
      <c r="E169" s="88"/>
      <c r="F169" s="88"/>
      <c r="G169" s="72"/>
      <c r="H169" s="72"/>
      <c r="I169" s="72"/>
      <c r="J169" s="91">
        <v>0</v>
      </c>
      <c r="K169" s="28" t="s">
        <v>184</v>
      </c>
      <c r="L169" s="28"/>
      <c r="M169" s="28"/>
      <c r="N169" s="131"/>
    </row>
    <row r="170" spans="1:14" ht="15.75">
      <c r="A170" s="86"/>
      <c r="B170" s="87" t="s">
        <v>118</v>
      </c>
      <c r="C170" s="88"/>
      <c r="D170" s="88"/>
      <c r="E170" s="88"/>
      <c r="F170" s="88"/>
      <c r="G170" s="72"/>
      <c r="H170" s="72"/>
      <c r="I170" s="72"/>
      <c r="J170" s="89">
        <f>+F56/'Dec 03'!L56</f>
        <v>1</v>
      </c>
      <c r="K170" s="28"/>
      <c r="L170" s="28"/>
      <c r="M170" s="28"/>
      <c r="N170" s="131"/>
    </row>
    <row r="171" spans="1:14" ht="15.75">
      <c r="A171" s="86"/>
      <c r="B171" s="87" t="s">
        <v>119</v>
      </c>
      <c r="C171" s="88"/>
      <c r="D171" s="88"/>
      <c r="E171" s="88"/>
      <c r="F171" s="88"/>
      <c r="G171" s="72"/>
      <c r="H171" s="72"/>
      <c r="I171" s="72"/>
      <c r="J171" s="89">
        <v>1</v>
      </c>
      <c r="K171" s="28"/>
      <c r="L171" s="28"/>
      <c r="M171" s="28"/>
      <c r="N171" s="131"/>
    </row>
    <row r="172" spans="1:14" ht="15.75">
      <c r="A172" s="86"/>
      <c r="B172" s="87"/>
      <c r="C172" s="87"/>
      <c r="D172" s="87"/>
      <c r="E172" s="87"/>
      <c r="F172" s="87"/>
      <c r="G172" s="28"/>
      <c r="H172" s="28"/>
      <c r="I172" s="28"/>
      <c r="J172" s="68"/>
      <c r="K172" s="28"/>
      <c r="L172" s="92"/>
      <c r="M172" s="28"/>
      <c r="N172" s="131"/>
    </row>
    <row r="173" spans="1:14" ht="15.75">
      <c r="A173" s="93"/>
      <c r="B173" s="17" t="s">
        <v>120</v>
      </c>
      <c r="C173" s="20"/>
      <c r="D173" s="94"/>
      <c r="E173" s="20"/>
      <c r="F173" s="94"/>
      <c r="G173" s="20"/>
      <c r="H173" s="94"/>
      <c r="I173" s="20" t="s">
        <v>172</v>
      </c>
      <c r="J173" s="94" t="s">
        <v>181</v>
      </c>
      <c r="K173" s="18"/>
      <c r="L173" s="18"/>
      <c r="M173" s="10"/>
      <c r="N173" s="131"/>
    </row>
    <row r="174" spans="1:14" ht="15.75">
      <c r="A174" s="95"/>
      <c r="B174" s="87" t="s">
        <v>121</v>
      </c>
      <c r="C174" s="61"/>
      <c r="D174" s="61"/>
      <c r="E174" s="61"/>
      <c r="F174" s="28"/>
      <c r="G174" s="28"/>
      <c r="H174" s="28"/>
      <c r="I174" s="31">
        <v>0</v>
      </c>
      <c r="J174" s="96">
        <v>0</v>
      </c>
      <c r="K174" s="28"/>
      <c r="L174" s="92"/>
      <c r="M174" s="97"/>
      <c r="N174" s="131"/>
    </row>
    <row r="175" spans="1:14" ht="15.75">
      <c r="A175" s="95"/>
      <c r="B175" s="87" t="s">
        <v>122</v>
      </c>
      <c r="C175" s="61"/>
      <c r="D175" s="61"/>
      <c r="E175" s="61"/>
      <c r="F175" s="28"/>
      <c r="G175" s="28"/>
      <c r="H175" s="28"/>
      <c r="I175" s="31">
        <v>0</v>
      </c>
      <c r="J175" s="96">
        <v>0</v>
      </c>
      <c r="K175" s="28"/>
      <c r="L175" s="92"/>
      <c r="M175" s="97"/>
      <c r="N175" s="131"/>
    </row>
    <row r="176" spans="1:14" ht="15.75">
      <c r="A176" s="95"/>
      <c r="B176" s="170" t="s">
        <v>123</v>
      </c>
      <c r="C176" s="61"/>
      <c r="D176" s="61"/>
      <c r="E176" s="61"/>
      <c r="F176" s="28"/>
      <c r="G176" s="28"/>
      <c r="H176" s="28"/>
      <c r="I176" s="28"/>
      <c r="J176" s="96">
        <v>0</v>
      </c>
      <c r="K176" s="28"/>
      <c r="L176" s="92"/>
      <c r="M176" s="97"/>
      <c r="N176" s="131"/>
    </row>
    <row r="177" spans="1:14" ht="15.75">
      <c r="A177" s="95"/>
      <c r="B177" s="170" t="s">
        <v>124</v>
      </c>
      <c r="C177" s="61"/>
      <c r="D177" s="61"/>
      <c r="E177" s="61"/>
      <c r="F177" s="28"/>
      <c r="G177" s="28"/>
      <c r="H177" s="28"/>
      <c r="I177" s="28"/>
      <c r="J177" s="96">
        <v>22352</v>
      </c>
      <c r="K177" s="28"/>
      <c r="L177" s="92"/>
      <c r="M177" s="97"/>
      <c r="N177" s="131"/>
    </row>
    <row r="178" spans="1:14" ht="15.75">
      <c r="A178" s="98"/>
      <c r="B178" s="170" t="s">
        <v>125</v>
      </c>
      <c r="C178" s="61"/>
      <c r="D178" s="87"/>
      <c r="E178" s="87"/>
      <c r="F178" s="87"/>
      <c r="G178" s="28"/>
      <c r="H178" s="28"/>
      <c r="I178" s="28"/>
      <c r="J178" s="96">
        <v>0</v>
      </c>
      <c r="K178" s="28"/>
      <c r="L178" s="92"/>
      <c r="M178" s="99"/>
      <c r="N178" s="131"/>
    </row>
    <row r="179" spans="1:14" ht="15.75">
      <c r="A179" s="95"/>
      <c r="B179" s="87" t="s">
        <v>126</v>
      </c>
      <c r="C179" s="61"/>
      <c r="D179" s="61"/>
      <c r="E179" s="61"/>
      <c r="F179" s="61"/>
      <c r="G179" s="28"/>
      <c r="H179" s="28"/>
      <c r="I179" s="28">
        <v>0</v>
      </c>
      <c r="J179" s="96">
        <v>0</v>
      </c>
      <c r="K179" s="28"/>
      <c r="L179" s="92"/>
      <c r="M179" s="99"/>
      <c r="N179" s="131"/>
    </row>
    <row r="180" spans="1:14" ht="15.75">
      <c r="A180" s="95"/>
      <c r="B180" s="87" t="s">
        <v>127</v>
      </c>
      <c r="C180" s="61"/>
      <c r="D180" s="61"/>
      <c r="E180" s="61"/>
      <c r="F180" s="61"/>
      <c r="G180" s="28"/>
      <c r="H180" s="28"/>
      <c r="I180" s="28">
        <v>3</v>
      </c>
      <c r="J180" s="96">
        <v>39</v>
      </c>
      <c r="K180" s="28"/>
      <c r="L180" s="92"/>
      <c r="M180" s="99"/>
      <c r="N180" s="131"/>
    </row>
    <row r="181" spans="1:14" ht="15.75">
      <c r="A181" s="95"/>
      <c r="B181" s="87" t="s">
        <v>204</v>
      </c>
      <c r="C181" s="61"/>
      <c r="D181" s="61"/>
      <c r="E181" s="61"/>
      <c r="F181" s="61"/>
      <c r="G181" s="28"/>
      <c r="H181" s="28"/>
      <c r="I181" s="28"/>
      <c r="J181" s="96">
        <v>0</v>
      </c>
      <c r="K181" s="28"/>
      <c r="L181" s="92"/>
      <c r="M181" s="99"/>
      <c r="N181" s="131"/>
    </row>
    <row r="182" spans="1:14" ht="15.75">
      <c r="A182" s="98"/>
      <c r="B182" s="170" t="s">
        <v>128</v>
      </c>
      <c r="C182" s="61"/>
      <c r="D182" s="87"/>
      <c r="E182" s="87"/>
      <c r="F182" s="87"/>
      <c r="G182" s="28"/>
      <c r="H182" s="28"/>
      <c r="I182" s="28"/>
      <c r="J182" s="96"/>
      <c r="K182" s="28"/>
      <c r="L182" s="92"/>
      <c r="M182" s="99"/>
      <c r="N182" s="131"/>
    </row>
    <row r="183" spans="1:14" ht="15.75">
      <c r="A183" s="98"/>
      <c r="B183" s="87" t="s">
        <v>129</v>
      </c>
      <c r="C183" s="61"/>
      <c r="D183" s="87"/>
      <c r="E183" s="87"/>
      <c r="F183" s="87"/>
      <c r="G183" s="28"/>
      <c r="H183" s="28"/>
      <c r="I183" s="28">
        <v>0</v>
      </c>
      <c r="J183" s="96">
        <v>0</v>
      </c>
      <c r="K183" s="28"/>
      <c r="L183" s="92"/>
      <c r="M183" s="99"/>
      <c r="N183" s="131"/>
    </row>
    <row r="184" spans="1:14" ht="15.75">
      <c r="A184" s="95"/>
      <c r="B184" s="87" t="s">
        <v>130</v>
      </c>
      <c r="C184" s="61"/>
      <c r="D184" s="100"/>
      <c r="E184" s="100"/>
      <c r="F184" s="101"/>
      <c r="G184" s="28"/>
      <c r="H184" s="28"/>
      <c r="I184" s="28"/>
      <c r="J184" s="96">
        <v>0</v>
      </c>
      <c r="K184" s="28"/>
      <c r="L184" s="92"/>
      <c r="M184" s="99"/>
      <c r="N184" s="131"/>
    </row>
    <row r="185" spans="1:14" ht="15.75">
      <c r="A185" s="95"/>
      <c r="B185" s="87" t="s">
        <v>131</v>
      </c>
      <c r="C185" s="61"/>
      <c r="D185" s="100"/>
      <c r="E185" s="100"/>
      <c r="F185" s="101"/>
      <c r="G185" s="28"/>
      <c r="H185" s="28"/>
      <c r="I185" s="28"/>
      <c r="J185" s="96">
        <v>0</v>
      </c>
      <c r="K185" s="28"/>
      <c r="L185" s="92"/>
      <c r="M185" s="99"/>
      <c r="N185" s="131"/>
    </row>
    <row r="186" spans="1:14" ht="15.75">
      <c r="A186" s="95"/>
      <c r="B186" s="87" t="s">
        <v>132</v>
      </c>
      <c r="C186" s="61"/>
      <c r="D186" s="102"/>
      <c r="E186" s="100"/>
      <c r="F186" s="101"/>
      <c r="G186" s="28"/>
      <c r="H186" s="28"/>
      <c r="I186" s="28"/>
      <c r="J186" s="103">
        <v>0</v>
      </c>
      <c r="K186" s="28"/>
      <c r="L186" s="92"/>
      <c r="M186" s="99"/>
      <c r="N186" s="131"/>
    </row>
    <row r="187" spans="1:14" ht="15.75">
      <c r="A187" s="95"/>
      <c r="B187" s="87"/>
      <c r="C187" s="61"/>
      <c r="D187" s="102"/>
      <c r="E187" s="100"/>
      <c r="F187" s="101"/>
      <c r="G187" s="28"/>
      <c r="H187" s="28"/>
      <c r="I187" s="28"/>
      <c r="J187" s="103"/>
      <c r="K187" s="28"/>
      <c r="L187" s="92"/>
      <c r="M187" s="99"/>
      <c r="N187" s="131"/>
    </row>
    <row r="188" spans="1:14" ht="15.75">
      <c r="A188" s="8"/>
      <c r="B188" s="17" t="s">
        <v>133</v>
      </c>
      <c r="C188" s="20"/>
      <c r="D188" s="94"/>
      <c r="E188" s="20"/>
      <c r="F188" s="94"/>
      <c r="G188" s="20"/>
      <c r="H188" s="94" t="s">
        <v>172</v>
      </c>
      <c r="I188" s="20" t="s">
        <v>173</v>
      </c>
      <c r="J188" s="94" t="s">
        <v>182</v>
      </c>
      <c r="K188" s="20" t="s">
        <v>173</v>
      </c>
      <c r="L188" s="18"/>
      <c r="M188" s="104"/>
      <c r="N188" s="131"/>
    </row>
    <row r="189" spans="1:14" ht="15.75">
      <c r="A189" s="27"/>
      <c r="B189" s="61" t="s">
        <v>134</v>
      </c>
      <c r="C189" s="105"/>
      <c r="D189" s="61"/>
      <c r="E189" s="105"/>
      <c r="F189" s="28"/>
      <c r="G189" s="105"/>
      <c r="H189" s="61">
        <v>0</v>
      </c>
      <c r="I189" s="105">
        <v>0</v>
      </c>
      <c r="J189" s="60">
        <v>0</v>
      </c>
      <c r="K189" s="106">
        <v>0</v>
      </c>
      <c r="L189" s="92"/>
      <c r="M189" s="99"/>
      <c r="N189" s="131"/>
    </row>
    <row r="190" spans="1:14" ht="15.75">
      <c r="A190" s="27"/>
      <c r="B190" s="61" t="s">
        <v>135</v>
      </c>
      <c r="C190" s="105"/>
      <c r="D190" s="61"/>
      <c r="E190" s="105"/>
      <c r="F190" s="28"/>
      <c r="G190" s="107"/>
      <c r="H190" s="61">
        <v>0</v>
      </c>
      <c r="I190" s="105">
        <v>0</v>
      </c>
      <c r="J190" s="60">
        <v>0</v>
      </c>
      <c r="K190" s="106">
        <v>0</v>
      </c>
      <c r="L190" s="92"/>
      <c r="M190" s="99"/>
      <c r="N190" s="131"/>
    </row>
    <row r="191" spans="1:14" ht="15.75">
      <c r="A191" s="27"/>
      <c r="B191" s="61" t="s">
        <v>136</v>
      </c>
      <c r="C191" s="105"/>
      <c r="D191" s="61"/>
      <c r="E191" s="105"/>
      <c r="F191" s="28"/>
      <c r="G191" s="107"/>
      <c r="H191" s="61">
        <v>0</v>
      </c>
      <c r="I191" s="105">
        <v>0</v>
      </c>
      <c r="J191" s="60">
        <v>0</v>
      </c>
      <c r="K191" s="106">
        <v>0</v>
      </c>
      <c r="L191" s="92"/>
      <c r="M191" s="99"/>
      <c r="N191" s="131"/>
    </row>
    <row r="192" spans="1:14" ht="15.75">
      <c r="A192" s="27"/>
      <c r="B192" s="61" t="s">
        <v>137</v>
      </c>
      <c r="C192" s="105"/>
      <c r="D192" s="61"/>
      <c r="E192" s="105"/>
      <c r="F192" s="28"/>
      <c r="G192" s="107"/>
      <c r="H192" s="61">
        <v>0</v>
      </c>
      <c r="I192" s="105">
        <v>0</v>
      </c>
      <c r="J192" s="60">
        <v>0</v>
      </c>
      <c r="K192" s="106">
        <v>0</v>
      </c>
      <c r="L192" s="92"/>
      <c r="M192" s="99"/>
      <c r="N192" s="131"/>
    </row>
    <row r="193" spans="1:14" ht="15.75">
      <c r="A193" s="27"/>
      <c r="B193" s="147"/>
      <c r="C193" s="105"/>
      <c r="D193" s="61"/>
      <c r="E193" s="105"/>
      <c r="F193" s="28"/>
      <c r="G193" s="107"/>
      <c r="H193" s="61"/>
      <c r="I193" s="105"/>
      <c r="J193" s="60"/>
      <c r="K193" s="106"/>
      <c r="L193" s="92"/>
      <c r="M193" s="99"/>
      <c r="N193" s="131"/>
    </row>
    <row r="194" spans="1:14" ht="15.75">
      <c r="A194" s="27"/>
      <c r="B194" s="61"/>
      <c r="C194" s="108"/>
      <c r="D194" s="97"/>
      <c r="E194" s="108"/>
      <c r="F194" s="28"/>
      <c r="G194" s="108"/>
      <c r="H194" s="97"/>
      <c r="I194" s="108"/>
      <c r="J194" s="60"/>
      <c r="K194" s="106"/>
      <c r="L194" s="92"/>
      <c r="M194" s="99"/>
      <c r="N194" s="131"/>
    </row>
    <row r="195" spans="1:14" ht="15.75">
      <c r="A195" s="27"/>
      <c r="B195" s="28"/>
      <c r="C195" s="28"/>
      <c r="D195" s="28"/>
      <c r="E195" s="28"/>
      <c r="F195" s="28"/>
      <c r="G195" s="28"/>
      <c r="H195" s="38">
        <f>SUM(H189:H193)</f>
        <v>0</v>
      </c>
      <c r="I195" s="109">
        <f>SUM(I189:I194)</f>
        <v>0</v>
      </c>
      <c r="J195" s="60">
        <f>SUM(J189:J194)</f>
        <v>0</v>
      </c>
      <c r="K195" s="127">
        <f>SUM(K189:K194)</f>
        <v>0</v>
      </c>
      <c r="L195" s="28"/>
      <c r="M195" s="28"/>
      <c r="N195" s="131"/>
    </row>
    <row r="196" spans="1:14" ht="15.75">
      <c r="A196" s="27"/>
      <c r="B196" s="28"/>
      <c r="C196" s="28"/>
      <c r="D196" s="28"/>
      <c r="E196" s="28"/>
      <c r="F196" s="28"/>
      <c r="G196" s="28"/>
      <c r="H196" s="38"/>
      <c r="I196" s="109"/>
      <c r="J196" s="60"/>
      <c r="K196" s="127"/>
      <c r="L196" s="28"/>
      <c r="M196" s="28"/>
      <c r="N196" s="131"/>
    </row>
    <row r="197" spans="1:14" ht="15.75">
      <c r="A197" s="27"/>
      <c r="B197" s="28"/>
      <c r="C197" s="28"/>
      <c r="D197" s="28"/>
      <c r="E197" s="28"/>
      <c r="F197" s="28"/>
      <c r="G197" s="28"/>
      <c r="H197" s="38"/>
      <c r="I197" s="109"/>
      <c r="J197" s="60"/>
      <c r="K197" s="127"/>
      <c r="L197" s="28"/>
      <c r="M197" s="28"/>
      <c r="N197" s="131"/>
    </row>
    <row r="198" spans="1:14" ht="15.75">
      <c r="A198" s="149"/>
      <c r="B198" s="17" t="s">
        <v>139</v>
      </c>
      <c r="C198" s="115"/>
      <c r="D198" s="20" t="s">
        <v>148</v>
      </c>
      <c r="E198" s="18"/>
      <c r="F198" s="17" t="s">
        <v>161</v>
      </c>
      <c r="G198" s="116"/>
      <c r="H198" s="116"/>
      <c r="I198" s="146"/>
      <c r="J198" s="146"/>
      <c r="K198" s="146"/>
      <c r="L198" s="146"/>
      <c r="M198" s="146"/>
      <c r="N198" s="131"/>
    </row>
    <row r="199" spans="1:14" ht="15.75">
      <c r="A199" s="149"/>
      <c r="B199" s="146"/>
      <c r="C199" s="146"/>
      <c r="D199" s="10"/>
      <c r="E199" s="10"/>
      <c r="F199" s="10"/>
      <c r="G199" s="146"/>
      <c r="H199" s="146"/>
      <c r="I199" s="146"/>
      <c r="J199" s="146"/>
      <c r="K199" s="146"/>
      <c r="L199" s="146"/>
      <c r="M199" s="146"/>
      <c r="N199" s="131"/>
    </row>
    <row r="200" spans="1:14" ht="15.75">
      <c r="A200" s="149"/>
      <c r="B200" s="16" t="s">
        <v>140</v>
      </c>
      <c r="C200" s="117"/>
      <c r="D200" s="118" t="s">
        <v>149</v>
      </c>
      <c r="E200" s="16"/>
      <c r="F200" s="16" t="s">
        <v>162</v>
      </c>
      <c r="G200" s="117"/>
      <c r="H200" s="117"/>
      <c r="I200" s="146"/>
      <c r="J200" s="146"/>
      <c r="K200" s="146"/>
      <c r="L200" s="146"/>
      <c r="M200" s="146"/>
      <c r="N200" s="131"/>
    </row>
    <row r="201" spans="1:14" ht="15.75">
      <c r="A201" s="149"/>
      <c r="B201" s="16" t="s">
        <v>141</v>
      </c>
      <c r="C201" s="117"/>
      <c r="D201" s="118" t="s">
        <v>150</v>
      </c>
      <c r="E201" s="16"/>
      <c r="F201" s="16" t="s">
        <v>163</v>
      </c>
      <c r="G201" s="117"/>
      <c r="H201" s="117"/>
      <c r="I201" s="146"/>
      <c r="J201" s="146"/>
      <c r="K201" s="146"/>
      <c r="L201" s="146"/>
      <c r="M201" s="146"/>
      <c r="N201" s="131"/>
    </row>
    <row r="202" spans="1:14" ht="15.75">
      <c r="A202" s="149"/>
      <c r="B202" s="16"/>
      <c r="C202" s="117"/>
      <c r="D202" s="118"/>
      <c r="E202" s="16"/>
      <c r="F202" s="16"/>
      <c r="G202" s="117"/>
      <c r="H202" s="117"/>
      <c r="I202" s="146"/>
      <c r="J202" s="146"/>
      <c r="K202" s="146"/>
      <c r="L202" s="146"/>
      <c r="M202" s="146"/>
      <c r="N202" s="131"/>
    </row>
    <row r="203" spans="1:14" ht="15.75">
      <c r="A203" s="149"/>
      <c r="B203" s="16"/>
      <c r="C203" s="117"/>
      <c r="D203" s="118"/>
      <c r="E203" s="16"/>
      <c r="F203" s="16"/>
      <c r="G203" s="117"/>
      <c r="H203" s="117"/>
      <c r="I203" s="146"/>
      <c r="J203" s="146"/>
      <c r="K203" s="146"/>
      <c r="L203" s="146"/>
      <c r="M203" s="146"/>
      <c r="N203" s="131"/>
    </row>
    <row r="204" spans="1:14" ht="18.75">
      <c r="A204" s="149"/>
      <c r="B204" s="55" t="str">
        <f>B157</f>
        <v>PM1 INVESTOR REPORT QUARTER ENDING MARCH 2004</v>
      </c>
      <c r="C204" s="117"/>
      <c r="D204" s="118"/>
      <c r="E204" s="16"/>
      <c r="F204" s="16"/>
      <c r="G204" s="117"/>
      <c r="H204" s="117"/>
      <c r="I204" s="146"/>
      <c r="J204" s="146"/>
      <c r="K204" s="146"/>
      <c r="L204" s="146"/>
      <c r="M204" s="146"/>
      <c r="N204" s="131"/>
    </row>
    <row r="205" spans="1:13" ht="15">
      <c r="A205" s="130"/>
      <c r="B205" s="130"/>
      <c r="C205" s="130"/>
      <c r="D205" s="130"/>
      <c r="E205" s="130"/>
      <c r="F205" s="130"/>
      <c r="G205" s="130"/>
      <c r="H205" s="130"/>
      <c r="I205" s="130"/>
      <c r="J205" s="130"/>
      <c r="K205" s="130"/>
      <c r="L205" s="130"/>
      <c r="M205" s="130"/>
    </row>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4" manualBreakCount="4">
    <brk id="51" max="255" man="1"/>
    <brk id="106" max="13" man="1"/>
    <brk id="157" max="13" man="1"/>
    <brk id="205" max="0" man="1"/>
  </rowBreaks>
  <drawing r:id="rId1"/>
</worksheet>
</file>

<file path=xl/worksheets/sheet2.xml><?xml version="1.0" encoding="utf-8"?>
<worksheet xmlns="http://schemas.openxmlformats.org/spreadsheetml/2006/main" xmlns:r="http://schemas.openxmlformats.org/officeDocument/2006/relationships">
  <dimension ref="A1:R200"/>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31.6640625" style="1" customWidth="1"/>
    <col min="14" max="16384" width="9.6640625" style="1" customWidth="1"/>
  </cols>
  <sheetData>
    <row r="1" spans="1:18" ht="20.25">
      <c r="A1" s="2"/>
      <c r="B1" s="3" t="s">
        <v>0</v>
      </c>
      <c r="C1" s="4"/>
      <c r="D1" s="5"/>
      <c r="E1" s="5"/>
      <c r="F1" s="5"/>
      <c r="G1" s="5"/>
      <c r="H1" s="5"/>
      <c r="I1" s="5"/>
      <c r="J1" s="5"/>
      <c r="K1" s="5"/>
      <c r="L1" s="5"/>
      <c r="M1" s="5"/>
      <c r="N1" s="6"/>
      <c r="O1" s="7"/>
      <c r="P1" s="7"/>
      <c r="Q1" s="7"/>
      <c r="R1" s="7"/>
    </row>
    <row r="2" spans="1:18" ht="15.75">
      <c r="A2" s="8"/>
      <c r="B2" s="9"/>
      <c r="C2" s="9"/>
      <c r="D2" s="10"/>
      <c r="E2" s="10"/>
      <c r="F2" s="10"/>
      <c r="G2" s="10"/>
      <c r="H2" s="10"/>
      <c r="I2" s="10"/>
      <c r="J2" s="10"/>
      <c r="K2" s="10"/>
      <c r="L2" s="10"/>
      <c r="M2" s="10"/>
      <c r="N2" s="6"/>
      <c r="O2" s="7"/>
      <c r="P2" s="7"/>
      <c r="Q2" s="7"/>
      <c r="R2" s="7"/>
    </row>
    <row r="3" spans="1:18" ht="15.75">
      <c r="A3" s="11"/>
      <c r="B3" s="154" t="s">
        <v>1</v>
      </c>
      <c r="C3" s="10"/>
      <c r="D3" s="10"/>
      <c r="E3" s="10"/>
      <c r="F3" s="10"/>
      <c r="G3" s="10"/>
      <c r="H3" s="10"/>
      <c r="I3" s="10"/>
      <c r="J3" s="10"/>
      <c r="K3" s="10"/>
      <c r="L3" s="10"/>
      <c r="M3" s="10"/>
      <c r="N3" s="6"/>
      <c r="O3" s="7"/>
      <c r="P3" s="7"/>
      <c r="Q3" s="7"/>
      <c r="R3" s="7"/>
    </row>
    <row r="4" spans="1:18" ht="15.75">
      <c r="A4" s="8"/>
      <c r="B4" s="9"/>
      <c r="C4" s="9"/>
      <c r="D4" s="10"/>
      <c r="E4" s="10"/>
      <c r="F4" s="10"/>
      <c r="G4" s="10"/>
      <c r="H4" s="10"/>
      <c r="I4" s="10"/>
      <c r="J4" s="10"/>
      <c r="K4" s="10"/>
      <c r="L4" s="10"/>
      <c r="M4" s="10"/>
      <c r="N4" s="6"/>
      <c r="O4" s="7"/>
      <c r="P4" s="7"/>
      <c r="Q4" s="7"/>
      <c r="R4" s="7"/>
    </row>
    <row r="5" spans="1:18" ht="12" customHeight="1">
      <c r="A5" s="8"/>
      <c r="B5" s="13" t="s">
        <v>2</v>
      </c>
      <c r="C5" s="14"/>
      <c r="D5" s="10"/>
      <c r="E5" s="10"/>
      <c r="F5" s="10"/>
      <c r="G5" s="10"/>
      <c r="H5" s="10"/>
      <c r="I5" s="10"/>
      <c r="J5" s="10"/>
      <c r="K5" s="10"/>
      <c r="L5" s="10"/>
      <c r="M5" s="10"/>
      <c r="N5" s="6"/>
      <c r="O5" s="7"/>
      <c r="P5" s="7"/>
      <c r="Q5" s="7"/>
      <c r="R5" s="7"/>
    </row>
    <row r="6" spans="1:18" ht="12" customHeight="1">
      <c r="A6" s="8"/>
      <c r="B6" s="13" t="s">
        <v>3</v>
      </c>
      <c r="C6" s="14"/>
      <c r="D6" s="10"/>
      <c r="E6" s="10"/>
      <c r="F6" s="10"/>
      <c r="G6" s="10"/>
      <c r="H6" s="10"/>
      <c r="I6" s="10"/>
      <c r="J6" s="10"/>
      <c r="K6" s="10"/>
      <c r="L6" s="10"/>
      <c r="M6" s="10"/>
      <c r="N6" s="6"/>
      <c r="O6" s="7"/>
      <c r="P6" s="7"/>
      <c r="Q6" s="7"/>
      <c r="R6" s="7"/>
    </row>
    <row r="7" spans="1:18" ht="12" customHeight="1">
      <c r="A7" s="8"/>
      <c r="B7" s="13" t="s">
        <v>4</v>
      </c>
      <c r="C7" s="14"/>
      <c r="D7" s="10"/>
      <c r="E7" s="10"/>
      <c r="F7" s="10"/>
      <c r="G7" s="10"/>
      <c r="H7" s="10"/>
      <c r="I7" s="10"/>
      <c r="J7" s="10"/>
      <c r="K7" s="10"/>
      <c r="L7" s="10"/>
      <c r="M7" s="10"/>
      <c r="N7" s="6"/>
      <c r="O7" s="7"/>
      <c r="P7" s="7"/>
      <c r="Q7" s="7"/>
      <c r="R7" s="7"/>
    </row>
    <row r="8" spans="1:18" ht="12" customHeight="1">
      <c r="A8" s="8"/>
      <c r="B8" s="13" t="s">
        <v>5</v>
      </c>
      <c r="C8" s="14"/>
      <c r="D8" s="10"/>
      <c r="E8" s="10"/>
      <c r="F8" s="10"/>
      <c r="G8" s="10"/>
      <c r="H8" s="10"/>
      <c r="I8" s="10"/>
      <c r="J8" s="10"/>
      <c r="K8" s="10"/>
      <c r="L8" s="10"/>
      <c r="M8" s="10"/>
      <c r="N8" s="6"/>
      <c r="O8" s="7"/>
      <c r="P8" s="7"/>
      <c r="Q8" s="7"/>
      <c r="R8" s="7"/>
    </row>
    <row r="9" spans="1:18" ht="12" customHeight="1">
      <c r="A9" s="8"/>
      <c r="B9" s="15"/>
      <c r="C9" s="14"/>
      <c r="D9" s="10"/>
      <c r="E9" s="10"/>
      <c r="F9" s="10"/>
      <c r="G9" s="10"/>
      <c r="H9" s="10"/>
      <c r="I9" s="10"/>
      <c r="J9" s="10"/>
      <c r="K9" s="10"/>
      <c r="L9" s="10"/>
      <c r="M9" s="10"/>
      <c r="N9" s="6"/>
      <c r="O9" s="7"/>
      <c r="P9" s="7"/>
      <c r="Q9" s="7"/>
      <c r="R9" s="7"/>
    </row>
    <row r="10" spans="1:18" ht="15.75">
      <c r="A10" s="8"/>
      <c r="B10" s="13"/>
      <c r="C10" s="14"/>
      <c r="D10" s="16"/>
      <c r="E10" s="16"/>
      <c r="F10" s="10"/>
      <c r="G10" s="10"/>
      <c r="H10" s="10"/>
      <c r="I10" s="10"/>
      <c r="J10" s="10"/>
      <c r="K10" s="10"/>
      <c r="L10" s="10"/>
      <c r="M10" s="10"/>
      <c r="N10" s="6"/>
      <c r="O10" s="7"/>
      <c r="P10" s="7"/>
      <c r="Q10" s="7"/>
      <c r="R10" s="7"/>
    </row>
    <row r="11" spans="1:18" ht="15.75">
      <c r="A11" s="8"/>
      <c r="B11" s="16" t="s">
        <v>6</v>
      </c>
      <c r="C11" s="16"/>
      <c r="D11" s="10"/>
      <c r="E11" s="10"/>
      <c r="F11" s="10"/>
      <c r="G11" s="10"/>
      <c r="H11" s="10"/>
      <c r="I11" s="10"/>
      <c r="J11" s="10"/>
      <c r="K11" s="10"/>
      <c r="L11" s="10"/>
      <c r="M11" s="10"/>
      <c r="N11" s="6"/>
      <c r="O11" s="7"/>
      <c r="P11" s="7"/>
      <c r="Q11" s="7"/>
      <c r="R11" s="7"/>
    </row>
    <row r="12" spans="1:18" ht="15.75">
      <c r="A12" s="8"/>
      <c r="B12" s="16"/>
      <c r="C12" s="16"/>
      <c r="D12" s="10"/>
      <c r="E12" s="10"/>
      <c r="F12" s="10"/>
      <c r="G12" s="10"/>
      <c r="H12" s="10"/>
      <c r="I12" s="10"/>
      <c r="J12" s="10"/>
      <c r="K12" s="10"/>
      <c r="L12" s="10"/>
      <c r="M12" s="10"/>
      <c r="N12" s="6"/>
      <c r="O12" s="7"/>
      <c r="P12" s="7"/>
      <c r="Q12" s="7"/>
      <c r="R12" s="7"/>
    </row>
    <row r="13" spans="1:18" ht="15.75">
      <c r="A13" s="2"/>
      <c r="B13" s="5"/>
      <c r="C13" s="5"/>
      <c r="D13" s="5"/>
      <c r="E13" s="5"/>
      <c r="F13" s="5"/>
      <c r="G13" s="5"/>
      <c r="H13" s="5"/>
      <c r="I13" s="5"/>
      <c r="J13" s="5"/>
      <c r="K13" s="5"/>
      <c r="L13" s="5"/>
      <c r="M13" s="5"/>
      <c r="N13" s="6"/>
      <c r="O13" s="7"/>
      <c r="P13" s="7"/>
      <c r="Q13" s="7"/>
      <c r="R13" s="7"/>
    </row>
    <row r="14" spans="1:18" ht="15.75">
      <c r="A14" s="8"/>
      <c r="B14" s="17" t="s">
        <v>7</v>
      </c>
      <c r="C14" s="17"/>
      <c r="D14" s="18"/>
      <c r="E14" s="18"/>
      <c r="F14" s="18"/>
      <c r="G14" s="18"/>
      <c r="H14" s="18"/>
      <c r="I14" s="18"/>
      <c r="J14" s="18"/>
      <c r="K14" s="18"/>
      <c r="L14" s="19" t="s">
        <v>185</v>
      </c>
      <c r="M14" s="18"/>
      <c r="N14" s="6"/>
      <c r="O14" s="7"/>
      <c r="P14" s="7"/>
      <c r="Q14" s="7"/>
      <c r="R14" s="7"/>
    </row>
    <row r="15" spans="1:18" ht="15.75">
      <c r="A15" s="8"/>
      <c r="B15" s="17" t="s">
        <v>8</v>
      </c>
      <c r="C15" s="17"/>
      <c r="D15" s="18"/>
      <c r="E15" s="18"/>
      <c r="F15" s="18"/>
      <c r="G15" s="18"/>
      <c r="H15" s="18"/>
      <c r="I15" s="18"/>
      <c r="J15" s="18"/>
      <c r="K15" s="18"/>
      <c r="L15" s="20" t="s">
        <v>186</v>
      </c>
      <c r="M15" s="18"/>
      <c r="N15" s="6"/>
      <c r="O15" s="7"/>
      <c r="P15" s="7"/>
      <c r="Q15" s="7"/>
      <c r="R15" s="7"/>
    </row>
    <row r="16" spans="1:18" ht="15.75">
      <c r="A16" s="8"/>
      <c r="B16" s="17" t="s">
        <v>9</v>
      </c>
      <c r="C16" s="17"/>
      <c r="D16" s="18"/>
      <c r="E16" s="18"/>
      <c r="F16" s="18"/>
      <c r="G16" s="18"/>
      <c r="H16" s="18"/>
      <c r="I16" s="18"/>
      <c r="J16" s="18"/>
      <c r="K16" s="18"/>
      <c r="L16" s="21">
        <v>36552</v>
      </c>
      <c r="M16" s="18"/>
      <c r="N16" s="6"/>
      <c r="O16" s="7"/>
      <c r="P16" s="7"/>
      <c r="Q16" s="7"/>
      <c r="R16" s="7"/>
    </row>
    <row r="17" spans="1:18" ht="15.75">
      <c r="A17" s="8"/>
      <c r="B17" s="18"/>
      <c r="C17" s="18"/>
      <c r="D17" s="18"/>
      <c r="E17" s="18"/>
      <c r="F17" s="18"/>
      <c r="G17" s="18"/>
      <c r="H17" s="18"/>
      <c r="I17" s="18"/>
      <c r="J17" s="18"/>
      <c r="K17" s="18"/>
      <c r="L17" s="124"/>
      <c r="M17" s="18"/>
      <c r="N17" s="6"/>
      <c r="O17" s="7"/>
      <c r="P17" s="7"/>
      <c r="Q17" s="7"/>
      <c r="R17" s="7"/>
    </row>
    <row r="18" spans="1:18" ht="15.75">
      <c r="A18" s="8"/>
      <c r="B18" s="23" t="s">
        <v>10</v>
      </c>
      <c r="C18" s="10"/>
      <c r="D18" s="10"/>
      <c r="E18" s="10"/>
      <c r="F18" s="10"/>
      <c r="G18" s="10"/>
      <c r="H18" s="10"/>
      <c r="I18" s="10"/>
      <c r="J18" s="22" t="s">
        <v>174</v>
      </c>
      <c r="K18" s="10"/>
      <c r="L18" s="15"/>
      <c r="M18" s="10"/>
      <c r="N18" s="6"/>
      <c r="O18" s="7"/>
      <c r="P18" s="7"/>
      <c r="Q18" s="7"/>
      <c r="R18" s="7"/>
    </row>
    <row r="19" spans="1:18" ht="15.75">
      <c r="A19" s="8"/>
      <c r="B19" s="10"/>
      <c r="C19" s="10"/>
      <c r="D19" s="10"/>
      <c r="E19" s="10"/>
      <c r="F19" s="10"/>
      <c r="G19" s="10"/>
      <c r="H19" s="10"/>
      <c r="I19" s="10"/>
      <c r="J19" s="10"/>
      <c r="K19" s="10"/>
      <c r="L19" s="24"/>
      <c r="M19" s="10"/>
      <c r="N19" s="6"/>
      <c r="O19" s="7"/>
      <c r="P19" s="7"/>
      <c r="Q19" s="7"/>
      <c r="R19" s="7"/>
    </row>
    <row r="20" spans="1:18" ht="15.75">
      <c r="A20" s="8"/>
      <c r="B20" s="10"/>
      <c r="C20" s="155" t="s">
        <v>143</v>
      </c>
      <c r="D20" s="25"/>
      <c r="E20" s="25"/>
      <c r="F20" s="157" t="s">
        <v>151</v>
      </c>
      <c r="G20" s="157"/>
      <c r="H20" s="157" t="s">
        <v>164</v>
      </c>
      <c r="I20" s="26"/>
      <c r="J20" s="26"/>
      <c r="K20" s="125"/>
      <c r="L20" s="15"/>
      <c r="M20" s="10"/>
      <c r="N20" s="6"/>
      <c r="O20" s="7"/>
      <c r="P20" s="7"/>
      <c r="Q20" s="7"/>
      <c r="R20" s="7"/>
    </row>
    <row r="21" spans="1:18" ht="15.75">
      <c r="A21" s="27"/>
      <c r="B21" s="28" t="s">
        <v>11</v>
      </c>
      <c r="C21" s="156" t="s">
        <v>144</v>
      </c>
      <c r="D21" s="29"/>
      <c r="E21" s="29"/>
      <c r="F21" s="29" t="s">
        <v>152</v>
      </c>
      <c r="G21" s="29"/>
      <c r="H21" s="29" t="s">
        <v>165</v>
      </c>
      <c r="I21" s="29"/>
      <c r="J21" s="29"/>
      <c r="K21" s="30"/>
      <c r="L21" s="30"/>
      <c r="M21" s="28"/>
      <c r="N21" s="6"/>
      <c r="O21" s="7"/>
      <c r="P21" s="7"/>
      <c r="Q21" s="7"/>
      <c r="R21" s="7"/>
    </row>
    <row r="22" spans="1:18" ht="15.75">
      <c r="A22" s="27"/>
      <c r="B22" s="28" t="s">
        <v>12</v>
      </c>
      <c r="C22" s="31"/>
      <c r="D22" s="29"/>
      <c r="E22" s="29"/>
      <c r="F22" s="29" t="s">
        <v>153</v>
      </c>
      <c r="G22" s="29"/>
      <c r="H22" s="29" t="s">
        <v>166</v>
      </c>
      <c r="I22" s="29"/>
      <c r="J22" s="29"/>
      <c r="K22" s="30"/>
      <c r="L22" s="30"/>
      <c r="M22" s="28"/>
      <c r="N22" s="6"/>
      <c r="O22" s="7"/>
      <c r="P22" s="7"/>
      <c r="Q22" s="7"/>
      <c r="R22" s="7"/>
    </row>
    <row r="23" spans="1:18" ht="15.75">
      <c r="A23" s="32"/>
      <c r="B23" s="33" t="s">
        <v>13</v>
      </c>
      <c r="C23" s="33"/>
      <c r="D23" s="34"/>
      <c r="E23" s="34"/>
      <c r="F23" s="34" t="s">
        <v>152</v>
      </c>
      <c r="G23" s="34"/>
      <c r="H23" s="34" t="s">
        <v>165</v>
      </c>
      <c r="I23" s="34"/>
      <c r="J23" s="29"/>
      <c r="K23" s="30"/>
      <c r="L23" s="30"/>
      <c r="M23" s="28"/>
      <c r="N23" s="6"/>
      <c r="O23" s="7"/>
      <c r="P23" s="7"/>
      <c r="Q23" s="7"/>
      <c r="R23" s="7"/>
    </row>
    <row r="24" spans="1:18" ht="15.75">
      <c r="A24" s="32"/>
      <c r="B24" s="33" t="s">
        <v>14</v>
      </c>
      <c r="C24" s="33"/>
      <c r="D24" s="34"/>
      <c r="E24" s="34"/>
      <c r="F24" s="34" t="s">
        <v>153</v>
      </c>
      <c r="G24" s="34"/>
      <c r="H24" s="34" t="s">
        <v>166</v>
      </c>
      <c r="I24" s="34"/>
      <c r="J24" s="29"/>
      <c r="K24" s="30"/>
      <c r="L24" s="30"/>
      <c r="M24" s="28"/>
      <c r="N24" s="6"/>
      <c r="O24" s="7"/>
      <c r="P24" s="7"/>
      <c r="Q24" s="7"/>
      <c r="R24" s="7"/>
    </row>
    <row r="25" spans="1:18" ht="15.75">
      <c r="A25" s="27"/>
      <c r="B25" s="28" t="s">
        <v>15</v>
      </c>
      <c r="C25" s="28"/>
      <c r="D25" s="31"/>
      <c r="E25" s="29"/>
      <c r="F25" s="31" t="s">
        <v>154</v>
      </c>
      <c r="G25" s="29"/>
      <c r="H25" s="31" t="s">
        <v>167</v>
      </c>
      <c r="I25" s="29"/>
      <c r="J25" s="31"/>
      <c r="K25" s="30"/>
      <c r="L25" s="30"/>
      <c r="M25" s="28"/>
      <c r="N25" s="6"/>
      <c r="O25" s="7"/>
      <c r="P25" s="7"/>
      <c r="Q25" s="7"/>
      <c r="R25" s="7"/>
    </row>
    <row r="26" spans="1:18" ht="15.75">
      <c r="A26" s="27"/>
      <c r="B26" s="28"/>
      <c r="C26" s="28"/>
      <c r="D26" s="28"/>
      <c r="E26" s="29"/>
      <c r="F26" s="29"/>
      <c r="G26" s="29"/>
      <c r="H26" s="29"/>
      <c r="I26" s="29"/>
      <c r="J26" s="29"/>
      <c r="K26" s="30"/>
      <c r="L26" s="30"/>
      <c r="M26" s="28"/>
      <c r="N26" s="6"/>
      <c r="O26" s="7"/>
      <c r="P26" s="7"/>
      <c r="Q26" s="7"/>
      <c r="R26" s="7"/>
    </row>
    <row r="27" spans="1:18" ht="15.75">
      <c r="A27" s="27"/>
      <c r="B27" s="28" t="s">
        <v>16</v>
      </c>
      <c r="C27" s="28"/>
      <c r="D27" s="35"/>
      <c r="E27" s="36"/>
      <c r="F27" s="35">
        <v>168000</v>
      </c>
      <c r="G27" s="35"/>
      <c r="H27" s="35">
        <v>17000</v>
      </c>
      <c r="I27" s="35"/>
      <c r="J27" s="35"/>
      <c r="K27" s="37"/>
      <c r="L27" s="35">
        <f>H27+F27</f>
        <v>185000</v>
      </c>
      <c r="M27" s="38"/>
      <c r="N27" s="6"/>
      <c r="O27" s="7"/>
      <c r="P27" s="7"/>
      <c r="Q27" s="7"/>
      <c r="R27" s="7"/>
    </row>
    <row r="28" spans="1:18" ht="15.75">
      <c r="A28" s="27"/>
      <c r="B28" s="28" t="s">
        <v>17</v>
      </c>
      <c r="C28" s="126">
        <v>0.97946</v>
      </c>
      <c r="D28" s="35"/>
      <c r="E28" s="36"/>
      <c r="F28" s="35">
        <f>16800*C28*10</f>
        <v>164549.28</v>
      </c>
      <c r="G28" s="35"/>
      <c r="H28" s="35">
        <v>17000</v>
      </c>
      <c r="I28" s="35"/>
      <c r="J28" s="35"/>
      <c r="K28" s="37"/>
      <c r="L28" s="35">
        <f>H28+F28</f>
        <v>181549.28</v>
      </c>
      <c r="M28" s="38"/>
      <c r="N28" s="6"/>
      <c r="O28" s="7"/>
      <c r="P28" s="7"/>
      <c r="Q28" s="7"/>
      <c r="R28" s="7"/>
    </row>
    <row r="29" spans="1:18" ht="13.5" customHeight="1">
      <c r="A29" s="32"/>
      <c r="B29" s="33" t="s">
        <v>18</v>
      </c>
      <c r="C29" s="40">
        <v>0.963534</v>
      </c>
      <c r="D29" s="41"/>
      <c r="E29" s="42"/>
      <c r="F29" s="41">
        <v>161873</v>
      </c>
      <c r="G29" s="41"/>
      <c r="H29" s="41">
        <v>17000</v>
      </c>
      <c r="I29" s="41"/>
      <c r="J29" s="41"/>
      <c r="K29" s="43"/>
      <c r="L29" s="41">
        <f>H29+F29+D29</f>
        <v>178873</v>
      </c>
      <c r="M29" s="38"/>
      <c r="N29" s="6"/>
      <c r="O29" s="7"/>
      <c r="P29" s="7"/>
      <c r="Q29" s="7"/>
      <c r="R29" s="7"/>
    </row>
    <row r="30" spans="1:18" ht="15.75">
      <c r="A30" s="27"/>
      <c r="B30" s="28" t="s">
        <v>19</v>
      </c>
      <c r="C30" s="44"/>
      <c r="D30" s="31"/>
      <c r="E30" s="28"/>
      <c r="F30" s="31" t="s">
        <v>155</v>
      </c>
      <c r="G30" s="31"/>
      <c r="H30" s="31" t="s">
        <v>168</v>
      </c>
      <c r="I30" s="31"/>
      <c r="J30" s="31"/>
      <c r="K30" s="30"/>
      <c r="L30" s="30"/>
      <c r="M30" s="28"/>
      <c r="N30" s="6"/>
      <c r="O30" s="7"/>
      <c r="P30" s="7"/>
      <c r="Q30" s="7"/>
      <c r="R30" s="7"/>
    </row>
    <row r="31" spans="1:18" ht="15.75">
      <c r="A31" s="27"/>
      <c r="B31" s="28" t="s">
        <v>20</v>
      </c>
      <c r="C31" s="28"/>
      <c r="D31" s="45"/>
      <c r="E31" s="28"/>
      <c r="F31" s="45">
        <f>(6.275)/100</f>
        <v>0.06275</v>
      </c>
      <c r="G31" s="46"/>
      <c r="H31" s="45">
        <f>(6.795)/100</f>
        <v>0.06795</v>
      </c>
      <c r="I31" s="46"/>
      <c r="J31" s="45"/>
      <c r="K31" s="30"/>
      <c r="L31" s="46">
        <f>SUMPRODUCT(F31:H31,F28:H28)/L28</f>
        <v>0.06323692013540345</v>
      </c>
      <c r="M31" s="28"/>
      <c r="N31" s="6"/>
      <c r="O31" s="7"/>
      <c r="P31" s="7"/>
      <c r="Q31" s="7"/>
      <c r="R31" s="7"/>
    </row>
    <row r="32" spans="1:18" ht="15.75">
      <c r="A32" s="27"/>
      <c r="B32" s="28" t="s">
        <v>21</v>
      </c>
      <c r="C32" s="28"/>
      <c r="D32" s="45"/>
      <c r="E32" s="28"/>
      <c r="F32" s="45">
        <f>(5.48632)/100</f>
        <v>0.0548632</v>
      </c>
      <c r="G32" s="46"/>
      <c r="H32" s="45">
        <f>(6.00632)/100</f>
        <v>0.0600632</v>
      </c>
      <c r="I32" s="46"/>
      <c r="J32" s="45"/>
      <c r="K32" s="30"/>
      <c r="L32" s="30"/>
      <c r="M32" s="28"/>
      <c r="N32" s="6"/>
      <c r="O32" s="7"/>
      <c r="P32" s="7"/>
      <c r="Q32" s="7"/>
      <c r="R32" s="7"/>
    </row>
    <row r="33" spans="1:18" ht="15.75">
      <c r="A33" s="27"/>
      <c r="B33" s="28" t="s">
        <v>22</v>
      </c>
      <c r="C33" s="28"/>
      <c r="D33" s="31"/>
      <c r="E33" s="28"/>
      <c r="F33" s="31" t="s">
        <v>157</v>
      </c>
      <c r="G33" s="31"/>
      <c r="H33" s="31" t="s">
        <v>157</v>
      </c>
      <c r="I33" s="31"/>
      <c r="J33" s="31"/>
      <c r="K33" s="30"/>
      <c r="L33" s="30"/>
      <c r="M33" s="28"/>
      <c r="N33" s="6"/>
      <c r="O33" s="7"/>
      <c r="P33" s="7"/>
      <c r="Q33" s="7"/>
      <c r="R33" s="7"/>
    </row>
    <row r="34" spans="1:18" ht="15.75">
      <c r="A34" s="27"/>
      <c r="B34" s="28" t="s">
        <v>23</v>
      </c>
      <c r="C34" s="28"/>
      <c r="D34" s="31"/>
      <c r="E34" s="28"/>
      <c r="F34" s="31" t="s">
        <v>158</v>
      </c>
      <c r="G34" s="31"/>
      <c r="H34" s="31" t="s">
        <v>158</v>
      </c>
      <c r="I34" s="31"/>
      <c r="J34" s="31"/>
      <c r="K34" s="30"/>
      <c r="L34" s="30"/>
      <c r="M34" s="28"/>
      <c r="N34" s="6"/>
      <c r="O34" s="7"/>
      <c r="P34" s="7"/>
      <c r="Q34" s="7"/>
      <c r="R34" s="7"/>
    </row>
    <row r="35" spans="1:18" ht="15.75">
      <c r="A35" s="27"/>
      <c r="B35" s="28" t="s">
        <v>24</v>
      </c>
      <c r="C35" s="28"/>
      <c r="D35" s="31"/>
      <c r="E35" s="28"/>
      <c r="F35" s="31" t="s">
        <v>159</v>
      </c>
      <c r="G35" s="31"/>
      <c r="H35" s="31" t="s">
        <v>169</v>
      </c>
      <c r="I35" s="31"/>
      <c r="J35" s="31"/>
      <c r="K35" s="30"/>
      <c r="L35" s="30"/>
      <c r="M35" s="28"/>
      <c r="N35" s="6"/>
      <c r="O35" s="7"/>
      <c r="P35" s="7"/>
      <c r="Q35" s="7"/>
      <c r="R35" s="7"/>
    </row>
    <row r="36" spans="1:18" ht="15.75">
      <c r="A36" s="27"/>
      <c r="B36" s="28"/>
      <c r="C36" s="28"/>
      <c r="D36" s="47"/>
      <c r="E36" s="47"/>
      <c r="F36" s="28"/>
      <c r="G36" s="47"/>
      <c r="H36" s="47"/>
      <c r="I36" s="47"/>
      <c r="J36" s="47"/>
      <c r="K36" s="47"/>
      <c r="L36" s="47"/>
      <c r="M36" s="28"/>
      <c r="N36" s="6"/>
      <c r="O36" s="7"/>
      <c r="P36" s="7"/>
      <c r="Q36" s="7"/>
      <c r="R36" s="7"/>
    </row>
    <row r="37" spans="1:18" ht="15.75">
      <c r="A37" s="27"/>
      <c r="B37" s="28" t="s">
        <v>25</v>
      </c>
      <c r="C37" s="28"/>
      <c r="D37" s="28"/>
      <c r="E37" s="28"/>
      <c r="F37" s="28"/>
      <c r="G37" s="28"/>
      <c r="H37" s="28"/>
      <c r="I37" s="28"/>
      <c r="J37" s="28"/>
      <c r="K37" s="28"/>
      <c r="L37" s="46">
        <f>H27/F27</f>
        <v>0.10119047619047619</v>
      </c>
      <c r="M37" s="28"/>
      <c r="N37" s="6"/>
      <c r="O37" s="7"/>
      <c r="P37" s="7"/>
      <c r="Q37" s="7"/>
      <c r="R37" s="7"/>
    </row>
    <row r="38" spans="1:18" ht="15.75">
      <c r="A38" s="27"/>
      <c r="B38" s="28" t="s">
        <v>26</v>
      </c>
      <c r="C38" s="28"/>
      <c r="D38" s="28"/>
      <c r="E38" s="28"/>
      <c r="F38" s="28"/>
      <c r="G38" s="28"/>
      <c r="H38" s="28"/>
      <c r="I38" s="28"/>
      <c r="J38" s="28"/>
      <c r="K38" s="28"/>
      <c r="L38" s="46">
        <f>H29/F29</f>
        <v>0.10502060257115146</v>
      </c>
      <c r="M38" s="28"/>
      <c r="N38" s="6"/>
      <c r="O38" s="7"/>
      <c r="P38" s="7"/>
      <c r="Q38" s="7"/>
      <c r="R38" s="7"/>
    </row>
    <row r="39" spans="1:18" ht="15.75">
      <c r="A39" s="27"/>
      <c r="B39" s="28" t="s">
        <v>27</v>
      </c>
      <c r="C39" s="28"/>
      <c r="D39" s="28"/>
      <c r="E39" s="28"/>
      <c r="F39" s="28"/>
      <c r="G39" s="28"/>
      <c r="H39" s="28"/>
      <c r="I39" s="28"/>
      <c r="J39" s="31" t="s">
        <v>151</v>
      </c>
      <c r="K39" s="31" t="s">
        <v>183</v>
      </c>
      <c r="L39" s="35">
        <v>75500</v>
      </c>
      <c r="M39" s="28"/>
      <c r="N39" s="6"/>
      <c r="O39" s="7"/>
      <c r="P39" s="7"/>
      <c r="Q39" s="7"/>
      <c r="R39" s="7"/>
    </row>
    <row r="40" spans="1:18" ht="15.75">
      <c r="A40" s="27"/>
      <c r="B40" s="28"/>
      <c r="C40" s="28"/>
      <c r="D40" s="28"/>
      <c r="E40" s="28"/>
      <c r="F40" s="28"/>
      <c r="G40" s="28"/>
      <c r="H40" s="28"/>
      <c r="I40" s="28"/>
      <c r="J40" s="28" t="s">
        <v>175</v>
      </c>
      <c r="K40" s="28"/>
      <c r="L40" s="48"/>
      <c r="M40" s="28"/>
      <c r="N40" s="6"/>
      <c r="O40" s="7"/>
      <c r="P40" s="7"/>
      <c r="Q40" s="7"/>
      <c r="R40" s="7"/>
    </row>
    <row r="41" spans="1:18" ht="15.75">
      <c r="A41" s="27"/>
      <c r="B41" s="28" t="s">
        <v>28</v>
      </c>
      <c r="C41" s="28"/>
      <c r="D41" s="28"/>
      <c r="E41" s="28"/>
      <c r="F41" s="28"/>
      <c r="G41" s="28"/>
      <c r="H41" s="28"/>
      <c r="I41" s="28"/>
      <c r="J41" s="31"/>
      <c r="K41" s="31"/>
      <c r="L41" s="31" t="s">
        <v>187</v>
      </c>
      <c r="M41" s="28"/>
      <c r="N41" s="6"/>
      <c r="O41" s="7"/>
      <c r="P41" s="7"/>
      <c r="Q41" s="7"/>
      <c r="R41" s="7"/>
    </row>
    <row r="42" spans="1:18" ht="15.75">
      <c r="A42" s="32"/>
      <c r="B42" s="33" t="s">
        <v>29</v>
      </c>
      <c r="C42" s="33"/>
      <c r="D42" s="33"/>
      <c r="E42" s="33"/>
      <c r="F42" s="33"/>
      <c r="G42" s="33"/>
      <c r="H42" s="33"/>
      <c r="I42" s="33"/>
      <c r="J42" s="49"/>
      <c r="K42" s="49"/>
      <c r="L42" s="50">
        <v>36542</v>
      </c>
      <c r="M42" s="33"/>
      <c r="N42" s="6"/>
      <c r="O42" s="7"/>
      <c r="P42" s="7"/>
      <c r="Q42" s="7"/>
      <c r="R42" s="7"/>
    </row>
    <row r="43" spans="1:18" ht="15.75">
      <c r="A43" s="27"/>
      <c r="B43" s="28" t="s">
        <v>30</v>
      </c>
      <c r="C43" s="28"/>
      <c r="D43" s="28"/>
      <c r="E43" s="28"/>
      <c r="F43" s="28"/>
      <c r="G43" s="28"/>
      <c r="H43" s="28"/>
      <c r="I43" s="28">
        <f>L43-J43+1</f>
        <v>126</v>
      </c>
      <c r="J43" s="51">
        <v>36322</v>
      </c>
      <c r="K43" s="52"/>
      <c r="L43" s="51">
        <v>36447</v>
      </c>
      <c r="M43" s="28"/>
      <c r="N43" s="6"/>
      <c r="O43" s="7"/>
      <c r="P43" s="7"/>
      <c r="Q43" s="7"/>
      <c r="R43" s="7"/>
    </row>
    <row r="44" spans="1:18" ht="15.75">
      <c r="A44" s="27"/>
      <c r="B44" s="28" t="s">
        <v>31</v>
      </c>
      <c r="C44" s="28"/>
      <c r="D44" s="28"/>
      <c r="E44" s="28"/>
      <c r="F44" s="28"/>
      <c r="G44" s="28"/>
      <c r="H44" s="28"/>
      <c r="I44" s="28">
        <f>L44-J44+1</f>
        <v>94</v>
      </c>
      <c r="J44" s="51">
        <v>36448</v>
      </c>
      <c r="K44" s="52"/>
      <c r="L44" s="51">
        <v>36541</v>
      </c>
      <c r="M44" s="28"/>
      <c r="N44" s="6"/>
      <c r="O44" s="7"/>
      <c r="P44" s="7"/>
      <c r="Q44" s="7"/>
      <c r="R44" s="7"/>
    </row>
    <row r="45" spans="1:18" ht="15.75">
      <c r="A45" s="27"/>
      <c r="B45" s="28" t="s">
        <v>32</v>
      </c>
      <c r="C45" s="28"/>
      <c r="D45" s="28"/>
      <c r="E45" s="28"/>
      <c r="F45" s="28"/>
      <c r="G45" s="28"/>
      <c r="H45" s="28"/>
      <c r="I45" s="28"/>
      <c r="J45" s="51"/>
      <c r="K45" s="52"/>
      <c r="L45" s="51" t="s">
        <v>194</v>
      </c>
      <c r="M45" s="28"/>
      <c r="N45" s="6"/>
      <c r="O45" s="7"/>
      <c r="P45" s="7"/>
      <c r="Q45" s="7"/>
      <c r="R45" s="7"/>
    </row>
    <row r="46" spans="1:18" ht="15.75">
      <c r="A46" s="27"/>
      <c r="B46" s="28" t="s">
        <v>33</v>
      </c>
      <c r="C46" s="28"/>
      <c r="D46" s="28"/>
      <c r="E46" s="28"/>
      <c r="F46" s="28"/>
      <c r="G46" s="28"/>
      <c r="H46" s="28"/>
      <c r="I46" s="28"/>
      <c r="J46" s="51"/>
      <c r="K46" s="52"/>
      <c r="L46" s="51">
        <v>36531</v>
      </c>
      <c r="M46" s="28"/>
      <c r="N46" s="6"/>
      <c r="O46" s="7"/>
      <c r="P46" s="7"/>
      <c r="Q46" s="7"/>
      <c r="R46" s="7"/>
    </row>
    <row r="47" spans="1:18" ht="15.75">
      <c r="A47" s="27"/>
      <c r="B47" s="28"/>
      <c r="C47" s="28"/>
      <c r="D47" s="28"/>
      <c r="E47" s="28"/>
      <c r="F47" s="28"/>
      <c r="G47" s="28"/>
      <c r="H47" s="28"/>
      <c r="I47" s="28"/>
      <c r="J47" s="51"/>
      <c r="K47" s="52"/>
      <c r="L47" s="51"/>
      <c r="M47" s="28"/>
      <c r="N47" s="6"/>
      <c r="O47" s="7"/>
      <c r="P47" s="7"/>
      <c r="Q47" s="7"/>
      <c r="R47" s="7"/>
    </row>
    <row r="48" spans="1:18" ht="19.5" thickBot="1">
      <c r="A48" s="138"/>
      <c r="B48" s="139" t="s">
        <v>193</v>
      </c>
      <c r="C48" s="140"/>
      <c r="D48" s="140"/>
      <c r="E48" s="140"/>
      <c r="F48" s="140"/>
      <c r="G48" s="140"/>
      <c r="H48" s="140"/>
      <c r="I48" s="140"/>
      <c r="J48" s="140"/>
      <c r="K48" s="140"/>
      <c r="L48" s="141"/>
      <c r="M48" s="142"/>
      <c r="N48" s="6"/>
      <c r="O48" s="7"/>
      <c r="P48" s="7"/>
      <c r="Q48" s="7"/>
      <c r="R48" s="7"/>
    </row>
    <row r="49" spans="1:18" ht="15.75">
      <c r="A49" s="2"/>
      <c r="B49" s="5"/>
      <c r="C49" s="5"/>
      <c r="D49" s="5"/>
      <c r="E49" s="5"/>
      <c r="F49" s="5"/>
      <c r="G49" s="5"/>
      <c r="H49" s="5"/>
      <c r="I49" s="5"/>
      <c r="J49" s="5"/>
      <c r="K49" s="5"/>
      <c r="L49" s="57"/>
      <c r="M49" s="5"/>
      <c r="N49" s="6"/>
      <c r="O49" s="7"/>
      <c r="P49" s="7"/>
      <c r="Q49" s="7"/>
      <c r="R49" s="7"/>
    </row>
    <row r="50" spans="1:18" ht="15.75">
      <c r="A50" s="8"/>
      <c r="B50" s="58" t="s">
        <v>35</v>
      </c>
      <c r="C50" s="16"/>
      <c r="D50" s="10"/>
      <c r="E50" s="10"/>
      <c r="F50" s="10"/>
      <c r="G50" s="10"/>
      <c r="H50" s="10"/>
      <c r="I50" s="10"/>
      <c r="J50" s="10"/>
      <c r="K50" s="10"/>
      <c r="L50" s="59"/>
      <c r="M50" s="10"/>
      <c r="N50" s="6"/>
      <c r="O50" s="7"/>
      <c r="P50" s="7"/>
      <c r="Q50" s="7"/>
      <c r="R50" s="7"/>
    </row>
    <row r="51" spans="1:18" ht="15.75">
      <c r="A51" s="8"/>
      <c r="B51" s="16"/>
      <c r="C51" s="16"/>
      <c r="D51" s="10"/>
      <c r="E51" s="10"/>
      <c r="F51" s="10"/>
      <c r="G51" s="10"/>
      <c r="H51" s="10"/>
      <c r="I51" s="10"/>
      <c r="J51" s="10"/>
      <c r="K51" s="10"/>
      <c r="L51" s="59"/>
      <c r="M51" s="10"/>
      <c r="N51" s="6"/>
      <c r="O51" s="7"/>
      <c r="P51" s="7"/>
      <c r="Q51" s="7"/>
      <c r="R51" s="7"/>
    </row>
    <row r="52" spans="1:14" s="165" customFormat="1" ht="63">
      <c r="A52" s="159"/>
      <c r="B52" s="160" t="s">
        <v>36</v>
      </c>
      <c r="C52" s="161" t="s">
        <v>145</v>
      </c>
      <c r="D52" s="161" t="s">
        <v>147</v>
      </c>
      <c r="E52" s="161"/>
      <c r="F52" s="161" t="s">
        <v>160</v>
      </c>
      <c r="G52" s="161"/>
      <c r="H52" s="161" t="s">
        <v>170</v>
      </c>
      <c r="I52" s="161"/>
      <c r="J52" s="161" t="s">
        <v>176</v>
      </c>
      <c r="K52" s="161"/>
      <c r="L52" s="162" t="s">
        <v>189</v>
      </c>
      <c r="M52" s="163"/>
      <c r="N52" s="164"/>
    </row>
    <row r="53" spans="1:18" ht="15.75">
      <c r="A53" s="27"/>
      <c r="B53" s="28" t="s">
        <v>37</v>
      </c>
      <c r="C53" s="38">
        <v>162582</v>
      </c>
      <c r="D53" s="60">
        <v>181549</v>
      </c>
      <c r="E53" s="38"/>
      <c r="F53" s="38">
        <v>3966</v>
      </c>
      <c r="G53" s="38"/>
      <c r="H53" s="38">
        <v>1290</v>
      </c>
      <c r="I53" s="38"/>
      <c r="J53" s="38">
        <v>0</v>
      </c>
      <c r="K53" s="38"/>
      <c r="L53" s="60">
        <f>D53-F53+H53-J53</f>
        <v>178873</v>
      </c>
      <c r="M53" s="28"/>
      <c r="N53" s="6"/>
      <c r="O53" s="7"/>
      <c r="P53" s="7"/>
      <c r="Q53" s="7"/>
      <c r="R53" s="7"/>
    </row>
    <row r="54" spans="1:18" ht="15.75">
      <c r="A54" s="27"/>
      <c r="B54" s="28" t="s">
        <v>38</v>
      </c>
      <c r="C54" s="38">
        <v>66</v>
      </c>
      <c r="D54" s="60">
        <v>0</v>
      </c>
      <c r="E54" s="38"/>
      <c r="F54" s="38">
        <v>0</v>
      </c>
      <c r="G54" s="38"/>
      <c r="H54" s="38">
        <v>0</v>
      </c>
      <c r="I54" s="38"/>
      <c r="J54" s="38">
        <v>0</v>
      </c>
      <c r="K54" s="38"/>
      <c r="L54" s="60">
        <f>D54-F54</f>
        <v>0</v>
      </c>
      <c r="M54" s="28"/>
      <c r="N54" s="6"/>
      <c r="O54" s="7"/>
      <c r="P54" s="7"/>
      <c r="Q54" s="7"/>
      <c r="R54" s="7"/>
    </row>
    <row r="55" spans="1:18" ht="15.75">
      <c r="A55" s="27"/>
      <c r="B55" s="28"/>
      <c r="C55" s="38"/>
      <c r="D55" s="60"/>
      <c r="E55" s="38"/>
      <c r="F55" s="38"/>
      <c r="G55" s="38"/>
      <c r="H55" s="38"/>
      <c r="I55" s="38"/>
      <c r="J55" s="38"/>
      <c r="K55" s="38"/>
      <c r="L55" s="60"/>
      <c r="M55" s="28"/>
      <c r="N55" s="6"/>
      <c r="O55" s="7"/>
      <c r="P55" s="7"/>
      <c r="Q55" s="7"/>
      <c r="R55" s="7"/>
    </row>
    <row r="56" spans="1:18" ht="15.75">
      <c r="A56" s="27"/>
      <c r="B56" s="28" t="s">
        <v>39</v>
      </c>
      <c r="C56" s="38">
        <f>SUM(C53:C55)</f>
        <v>162648</v>
      </c>
      <c r="D56" s="61">
        <v>181549</v>
      </c>
      <c r="E56" s="38"/>
      <c r="F56" s="38">
        <f>SUM(F53:F55)</f>
        <v>3966</v>
      </c>
      <c r="G56" s="38"/>
      <c r="H56" s="38">
        <f>SUM(H53:H55)</f>
        <v>1290</v>
      </c>
      <c r="I56" s="38"/>
      <c r="J56" s="38">
        <f>SUM(J53:J55)</f>
        <v>0</v>
      </c>
      <c r="K56" s="38"/>
      <c r="L56" s="61">
        <f>SUM(L53:L55)</f>
        <v>178873</v>
      </c>
      <c r="M56" s="28"/>
      <c r="N56" s="6"/>
      <c r="O56" s="7"/>
      <c r="P56" s="7"/>
      <c r="Q56" s="7"/>
      <c r="R56" s="7"/>
    </row>
    <row r="57" spans="1:18" ht="15.75">
      <c r="A57" s="27"/>
      <c r="B57" s="28"/>
      <c r="C57" s="38"/>
      <c r="D57" s="38"/>
      <c r="E57" s="38"/>
      <c r="F57" s="38"/>
      <c r="G57" s="38"/>
      <c r="H57" s="38"/>
      <c r="I57" s="38"/>
      <c r="J57" s="38"/>
      <c r="K57" s="38"/>
      <c r="L57" s="61"/>
      <c r="M57" s="28"/>
      <c r="N57" s="6"/>
      <c r="O57" s="7"/>
      <c r="P57" s="7"/>
      <c r="Q57" s="7"/>
      <c r="R57" s="7"/>
    </row>
    <row r="58" spans="1:18" ht="15.75">
      <c r="A58" s="8"/>
      <c r="B58" s="154" t="s">
        <v>40</v>
      </c>
      <c r="C58" s="62"/>
      <c r="D58" s="62"/>
      <c r="E58" s="62"/>
      <c r="F58" s="62"/>
      <c r="G58" s="62"/>
      <c r="H58" s="62"/>
      <c r="I58" s="62"/>
      <c r="J58" s="62"/>
      <c r="K58" s="62"/>
      <c r="L58" s="63"/>
      <c r="M58" s="10"/>
      <c r="N58" s="64"/>
      <c r="O58" s="7"/>
      <c r="P58" s="7"/>
      <c r="Q58" s="7"/>
      <c r="R58" s="7"/>
    </row>
    <row r="59" spans="1:18" ht="15.75">
      <c r="A59" s="8"/>
      <c r="B59" s="10"/>
      <c r="C59" s="62"/>
      <c r="D59" s="62"/>
      <c r="E59" s="62"/>
      <c r="F59" s="62"/>
      <c r="G59" s="62"/>
      <c r="H59" s="62"/>
      <c r="I59" s="62"/>
      <c r="J59" s="62"/>
      <c r="K59" s="62"/>
      <c r="L59" s="63"/>
      <c r="M59" s="10"/>
      <c r="N59" s="6"/>
      <c r="O59" s="7"/>
      <c r="P59" s="7"/>
      <c r="Q59" s="7"/>
      <c r="R59" s="7"/>
    </row>
    <row r="60" spans="1:18" ht="15.75">
      <c r="A60" s="27"/>
      <c r="B60" s="28" t="s">
        <v>37</v>
      </c>
      <c r="C60" s="38"/>
      <c r="D60" s="38"/>
      <c r="E60" s="38"/>
      <c r="F60" s="38"/>
      <c r="G60" s="38"/>
      <c r="H60" s="38"/>
      <c r="I60" s="38"/>
      <c r="J60" s="38"/>
      <c r="K60" s="38"/>
      <c r="L60" s="61"/>
      <c r="M60" s="28"/>
      <c r="N60" s="6"/>
      <c r="O60" s="7"/>
      <c r="P60" s="7"/>
      <c r="Q60" s="7"/>
      <c r="R60" s="7"/>
    </row>
    <row r="61" spans="1:18" ht="15.75">
      <c r="A61" s="27"/>
      <c r="B61" s="28" t="s">
        <v>38</v>
      </c>
      <c r="C61" s="38"/>
      <c r="D61" s="38"/>
      <c r="E61" s="38"/>
      <c r="F61" s="38"/>
      <c r="G61" s="38"/>
      <c r="H61" s="38"/>
      <c r="I61" s="38"/>
      <c r="J61" s="38"/>
      <c r="K61" s="38"/>
      <c r="L61" s="61"/>
      <c r="M61" s="28"/>
      <c r="N61" s="6"/>
      <c r="O61" s="7"/>
      <c r="P61" s="7"/>
      <c r="Q61" s="7"/>
      <c r="R61" s="7"/>
    </row>
    <row r="62" spans="1:18" ht="15.75">
      <c r="A62" s="27"/>
      <c r="B62" s="28"/>
      <c r="C62" s="38"/>
      <c r="D62" s="38"/>
      <c r="E62" s="38"/>
      <c r="F62" s="38"/>
      <c r="G62" s="38"/>
      <c r="H62" s="38"/>
      <c r="I62" s="38"/>
      <c r="J62" s="38"/>
      <c r="K62" s="38"/>
      <c r="L62" s="61"/>
      <c r="M62" s="28"/>
      <c r="N62" s="6"/>
      <c r="O62" s="7"/>
      <c r="P62" s="7"/>
      <c r="Q62" s="7"/>
      <c r="R62" s="7"/>
    </row>
    <row r="63" spans="1:18" ht="15.75">
      <c r="A63" s="27"/>
      <c r="B63" s="28" t="s">
        <v>39</v>
      </c>
      <c r="C63" s="38"/>
      <c r="D63" s="38"/>
      <c r="E63" s="38"/>
      <c r="F63" s="38"/>
      <c r="G63" s="38"/>
      <c r="H63" s="38"/>
      <c r="I63" s="38"/>
      <c r="J63" s="38"/>
      <c r="K63" s="38"/>
      <c r="L63" s="38"/>
      <c r="M63" s="28"/>
      <c r="N63" s="64"/>
      <c r="O63" s="7"/>
      <c r="P63" s="7"/>
      <c r="Q63" s="7"/>
      <c r="R63" s="7"/>
    </row>
    <row r="64" spans="1:18" ht="15.75">
      <c r="A64" s="27"/>
      <c r="B64" s="28"/>
      <c r="C64" s="38"/>
      <c r="D64" s="38"/>
      <c r="E64" s="38"/>
      <c r="F64" s="38"/>
      <c r="G64" s="38"/>
      <c r="H64" s="38"/>
      <c r="I64" s="38"/>
      <c r="J64" s="38"/>
      <c r="K64" s="38"/>
      <c r="L64" s="38"/>
      <c r="M64" s="28"/>
      <c r="N64" s="6"/>
      <c r="O64" s="7"/>
      <c r="P64" s="7"/>
      <c r="Q64" s="7"/>
      <c r="R64" s="7"/>
    </row>
    <row r="65" spans="1:18" ht="15.75">
      <c r="A65" s="27"/>
      <c r="B65" s="28" t="s">
        <v>41</v>
      </c>
      <c r="C65" s="38">
        <v>0</v>
      </c>
      <c r="D65" s="38">
        <v>0</v>
      </c>
      <c r="E65" s="38"/>
      <c r="F65" s="38"/>
      <c r="G65" s="38"/>
      <c r="H65" s="38"/>
      <c r="I65" s="38"/>
      <c r="J65" s="38"/>
      <c r="K65" s="38"/>
      <c r="L65" s="60">
        <f>D65-F65+H65-J65</f>
        <v>0</v>
      </c>
      <c r="M65" s="28"/>
      <c r="N65" s="6"/>
      <c r="O65" s="7"/>
      <c r="P65" s="7"/>
      <c r="Q65" s="7"/>
      <c r="R65" s="7"/>
    </row>
    <row r="66" spans="1:18" ht="15.75">
      <c r="A66" s="27"/>
      <c r="B66" s="28" t="s">
        <v>42</v>
      </c>
      <c r="C66" s="38">
        <v>22352</v>
      </c>
      <c r="D66" s="38">
        <v>0</v>
      </c>
      <c r="E66" s="38"/>
      <c r="F66" s="38"/>
      <c r="G66" s="38"/>
      <c r="H66" s="38"/>
      <c r="I66" s="38"/>
      <c r="J66" s="38"/>
      <c r="K66" s="38"/>
      <c r="L66" s="61">
        <v>0</v>
      </c>
      <c r="M66" s="28"/>
      <c r="N66" s="6"/>
      <c r="O66" s="7"/>
      <c r="P66" s="7"/>
      <c r="Q66" s="7"/>
      <c r="R66" s="7"/>
    </row>
    <row r="67" spans="1:18" ht="15.75">
      <c r="A67" s="27"/>
      <c r="B67" s="28" t="s">
        <v>43</v>
      </c>
      <c r="C67" s="38">
        <v>0</v>
      </c>
      <c r="D67" s="38">
        <f>L124</f>
        <v>0</v>
      </c>
      <c r="E67" s="38"/>
      <c r="F67" s="38"/>
      <c r="G67" s="38"/>
      <c r="H67" s="38"/>
      <c r="I67" s="38"/>
      <c r="J67" s="38"/>
      <c r="K67" s="38"/>
      <c r="L67" s="61">
        <f>SUM(C67:K67)</f>
        <v>0</v>
      </c>
      <c r="M67" s="28"/>
      <c r="N67" s="6"/>
      <c r="O67" s="7"/>
      <c r="P67" s="7"/>
      <c r="Q67" s="7"/>
      <c r="R67" s="7"/>
    </row>
    <row r="68" spans="1:18" ht="15.75">
      <c r="A68" s="27"/>
      <c r="B68" s="28" t="s">
        <v>44</v>
      </c>
      <c r="C68" s="61">
        <f>SUM(C56:C67)</f>
        <v>185000</v>
      </c>
      <c r="D68" s="61">
        <f>SUM(D56:D67)</f>
        <v>181549</v>
      </c>
      <c r="E68" s="38"/>
      <c r="F68" s="61"/>
      <c r="G68" s="38"/>
      <c r="H68" s="61"/>
      <c r="I68" s="38"/>
      <c r="J68" s="61"/>
      <c r="K68" s="38"/>
      <c r="L68" s="61">
        <f>SUM(L56:L67)</f>
        <v>178873</v>
      </c>
      <c r="M68" s="28"/>
      <c r="N68" s="6"/>
      <c r="O68" s="7"/>
      <c r="P68" s="7"/>
      <c r="Q68" s="7"/>
      <c r="R68" s="7"/>
    </row>
    <row r="69" spans="1:18" ht="15.75">
      <c r="A69" s="27"/>
      <c r="B69" s="28"/>
      <c r="C69" s="38"/>
      <c r="D69" s="38"/>
      <c r="E69" s="38"/>
      <c r="F69" s="38"/>
      <c r="G69" s="38"/>
      <c r="H69" s="38"/>
      <c r="I69" s="38"/>
      <c r="J69" s="38"/>
      <c r="K69" s="38"/>
      <c r="L69" s="61"/>
      <c r="M69" s="28"/>
      <c r="N69" s="6"/>
      <c r="O69" s="7"/>
      <c r="P69" s="7"/>
      <c r="Q69" s="7"/>
      <c r="R69" s="7"/>
    </row>
    <row r="70" spans="1:18" ht="15.75">
      <c r="A70" s="8"/>
      <c r="B70" s="10"/>
      <c r="C70" s="10"/>
      <c r="D70" s="10"/>
      <c r="E70" s="10"/>
      <c r="F70" s="10"/>
      <c r="G70" s="10"/>
      <c r="H70" s="10"/>
      <c r="I70" s="10"/>
      <c r="J70" s="10"/>
      <c r="K70" s="10"/>
      <c r="L70" s="10"/>
      <c r="M70" s="10"/>
      <c r="N70" s="6"/>
      <c r="O70" s="7"/>
      <c r="P70" s="7"/>
      <c r="Q70" s="7"/>
      <c r="R70" s="7"/>
    </row>
    <row r="71" spans="1:18" ht="15.75">
      <c r="A71" s="8"/>
      <c r="B71" s="58" t="s">
        <v>45</v>
      </c>
      <c r="C71" s="17"/>
      <c r="D71" s="17"/>
      <c r="E71" s="17"/>
      <c r="F71" s="17"/>
      <c r="G71" s="17"/>
      <c r="H71" s="17"/>
      <c r="I71" s="20"/>
      <c r="J71" s="20" t="s">
        <v>177</v>
      </c>
      <c r="K71" s="20"/>
      <c r="L71" s="20" t="s">
        <v>190</v>
      </c>
      <c r="M71" s="17"/>
      <c r="N71" s="6"/>
      <c r="O71" s="7"/>
      <c r="P71" s="7"/>
      <c r="Q71" s="7"/>
      <c r="R71" s="7"/>
    </row>
    <row r="72" spans="1:18" ht="15.75">
      <c r="A72" s="27"/>
      <c r="B72" s="28" t="s">
        <v>46</v>
      </c>
      <c r="C72" s="28"/>
      <c r="D72" s="28"/>
      <c r="E72" s="28"/>
      <c r="F72" s="28"/>
      <c r="G72" s="28"/>
      <c r="H72" s="28"/>
      <c r="I72" s="28"/>
      <c r="J72" s="38">
        <v>0</v>
      </c>
      <c r="K72" s="28"/>
      <c r="L72" s="60">
        <v>0</v>
      </c>
      <c r="M72" s="28"/>
      <c r="N72" s="6"/>
      <c r="O72" s="7"/>
      <c r="P72" s="7"/>
      <c r="Q72" s="7"/>
      <c r="R72" s="7"/>
    </row>
    <row r="73" spans="1:18" ht="15.75">
      <c r="A73" s="27"/>
      <c r="B73" s="28" t="s">
        <v>47</v>
      </c>
      <c r="C73" s="47" t="s">
        <v>146</v>
      </c>
      <c r="D73" s="65">
        <v>36524</v>
      </c>
      <c r="E73" s="28"/>
      <c r="F73" s="28"/>
      <c r="G73" s="28"/>
      <c r="H73" s="28"/>
      <c r="I73" s="28"/>
      <c r="J73" s="38">
        <v>3966</v>
      </c>
      <c r="K73" s="28"/>
      <c r="L73" s="60"/>
      <c r="M73" s="28"/>
      <c r="N73" s="6"/>
      <c r="O73" s="7"/>
      <c r="P73" s="7"/>
      <c r="Q73" s="7"/>
      <c r="R73" s="7"/>
    </row>
    <row r="74" spans="1:18" ht="15.75">
      <c r="A74" s="27"/>
      <c r="B74" s="28" t="s">
        <v>48</v>
      </c>
      <c r="C74" s="28"/>
      <c r="D74" s="28"/>
      <c r="E74" s="28"/>
      <c r="F74" s="28"/>
      <c r="G74" s="28"/>
      <c r="H74" s="28"/>
      <c r="I74" s="28"/>
      <c r="J74" s="38"/>
      <c r="K74" s="28"/>
      <c r="L74" s="60">
        <f>6+1168+89+19+1160+33+20+42+1157+13+38-905+360</f>
        <v>3200</v>
      </c>
      <c r="M74" s="28"/>
      <c r="N74" s="6"/>
      <c r="O74" s="7"/>
      <c r="P74" s="7"/>
      <c r="Q74" s="7"/>
      <c r="R74" s="7"/>
    </row>
    <row r="75" spans="1:18" ht="15.75">
      <c r="A75" s="27"/>
      <c r="B75" s="28" t="s">
        <v>49</v>
      </c>
      <c r="C75" s="28"/>
      <c r="D75" s="28"/>
      <c r="E75" s="28"/>
      <c r="F75" s="28"/>
      <c r="G75" s="28"/>
      <c r="H75" s="28"/>
      <c r="I75" s="28"/>
      <c r="J75" s="38"/>
      <c r="K75" s="28"/>
      <c r="L75" s="60">
        <v>70</v>
      </c>
      <c r="M75" s="28"/>
      <c r="N75" s="6"/>
      <c r="O75" s="7"/>
      <c r="P75" s="7"/>
      <c r="Q75" s="7"/>
      <c r="R75" s="7"/>
    </row>
    <row r="76" spans="1:18" ht="15.75">
      <c r="A76" s="27"/>
      <c r="B76" s="28" t="s">
        <v>50</v>
      </c>
      <c r="C76" s="28"/>
      <c r="D76" s="28"/>
      <c r="E76" s="28"/>
      <c r="F76" s="28"/>
      <c r="G76" s="28"/>
      <c r="H76" s="28"/>
      <c r="I76" s="28"/>
      <c r="J76" s="38">
        <f>SUM(J72:J75)</f>
        <v>3966</v>
      </c>
      <c r="K76" s="28"/>
      <c r="L76" s="61">
        <f>SUM(L72:L75)</f>
        <v>3270</v>
      </c>
      <c r="M76" s="28"/>
      <c r="N76" s="6"/>
      <c r="O76" s="7"/>
      <c r="P76" s="7"/>
      <c r="Q76" s="7"/>
      <c r="R76" s="7"/>
    </row>
    <row r="77" spans="1:18" ht="15.75">
      <c r="A77" s="27"/>
      <c r="B77" s="28" t="s">
        <v>51</v>
      </c>
      <c r="C77" s="28"/>
      <c r="D77" s="28"/>
      <c r="E77" s="28"/>
      <c r="F77" s="28"/>
      <c r="G77" s="28"/>
      <c r="H77" s="28"/>
      <c r="I77" s="28"/>
      <c r="J77" s="38">
        <v>0</v>
      </c>
      <c r="K77" s="28"/>
      <c r="L77" s="60">
        <v>0</v>
      </c>
      <c r="M77" s="28"/>
      <c r="N77" s="6"/>
      <c r="O77" s="7"/>
      <c r="P77" s="7"/>
      <c r="Q77" s="7"/>
      <c r="R77" s="7"/>
    </row>
    <row r="78" spans="1:18" ht="15.75">
      <c r="A78" s="27"/>
      <c r="B78" s="28" t="s">
        <v>52</v>
      </c>
      <c r="C78" s="28"/>
      <c r="D78" s="28"/>
      <c r="E78" s="28"/>
      <c r="F78" s="28"/>
      <c r="G78" s="28"/>
      <c r="H78" s="28"/>
      <c r="I78" s="28"/>
      <c r="J78" s="38">
        <f>J76+J77</f>
        <v>3966</v>
      </c>
      <c r="K78" s="28"/>
      <c r="L78" s="61">
        <f>L76+L77</f>
        <v>3270</v>
      </c>
      <c r="M78" s="28"/>
      <c r="N78" s="6"/>
      <c r="O78" s="7"/>
      <c r="P78" s="7"/>
      <c r="Q78" s="7"/>
      <c r="R78" s="7"/>
    </row>
    <row r="79" spans="1:18" ht="15.75">
      <c r="A79" s="27"/>
      <c r="B79" s="166" t="s">
        <v>53</v>
      </c>
      <c r="C79" s="66"/>
      <c r="D79" s="28"/>
      <c r="E79" s="28"/>
      <c r="F79" s="28"/>
      <c r="G79" s="28"/>
      <c r="H79" s="28"/>
      <c r="I79" s="28"/>
      <c r="J79" s="38"/>
      <c r="K79" s="28"/>
      <c r="L79" s="60"/>
      <c r="M79" s="28"/>
      <c r="N79" s="6"/>
      <c r="O79" s="7"/>
      <c r="P79" s="7"/>
      <c r="Q79" s="7"/>
      <c r="R79" s="7"/>
    </row>
    <row r="80" spans="1:18" ht="15.75">
      <c r="A80" s="27">
        <v>1</v>
      </c>
      <c r="B80" s="28" t="s">
        <v>54</v>
      </c>
      <c r="C80" s="28"/>
      <c r="D80" s="28"/>
      <c r="E80" s="28"/>
      <c r="F80" s="28"/>
      <c r="G80" s="28"/>
      <c r="H80" s="28"/>
      <c r="I80" s="28"/>
      <c r="J80" s="28"/>
      <c r="K80" s="28"/>
      <c r="L80" s="60">
        <v>0</v>
      </c>
      <c r="M80" s="28"/>
      <c r="N80" s="6"/>
      <c r="O80" s="7"/>
      <c r="P80" s="7"/>
      <c r="Q80" s="7"/>
      <c r="R80" s="7"/>
    </row>
    <row r="81" spans="1:18" ht="15.75">
      <c r="A81" s="27">
        <v>2</v>
      </c>
      <c r="B81" s="28" t="s">
        <v>55</v>
      </c>
      <c r="C81" s="28"/>
      <c r="D81" s="28"/>
      <c r="E81" s="28"/>
      <c r="F81" s="28"/>
      <c r="G81" s="28"/>
      <c r="H81" s="28"/>
      <c r="I81" s="28"/>
      <c r="J81" s="28"/>
      <c r="K81" s="28"/>
      <c r="L81" s="60">
        <v>-3</v>
      </c>
      <c r="M81" s="28"/>
      <c r="N81" s="6"/>
      <c r="O81" s="7"/>
      <c r="P81" s="7"/>
      <c r="Q81" s="7"/>
      <c r="R81" s="7"/>
    </row>
    <row r="82" spans="1:18" ht="15.75">
      <c r="A82" s="27">
        <v>3</v>
      </c>
      <c r="B82" s="28" t="s">
        <v>56</v>
      </c>
      <c r="C82" s="28"/>
      <c r="D82" s="28"/>
      <c r="E82" s="28"/>
      <c r="F82" s="28"/>
      <c r="G82" s="28"/>
      <c r="H82" s="28"/>
      <c r="I82" s="28"/>
      <c r="J82" s="28"/>
      <c r="K82" s="28"/>
      <c r="L82" s="60">
        <v>-144</v>
      </c>
      <c r="M82" s="28"/>
      <c r="N82" s="6"/>
      <c r="O82" s="7"/>
      <c r="P82" s="7"/>
      <c r="Q82" s="7"/>
      <c r="R82" s="7"/>
    </row>
    <row r="83" spans="1:18" ht="15.75">
      <c r="A83" s="27">
        <v>4</v>
      </c>
      <c r="B83" s="28" t="s">
        <v>57</v>
      </c>
      <c r="C83" s="28"/>
      <c r="D83" s="28"/>
      <c r="E83" s="28"/>
      <c r="F83" s="28"/>
      <c r="G83" s="28"/>
      <c r="H83" s="28"/>
      <c r="I83" s="28"/>
      <c r="J83" s="28"/>
      <c r="K83" s="28"/>
      <c r="L83" s="60">
        <v>57</v>
      </c>
      <c r="M83" s="28"/>
      <c r="N83" s="6"/>
      <c r="O83" s="7"/>
      <c r="P83" s="7"/>
      <c r="Q83" s="7"/>
      <c r="R83" s="7"/>
    </row>
    <row r="84" spans="1:18" ht="15.75">
      <c r="A84" s="27">
        <v>5</v>
      </c>
      <c r="B84" s="28" t="s">
        <v>58</v>
      </c>
      <c r="C84" s="28"/>
      <c r="D84" s="28"/>
      <c r="E84" s="28"/>
      <c r="F84" s="28"/>
      <c r="G84" s="28"/>
      <c r="H84" s="28"/>
      <c r="I84" s="28"/>
      <c r="J84" s="28"/>
      <c r="K84" s="28"/>
      <c r="L84" s="60">
        <v>-2652</v>
      </c>
      <c r="M84" s="28"/>
      <c r="N84" s="6"/>
      <c r="O84" s="7"/>
      <c r="P84" s="7"/>
      <c r="Q84" s="7"/>
      <c r="R84" s="7"/>
    </row>
    <row r="85" spans="1:18" ht="15.75">
      <c r="A85" s="27">
        <v>6</v>
      </c>
      <c r="B85" s="28" t="s">
        <v>59</v>
      </c>
      <c r="C85" s="28"/>
      <c r="D85" s="28"/>
      <c r="E85" s="28"/>
      <c r="F85" s="28"/>
      <c r="G85" s="28"/>
      <c r="H85" s="28"/>
      <c r="I85" s="28"/>
      <c r="J85" s="28"/>
      <c r="K85" s="28"/>
      <c r="L85" s="60">
        <v>-297</v>
      </c>
      <c r="M85" s="28"/>
      <c r="N85" s="6"/>
      <c r="O85" s="7"/>
      <c r="P85" s="7"/>
      <c r="Q85" s="7"/>
      <c r="R85" s="7"/>
    </row>
    <row r="86" spans="1:18" ht="15.75">
      <c r="A86" s="27">
        <v>7</v>
      </c>
      <c r="B86" s="28" t="s">
        <v>60</v>
      </c>
      <c r="C86" s="28"/>
      <c r="D86" s="28"/>
      <c r="E86" s="28"/>
      <c r="F86" s="28"/>
      <c r="G86" s="28"/>
      <c r="H86" s="28"/>
      <c r="I86" s="28"/>
      <c r="J86" s="28"/>
      <c r="K86" s="28"/>
      <c r="L86" s="60">
        <v>-3</v>
      </c>
      <c r="M86" s="28"/>
      <c r="N86" s="6"/>
      <c r="O86" s="7"/>
      <c r="P86" s="7"/>
      <c r="Q86" s="7"/>
      <c r="R86" s="7"/>
    </row>
    <row r="87" spans="1:18" ht="15.75">
      <c r="A87" s="27">
        <v>8</v>
      </c>
      <c r="B87" s="28" t="s">
        <v>61</v>
      </c>
      <c r="C87" s="28"/>
      <c r="D87" s="28"/>
      <c r="E87" s="28"/>
      <c r="F87" s="28"/>
      <c r="G87" s="28"/>
      <c r="H87" s="28"/>
      <c r="I87" s="28"/>
      <c r="J87" s="28"/>
      <c r="K87" s="28"/>
      <c r="L87" s="60">
        <v>0</v>
      </c>
      <c r="M87" s="28"/>
      <c r="N87" s="6"/>
      <c r="O87" s="7"/>
      <c r="P87" s="7"/>
      <c r="Q87" s="7"/>
      <c r="R87" s="7"/>
    </row>
    <row r="88" spans="1:18" ht="15.75">
      <c r="A88" s="27">
        <v>9</v>
      </c>
      <c r="B88" s="28" t="s">
        <v>62</v>
      </c>
      <c r="C88" s="28"/>
      <c r="D88" s="28"/>
      <c r="E88" s="28"/>
      <c r="F88" s="28"/>
      <c r="G88" s="28"/>
      <c r="H88" s="28"/>
      <c r="I88" s="28"/>
      <c r="J88" s="28"/>
      <c r="K88" s="28"/>
      <c r="L88" s="60">
        <v>0</v>
      </c>
      <c r="M88" s="28"/>
      <c r="N88" s="6"/>
      <c r="O88" s="7"/>
      <c r="P88" s="7"/>
      <c r="Q88" s="7"/>
      <c r="R88" s="7"/>
    </row>
    <row r="89" spans="1:18" ht="15.75">
      <c r="A89" s="27">
        <v>10</v>
      </c>
      <c r="B89" s="28" t="s">
        <v>63</v>
      </c>
      <c r="C89" s="28"/>
      <c r="D89" s="28"/>
      <c r="E89" s="28"/>
      <c r="F89" s="28"/>
      <c r="G89" s="28"/>
      <c r="H89" s="28"/>
      <c r="I89" s="28"/>
      <c r="J89" s="28"/>
      <c r="K89" s="28"/>
      <c r="L89" s="60">
        <v>0</v>
      </c>
      <c r="M89" s="28"/>
      <c r="N89" s="6"/>
      <c r="O89" s="7"/>
      <c r="P89" s="7"/>
      <c r="Q89" s="7"/>
      <c r="R89" s="7"/>
    </row>
    <row r="90" spans="1:18" ht="15.75">
      <c r="A90" s="27">
        <v>11</v>
      </c>
      <c r="B90" s="28" t="s">
        <v>64</v>
      </c>
      <c r="C90" s="28"/>
      <c r="D90" s="28"/>
      <c r="E90" s="28"/>
      <c r="F90" s="28"/>
      <c r="G90" s="28"/>
      <c r="H90" s="28"/>
      <c r="I90" s="28"/>
      <c r="J90" s="28"/>
      <c r="K90" s="28"/>
      <c r="L90" s="60">
        <v>0</v>
      </c>
      <c r="M90" s="28"/>
      <c r="N90" s="6"/>
      <c r="O90" s="7"/>
      <c r="P90" s="7"/>
      <c r="Q90" s="7"/>
      <c r="R90" s="7"/>
    </row>
    <row r="91" spans="1:18" ht="15.75">
      <c r="A91" s="27">
        <v>12</v>
      </c>
      <c r="B91" s="28" t="s">
        <v>65</v>
      </c>
      <c r="C91" s="28"/>
      <c r="D91" s="28"/>
      <c r="E91" s="28"/>
      <c r="F91" s="28"/>
      <c r="G91" s="28"/>
      <c r="H91" s="28"/>
      <c r="I91" s="28"/>
      <c r="J91" s="28"/>
      <c r="K91" s="28"/>
      <c r="L91" s="60">
        <v>-149</v>
      </c>
      <c r="M91" s="28"/>
      <c r="N91" s="6"/>
      <c r="O91" s="7"/>
      <c r="P91" s="7"/>
      <c r="Q91" s="7"/>
      <c r="R91" s="7"/>
    </row>
    <row r="92" spans="1:18" ht="15.75">
      <c r="A92" s="27">
        <v>13</v>
      </c>
      <c r="B92" s="28" t="s">
        <v>66</v>
      </c>
      <c r="C92" s="28"/>
      <c r="D92" s="28"/>
      <c r="E92" s="28"/>
      <c r="F92" s="28"/>
      <c r="G92" s="28"/>
      <c r="H92" s="28"/>
      <c r="I92" s="28"/>
      <c r="J92" s="28"/>
      <c r="K92" s="28"/>
      <c r="L92" s="60">
        <f>-SUM(L78:L91)</f>
        <v>-79</v>
      </c>
      <c r="M92" s="28"/>
      <c r="N92" s="6"/>
      <c r="O92" s="7"/>
      <c r="P92" s="7"/>
      <c r="Q92" s="7"/>
      <c r="R92" s="7"/>
    </row>
    <row r="93" spans="1:18" ht="15.75">
      <c r="A93" s="27"/>
      <c r="B93" s="166" t="s">
        <v>67</v>
      </c>
      <c r="C93" s="66"/>
      <c r="D93" s="28"/>
      <c r="E93" s="28"/>
      <c r="F93" s="28"/>
      <c r="G93" s="28"/>
      <c r="H93" s="28"/>
      <c r="I93" s="28"/>
      <c r="J93" s="28"/>
      <c r="K93" s="28"/>
      <c r="L93" s="67"/>
      <c r="M93" s="28"/>
      <c r="N93" s="6"/>
      <c r="O93" s="7"/>
      <c r="P93" s="7"/>
      <c r="Q93" s="7"/>
      <c r="R93" s="7"/>
    </row>
    <row r="94" spans="1:18" ht="15.75">
      <c r="A94" s="27"/>
      <c r="B94" s="28" t="s">
        <v>68</v>
      </c>
      <c r="C94" s="66"/>
      <c r="D94" s="28"/>
      <c r="E94" s="28"/>
      <c r="F94" s="28"/>
      <c r="G94" s="28"/>
      <c r="H94" s="28"/>
      <c r="I94" s="28"/>
      <c r="J94" s="38">
        <f>-J140</f>
        <v>-103</v>
      </c>
      <c r="K94" s="38"/>
      <c r="L94" s="60"/>
      <c r="M94" s="28"/>
      <c r="N94" s="6"/>
      <c r="O94" s="7"/>
      <c r="P94" s="7"/>
      <c r="Q94" s="7"/>
      <c r="R94" s="7"/>
    </row>
    <row r="95" spans="1:18" ht="15.75">
      <c r="A95" s="27"/>
      <c r="B95" s="28" t="s">
        <v>69</v>
      </c>
      <c r="C95" s="28"/>
      <c r="D95" s="28"/>
      <c r="E95" s="28"/>
      <c r="F95" s="28"/>
      <c r="G95" s="28"/>
      <c r="H95" s="28"/>
      <c r="I95" s="28"/>
      <c r="J95" s="38">
        <f>-H140</f>
        <v>-1187</v>
      </c>
      <c r="K95" s="38"/>
      <c r="L95" s="60"/>
      <c r="M95" s="28"/>
      <c r="N95" s="6"/>
      <c r="O95" s="7"/>
      <c r="P95" s="7"/>
      <c r="Q95" s="7"/>
      <c r="R95" s="7"/>
    </row>
    <row r="96" spans="1:18" ht="15.75">
      <c r="A96" s="27"/>
      <c r="B96" s="28" t="s">
        <v>70</v>
      </c>
      <c r="C96" s="28"/>
      <c r="D96" s="28"/>
      <c r="E96" s="28"/>
      <c r="F96" s="28"/>
      <c r="G96" s="28"/>
      <c r="H96" s="28"/>
      <c r="I96" s="28"/>
      <c r="J96" s="38">
        <v>-2676</v>
      </c>
      <c r="K96" s="38"/>
      <c r="L96" s="60"/>
      <c r="M96" s="28"/>
      <c r="N96" s="6"/>
      <c r="O96" s="7"/>
      <c r="P96" s="7"/>
      <c r="Q96" s="7"/>
      <c r="R96" s="7"/>
    </row>
    <row r="97" spans="1:18" ht="15.75">
      <c r="A97" s="27"/>
      <c r="B97" s="28" t="s">
        <v>71</v>
      </c>
      <c r="C97" s="28"/>
      <c r="D97" s="28"/>
      <c r="E97" s="28"/>
      <c r="F97" s="28"/>
      <c r="G97" s="28"/>
      <c r="H97" s="28"/>
      <c r="I97" s="28"/>
      <c r="J97" s="38">
        <v>0</v>
      </c>
      <c r="K97" s="38"/>
      <c r="L97" s="60"/>
      <c r="M97" s="28"/>
      <c r="N97" s="6"/>
      <c r="O97" s="7"/>
      <c r="P97" s="7"/>
      <c r="Q97" s="7"/>
      <c r="R97" s="7"/>
    </row>
    <row r="98" spans="1:18" ht="15.75">
      <c r="A98" s="27"/>
      <c r="B98" s="28" t="s">
        <v>72</v>
      </c>
      <c r="C98" s="28"/>
      <c r="D98" s="28"/>
      <c r="E98" s="28"/>
      <c r="F98" s="28"/>
      <c r="G98" s="28"/>
      <c r="H98" s="28"/>
      <c r="I98" s="28"/>
      <c r="J98" s="38">
        <f>SUM(J79:J97)</f>
        <v>-3966</v>
      </c>
      <c r="K98" s="38"/>
      <c r="L98" s="38">
        <f>SUM(L79:L97)</f>
        <v>-3270</v>
      </c>
      <c r="M98" s="28"/>
      <c r="N98" s="6"/>
      <c r="O98" s="7"/>
      <c r="P98" s="7"/>
      <c r="Q98" s="7"/>
      <c r="R98" s="7"/>
    </row>
    <row r="99" spans="1:18" ht="15.75">
      <c r="A99" s="27"/>
      <c r="B99" s="28" t="s">
        <v>73</v>
      </c>
      <c r="C99" s="28"/>
      <c r="D99" s="28"/>
      <c r="E99" s="28"/>
      <c r="F99" s="28"/>
      <c r="G99" s="28"/>
      <c r="H99" s="28"/>
      <c r="I99" s="28"/>
      <c r="J99" s="38">
        <f>J78+J98</f>
        <v>0</v>
      </c>
      <c r="K99" s="38"/>
      <c r="L99" s="38">
        <f>L78+L98</f>
        <v>0</v>
      </c>
      <c r="M99" s="28"/>
      <c r="N99" s="6"/>
      <c r="O99" s="7"/>
      <c r="P99" s="7"/>
      <c r="Q99" s="7"/>
      <c r="R99" s="7"/>
    </row>
    <row r="100" spans="1:18" ht="15.75">
      <c r="A100" s="27"/>
      <c r="B100" s="28"/>
      <c r="C100" s="28"/>
      <c r="D100" s="28"/>
      <c r="E100" s="28"/>
      <c r="F100" s="28"/>
      <c r="G100" s="28"/>
      <c r="H100" s="28"/>
      <c r="I100" s="28"/>
      <c r="J100" s="38"/>
      <c r="K100" s="38"/>
      <c r="L100" s="38"/>
      <c r="M100" s="28"/>
      <c r="N100" s="6"/>
      <c r="O100" s="7"/>
      <c r="P100" s="7"/>
      <c r="Q100" s="7"/>
      <c r="R100" s="7"/>
    </row>
    <row r="101" spans="1:18" ht="15.75">
      <c r="A101" s="8"/>
      <c r="B101" s="10"/>
      <c r="C101" s="10"/>
      <c r="D101" s="10"/>
      <c r="E101" s="10"/>
      <c r="F101" s="10"/>
      <c r="G101" s="10"/>
      <c r="H101" s="10"/>
      <c r="I101" s="10"/>
      <c r="J101" s="62"/>
      <c r="K101" s="62"/>
      <c r="L101" s="62"/>
      <c r="M101" s="10"/>
      <c r="N101" s="6"/>
      <c r="O101" s="7"/>
      <c r="P101" s="7"/>
      <c r="Q101" s="7"/>
      <c r="R101" s="7"/>
    </row>
    <row r="102" spans="1:18" ht="19.5" thickBot="1">
      <c r="A102" s="138"/>
      <c r="B102" s="139" t="s">
        <v>193</v>
      </c>
      <c r="C102" s="140"/>
      <c r="D102" s="140"/>
      <c r="E102" s="140"/>
      <c r="F102" s="140"/>
      <c r="G102" s="140"/>
      <c r="H102" s="140"/>
      <c r="I102" s="140"/>
      <c r="J102" s="143"/>
      <c r="K102" s="143"/>
      <c r="L102" s="143"/>
      <c r="M102" s="142"/>
      <c r="N102" s="6"/>
      <c r="O102" s="7"/>
      <c r="P102" s="7"/>
      <c r="Q102" s="7"/>
      <c r="R102" s="7"/>
    </row>
    <row r="103" spans="1:18" ht="12" customHeight="1">
      <c r="A103" s="2"/>
      <c r="B103" s="5"/>
      <c r="C103" s="5"/>
      <c r="D103" s="5"/>
      <c r="E103" s="5"/>
      <c r="F103" s="5"/>
      <c r="G103" s="5"/>
      <c r="H103" s="5"/>
      <c r="I103" s="5"/>
      <c r="J103" s="5"/>
      <c r="K103" s="5"/>
      <c r="L103" s="57"/>
      <c r="M103" s="5"/>
      <c r="N103" s="6"/>
      <c r="O103" s="7"/>
      <c r="P103" s="7"/>
      <c r="Q103" s="7"/>
      <c r="R103" s="7"/>
    </row>
    <row r="104" spans="1:18" ht="12" customHeight="1">
      <c r="A104" s="8"/>
      <c r="B104" s="10"/>
      <c r="C104" s="10"/>
      <c r="D104" s="10"/>
      <c r="E104" s="10"/>
      <c r="F104" s="10"/>
      <c r="G104" s="10"/>
      <c r="H104" s="10"/>
      <c r="I104" s="10"/>
      <c r="J104" s="10"/>
      <c r="K104" s="10"/>
      <c r="L104" s="59"/>
      <c r="M104" s="10"/>
      <c r="N104" s="6"/>
      <c r="O104" s="7"/>
      <c r="P104" s="7"/>
      <c r="Q104" s="7"/>
      <c r="R104" s="7"/>
    </row>
    <row r="105" spans="1:18" ht="15.75">
      <c r="A105" s="8"/>
      <c r="B105" s="58" t="s">
        <v>74</v>
      </c>
      <c r="C105" s="16"/>
      <c r="D105" s="10"/>
      <c r="E105" s="10"/>
      <c r="F105" s="10"/>
      <c r="G105" s="10"/>
      <c r="H105" s="10"/>
      <c r="I105" s="10"/>
      <c r="J105" s="10"/>
      <c r="K105" s="10"/>
      <c r="L105" s="59"/>
      <c r="M105" s="10"/>
      <c r="N105" s="6"/>
      <c r="O105" s="7"/>
      <c r="P105" s="7"/>
      <c r="Q105" s="7"/>
      <c r="R105" s="7"/>
    </row>
    <row r="106" spans="1:18" ht="15.75">
      <c r="A106" s="8"/>
      <c r="B106" s="23"/>
      <c r="C106" s="16"/>
      <c r="D106" s="10"/>
      <c r="E106" s="10"/>
      <c r="F106" s="10"/>
      <c r="G106" s="10"/>
      <c r="H106" s="10"/>
      <c r="I106" s="10"/>
      <c r="J106" s="10"/>
      <c r="K106" s="10"/>
      <c r="L106" s="59"/>
      <c r="M106" s="10"/>
      <c r="N106" s="6"/>
      <c r="O106" s="7"/>
      <c r="P106" s="7"/>
      <c r="Q106" s="7"/>
      <c r="R106" s="7"/>
    </row>
    <row r="107" spans="1:18" ht="15.75">
      <c r="A107" s="8"/>
      <c r="B107" s="167" t="s">
        <v>75</v>
      </c>
      <c r="C107" s="16"/>
      <c r="D107" s="10"/>
      <c r="E107" s="10"/>
      <c r="F107" s="10"/>
      <c r="G107" s="10"/>
      <c r="H107" s="10"/>
      <c r="I107" s="10"/>
      <c r="J107" s="10"/>
      <c r="K107" s="10"/>
      <c r="L107" s="59"/>
      <c r="M107" s="10"/>
      <c r="N107" s="6"/>
      <c r="O107" s="7"/>
      <c r="P107" s="7"/>
      <c r="Q107" s="7"/>
      <c r="R107" s="7"/>
    </row>
    <row r="108" spans="1:18" ht="15.75">
      <c r="A108" s="27"/>
      <c r="B108" s="28" t="s">
        <v>76</v>
      </c>
      <c r="C108" s="28"/>
      <c r="D108" s="28"/>
      <c r="E108" s="28"/>
      <c r="F108" s="28"/>
      <c r="G108" s="28"/>
      <c r="H108" s="28"/>
      <c r="I108" s="28"/>
      <c r="J108" s="28"/>
      <c r="K108" s="28"/>
      <c r="L108" s="60">
        <v>4625</v>
      </c>
      <c r="M108" s="28"/>
      <c r="N108" s="6"/>
      <c r="O108" s="7"/>
      <c r="P108" s="7"/>
      <c r="Q108" s="7"/>
      <c r="R108" s="7"/>
    </row>
    <row r="109" spans="1:18" ht="15.75">
      <c r="A109" s="27"/>
      <c r="B109" s="28" t="s">
        <v>77</v>
      </c>
      <c r="C109" s="28"/>
      <c r="D109" s="28"/>
      <c r="E109" s="28"/>
      <c r="F109" s="28"/>
      <c r="G109" s="28"/>
      <c r="H109" s="28"/>
      <c r="I109" s="28"/>
      <c r="J109" s="28"/>
      <c r="K109" s="28"/>
      <c r="L109" s="60">
        <v>4625</v>
      </c>
      <c r="M109" s="28"/>
      <c r="N109" s="6"/>
      <c r="O109" s="7"/>
      <c r="P109" s="7"/>
      <c r="Q109" s="7"/>
      <c r="R109" s="7"/>
    </row>
    <row r="110" spans="1:18" ht="15.75">
      <c r="A110" s="27"/>
      <c r="B110" s="28" t="s">
        <v>78</v>
      </c>
      <c r="C110" s="28"/>
      <c r="D110" s="28"/>
      <c r="E110" s="28"/>
      <c r="F110" s="28"/>
      <c r="G110" s="28"/>
      <c r="H110" s="28"/>
      <c r="I110" s="28"/>
      <c r="J110" s="28"/>
      <c r="K110" s="28"/>
      <c r="L110" s="60">
        <v>0</v>
      </c>
      <c r="M110" s="28"/>
      <c r="N110" s="6"/>
      <c r="O110" s="7"/>
      <c r="P110" s="7"/>
      <c r="Q110" s="7"/>
      <c r="R110" s="7"/>
    </row>
    <row r="111" spans="1:18" ht="15.75">
      <c r="A111" s="27"/>
      <c r="B111" s="28" t="s">
        <v>79</v>
      </c>
      <c r="C111" s="28"/>
      <c r="D111" s="28"/>
      <c r="E111" s="28"/>
      <c r="F111" s="28"/>
      <c r="G111" s="28"/>
      <c r="H111" s="28"/>
      <c r="I111" s="28"/>
      <c r="J111" s="28"/>
      <c r="K111" s="28"/>
      <c r="L111" s="60">
        <v>0</v>
      </c>
      <c r="M111" s="28"/>
      <c r="N111" s="6"/>
      <c r="O111" s="7"/>
      <c r="P111" s="7"/>
      <c r="Q111" s="7"/>
      <c r="R111" s="7"/>
    </row>
    <row r="112" spans="1:18" ht="15.75">
      <c r="A112" s="27"/>
      <c r="B112" s="28" t="s">
        <v>80</v>
      </c>
      <c r="C112" s="28"/>
      <c r="D112" s="28"/>
      <c r="E112" s="28"/>
      <c r="F112" s="28"/>
      <c r="G112" s="28"/>
      <c r="H112" s="28"/>
      <c r="I112" s="28"/>
      <c r="J112" s="28"/>
      <c r="K112" s="28"/>
      <c r="L112" s="60">
        <v>0</v>
      </c>
      <c r="M112" s="28"/>
      <c r="N112" s="6"/>
      <c r="O112" s="7"/>
      <c r="P112" s="7"/>
      <c r="Q112" s="7"/>
      <c r="R112" s="7"/>
    </row>
    <row r="113" spans="1:18" ht="15.75">
      <c r="A113" s="27"/>
      <c r="B113" s="28" t="s">
        <v>58</v>
      </c>
      <c r="C113" s="28"/>
      <c r="D113" s="28"/>
      <c r="E113" s="28"/>
      <c r="F113" s="28"/>
      <c r="G113" s="28"/>
      <c r="H113" s="28"/>
      <c r="I113" s="28"/>
      <c r="J113" s="28"/>
      <c r="K113" s="28"/>
      <c r="L113" s="60">
        <v>0</v>
      </c>
      <c r="M113" s="28"/>
      <c r="N113" s="6"/>
      <c r="O113" s="7"/>
      <c r="P113" s="7"/>
      <c r="Q113" s="7"/>
      <c r="R113" s="7"/>
    </row>
    <row r="114" spans="1:18" ht="15.75">
      <c r="A114" s="27"/>
      <c r="B114" s="28" t="s">
        <v>59</v>
      </c>
      <c r="C114" s="28"/>
      <c r="D114" s="28"/>
      <c r="E114" s="28"/>
      <c r="F114" s="28"/>
      <c r="G114" s="28"/>
      <c r="H114" s="28"/>
      <c r="I114" s="28"/>
      <c r="J114" s="28"/>
      <c r="K114" s="28"/>
      <c r="L114" s="60">
        <v>0</v>
      </c>
      <c r="M114" s="28"/>
      <c r="N114" s="6"/>
      <c r="O114" s="7"/>
      <c r="P114" s="7"/>
      <c r="Q114" s="7"/>
      <c r="R114" s="7"/>
    </row>
    <row r="115" spans="1:18" ht="15.75">
      <c r="A115" s="27"/>
      <c r="B115" s="28" t="s">
        <v>81</v>
      </c>
      <c r="C115" s="28"/>
      <c r="D115" s="28"/>
      <c r="E115" s="28"/>
      <c r="F115" s="28"/>
      <c r="G115" s="28"/>
      <c r="H115" s="28"/>
      <c r="I115" s="28"/>
      <c r="J115" s="28"/>
      <c r="K115" s="28"/>
      <c r="L115" s="60">
        <f>SUM(L109:L113)</f>
        <v>4625</v>
      </c>
      <c r="M115" s="28"/>
      <c r="N115" s="6"/>
      <c r="O115" s="7"/>
      <c r="P115" s="7"/>
      <c r="Q115" s="7"/>
      <c r="R115" s="7"/>
    </row>
    <row r="116" spans="1:18" ht="15.75">
      <c r="A116" s="27"/>
      <c r="B116" s="28"/>
      <c r="C116" s="28"/>
      <c r="D116" s="28"/>
      <c r="E116" s="28"/>
      <c r="F116" s="28"/>
      <c r="G116" s="28"/>
      <c r="H116" s="28"/>
      <c r="I116" s="28"/>
      <c r="J116" s="28"/>
      <c r="K116" s="28"/>
      <c r="L116" s="68"/>
      <c r="M116" s="28"/>
      <c r="N116" s="6"/>
      <c r="O116" s="7"/>
      <c r="P116" s="7"/>
      <c r="Q116" s="7"/>
      <c r="R116" s="7"/>
    </row>
    <row r="117" spans="1:18" ht="15.75">
      <c r="A117" s="8"/>
      <c r="B117" s="167" t="s">
        <v>82</v>
      </c>
      <c r="C117" s="10"/>
      <c r="D117" s="10"/>
      <c r="E117" s="10"/>
      <c r="F117" s="10"/>
      <c r="G117" s="10"/>
      <c r="H117" s="10"/>
      <c r="I117" s="10"/>
      <c r="J117" s="10"/>
      <c r="K117" s="10"/>
      <c r="L117" s="59"/>
      <c r="M117" s="10"/>
      <c r="N117" s="6"/>
      <c r="O117" s="7"/>
      <c r="P117" s="7"/>
      <c r="Q117" s="7"/>
      <c r="R117" s="7"/>
    </row>
    <row r="118" spans="1:18" ht="15.75">
      <c r="A118" s="27"/>
      <c r="B118" s="28" t="s">
        <v>83</v>
      </c>
      <c r="C118" s="28"/>
      <c r="D118" s="69"/>
      <c r="E118" s="28"/>
      <c r="F118" s="28"/>
      <c r="G118" s="28"/>
      <c r="H118" s="28"/>
      <c r="I118" s="28"/>
      <c r="J118" s="28"/>
      <c r="K118" s="28"/>
      <c r="L118" s="70" t="s">
        <v>156</v>
      </c>
      <c r="M118" s="28"/>
      <c r="N118" s="6"/>
      <c r="O118" s="7"/>
      <c r="P118" s="7"/>
      <c r="Q118" s="7"/>
      <c r="R118" s="7"/>
    </row>
    <row r="119" spans="1:18" ht="15.75">
      <c r="A119" s="27"/>
      <c r="B119" s="28" t="s">
        <v>84</v>
      </c>
      <c r="C119" s="30"/>
      <c r="D119" s="30"/>
      <c r="E119" s="30"/>
      <c r="F119" s="30"/>
      <c r="G119" s="30"/>
      <c r="H119" s="30"/>
      <c r="I119" s="30"/>
      <c r="J119" s="30"/>
      <c r="K119" s="30"/>
      <c r="L119" s="70" t="s">
        <v>156</v>
      </c>
      <c r="M119" s="28"/>
      <c r="N119" s="6"/>
      <c r="O119" s="7"/>
      <c r="P119" s="7"/>
      <c r="Q119" s="7"/>
      <c r="R119" s="7"/>
    </row>
    <row r="120" spans="1:18" ht="15.75">
      <c r="A120" s="27"/>
      <c r="B120" s="28" t="s">
        <v>85</v>
      </c>
      <c r="C120" s="28"/>
      <c r="D120" s="28"/>
      <c r="E120" s="28"/>
      <c r="F120" s="28"/>
      <c r="G120" s="28"/>
      <c r="H120" s="28"/>
      <c r="I120" s="28"/>
      <c r="J120" s="28"/>
      <c r="K120" s="28"/>
      <c r="L120" s="70" t="s">
        <v>156</v>
      </c>
      <c r="M120" s="28"/>
      <c r="N120" s="6"/>
      <c r="O120" s="7"/>
      <c r="P120" s="7"/>
      <c r="Q120" s="7"/>
      <c r="R120" s="7"/>
    </row>
    <row r="121" spans="1:18" ht="15.75">
      <c r="A121" s="27"/>
      <c r="B121" s="28" t="s">
        <v>86</v>
      </c>
      <c r="C121" s="28"/>
      <c r="D121" s="28"/>
      <c r="E121" s="28"/>
      <c r="F121" s="28"/>
      <c r="G121" s="28"/>
      <c r="H121" s="28"/>
      <c r="I121" s="28"/>
      <c r="J121" s="28"/>
      <c r="K121" s="28"/>
      <c r="L121" s="70" t="s">
        <v>156</v>
      </c>
      <c r="M121" s="28"/>
      <c r="N121" s="6"/>
      <c r="O121" s="7"/>
      <c r="P121" s="7"/>
      <c r="Q121" s="7"/>
      <c r="R121" s="7"/>
    </row>
    <row r="122" spans="1:18" ht="15.75">
      <c r="A122" s="27"/>
      <c r="B122" s="28"/>
      <c r="C122" s="28"/>
      <c r="D122" s="28"/>
      <c r="E122" s="28"/>
      <c r="F122" s="28"/>
      <c r="G122" s="28"/>
      <c r="H122" s="28"/>
      <c r="I122" s="28"/>
      <c r="J122" s="28"/>
      <c r="K122" s="28"/>
      <c r="L122" s="68"/>
      <c r="M122" s="28"/>
      <c r="N122" s="6"/>
      <c r="O122" s="7"/>
      <c r="P122" s="7"/>
      <c r="Q122" s="7"/>
      <c r="R122" s="7"/>
    </row>
    <row r="123" spans="1:18" ht="15.75">
      <c r="A123" s="8"/>
      <c r="B123" s="167" t="s">
        <v>87</v>
      </c>
      <c r="C123" s="16"/>
      <c r="D123" s="10"/>
      <c r="E123" s="10"/>
      <c r="F123" s="10"/>
      <c r="G123" s="10"/>
      <c r="H123" s="10"/>
      <c r="I123" s="10"/>
      <c r="J123" s="10"/>
      <c r="K123" s="10"/>
      <c r="L123" s="71"/>
      <c r="M123" s="10"/>
      <c r="N123" s="6"/>
      <c r="O123" s="7"/>
      <c r="P123" s="7"/>
      <c r="Q123" s="7"/>
      <c r="R123" s="7"/>
    </row>
    <row r="124" spans="1:18" ht="15.75">
      <c r="A124" s="27"/>
      <c r="B124" s="28" t="s">
        <v>88</v>
      </c>
      <c r="C124" s="28"/>
      <c r="D124" s="28"/>
      <c r="E124" s="28"/>
      <c r="F124" s="28"/>
      <c r="G124" s="28"/>
      <c r="H124" s="28"/>
      <c r="I124" s="28"/>
      <c r="J124" s="28"/>
      <c r="K124" s="28"/>
      <c r="L124" s="60">
        <v>0</v>
      </c>
      <c r="M124" s="28"/>
      <c r="N124" s="6"/>
      <c r="O124" s="7"/>
      <c r="P124" s="7"/>
      <c r="Q124" s="7"/>
      <c r="R124" s="7"/>
    </row>
    <row r="125" spans="1:18" ht="15.75">
      <c r="A125" s="27"/>
      <c r="B125" s="28" t="s">
        <v>89</v>
      </c>
      <c r="C125" s="28"/>
      <c r="D125" s="28"/>
      <c r="E125" s="28"/>
      <c r="F125" s="28"/>
      <c r="G125" s="28"/>
      <c r="H125" s="28"/>
      <c r="I125" s="28"/>
      <c r="J125" s="28"/>
      <c r="K125" s="28"/>
      <c r="L125" s="60">
        <v>0</v>
      </c>
      <c r="M125" s="28"/>
      <c r="N125" s="6"/>
      <c r="O125" s="7"/>
      <c r="P125" s="7"/>
      <c r="Q125" s="7"/>
      <c r="R125" s="7"/>
    </row>
    <row r="126" spans="1:18" ht="15.75">
      <c r="A126" s="27"/>
      <c r="B126" s="28" t="s">
        <v>90</v>
      </c>
      <c r="C126" s="28"/>
      <c r="D126" s="28"/>
      <c r="E126" s="28"/>
      <c r="F126" s="28"/>
      <c r="G126" s="28"/>
      <c r="H126" s="28"/>
      <c r="I126" s="28"/>
      <c r="J126" s="28"/>
      <c r="K126" s="28"/>
      <c r="L126" s="60">
        <f>L125+L124</f>
        <v>0</v>
      </c>
      <c r="M126" s="28"/>
      <c r="N126" s="6"/>
      <c r="O126" s="7"/>
      <c r="P126" s="7"/>
      <c r="Q126" s="7"/>
      <c r="R126" s="7"/>
    </row>
    <row r="127" spans="1:18" ht="15.75">
      <c r="A127" s="27"/>
      <c r="B127" s="28" t="s">
        <v>91</v>
      </c>
      <c r="C127" s="28"/>
      <c r="D127" s="28"/>
      <c r="E127" s="28"/>
      <c r="F127" s="28"/>
      <c r="G127" s="28"/>
      <c r="H127" s="72"/>
      <c r="I127" s="28"/>
      <c r="J127" s="28"/>
      <c r="K127" s="28"/>
      <c r="L127" s="60">
        <v>0</v>
      </c>
      <c r="M127" s="28"/>
      <c r="N127" s="6"/>
      <c r="O127" s="7"/>
      <c r="P127" s="7"/>
      <c r="Q127" s="7"/>
      <c r="R127" s="7"/>
    </row>
    <row r="128" spans="1:18" ht="15.75">
      <c r="A128" s="27"/>
      <c r="B128" s="28" t="s">
        <v>92</v>
      </c>
      <c r="C128" s="28"/>
      <c r="D128" s="28"/>
      <c r="E128" s="28"/>
      <c r="F128" s="28"/>
      <c r="G128" s="28"/>
      <c r="H128" s="28"/>
      <c r="I128" s="28"/>
      <c r="J128" s="28"/>
      <c r="K128" s="28"/>
      <c r="L128" s="60">
        <f>L126+L127</f>
        <v>0</v>
      </c>
      <c r="M128" s="28"/>
      <c r="N128" s="6"/>
      <c r="O128" s="7"/>
      <c r="P128" s="7"/>
      <c r="Q128" s="7"/>
      <c r="R128" s="7"/>
    </row>
    <row r="129" spans="1:18" ht="7.5" customHeight="1">
      <c r="A129" s="27"/>
      <c r="B129" s="28"/>
      <c r="C129" s="28"/>
      <c r="D129" s="28"/>
      <c r="E129" s="28"/>
      <c r="F129" s="28"/>
      <c r="G129" s="28"/>
      <c r="H129" s="28"/>
      <c r="I129" s="28"/>
      <c r="J129" s="28"/>
      <c r="K129" s="28"/>
      <c r="L129" s="68"/>
      <c r="M129" s="28"/>
      <c r="N129" s="6"/>
      <c r="O129" s="7"/>
      <c r="P129" s="7"/>
      <c r="Q129" s="7"/>
      <c r="R129" s="7"/>
    </row>
    <row r="130" spans="1:18" ht="6" customHeight="1">
      <c r="A130" s="2"/>
      <c r="B130" s="5"/>
      <c r="C130" s="5"/>
      <c r="D130" s="5"/>
      <c r="E130" s="5"/>
      <c r="F130" s="5"/>
      <c r="G130" s="5"/>
      <c r="H130" s="5"/>
      <c r="I130" s="5"/>
      <c r="J130" s="5"/>
      <c r="K130" s="5"/>
      <c r="L130" s="57"/>
      <c r="M130" s="5"/>
      <c r="N130" s="6"/>
      <c r="O130" s="7"/>
      <c r="P130" s="7"/>
      <c r="Q130" s="7"/>
      <c r="R130" s="7"/>
    </row>
    <row r="131" spans="1:18" ht="15.75">
      <c r="A131" s="8"/>
      <c r="B131" s="167" t="s">
        <v>93</v>
      </c>
      <c r="C131" s="16"/>
      <c r="D131" s="10"/>
      <c r="E131" s="10"/>
      <c r="F131" s="10"/>
      <c r="G131" s="10"/>
      <c r="H131" s="10"/>
      <c r="I131" s="10"/>
      <c r="J131" s="10"/>
      <c r="K131" s="10"/>
      <c r="L131" s="59"/>
      <c r="M131" s="10"/>
      <c r="N131" s="6"/>
      <c r="O131" s="7"/>
      <c r="P131" s="7"/>
      <c r="Q131" s="7"/>
      <c r="R131" s="7"/>
    </row>
    <row r="132" spans="1:18" ht="15.75">
      <c r="A132" s="8"/>
      <c r="B132" s="23"/>
      <c r="C132" s="16"/>
      <c r="D132" s="10"/>
      <c r="E132" s="10"/>
      <c r="F132" s="10"/>
      <c r="G132" s="10"/>
      <c r="H132" s="10"/>
      <c r="I132" s="10"/>
      <c r="J132" s="10"/>
      <c r="K132" s="10"/>
      <c r="L132" s="59"/>
      <c r="M132" s="10"/>
      <c r="N132" s="6"/>
      <c r="O132" s="7"/>
      <c r="P132" s="7"/>
      <c r="Q132" s="7"/>
      <c r="R132" s="7"/>
    </row>
    <row r="133" spans="1:18" ht="15.75">
      <c r="A133" s="27"/>
      <c r="B133" s="28" t="s">
        <v>94</v>
      </c>
      <c r="C133" s="73"/>
      <c r="D133" s="28"/>
      <c r="E133" s="28"/>
      <c r="F133" s="28"/>
      <c r="G133" s="28"/>
      <c r="H133" s="28"/>
      <c r="I133" s="28"/>
      <c r="J133" s="28"/>
      <c r="K133" s="28"/>
      <c r="L133" s="60">
        <f>L56</f>
        <v>178873</v>
      </c>
      <c r="M133" s="28"/>
      <c r="N133" s="6"/>
      <c r="O133" s="7"/>
      <c r="P133" s="7"/>
      <c r="Q133" s="7"/>
      <c r="R133" s="7"/>
    </row>
    <row r="134" spans="1:18" ht="15.75">
      <c r="A134" s="27"/>
      <c r="B134" s="28" t="s">
        <v>95</v>
      </c>
      <c r="C134" s="73"/>
      <c r="D134" s="28"/>
      <c r="E134" s="28"/>
      <c r="F134" s="28"/>
      <c r="G134" s="28"/>
      <c r="H134" s="28"/>
      <c r="I134" s="28"/>
      <c r="J134" s="28"/>
      <c r="K134" s="28"/>
      <c r="L134" s="60">
        <f>L68</f>
        <v>178873</v>
      </c>
      <c r="M134" s="28"/>
      <c r="N134" s="6"/>
      <c r="O134" s="7"/>
      <c r="P134" s="7"/>
      <c r="Q134" s="7"/>
      <c r="R134" s="7"/>
    </row>
    <row r="135" spans="1:18" ht="7.5" customHeight="1">
      <c r="A135" s="27"/>
      <c r="B135" s="28"/>
      <c r="C135" s="28"/>
      <c r="D135" s="28"/>
      <c r="E135" s="28"/>
      <c r="F135" s="28"/>
      <c r="G135" s="28"/>
      <c r="H135" s="28"/>
      <c r="I135" s="28"/>
      <c r="J135" s="28"/>
      <c r="K135" s="28"/>
      <c r="L135" s="68"/>
      <c r="M135" s="28"/>
      <c r="N135" s="6"/>
      <c r="O135" s="7"/>
      <c r="P135" s="7"/>
      <c r="Q135" s="7"/>
      <c r="R135" s="7"/>
    </row>
    <row r="136" spans="1:18" ht="15.75">
      <c r="A136" s="2"/>
      <c r="B136" s="5"/>
      <c r="C136" s="5"/>
      <c r="D136" s="5"/>
      <c r="E136" s="5"/>
      <c r="F136" s="5"/>
      <c r="G136" s="5"/>
      <c r="H136" s="5"/>
      <c r="I136" s="5"/>
      <c r="J136" s="5"/>
      <c r="K136" s="5"/>
      <c r="L136" s="57"/>
      <c r="M136" s="5"/>
      <c r="N136" s="6"/>
      <c r="O136" s="7"/>
      <c r="P136" s="7"/>
      <c r="Q136" s="7"/>
      <c r="R136" s="7"/>
    </row>
    <row r="137" spans="1:18" ht="15.75">
      <c r="A137" s="8"/>
      <c r="B137" s="167" t="s">
        <v>96</v>
      </c>
      <c r="C137" s="154"/>
      <c r="D137" s="154"/>
      <c r="E137" s="154"/>
      <c r="F137" s="154"/>
      <c r="G137" s="154"/>
      <c r="H137" s="168" t="s">
        <v>171</v>
      </c>
      <c r="I137" s="168"/>
      <c r="J137" s="168" t="s">
        <v>178</v>
      </c>
      <c r="K137" s="154"/>
      <c r="L137" s="169" t="s">
        <v>191</v>
      </c>
      <c r="M137" s="10"/>
      <c r="N137" s="6"/>
      <c r="O137" s="7"/>
      <c r="P137" s="7"/>
      <c r="Q137" s="7"/>
      <c r="R137" s="7"/>
    </row>
    <row r="138" spans="1:18" ht="15.75">
      <c r="A138" s="27"/>
      <c r="B138" s="28" t="s">
        <v>97</v>
      </c>
      <c r="C138" s="28"/>
      <c r="D138" s="28"/>
      <c r="E138" s="28"/>
      <c r="F138" s="28"/>
      <c r="G138" s="28"/>
      <c r="H138" s="60">
        <v>20000</v>
      </c>
      <c r="I138" s="28"/>
      <c r="J138" s="47"/>
      <c r="K138" s="28"/>
      <c r="L138" s="60"/>
      <c r="M138" s="28"/>
      <c r="N138" s="6"/>
      <c r="O138" s="7"/>
      <c r="P138" s="7"/>
      <c r="Q138" s="7"/>
      <c r="R138" s="7"/>
    </row>
    <row r="139" spans="1:18" ht="15.75">
      <c r="A139" s="27"/>
      <c r="B139" s="28" t="s">
        <v>98</v>
      </c>
      <c r="C139" s="28"/>
      <c r="D139" s="28"/>
      <c r="E139" s="28"/>
      <c r="F139" s="28"/>
      <c r="G139" s="28"/>
      <c r="H139" s="60">
        <v>585</v>
      </c>
      <c r="I139" s="28"/>
      <c r="J139" s="28">
        <v>224</v>
      </c>
      <c r="K139" s="28"/>
      <c r="L139" s="60">
        <f>J139+H139</f>
        <v>809</v>
      </c>
      <c r="M139" s="28"/>
      <c r="N139" s="6"/>
      <c r="O139" s="7"/>
      <c r="P139" s="7"/>
      <c r="Q139" s="7"/>
      <c r="R139" s="7"/>
    </row>
    <row r="140" spans="1:18" ht="15.75">
      <c r="A140" s="27"/>
      <c r="B140" s="28" t="s">
        <v>99</v>
      </c>
      <c r="C140" s="28"/>
      <c r="D140" s="28"/>
      <c r="E140" s="28"/>
      <c r="F140" s="28"/>
      <c r="G140" s="28"/>
      <c r="H140" s="38">
        <v>1187</v>
      </c>
      <c r="I140" s="28"/>
      <c r="J140" s="28">
        <v>103</v>
      </c>
      <c r="K140" s="28"/>
      <c r="L140" s="60">
        <f>J140+H140</f>
        <v>1290</v>
      </c>
      <c r="M140" s="28"/>
      <c r="N140" s="6"/>
      <c r="O140" s="7"/>
      <c r="P140" s="7"/>
      <c r="Q140" s="7"/>
      <c r="R140" s="7"/>
    </row>
    <row r="141" spans="1:18" ht="15.75">
      <c r="A141" s="27"/>
      <c r="B141" s="28" t="s">
        <v>100</v>
      </c>
      <c r="C141" s="28"/>
      <c r="D141" s="28"/>
      <c r="E141" s="28"/>
      <c r="F141" s="28"/>
      <c r="G141" s="28"/>
      <c r="H141" s="60">
        <f>H139+H140</f>
        <v>1772</v>
      </c>
      <c r="I141" s="28"/>
      <c r="J141" s="60">
        <f>J140+J139</f>
        <v>327</v>
      </c>
      <c r="K141" s="28"/>
      <c r="L141" s="60">
        <f>J141+H141</f>
        <v>2099</v>
      </c>
      <c r="M141" s="28"/>
      <c r="N141" s="6"/>
      <c r="O141" s="7"/>
      <c r="P141" s="7"/>
      <c r="Q141" s="7"/>
      <c r="R141" s="7"/>
    </row>
    <row r="142" spans="1:18" ht="15.75">
      <c r="A142" s="27"/>
      <c r="B142" s="28" t="s">
        <v>101</v>
      </c>
      <c r="C142" s="28"/>
      <c r="D142" s="28"/>
      <c r="E142" s="28"/>
      <c r="F142" s="28"/>
      <c r="G142" s="28"/>
      <c r="H142" s="60">
        <f>H138-H141</f>
        <v>18228</v>
      </c>
      <c r="I142" s="28"/>
      <c r="J142" s="47"/>
      <c r="K142" s="28"/>
      <c r="L142" s="60"/>
      <c r="M142" s="28"/>
      <c r="N142" s="6"/>
      <c r="O142" s="7"/>
      <c r="P142" s="7"/>
      <c r="Q142" s="7"/>
      <c r="R142" s="7"/>
    </row>
    <row r="143" spans="1:18" ht="7.5" customHeight="1">
      <c r="A143" s="27"/>
      <c r="B143" s="28"/>
      <c r="C143" s="28"/>
      <c r="D143" s="28"/>
      <c r="E143" s="28"/>
      <c r="F143" s="28"/>
      <c r="G143" s="28"/>
      <c r="H143" s="28"/>
      <c r="I143" s="28"/>
      <c r="J143" s="28"/>
      <c r="K143" s="28"/>
      <c r="L143" s="68"/>
      <c r="M143" s="28"/>
      <c r="N143" s="6"/>
      <c r="O143" s="7"/>
      <c r="P143" s="7"/>
      <c r="Q143" s="7"/>
      <c r="R143" s="7"/>
    </row>
    <row r="144" spans="1:18" ht="9" customHeight="1">
      <c r="A144" s="2"/>
      <c r="B144" s="5"/>
      <c r="C144" s="5"/>
      <c r="D144" s="5"/>
      <c r="E144" s="5"/>
      <c r="F144" s="5"/>
      <c r="G144" s="5"/>
      <c r="H144" s="5"/>
      <c r="I144" s="5"/>
      <c r="J144" s="5"/>
      <c r="K144" s="5"/>
      <c r="L144" s="57"/>
      <c r="M144" s="5"/>
      <c r="N144" s="6"/>
      <c r="O144" s="7"/>
      <c r="P144" s="7"/>
      <c r="Q144" s="7"/>
      <c r="R144" s="7"/>
    </row>
    <row r="145" spans="1:18" ht="15.75">
      <c r="A145" s="8"/>
      <c r="B145" s="167" t="s">
        <v>102</v>
      </c>
      <c r="C145" s="16"/>
      <c r="D145" s="10"/>
      <c r="E145" s="10"/>
      <c r="F145" s="10"/>
      <c r="G145" s="10"/>
      <c r="H145" s="10"/>
      <c r="I145" s="10"/>
      <c r="J145" s="10"/>
      <c r="K145" s="10"/>
      <c r="L145" s="74"/>
      <c r="M145" s="10"/>
      <c r="N145" s="6"/>
      <c r="O145" s="7"/>
      <c r="P145" s="7"/>
      <c r="Q145" s="7"/>
      <c r="R145" s="7"/>
    </row>
    <row r="146" spans="1:18" ht="15.75">
      <c r="A146" s="27"/>
      <c r="B146" s="28" t="s">
        <v>103</v>
      </c>
      <c r="C146" s="28"/>
      <c r="D146" s="28"/>
      <c r="E146" s="28"/>
      <c r="F146" s="28"/>
      <c r="G146" s="28"/>
      <c r="H146" s="28"/>
      <c r="I146" s="28"/>
      <c r="J146" s="28"/>
      <c r="K146" s="28"/>
      <c r="L146" s="67">
        <f>(L78+L80+L81+L82+L83)/-L84</f>
        <v>1.1990950226244343</v>
      </c>
      <c r="M146" s="28" t="s">
        <v>192</v>
      </c>
      <c r="N146" s="6"/>
      <c r="O146" s="7"/>
      <c r="P146" s="7"/>
      <c r="Q146" s="7"/>
      <c r="R146" s="7"/>
    </row>
    <row r="147" spans="1:18" ht="15.75">
      <c r="A147" s="27"/>
      <c r="B147" s="28" t="s">
        <v>104</v>
      </c>
      <c r="C147" s="28"/>
      <c r="D147" s="28"/>
      <c r="E147" s="28"/>
      <c r="F147" s="28"/>
      <c r="G147" s="28"/>
      <c r="H147" s="28"/>
      <c r="I147" s="28"/>
      <c r="J147" s="28"/>
      <c r="K147" s="28"/>
      <c r="L147" s="67">
        <v>1.24</v>
      </c>
      <c r="M147" s="28" t="s">
        <v>192</v>
      </c>
      <c r="N147" s="6"/>
      <c r="O147" s="7"/>
      <c r="P147" s="7"/>
      <c r="Q147" s="7"/>
      <c r="R147" s="7"/>
    </row>
    <row r="148" spans="1:18" ht="15.75">
      <c r="A148" s="27"/>
      <c r="B148" s="28" t="s">
        <v>105</v>
      </c>
      <c r="C148" s="28"/>
      <c r="D148" s="28"/>
      <c r="E148" s="28"/>
      <c r="F148" s="28"/>
      <c r="G148" s="28"/>
      <c r="H148" s="28"/>
      <c r="I148" s="28"/>
      <c r="J148" s="28"/>
      <c r="K148" s="28"/>
      <c r="L148" s="67">
        <f>(L78+SUM(L80:L84))/-L85</f>
        <v>1.7777777777777777</v>
      </c>
      <c r="M148" s="28" t="s">
        <v>192</v>
      </c>
      <c r="N148" s="6"/>
      <c r="O148" s="7"/>
      <c r="P148" s="7"/>
      <c r="Q148" s="7"/>
      <c r="R148" s="7"/>
    </row>
    <row r="149" spans="1:18" ht="15.75">
      <c r="A149" s="27"/>
      <c r="B149" s="28" t="s">
        <v>106</v>
      </c>
      <c r="C149" s="28"/>
      <c r="D149" s="28"/>
      <c r="E149" s="28"/>
      <c r="F149" s="28"/>
      <c r="G149" s="28"/>
      <c r="H149" s="28"/>
      <c r="I149" s="28"/>
      <c r="J149" s="28"/>
      <c r="K149" s="28"/>
      <c r="L149" s="75">
        <v>2.2</v>
      </c>
      <c r="M149" s="28" t="s">
        <v>192</v>
      </c>
      <c r="N149" s="6"/>
      <c r="O149" s="7"/>
      <c r="P149" s="7"/>
      <c r="Q149" s="7"/>
      <c r="R149" s="7"/>
    </row>
    <row r="150" spans="1:18" ht="7.5" customHeight="1">
      <c r="A150" s="27"/>
      <c r="B150" s="28"/>
      <c r="C150" s="28"/>
      <c r="D150" s="28"/>
      <c r="E150" s="28"/>
      <c r="F150" s="28"/>
      <c r="G150" s="28"/>
      <c r="H150" s="28"/>
      <c r="I150" s="28"/>
      <c r="J150" s="28"/>
      <c r="K150" s="28"/>
      <c r="L150" s="28"/>
      <c r="M150" s="28"/>
      <c r="N150" s="6"/>
      <c r="O150" s="7"/>
      <c r="P150" s="7"/>
      <c r="Q150" s="7"/>
      <c r="R150" s="7"/>
    </row>
    <row r="151" spans="1:18" ht="15.75">
      <c r="A151" s="8"/>
      <c r="B151" s="15"/>
      <c r="C151" s="15"/>
      <c r="D151" s="15"/>
      <c r="E151" s="15"/>
      <c r="F151" s="15"/>
      <c r="G151" s="15"/>
      <c r="H151" s="15"/>
      <c r="I151" s="15"/>
      <c r="J151" s="15"/>
      <c r="K151" s="15"/>
      <c r="L151" s="15"/>
      <c r="M151" s="15"/>
      <c r="N151" s="6"/>
      <c r="O151" s="7"/>
      <c r="P151" s="7"/>
      <c r="Q151" s="7"/>
      <c r="R151" s="7"/>
    </row>
    <row r="152" spans="1:18" ht="15.75">
      <c r="A152" s="8"/>
      <c r="B152" s="15"/>
      <c r="C152" s="15"/>
      <c r="D152" s="15"/>
      <c r="E152" s="15"/>
      <c r="F152" s="15"/>
      <c r="G152" s="15"/>
      <c r="H152" s="15"/>
      <c r="I152" s="15"/>
      <c r="J152" s="15"/>
      <c r="K152" s="15"/>
      <c r="L152" s="15"/>
      <c r="M152" s="15"/>
      <c r="N152" s="6"/>
      <c r="O152" s="7"/>
      <c r="P152" s="7"/>
      <c r="Q152" s="7"/>
      <c r="R152" s="7"/>
    </row>
    <row r="153" spans="1:18" ht="19.5" thickBot="1">
      <c r="A153" s="138"/>
      <c r="B153" s="139" t="s">
        <v>193</v>
      </c>
      <c r="C153" s="144"/>
      <c r="D153" s="144"/>
      <c r="E153" s="144"/>
      <c r="F153" s="144"/>
      <c r="G153" s="144"/>
      <c r="H153" s="144"/>
      <c r="I153" s="144"/>
      <c r="J153" s="144"/>
      <c r="K153" s="144"/>
      <c r="L153" s="144"/>
      <c r="M153" s="145"/>
      <c r="N153" s="6"/>
      <c r="O153" s="7"/>
      <c r="P153" s="7"/>
      <c r="Q153" s="7"/>
      <c r="R153" s="7"/>
    </row>
    <row r="154" spans="1:18" ht="15.75">
      <c r="A154" s="76"/>
      <c r="B154" s="77" t="s">
        <v>107</v>
      </c>
      <c r="C154" s="78"/>
      <c r="D154" s="78"/>
      <c r="E154" s="78"/>
      <c r="F154" s="78"/>
      <c r="G154" s="79"/>
      <c r="H154" s="79"/>
      <c r="I154" s="79"/>
      <c r="J154" s="79">
        <v>36525</v>
      </c>
      <c r="K154" s="80"/>
      <c r="L154" s="80"/>
      <c r="M154" s="5"/>
      <c r="N154" s="81"/>
      <c r="O154" s="7"/>
      <c r="P154" s="7"/>
      <c r="Q154" s="7"/>
      <c r="R154" s="7"/>
    </row>
    <row r="155" spans="1:18" ht="15.75">
      <c r="A155" s="82"/>
      <c r="B155" s="83"/>
      <c r="C155" s="84"/>
      <c r="D155" s="84"/>
      <c r="E155" s="84"/>
      <c r="F155" s="84"/>
      <c r="G155" s="85"/>
      <c r="H155" s="85"/>
      <c r="I155" s="85"/>
      <c r="J155" s="85"/>
      <c r="K155" s="10"/>
      <c r="L155" s="10"/>
      <c r="M155" s="10"/>
      <c r="N155" s="81"/>
      <c r="O155" s="7"/>
      <c r="P155" s="7"/>
      <c r="Q155" s="7"/>
      <c r="R155" s="7"/>
    </row>
    <row r="156" spans="1:18" ht="15.75">
      <c r="A156" s="86"/>
      <c r="B156" s="87" t="s">
        <v>108</v>
      </c>
      <c r="C156" s="88"/>
      <c r="D156" s="88"/>
      <c r="E156" s="88"/>
      <c r="F156" s="88"/>
      <c r="G156" s="72"/>
      <c r="H156" s="72"/>
      <c r="I156" s="72"/>
      <c r="J156" s="89">
        <v>0.0714</v>
      </c>
      <c r="K156" s="28"/>
      <c r="L156" s="28"/>
      <c r="M156" s="28"/>
      <c r="N156" s="81"/>
      <c r="O156" s="7"/>
      <c r="P156" s="7"/>
      <c r="Q156" s="7"/>
      <c r="R156" s="7"/>
    </row>
    <row r="157" spans="1:18" ht="15.75">
      <c r="A157" s="86"/>
      <c r="B157" s="87" t="s">
        <v>109</v>
      </c>
      <c r="C157" s="88"/>
      <c r="D157" s="88"/>
      <c r="E157" s="88"/>
      <c r="F157" s="88"/>
      <c r="G157" s="72"/>
      <c r="H157" s="72"/>
      <c r="I157" s="72"/>
      <c r="J157" s="46">
        <v>0.0553</v>
      </c>
      <c r="K157" s="28"/>
      <c r="L157" s="28"/>
      <c r="M157" s="28"/>
      <c r="N157" s="81"/>
      <c r="O157" s="7"/>
      <c r="P157" s="7"/>
      <c r="Q157" s="7"/>
      <c r="R157" s="7"/>
    </row>
    <row r="158" spans="1:18" ht="15.75">
      <c r="A158" s="86"/>
      <c r="B158" s="87" t="s">
        <v>110</v>
      </c>
      <c r="C158" s="88"/>
      <c r="D158" s="88"/>
      <c r="E158" s="88"/>
      <c r="F158" s="88"/>
      <c r="G158" s="72"/>
      <c r="H158" s="72"/>
      <c r="I158" s="72"/>
      <c r="J158" s="89">
        <f>J156-J157</f>
        <v>0.016100000000000003</v>
      </c>
      <c r="K158" s="28"/>
      <c r="L158" s="28"/>
      <c r="M158" s="28"/>
      <c r="N158" s="81"/>
      <c r="O158" s="7"/>
      <c r="P158" s="7"/>
      <c r="Q158" s="7"/>
      <c r="R158" s="7"/>
    </row>
    <row r="159" spans="1:18" ht="15.75">
      <c r="A159" s="86"/>
      <c r="B159" s="87" t="s">
        <v>111</v>
      </c>
      <c r="C159" s="88"/>
      <c r="D159" s="88"/>
      <c r="E159" s="88"/>
      <c r="F159" s="88"/>
      <c r="G159" s="72"/>
      <c r="H159" s="72"/>
      <c r="I159" s="72"/>
      <c r="J159" s="89">
        <v>0.0738</v>
      </c>
      <c r="K159" s="28"/>
      <c r="L159" s="28"/>
      <c r="M159" s="28"/>
      <c r="N159" s="81"/>
      <c r="O159" s="7"/>
      <c r="P159" s="7"/>
      <c r="Q159" s="7"/>
      <c r="R159" s="7"/>
    </row>
    <row r="160" spans="1:18" ht="15.75">
      <c r="A160" s="86"/>
      <c r="B160" s="87" t="s">
        <v>112</v>
      </c>
      <c r="C160" s="88"/>
      <c r="D160" s="88"/>
      <c r="E160" s="88"/>
      <c r="F160" s="88"/>
      <c r="G160" s="72"/>
      <c r="H160" s="72"/>
      <c r="I160" s="72"/>
      <c r="J160" s="89">
        <f>L31</f>
        <v>0.06323692013540345</v>
      </c>
      <c r="K160" s="28"/>
      <c r="L160" s="28"/>
      <c r="M160" s="28"/>
      <c r="N160" s="81"/>
      <c r="O160" s="7"/>
      <c r="P160" s="7"/>
      <c r="Q160" s="7"/>
      <c r="R160" s="7"/>
    </row>
    <row r="161" spans="1:18" ht="15.75">
      <c r="A161" s="86"/>
      <c r="B161" s="87" t="s">
        <v>113</v>
      </c>
      <c r="C161" s="88"/>
      <c r="D161" s="88"/>
      <c r="E161" s="88"/>
      <c r="F161" s="88"/>
      <c r="G161" s="72"/>
      <c r="H161" s="72"/>
      <c r="I161" s="72"/>
      <c r="J161" s="89">
        <f>J159-J160</f>
        <v>0.01056307986459655</v>
      </c>
      <c r="K161" s="28"/>
      <c r="L161" s="28"/>
      <c r="M161" s="28"/>
      <c r="N161" s="81"/>
      <c r="O161" s="7"/>
      <c r="P161" s="7"/>
      <c r="Q161" s="7"/>
      <c r="R161" s="7"/>
    </row>
    <row r="162" spans="1:18" ht="15.75">
      <c r="A162" s="86"/>
      <c r="B162" s="87" t="s">
        <v>114</v>
      </c>
      <c r="C162" s="88"/>
      <c r="D162" s="88"/>
      <c r="E162" s="88"/>
      <c r="F162" s="88"/>
      <c r="G162" s="72"/>
      <c r="H162" s="72"/>
      <c r="I162" s="72"/>
      <c r="J162" s="90" t="s">
        <v>179</v>
      </c>
      <c r="K162" s="28"/>
      <c r="L162" s="28"/>
      <c r="M162" s="28"/>
      <c r="N162" s="81"/>
      <c r="O162" s="7"/>
      <c r="P162" s="7"/>
      <c r="Q162" s="7"/>
      <c r="R162" s="7"/>
    </row>
    <row r="163" spans="1:18" ht="15.75">
      <c r="A163" s="86"/>
      <c r="B163" s="87" t="s">
        <v>115</v>
      </c>
      <c r="C163" s="88"/>
      <c r="D163" s="88"/>
      <c r="E163" s="88"/>
      <c r="F163" s="88"/>
      <c r="G163" s="72"/>
      <c r="H163" s="72"/>
      <c r="I163" s="72"/>
      <c r="J163" s="90" t="s">
        <v>180</v>
      </c>
      <c r="K163" s="28"/>
      <c r="L163" s="28"/>
      <c r="M163" s="28"/>
      <c r="N163" s="81"/>
      <c r="O163" s="7"/>
      <c r="P163" s="7"/>
      <c r="Q163" s="7"/>
      <c r="R163" s="7"/>
    </row>
    <row r="164" spans="1:18" ht="15.75">
      <c r="A164" s="86"/>
      <c r="B164" s="87" t="s">
        <v>116</v>
      </c>
      <c r="C164" s="88"/>
      <c r="D164" s="88"/>
      <c r="E164" s="88"/>
      <c r="F164" s="88"/>
      <c r="G164" s="72"/>
      <c r="H164" s="72"/>
      <c r="I164" s="72"/>
      <c r="J164" s="91">
        <v>18.53</v>
      </c>
      <c r="K164" s="28" t="s">
        <v>184</v>
      </c>
      <c r="L164" s="28"/>
      <c r="M164" s="28"/>
      <c r="N164" s="81"/>
      <c r="O164" s="7"/>
      <c r="P164" s="7"/>
      <c r="Q164" s="7"/>
      <c r="R164" s="7"/>
    </row>
    <row r="165" spans="1:18" ht="15.75">
      <c r="A165" s="86"/>
      <c r="B165" s="87" t="s">
        <v>117</v>
      </c>
      <c r="C165" s="88"/>
      <c r="D165" s="88"/>
      <c r="E165" s="88"/>
      <c r="F165" s="88"/>
      <c r="G165" s="72"/>
      <c r="H165" s="72"/>
      <c r="I165" s="72"/>
      <c r="J165" s="91">
        <v>18.13</v>
      </c>
      <c r="K165" s="28" t="s">
        <v>184</v>
      </c>
      <c r="L165" s="28"/>
      <c r="M165" s="28"/>
      <c r="N165" s="81"/>
      <c r="O165" s="7"/>
      <c r="P165" s="7"/>
      <c r="Q165" s="7"/>
      <c r="R165" s="7"/>
    </row>
    <row r="166" spans="1:18" ht="15.75">
      <c r="A166" s="86"/>
      <c r="B166" s="87" t="s">
        <v>118</v>
      </c>
      <c r="C166" s="88"/>
      <c r="D166" s="88"/>
      <c r="E166" s="88"/>
      <c r="F166" s="88"/>
      <c r="G166" s="72"/>
      <c r="H166" s="72"/>
      <c r="I166" s="72"/>
      <c r="J166" s="89">
        <f>F53/'Sept 99'!L53</f>
        <v>0.021845342028873747</v>
      </c>
      <c r="K166" s="28"/>
      <c r="L166" s="28"/>
      <c r="M166" s="28"/>
      <c r="N166" s="81"/>
      <c r="O166" s="7"/>
      <c r="P166" s="7"/>
      <c r="Q166" s="7"/>
      <c r="R166" s="7"/>
    </row>
    <row r="167" spans="1:18" ht="15.75">
      <c r="A167" s="86"/>
      <c r="B167" s="87" t="s">
        <v>119</v>
      </c>
      <c r="C167" s="88"/>
      <c r="D167" s="88"/>
      <c r="E167" s="88"/>
      <c r="F167" s="88"/>
      <c r="G167" s="72"/>
      <c r="H167" s="72"/>
      <c r="I167" s="72"/>
      <c r="J167" s="89">
        <v>0.0864</v>
      </c>
      <c r="K167" s="28"/>
      <c r="L167" s="28"/>
      <c r="M167" s="28"/>
      <c r="N167" s="81"/>
      <c r="O167" s="7"/>
      <c r="P167" s="7"/>
      <c r="Q167" s="7"/>
      <c r="R167" s="7"/>
    </row>
    <row r="168" spans="1:18" ht="15.75">
      <c r="A168" s="86"/>
      <c r="B168" s="87"/>
      <c r="C168" s="87"/>
      <c r="D168" s="87"/>
      <c r="E168" s="87"/>
      <c r="F168" s="87"/>
      <c r="G168" s="28"/>
      <c r="H168" s="28"/>
      <c r="I168" s="28"/>
      <c r="J168" s="68"/>
      <c r="K168" s="28"/>
      <c r="L168" s="92"/>
      <c r="M168" s="28"/>
      <c r="N168" s="81"/>
      <c r="O168" s="7"/>
      <c r="P168" s="7"/>
      <c r="Q168" s="7"/>
      <c r="R168" s="7"/>
    </row>
    <row r="169" spans="1:18" ht="15.75">
      <c r="A169" s="93"/>
      <c r="B169" s="17" t="s">
        <v>120</v>
      </c>
      <c r="C169" s="20"/>
      <c r="D169" s="94"/>
      <c r="E169" s="20"/>
      <c r="F169" s="94"/>
      <c r="G169" s="20"/>
      <c r="H169" s="94"/>
      <c r="I169" s="20" t="s">
        <v>172</v>
      </c>
      <c r="J169" s="94" t="s">
        <v>181</v>
      </c>
      <c r="K169" s="18"/>
      <c r="L169" s="18"/>
      <c r="M169" s="10"/>
      <c r="N169" s="81"/>
      <c r="O169" s="7"/>
      <c r="P169" s="7"/>
      <c r="Q169" s="7"/>
      <c r="R169" s="7"/>
    </row>
    <row r="170" spans="1:18" ht="15.75">
      <c r="A170" s="95"/>
      <c r="B170" s="87" t="s">
        <v>121</v>
      </c>
      <c r="C170" s="61"/>
      <c r="D170" s="61"/>
      <c r="E170" s="61"/>
      <c r="F170" s="28"/>
      <c r="G170" s="28"/>
      <c r="H170" s="28"/>
      <c r="I170" s="31">
        <v>8</v>
      </c>
      <c r="J170" s="96">
        <v>538</v>
      </c>
      <c r="K170" s="28"/>
      <c r="L170" s="92"/>
      <c r="M170" s="97"/>
      <c r="N170" s="81"/>
      <c r="O170" s="7"/>
      <c r="P170" s="7"/>
      <c r="Q170" s="7"/>
      <c r="R170" s="7"/>
    </row>
    <row r="171" spans="1:18" ht="15.75">
      <c r="A171" s="95"/>
      <c r="B171" s="87" t="s">
        <v>122</v>
      </c>
      <c r="C171" s="61"/>
      <c r="D171" s="61"/>
      <c r="E171" s="61"/>
      <c r="F171" s="28"/>
      <c r="G171" s="28"/>
      <c r="H171" s="28"/>
      <c r="I171" s="31">
        <v>0</v>
      </c>
      <c r="J171" s="96">
        <v>0</v>
      </c>
      <c r="K171" s="28"/>
      <c r="L171" s="92"/>
      <c r="M171" s="97"/>
      <c r="N171" s="81"/>
      <c r="O171" s="7"/>
      <c r="P171" s="7"/>
      <c r="Q171" s="7"/>
      <c r="R171" s="7"/>
    </row>
    <row r="172" spans="1:18" ht="15.75">
      <c r="A172" s="95"/>
      <c r="B172" s="170" t="s">
        <v>123</v>
      </c>
      <c r="C172" s="61"/>
      <c r="D172" s="61"/>
      <c r="E172" s="61"/>
      <c r="F172" s="28"/>
      <c r="G172" s="28"/>
      <c r="H172" s="28"/>
      <c r="I172" s="28"/>
      <c r="J172" s="96">
        <v>0</v>
      </c>
      <c r="K172" s="28"/>
      <c r="L172" s="92"/>
      <c r="M172" s="97"/>
      <c r="N172" s="81"/>
      <c r="O172" s="7"/>
      <c r="P172" s="7"/>
      <c r="Q172" s="7"/>
      <c r="R172" s="7"/>
    </row>
    <row r="173" spans="1:18" ht="15.75">
      <c r="A173" s="95"/>
      <c r="B173" s="170" t="s">
        <v>124</v>
      </c>
      <c r="C173" s="61"/>
      <c r="D173" s="61"/>
      <c r="E173" s="61"/>
      <c r="F173" s="28"/>
      <c r="G173" s="28"/>
      <c r="H173" s="28"/>
      <c r="I173" s="28"/>
      <c r="J173" s="96">
        <v>22352</v>
      </c>
      <c r="K173" s="28"/>
      <c r="L173" s="92"/>
      <c r="M173" s="97"/>
      <c r="N173" s="81"/>
      <c r="O173" s="7"/>
      <c r="P173" s="7"/>
      <c r="Q173" s="7"/>
      <c r="R173" s="7"/>
    </row>
    <row r="174" spans="1:18" ht="15.75">
      <c r="A174" s="98"/>
      <c r="B174" s="170" t="s">
        <v>125</v>
      </c>
      <c r="C174" s="61"/>
      <c r="D174" s="87"/>
      <c r="E174" s="87"/>
      <c r="F174" s="87"/>
      <c r="G174" s="28"/>
      <c r="H174" s="28"/>
      <c r="I174" s="28"/>
      <c r="J174" s="96">
        <v>0</v>
      </c>
      <c r="K174" s="28"/>
      <c r="L174" s="92"/>
      <c r="M174" s="99"/>
      <c r="N174" s="81"/>
      <c r="O174" s="7"/>
      <c r="P174" s="7"/>
      <c r="Q174" s="7"/>
      <c r="R174" s="7"/>
    </row>
    <row r="175" spans="1:18" ht="15.75">
      <c r="A175" s="95"/>
      <c r="B175" s="87" t="s">
        <v>126</v>
      </c>
      <c r="C175" s="61"/>
      <c r="D175" s="61"/>
      <c r="E175" s="61"/>
      <c r="F175" s="61"/>
      <c r="G175" s="28"/>
      <c r="H175" s="28"/>
      <c r="I175" s="28"/>
      <c r="J175" s="96">
        <v>0</v>
      </c>
      <c r="K175" s="28"/>
      <c r="L175" s="92"/>
      <c r="M175" s="99"/>
      <c r="N175" s="81"/>
      <c r="O175" s="7"/>
      <c r="P175" s="7"/>
      <c r="Q175" s="7"/>
      <c r="R175" s="7"/>
    </row>
    <row r="176" spans="1:18" ht="15.75">
      <c r="A176" s="95"/>
      <c r="B176" s="87" t="s">
        <v>127</v>
      </c>
      <c r="C176" s="61"/>
      <c r="D176" s="61"/>
      <c r="E176" s="61"/>
      <c r="F176" s="61"/>
      <c r="G176" s="28"/>
      <c r="H176" s="28"/>
      <c r="I176" s="28"/>
      <c r="J176" s="96">
        <v>0</v>
      </c>
      <c r="K176" s="28"/>
      <c r="L176" s="92"/>
      <c r="M176" s="99"/>
      <c r="N176" s="81"/>
      <c r="O176" s="7"/>
      <c r="P176" s="7"/>
      <c r="Q176" s="7"/>
      <c r="R176" s="7"/>
    </row>
    <row r="177" spans="1:18" ht="15.75">
      <c r="A177" s="98"/>
      <c r="B177" s="170" t="s">
        <v>128</v>
      </c>
      <c r="C177" s="61"/>
      <c r="D177" s="87"/>
      <c r="E177" s="87"/>
      <c r="F177" s="87"/>
      <c r="G177" s="28"/>
      <c r="H177" s="28"/>
      <c r="I177" s="28"/>
      <c r="J177" s="96"/>
      <c r="K177" s="28"/>
      <c r="L177" s="92"/>
      <c r="M177" s="99"/>
      <c r="N177" s="81"/>
      <c r="O177" s="7"/>
      <c r="P177" s="7"/>
      <c r="Q177" s="7"/>
      <c r="R177" s="7"/>
    </row>
    <row r="178" spans="1:18" ht="15.75">
      <c r="A178" s="98"/>
      <c r="B178" s="87" t="s">
        <v>129</v>
      </c>
      <c r="C178" s="61"/>
      <c r="D178" s="87"/>
      <c r="E178" s="87"/>
      <c r="F178" s="87"/>
      <c r="G178" s="28"/>
      <c r="H178" s="28"/>
      <c r="I178" s="28"/>
      <c r="J178" s="96">
        <v>0</v>
      </c>
      <c r="K178" s="28"/>
      <c r="L178" s="92"/>
      <c r="M178" s="99"/>
      <c r="N178" s="81"/>
      <c r="O178" s="7"/>
      <c r="P178" s="7"/>
      <c r="Q178" s="7"/>
      <c r="R178" s="7"/>
    </row>
    <row r="179" spans="1:18" ht="15.75">
      <c r="A179" s="95"/>
      <c r="B179" s="87" t="s">
        <v>130</v>
      </c>
      <c r="C179" s="61"/>
      <c r="D179" s="100"/>
      <c r="E179" s="100"/>
      <c r="F179" s="101"/>
      <c r="G179" s="28"/>
      <c r="H179" s="28"/>
      <c r="I179" s="28"/>
      <c r="J179" s="96">
        <v>0</v>
      </c>
      <c r="K179" s="28"/>
      <c r="L179" s="92"/>
      <c r="M179" s="99"/>
      <c r="N179" s="81"/>
      <c r="O179" s="7"/>
      <c r="P179" s="7"/>
      <c r="Q179" s="7"/>
      <c r="R179" s="7"/>
    </row>
    <row r="180" spans="1:18" ht="15.75">
      <c r="A180" s="95"/>
      <c r="B180" s="87" t="s">
        <v>131</v>
      </c>
      <c r="C180" s="61"/>
      <c r="D180" s="100"/>
      <c r="E180" s="100"/>
      <c r="F180" s="101"/>
      <c r="G180" s="28"/>
      <c r="H180" s="28"/>
      <c r="I180" s="28"/>
      <c r="J180" s="96">
        <v>0</v>
      </c>
      <c r="K180" s="28"/>
      <c r="L180" s="92"/>
      <c r="M180" s="99"/>
      <c r="N180" s="81"/>
      <c r="O180" s="7"/>
      <c r="P180" s="7"/>
      <c r="Q180" s="7"/>
      <c r="R180" s="7"/>
    </row>
    <row r="181" spans="1:18" ht="15.75">
      <c r="A181" s="95"/>
      <c r="B181" s="87" t="s">
        <v>132</v>
      </c>
      <c r="C181" s="61"/>
      <c r="D181" s="102"/>
      <c r="E181" s="100"/>
      <c r="F181" s="101"/>
      <c r="G181" s="28"/>
      <c r="H181" s="28"/>
      <c r="I181" s="28"/>
      <c r="J181" s="103">
        <v>0</v>
      </c>
      <c r="K181" s="28"/>
      <c r="L181" s="92"/>
      <c r="M181" s="99"/>
      <c r="N181" s="81"/>
      <c r="O181" s="7"/>
      <c r="P181" s="7"/>
      <c r="Q181" s="7"/>
      <c r="R181" s="7"/>
    </row>
    <row r="182" spans="1:18" ht="15.75">
      <c r="A182" s="95"/>
      <c r="B182" s="87"/>
      <c r="C182" s="61"/>
      <c r="D182" s="102"/>
      <c r="E182" s="100"/>
      <c r="F182" s="101"/>
      <c r="G182" s="28"/>
      <c r="H182" s="28"/>
      <c r="I182" s="28"/>
      <c r="J182" s="103"/>
      <c r="K182" s="28"/>
      <c r="L182" s="92"/>
      <c r="M182" s="99"/>
      <c r="N182" s="81"/>
      <c r="O182" s="7"/>
      <c r="P182" s="7"/>
      <c r="Q182" s="7"/>
      <c r="R182" s="7"/>
    </row>
    <row r="183" spans="1:18" ht="15.75">
      <c r="A183" s="8"/>
      <c r="B183" s="17" t="s">
        <v>133</v>
      </c>
      <c r="C183" s="20"/>
      <c r="D183" s="94"/>
      <c r="E183" s="20"/>
      <c r="F183" s="94"/>
      <c r="G183" s="20"/>
      <c r="H183" s="94" t="s">
        <v>172</v>
      </c>
      <c r="I183" s="20" t="s">
        <v>173</v>
      </c>
      <c r="J183" s="94" t="s">
        <v>182</v>
      </c>
      <c r="K183" s="20" t="s">
        <v>173</v>
      </c>
      <c r="L183" s="18"/>
      <c r="M183" s="17"/>
      <c r="N183" s="81"/>
      <c r="O183" s="7"/>
      <c r="P183" s="7"/>
      <c r="Q183" s="7"/>
      <c r="R183" s="7"/>
    </row>
    <row r="184" spans="1:18" ht="15.75">
      <c r="A184" s="27"/>
      <c r="B184" s="61" t="s">
        <v>134</v>
      </c>
      <c r="C184" s="105"/>
      <c r="D184" s="61"/>
      <c r="E184" s="105"/>
      <c r="F184" s="28"/>
      <c r="G184" s="105"/>
      <c r="H184" s="61">
        <v>3666</v>
      </c>
      <c r="I184" s="105">
        <f>H184/$H$190</f>
        <v>0.9781216648879403</v>
      </c>
      <c r="J184" s="60">
        <v>175122</v>
      </c>
      <c r="K184" s="106">
        <f>J184/$J$190</f>
        <v>0.9790298144493579</v>
      </c>
      <c r="L184" s="92"/>
      <c r="M184" s="99"/>
      <c r="N184" s="81"/>
      <c r="O184" s="7"/>
      <c r="P184" s="7"/>
      <c r="Q184" s="7"/>
      <c r="R184" s="7"/>
    </row>
    <row r="185" spans="1:18" ht="15.75">
      <c r="A185" s="27"/>
      <c r="B185" s="61" t="s">
        <v>135</v>
      </c>
      <c r="C185" s="105"/>
      <c r="D185" s="61"/>
      <c r="E185" s="105"/>
      <c r="F185" s="28"/>
      <c r="G185" s="107"/>
      <c r="H185" s="61">
        <v>44</v>
      </c>
      <c r="I185" s="105">
        <f>H185/$H$190</f>
        <v>0.011739594450373533</v>
      </c>
      <c r="J185" s="60">
        <v>2421</v>
      </c>
      <c r="K185" s="106">
        <f>J185/$J$190</f>
        <v>0.013534742526820706</v>
      </c>
      <c r="L185" s="92"/>
      <c r="M185" s="99"/>
      <c r="N185" s="81"/>
      <c r="O185" s="7"/>
      <c r="P185" s="7"/>
      <c r="Q185" s="7"/>
      <c r="R185" s="7"/>
    </row>
    <row r="186" spans="1:18" ht="15.75">
      <c r="A186" s="27"/>
      <c r="B186" s="61" t="s">
        <v>136</v>
      </c>
      <c r="C186" s="105"/>
      <c r="D186" s="61"/>
      <c r="E186" s="105"/>
      <c r="F186" s="28"/>
      <c r="G186" s="107"/>
      <c r="H186" s="61">
        <v>9</v>
      </c>
      <c r="I186" s="105">
        <f>H186/$H$190</f>
        <v>0.00240128068303095</v>
      </c>
      <c r="J186" s="60">
        <v>385</v>
      </c>
      <c r="K186" s="106">
        <f>J186/$J$190</f>
        <v>0.0021523650858430283</v>
      </c>
      <c r="L186" s="92"/>
      <c r="M186" s="99"/>
      <c r="N186" s="81"/>
      <c r="O186" s="7"/>
      <c r="P186" s="7"/>
      <c r="Q186" s="7"/>
      <c r="R186" s="7"/>
    </row>
    <row r="187" spans="1:18" ht="15.75">
      <c r="A187" s="27"/>
      <c r="B187" s="61" t="s">
        <v>137</v>
      </c>
      <c r="C187" s="105"/>
      <c r="D187" s="61"/>
      <c r="E187" s="105"/>
      <c r="F187" s="28"/>
      <c r="G187" s="107"/>
      <c r="H187" s="61">
        <v>29</v>
      </c>
      <c r="I187" s="105">
        <f>H187/$H$190</f>
        <v>0.007737459978655283</v>
      </c>
      <c r="J187" s="60">
        <f>631+314</f>
        <v>945</v>
      </c>
      <c r="K187" s="106">
        <f>J187/$J$190</f>
        <v>0.005283077937978342</v>
      </c>
      <c r="L187" s="92"/>
      <c r="M187" s="99"/>
      <c r="N187" s="81"/>
      <c r="O187" s="7"/>
      <c r="P187" s="7"/>
      <c r="Q187" s="7"/>
      <c r="R187" s="7"/>
    </row>
    <row r="188" spans="1:18" ht="15.75">
      <c r="A188" s="27"/>
      <c r="B188" s="30"/>
      <c r="C188" s="105"/>
      <c r="D188" s="61"/>
      <c r="E188" s="105"/>
      <c r="F188" s="28"/>
      <c r="G188" s="107"/>
      <c r="H188" s="61"/>
      <c r="I188" s="105"/>
      <c r="J188" s="60"/>
      <c r="K188" s="106"/>
      <c r="L188" s="92"/>
      <c r="M188" s="99"/>
      <c r="N188" s="81"/>
      <c r="O188" s="7"/>
      <c r="P188" s="7"/>
      <c r="Q188" s="7"/>
      <c r="R188" s="7"/>
    </row>
    <row r="189" spans="1:18" ht="15.75">
      <c r="A189" s="27"/>
      <c r="B189" s="61" t="s">
        <v>138</v>
      </c>
      <c r="C189" s="108"/>
      <c r="D189" s="97"/>
      <c r="E189" s="108"/>
      <c r="F189" s="28"/>
      <c r="G189" s="108"/>
      <c r="H189" s="97"/>
      <c r="I189" s="108"/>
      <c r="J189" s="60"/>
      <c r="K189" s="106"/>
      <c r="L189" s="92"/>
      <c r="M189" s="99"/>
      <c r="N189" s="81"/>
      <c r="O189" s="7"/>
      <c r="P189" s="7"/>
      <c r="Q189" s="7"/>
      <c r="R189" s="7"/>
    </row>
    <row r="190" spans="1:18" ht="15.75">
      <c r="A190" s="27"/>
      <c r="B190" s="28"/>
      <c r="C190" s="28"/>
      <c r="D190" s="28"/>
      <c r="E190" s="28"/>
      <c r="F190" s="28"/>
      <c r="G190" s="28"/>
      <c r="H190" s="38">
        <f>SUM(H184:H188)</f>
        <v>3748</v>
      </c>
      <c r="I190" s="109">
        <f>SUM(I184:I189)</f>
        <v>1</v>
      </c>
      <c r="J190" s="60">
        <f>SUM(J184:J189)</f>
        <v>178873</v>
      </c>
      <c r="K190" s="127">
        <f>SUM(K184:K189)</f>
        <v>1</v>
      </c>
      <c r="L190" s="28"/>
      <c r="M190" s="28"/>
      <c r="N190" s="110"/>
      <c r="O190" s="111"/>
      <c r="P190" s="111"/>
      <c r="Q190" s="111"/>
      <c r="R190" s="111"/>
    </row>
    <row r="191" spans="1:18" ht="15.75">
      <c r="A191" s="27"/>
      <c r="B191" s="28"/>
      <c r="C191" s="28"/>
      <c r="D191" s="28"/>
      <c r="E191" s="28"/>
      <c r="F191" s="28"/>
      <c r="G191" s="28"/>
      <c r="H191" s="38"/>
      <c r="I191" s="109"/>
      <c r="J191" s="60"/>
      <c r="K191" s="127"/>
      <c r="L191" s="28"/>
      <c r="M191" s="28"/>
      <c r="N191" s="110"/>
      <c r="O191" s="111"/>
      <c r="P191" s="111"/>
      <c r="Q191" s="111"/>
      <c r="R191" s="111"/>
    </row>
    <row r="192" spans="1:18" ht="15.75">
      <c r="A192" s="8"/>
      <c r="B192" s="10"/>
      <c r="C192" s="10"/>
      <c r="D192" s="10"/>
      <c r="E192" s="10"/>
      <c r="F192" s="10"/>
      <c r="G192" s="10"/>
      <c r="H192" s="62"/>
      <c r="I192" s="112"/>
      <c r="J192" s="113"/>
      <c r="K192" s="128"/>
      <c r="L192" s="10"/>
      <c r="M192" s="10"/>
      <c r="N192" s="110"/>
      <c r="O192" s="111"/>
      <c r="P192" s="111"/>
      <c r="Q192" s="111"/>
      <c r="R192" s="111"/>
    </row>
    <row r="193" spans="1:18" ht="15.75">
      <c r="A193" s="129"/>
      <c r="B193" s="17" t="s">
        <v>139</v>
      </c>
      <c r="C193" s="115"/>
      <c r="D193" s="20" t="s">
        <v>148</v>
      </c>
      <c r="E193" s="18"/>
      <c r="F193" s="17" t="s">
        <v>161</v>
      </c>
      <c r="G193" s="116"/>
      <c r="H193" s="15"/>
      <c r="I193" s="15"/>
      <c r="J193" s="15"/>
      <c r="K193" s="15"/>
      <c r="L193" s="15"/>
      <c r="M193" s="15"/>
      <c r="N193" s="110"/>
      <c r="O193" s="111"/>
      <c r="P193" s="111"/>
      <c r="Q193" s="111"/>
      <c r="R193" s="111"/>
    </row>
    <row r="194" spans="1:18" ht="15.75">
      <c r="A194" s="114"/>
      <c r="B194" s="15"/>
      <c r="C194" s="15"/>
      <c r="D194" s="10"/>
      <c r="E194" s="10"/>
      <c r="F194" s="10"/>
      <c r="G194" s="15"/>
      <c r="H194" s="15"/>
      <c r="I194" s="15"/>
      <c r="J194" s="15"/>
      <c r="K194" s="15"/>
      <c r="L194" s="15"/>
      <c r="M194" s="15"/>
      <c r="N194" s="110"/>
      <c r="O194" s="111"/>
      <c r="P194" s="111"/>
      <c r="Q194" s="111"/>
      <c r="R194" s="111"/>
    </row>
    <row r="195" spans="1:18" ht="15.75">
      <c r="A195" s="114"/>
      <c r="B195" s="16" t="s">
        <v>140</v>
      </c>
      <c r="C195" s="117"/>
      <c r="D195" s="118" t="s">
        <v>149</v>
      </c>
      <c r="E195" s="16"/>
      <c r="F195" s="16" t="s">
        <v>162</v>
      </c>
      <c r="G195" s="117"/>
      <c r="H195" s="117"/>
      <c r="I195" s="15"/>
      <c r="J195" s="15"/>
      <c r="K195" s="15"/>
      <c r="L195" s="15"/>
      <c r="M195" s="15"/>
      <c r="N195" s="110"/>
      <c r="O195" s="111"/>
      <c r="P195" s="111"/>
      <c r="Q195" s="111"/>
      <c r="R195" s="111"/>
    </row>
    <row r="196" spans="1:18" ht="15.75">
      <c r="A196" s="114"/>
      <c r="B196" s="16" t="s">
        <v>141</v>
      </c>
      <c r="C196" s="117"/>
      <c r="D196" s="118" t="s">
        <v>150</v>
      </c>
      <c r="E196" s="16"/>
      <c r="F196" s="16" t="s">
        <v>163</v>
      </c>
      <c r="G196" s="117"/>
      <c r="H196" s="117"/>
      <c r="I196" s="15"/>
      <c r="J196" s="15"/>
      <c r="K196" s="15"/>
      <c r="L196" s="15"/>
      <c r="M196" s="15"/>
      <c r="N196" s="81"/>
      <c r="O196" s="111"/>
      <c r="P196" s="111"/>
      <c r="Q196" s="111"/>
      <c r="R196" s="111"/>
    </row>
    <row r="197" spans="1:18" ht="15.75">
      <c r="A197" s="114"/>
      <c r="B197" s="16"/>
      <c r="C197" s="117"/>
      <c r="D197" s="118"/>
      <c r="E197" s="16"/>
      <c r="F197" s="16"/>
      <c r="G197" s="117"/>
      <c r="H197" s="117"/>
      <c r="I197" s="15"/>
      <c r="J197" s="15"/>
      <c r="K197" s="15"/>
      <c r="L197" s="15"/>
      <c r="M197" s="15"/>
      <c r="N197" s="81"/>
      <c r="O197" s="111"/>
      <c r="P197" s="111"/>
      <c r="Q197" s="111"/>
      <c r="R197" s="111"/>
    </row>
    <row r="198" spans="1:18" ht="15.75">
      <c r="A198" s="114"/>
      <c r="B198" s="16"/>
      <c r="C198" s="117"/>
      <c r="D198" s="118"/>
      <c r="E198" s="16"/>
      <c r="F198" s="16"/>
      <c r="G198" s="117"/>
      <c r="H198" s="117"/>
      <c r="I198" s="15"/>
      <c r="J198" s="15"/>
      <c r="K198" s="15"/>
      <c r="L198" s="15"/>
      <c r="M198" s="15"/>
      <c r="N198" s="81"/>
      <c r="O198" s="111"/>
      <c r="P198" s="111"/>
      <c r="Q198" s="111"/>
      <c r="R198" s="111"/>
    </row>
    <row r="199" spans="1:18" ht="18.75">
      <c r="A199" s="114"/>
      <c r="B199" s="55" t="s">
        <v>193</v>
      </c>
      <c r="C199" s="15"/>
      <c r="D199" s="15"/>
      <c r="E199" s="15"/>
      <c r="F199" s="15"/>
      <c r="G199" s="15"/>
      <c r="H199" s="15"/>
      <c r="I199" s="15"/>
      <c r="J199" s="15"/>
      <c r="K199" s="15"/>
      <c r="L199" s="15"/>
      <c r="M199" s="15"/>
      <c r="N199" s="110"/>
      <c r="O199" s="111"/>
      <c r="P199" s="111"/>
      <c r="Q199" s="111"/>
      <c r="R199" s="111"/>
    </row>
    <row r="200" spans="1:13" ht="15">
      <c r="A200" s="130"/>
      <c r="B200" s="130"/>
      <c r="C200" s="130"/>
      <c r="D200" s="130"/>
      <c r="E200" s="130"/>
      <c r="F200" s="130"/>
      <c r="G200" s="130"/>
      <c r="H200" s="130"/>
      <c r="I200" s="130"/>
      <c r="J200" s="130"/>
      <c r="K200" s="130"/>
      <c r="L200" s="130"/>
      <c r="M200" s="130"/>
    </row>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4" manualBreakCount="4">
    <brk id="48" min="103" max="154" man="1"/>
    <brk id="48" max="13" man="1"/>
    <brk id="102" max="13" man="1"/>
    <brk id="153" max="13" man="1"/>
  </rowBreaks>
  <colBreaks count="1" manualBreakCount="1">
    <brk id="16" max="65535" man="1"/>
  </colBreaks>
  <drawing r:id="rId1"/>
</worksheet>
</file>

<file path=xl/worksheets/sheet3.xml><?xml version="1.0" encoding="utf-8"?>
<worksheet xmlns="http://schemas.openxmlformats.org/spreadsheetml/2006/main" xmlns:r="http://schemas.openxmlformats.org/officeDocument/2006/relationships">
  <dimension ref="A1:N201"/>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30.77734375" style="1" customWidth="1"/>
    <col min="14" max="15" width="9.6640625" style="1" customWidth="1"/>
    <col min="16" max="16" width="9.88671875" style="1" customWidth="1"/>
    <col min="17" max="16384" width="9.6640625" style="1" customWidth="1"/>
  </cols>
  <sheetData>
    <row r="1" spans="1:14" ht="20.25">
      <c r="A1" s="2"/>
      <c r="B1" s="3" t="s">
        <v>0</v>
      </c>
      <c r="C1" s="4"/>
      <c r="D1" s="5"/>
      <c r="E1" s="5"/>
      <c r="F1" s="5"/>
      <c r="G1" s="5"/>
      <c r="H1" s="5"/>
      <c r="I1" s="5"/>
      <c r="J1" s="5"/>
      <c r="K1" s="5"/>
      <c r="L1" s="5"/>
      <c r="M1" s="5"/>
      <c r="N1" s="131"/>
    </row>
    <row r="2" spans="1:14" ht="15.75">
      <c r="A2" s="8"/>
      <c r="B2" s="9"/>
      <c r="C2" s="9"/>
      <c r="D2" s="10"/>
      <c r="E2" s="10"/>
      <c r="F2" s="10"/>
      <c r="G2" s="10"/>
      <c r="H2" s="10"/>
      <c r="I2" s="10"/>
      <c r="J2" s="10"/>
      <c r="K2" s="10"/>
      <c r="L2" s="10"/>
      <c r="M2" s="10"/>
      <c r="N2" s="131"/>
    </row>
    <row r="3" spans="1:14" ht="15.75">
      <c r="A3" s="11"/>
      <c r="B3" s="154" t="s">
        <v>1</v>
      </c>
      <c r="C3" s="10"/>
      <c r="D3" s="10"/>
      <c r="E3" s="10"/>
      <c r="F3" s="10"/>
      <c r="G3" s="10"/>
      <c r="H3" s="10"/>
      <c r="I3" s="10"/>
      <c r="J3" s="10"/>
      <c r="K3" s="10"/>
      <c r="L3" s="10"/>
      <c r="M3" s="10"/>
      <c r="N3" s="131"/>
    </row>
    <row r="4" spans="1:14" ht="15.75">
      <c r="A4" s="8"/>
      <c r="B4" s="9"/>
      <c r="C4" s="9"/>
      <c r="D4" s="10"/>
      <c r="E4" s="10"/>
      <c r="F4" s="10"/>
      <c r="G4" s="10"/>
      <c r="H4" s="10"/>
      <c r="I4" s="10"/>
      <c r="J4" s="10"/>
      <c r="K4" s="10"/>
      <c r="L4" s="10"/>
      <c r="M4" s="10"/>
      <c r="N4" s="131"/>
    </row>
    <row r="5" spans="1:14" ht="12" customHeight="1">
      <c r="A5" s="8"/>
      <c r="B5" s="13" t="s">
        <v>2</v>
      </c>
      <c r="C5" s="14"/>
      <c r="D5" s="10"/>
      <c r="E5" s="10"/>
      <c r="F5" s="10"/>
      <c r="G5" s="10"/>
      <c r="H5" s="10"/>
      <c r="I5" s="10"/>
      <c r="J5" s="10"/>
      <c r="K5" s="10"/>
      <c r="L5" s="10"/>
      <c r="M5" s="10"/>
      <c r="N5" s="131"/>
    </row>
    <row r="6" spans="1:14" ht="12" customHeight="1">
      <c r="A6" s="8"/>
      <c r="B6" s="13" t="s">
        <v>3</v>
      </c>
      <c r="C6" s="14"/>
      <c r="D6" s="10"/>
      <c r="E6" s="10"/>
      <c r="F6" s="10"/>
      <c r="G6" s="10"/>
      <c r="H6" s="10"/>
      <c r="I6" s="10"/>
      <c r="J6" s="10"/>
      <c r="K6" s="10"/>
      <c r="L6" s="10"/>
      <c r="M6" s="10"/>
      <c r="N6" s="131"/>
    </row>
    <row r="7" spans="1:14" ht="12" customHeight="1">
      <c r="A7" s="8"/>
      <c r="B7" s="13" t="s">
        <v>4</v>
      </c>
      <c r="C7" s="14"/>
      <c r="D7" s="10"/>
      <c r="E7" s="10"/>
      <c r="F7" s="10"/>
      <c r="G7" s="10"/>
      <c r="H7" s="10"/>
      <c r="I7" s="10"/>
      <c r="J7" s="10"/>
      <c r="K7" s="10"/>
      <c r="L7" s="10"/>
      <c r="M7" s="10"/>
      <c r="N7" s="131"/>
    </row>
    <row r="8" spans="1:14" ht="12" customHeight="1">
      <c r="A8" s="8"/>
      <c r="B8" s="13" t="s">
        <v>5</v>
      </c>
      <c r="C8" s="14"/>
      <c r="D8" s="10"/>
      <c r="E8" s="10"/>
      <c r="F8" s="10"/>
      <c r="G8" s="10"/>
      <c r="H8" s="10"/>
      <c r="I8" s="10"/>
      <c r="J8" s="10"/>
      <c r="K8" s="10"/>
      <c r="L8" s="10"/>
      <c r="M8" s="10"/>
      <c r="N8" s="131"/>
    </row>
    <row r="9" spans="1:14" ht="12" customHeight="1">
      <c r="A9" s="8"/>
      <c r="B9" s="15"/>
      <c r="C9" s="14"/>
      <c r="D9" s="10"/>
      <c r="E9" s="10"/>
      <c r="F9" s="10"/>
      <c r="G9" s="10"/>
      <c r="H9" s="10"/>
      <c r="I9" s="10"/>
      <c r="J9" s="10"/>
      <c r="K9" s="10"/>
      <c r="L9" s="10"/>
      <c r="M9" s="10"/>
      <c r="N9" s="131"/>
    </row>
    <row r="10" spans="1:14" ht="15.75">
      <c r="A10" s="8"/>
      <c r="B10" s="13"/>
      <c r="C10" s="14"/>
      <c r="D10" s="16"/>
      <c r="E10" s="16"/>
      <c r="F10" s="10"/>
      <c r="G10" s="10"/>
      <c r="H10" s="10"/>
      <c r="I10" s="10"/>
      <c r="J10" s="10"/>
      <c r="K10" s="10"/>
      <c r="L10" s="10"/>
      <c r="M10" s="10"/>
      <c r="N10" s="131"/>
    </row>
    <row r="11" spans="1:14" ht="15.75">
      <c r="A11" s="8"/>
      <c r="B11" s="16" t="s">
        <v>6</v>
      </c>
      <c r="C11" s="16"/>
      <c r="D11" s="10"/>
      <c r="E11" s="10"/>
      <c r="F11" s="10"/>
      <c r="G11" s="10"/>
      <c r="H11" s="10"/>
      <c r="I11" s="10"/>
      <c r="J11" s="10"/>
      <c r="K11" s="10"/>
      <c r="L11" s="10"/>
      <c r="M11" s="10"/>
      <c r="N11" s="131"/>
    </row>
    <row r="12" spans="1:14" ht="15.75">
      <c r="A12" s="8"/>
      <c r="B12" s="16"/>
      <c r="C12" s="16"/>
      <c r="D12" s="10"/>
      <c r="E12" s="10"/>
      <c r="F12" s="10"/>
      <c r="G12" s="10"/>
      <c r="H12" s="10"/>
      <c r="I12" s="10"/>
      <c r="J12" s="10"/>
      <c r="K12" s="10"/>
      <c r="L12" s="10"/>
      <c r="M12" s="10"/>
      <c r="N12" s="131"/>
    </row>
    <row r="13" spans="1:14" ht="15.75">
      <c r="A13" s="2"/>
      <c r="B13" s="5"/>
      <c r="C13" s="5"/>
      <c r="D13" s="5"/>
      <c r="E13" s="5"/>
      <c r="F13" s="5"/>
      <c r="G13" s="5"/>
      <c r="H13" s="5"/>
      <c r="I13" s="5"/>
      <c r="J13" s="5"/>
      <c r="K13" s="5"/>
      <c r="L13" s="5"/>
      <c r="M13" s="5"/>
      <c r="N13" s="131"/>
    </row>
    <row r="14" spans="1:14" ht="15.75">
      <c r="A14" s="8"/>
      <c r="B14" s="17" t="s">
        <v>7</v>
      </c>
      <c r="C14" s="17"/>
      <c r="D14" s="18"/>
      <c r="E14" s="18"/>
      <c r="F14" s="18"/>
      <c r="G14" s="18"/>
      <c r="H14" s="18"/>
      <c r="I14" s="18"/>
      <c r="J14" s="18"/>
      <c r="K14" s="18"/>
      <c r="L14" s="19" t="s">
        <v>185</v>
      </c>
      <c r="M14" s="18"/>
      <c r="N14" s="131"/>
    </row>
    <row r="15" spans="1:14" ht="15.75">
      <c r="A15" s="8"/>
      <c r="B15" s="17" t="s">
        <v>8</v>
      </c>
      <c r="C15" s="17"/>
      <c r="D15" s="18"/>
      <c r="E15" s="18"/>
      <c r="F15" s="18"/>
      <c r="G15" s="18"/>
      <c r="H15" s="18"/>
      <c r="I15" s="18"/>
      <c r="J15" s="18"/>
      <c r="K15" s="18"/>
      <c r="L15" s="20" t="s">
        <v>186</v>
      </c>
      <c r="M15" s="18"/>
      <c r="N15" s="131"/>
    </row>
    <row r="16" spans="1:14" ht="15.75">
      <c r="A16" s="8"/>
      <c r="B16" s="17" t="s">
        <v>9</v>
      </c>
      <c r="C16" s="17"/>
      <c r="D16" s="18"/>
      <c r="E16" s="18"/>
      <c r="F16" s="18"/>
      <c r="G16" s="18"/>
      <c r="H16" s="18"/>
      <c r="I16" s="18"/>
      <c r="J16" s="18"/>
      <c r="K16" s="18"/>
      <c r="L16" s="21">
        <v>36650</v>
      </c>
      <c r="M16" s="18"/>
      <c r="N16" s="131"/>
    </row>
    <row r="17" spans="1:14" ht="15.75">
      <c r="A17" s="8"/>
      <c r="B17" s="10"/>
      <c r="C17" s="10"/>
      <c r="D17" s="10"/>
      <c r="E17" s="10"/>
      <c r="F17" s="10"/>
      <c r="G17" s="10"/>
      <c r="H17" s="10"/>
      <c r="I17" s="10"/>
      <c r="J17" s="10"/>
      <c r="K17" s="10"/>
      <c r="L17" s="22"/>
      <c r="M17" s="10"/>
      <c r="N17" s="131"/>
    </row>
    <row r="18" spans="1:14" ht="15.75">
      <c r="A18" s="8"/>
      <c r="B18" s="23" t="s">
        <v>10</v>
      </c>
      <c r="C18" s="10"/>
      <c r="D18" s="10"/>
      <c r="E18" s="10"/>
      <c r="F18" s="10"/>
      <c r="G18" s="10"/>
      <c r="H18" s="10"/>
      <c r="I18" s="10"/>
      <c r="J18" s="22" t="s">
        <v>174</v>
      </c>
      <c r="K18" s="10"/>
      <c r="L18" s="15"/>
      <c r="M18" s="10"/>
      <c r="N18" s="131"/>
    </row>
    <row r="19" spans="1:14" ht="15.75">
      <c r="A19" s="8"/>
      <c r="B19" s="10"/>
      <c r="C19" s="10"/>
      <c r="D19" s="10"/>
      <c r="E19" s="10"/>
      <c r="F19" s="10"/>
      <c r="G19" s="10"/>
      <c r="H19" s="10"/>
      <c r="I19" s="10"/>
      <c r="J19" s="10"/>
      <c r="K19" s="10"/>
      <c r="L19" s="24"/>
      <c r="M19" s="10"/>
      <c r="N19" s="131"/>
    </row>
    <row r="20" spans="1:14" ht="15.75">
      <c r="A20" s="8"/>
      <c r="B20" s="10"/>
      <c r="C20" s="155" t="s">
        <v>143</v>
      </c>
      <c r="D20" s="25"/>
      <c r="E20" s="25"/>
      <c r="F20" s="157" t="s">
        <v>151</v>
      </c>
      <c r="G20" s="157"/>
      <c r="H20" s="157" t="s">
        <v>164</v>
      </c>
      <c r="I20" s="158"/>
      <c r="J20" s="158"/>
      <c r="K20" s="15"/>
      <c r="L20" s="15"/>
      <c r="M20" s="10"/>
      <c r="N20" s="131"/>
    </row>
    <row r="21" spans="1:14" ht="15.75">
      <c r="A21" s="27"/>
      <c r="B21" s="28" t="s">
        <v>11</v>
      </c>
      <c r="C21" s="156" t="s">
        <v>144</v>
      </c>
      <c r="D21" s="29"/>
      <c r="E21" s="29"/>
      <c r="F21" s="29" t="s">
        <v>152</v>
      </c>
      <c r="G21" s="29"/>
      <c r="H21" s="29" t="s">
        <v>165</v>
      </c>
      <c r="I21" s="29"/>
      <c r="J21" s="29"/>
      <c r="K21" s="30"/>
      <c r="L21" s="30"/>
      <c r="M21" s="28"/>
      <c r="N21" s="131"/>
    </row>
    <row r="22" spans="1:14" ht="15.75">
      <c r="A22" s="27"/>
      <c r="B22" s="28" t="s">
        <v>12</v>
      </c>
      <c r="C22" s="31"/>
      <c r="D22" s="29"/>
      <c r="E22" s="29"/>
      <c r="F22" s="29" t="s">
        <v>153</v>
      </c>
      <c r="G22" s="29"/>
      <c r="H22" s="29" t="s">
        <v>166</v>
      </c>
      <c r="I22" s="29"/>
      <c r="J22" s="29"/>
      <c r="K22" s="30"/>
      <c r="L22" s="30"/>
      <c r="M22" s="28"/>
      <c r="N22" s="131"/>
    </row>
    <row r="23" spans="1:14" ht="15.75">
      <c r="A23" s="32"/>
      <c r="B23" s="33" t="s">
        <v>13</v>
      </c>
      <c r="C23" s="33"/>
      <c r="D23" s="34"/>
      <c r="E23" s="34"/>
      <c r="F23" s="34" t="s">
        <v>152</v>
      </c>
      <c r="G23" s="34"/>
      <c r="H23" s="34" t="s">
        <v>165</v>
      </c>
      <c r="I23" s="29"/>
      <c r="J23" s="29"/>
      <c r="K23" s="30"/>
      <c r="L23" s="30"/>
      <c r="M23" s="28"/>
      <c r="N23" s="131"/>
    </row>
    <row r="24" spans="1:14" ht="15.75">
      <c r="A24" s="32"/>
      <c r="B24" s="33" t="s">
        <v>14</v>
      </c>
      <c r="C24" s="33"/>
      <c r="D24" s="34"/>
      <c r="E24" s="34"/>
      <c r="F24" s="34" t="s">
        <v>153</v>
      </c>
      <c r="G24" s="34"/>
      <c r="H24" s="34" t="s">
        <v>166</v>
      </c>
      <c r="I24" s="29"/>
      <c r="J24" s="29"/>
      <c r="K24" s="30"/>
      <c r="L24" s="30"/>
      <c r="M24" s="28"/>
      <c r="N24" s="131"/>
    </row>
    <row r="25" spans="1:14" ht="15.75">
      <c r="A25" s="27"/>
      <c r="B25" s="28" t="s">
        <v>15</v>
      </c>
      <c r="C25" s="28"/>
      <c r="D25" s="31"/>
      <c r="E25" s="29"/>
      <c r="F25" s="31" t="s">
        <v>154</v>
      </c>
      <c r="G25" s="29"/>
      <c r="H25" s="31" t="s">
        <v>167</v>
      </c>
      <c r="I25" s="29"/>
      <c r="J25" s="31"/>
      <c r="K25" s="30"/>
      <c r="L25" s="30"/>
      <c r="M25" s="28"/>
      <c r="N25" s="131"/>
    </row>
    <row r="26" spans="1:14" ht="15.75">
      <c r="A26" s="27"/>
      <c r="B26" s="28"/>
      <c r="C26" s="28"/>
      <c r="D26" s="28"/>
      <c r="E26" s="29"/>
      <c r="F26" s="29"/>
      <c r="G26" s="29"/>
      <c r="H26" s="29"/>
      <c r="I26" s="29"/>
      <c r="J26" s="29"/>
      <c r="K26" s="30"/>
      <c r="L26" s="30"/>
      <c r="M26" s="28"/>
      <c r="N26" s="131"/>
    </row>
    <row r="27" spans="1:14" ht="15.75">
      <c r="A27" s="27"/>
      <c r="B27" s="28" t="s">
        <v>16</v>
      </c>
      <c r="C27" s="28"/>
      <c r="D27" s="35"/>
      <c r="E27" s="36"/>
      <c r="F27" s="35">
        <v>168000</v>
      </c>
      <c r="G27" s="35"/>
      <c r="H27" s="35">
        <v>17000</v>
      </c>
      <c r="I27" s="35"/>
      <c r="J27" s="35"/>
      <c r="K27" s="37"/>
      <c r="L27" s="35">
        <f>H27+F27</f>
        <v>185000</v>
      </c>
      <c r="M27" s="38"/>
      <c r="N27" s="131"/>
    </row>
    <row r="28" spans="1:14" ht="15.75">
      <c r="A28" s="27"/>
      <c r="B28" s="28" t="s">
        <v>17</v>
      </c>
      <c r="C28" s="126">
        <v>0.963534</v>
      </c>
      <c r="D28" s="35"/>
      <c r="E28" s="36"/>
      <c r="F28" s="35">
        <v>161873</v>
      </c>
      <c r="G28" s="35"/>
      <c r="H28" s="35">
        <v>17000</v>
      </c>
      <c r="I28" s="35"/>
      <c r="J28" s="35"/>
      <c r="K28" s="37"/>
      <c r="L28" s="35">
        <f>H28+F28</f>
        <v>178873</v>
      </c>
      <c r="M28" s="38"/>
      <c r="N28" s="131"/>
    </row>
    <row r="29" spans="1:14" ht="13.5" customHeight="1">
      <c r="A29" s="32"/>
      <c r="B29" s="33" t="s">
        <v>18</v>
      </c>
      <c r="C29" s="40">
        <v>0.949027</v>
      </c>
      <c r="D29" s="41"/>
      <c r="E29" s="42"/>
      <c r="F29" s="41">
        <v>159436</v>
      </c>
      <c r="G29" s="41"/>
      <c r="H29" s="41">
        <v>17000</v>
      </c>
      <c r="I29" s="41"/>
      <c r="J29" s="41"/>
      <c r="K29" s="43"/>
      <c r="L29" s="41">
        <f>H29+F29+D29</f>
        <v>176436</v>
      </c>
      <c r="M29" s="38"/>
      <c r="N29" s="131"/>
    </row>
    <row r="30" spans="1:14" ht="15.75">
      <c r="A30" s="27"/>
      <c r="B30" s="28" t="s">
        <v>19</v>
      </c>
      <c r="C30" s="44"/>
      <c r="D30" s="31"/>
      <c r="E30" s="28"/>
      <c r="F30" s="31" t="s">
        <v>155</v>
      </c>
      <c r="G30" s="31"/>
      <c r="H30" s="31" t="s">
        <v>168</v>
      </c>
      <c r="I30" s="31"/>
      <c r="J30" s="31"/>
      <c r="K30" s="30"/>
      <c r="L30" s="30"/>
      <c r="M30" s="28"/>
      <c r="N30" s="131"/>
    </row>
    <row r="31" spans="1:14" ht="15.75">
      <c r="A31" s="27"/>
      <c r="B31" s="28" t="s">
        <v>20</v>
      </c>
      <c r="C31" s="28"/>
      <c r="D31" s="45"/>
      <c r="E31" s="28"/>
      <c r="F31" s="45">
        <f>(6.35984)/100</f>
        <v>0.0635984</v>
      </c>
      <c r="G31" s="46"/>
      <c r="H31" s="45">
        <f>(6.87984)/100</f>
        <v>0.0687984</v>
      </c>
      <c r="I31" s="46"/>
      <c r="J31" s="45"/>
      <c r="K31" s="30"/>
      <c r="L31" s="46">
        <f>SUMPRODUCT(F31:H31,F28:H28)/L28</f>
        <v>0.06409260538594422</v>
      </c>
      <c r="M31" s="28"/>
      <c r="N31" s="131"/>
    </row>
    <row r="32" spans="1:14" ht="15.75">
      <c r="A32" s="27"/>
      <c r="B32" s="28" t="s">
        <v>21</v>
      </c>
      <c r="C32" s="28"/>
      <c r="D32" s="45"/>
      <c r="E32" s="28"/>
      <c r="F32" s="45">
        <f>(6.275)/100</f>
        <v>0.06275</v>
      </c>
      <c r="G32" s="46"/>
      <c r="H32" s="45">
        <f>(6.795)/100</f>
        <v>0.06795</v>
      </c>
      <c r="I32" s="46"/>
      <c r="J32" s="45"/>
      <c r="K32" s="30"/>
      <c r="L32" s="30"/>
      <c r="M32" s="28"/>
      <c r="N32" s="131"/>
    </row>
    <row r="33" spans="1:14" ht="15.75">
      <c r="A33" s="27"/>
      <c r="B33" s="28" t="s">
        <v>22</v>
      </c>
      <c r="C33" s="28"/>
      <c r="D33" s="31"/>
      <c r="E33" s="28"/>
      <c r="F33" s="31" t="s">
        <v>157</v>
      </c>
      <c r="G33" s="31"/>
      <c r="H33" s="31" t="s">
        <v>157</v>
      </c>
      <c r="I33" s="31"/>
      <c r="J33" s="31"/>
      <c r="K33" s="30"/>
      <c r="L33" s="30"/>
      <c r="M33" s="28"/>
      <c r="N33" s="131"/>
    </row>
    <row r="34" spans="1:14" ht="15.75">
      <c r="A34" s="27"/>
      <c r="B34" s="28" t="s">
        <v>23</v>
      </c>
      <c r="C34" s="28"/>
      <c r="D34" s="31"/>
      <c r="E34" s="28"/>
      <c r="F34" s="31" t="s">
        <v>158</v>
      </c>
      <c r="G34" s="31"/>
      <c r="H34" s="31" t="s">
        <v>158</v>
      </c>
      <c r="I34" s="31"/>
      <c r="J34" s="31"/>
      <c r="K34" s="30"/>
      <c r="L34" s="30"/>
      <c r="M34" s="28"/>
      <c r="N34" s="131"/>
    </row>
    <row r="35" spans="1:14" ht="15.75">
      <c r="A35" s="27"/>
      <c r="B35" s="28" t="s">
        <v>24</v>
      </c>
      <c r="C35" s="28"/>
      <c r="D35" s="31"/>
      <c r="E35" s="28"/>
      <c r="F35" s="31" t="s">
        <v>159</v>
      </c>
      <c r="G35" s="31"/>
      <c r="H35" s="31" t="s">
        <v>169</v>
      </c>
      <c r="I35" s="31"/>
      <c r="J35" s="31"/>
      <c r="K35" s="30"/>
      <c r="L35" s="30"/>
      <c r="M35" s="28"/>
      <c r="N35" s="131"/>
    </row>
    <row r="36" spans="1:14" ht="15.75">
      <c r="A36" s="27"/>
      <c r="B36" s="28"/>
      <c r="C36" s="28"/>
      <c r="D36" s="47"/>
      <c r="E36" s="47"/>
      <c r="F36" s="28"/>
      <c r="G36" s="47"/>
      <c r="H36" s="47"/>
      <c r="I36" s="47"/>
      <c r="J36" s="47"/>
      <c r="K36" s="47"/>
      <c r="L36" s="47"/>
      <c r="M36" s="28"/>
      <c r="N36" s="131"/>
    </row>
    <row r="37" spans="1:14" ht="15.75">
      <c r="A37" s="27"/>
      <c r="B37" s="28" t="s">
        <v>25</v>
      </c>
      <c r="C37" s="28"/>
      <c r="D37" s="28"/>
      <c r="E37" s="28"/>
      <c r="F37" s="28"/>
      <c r="G37" s="28"/>
      <c r="H37" s="28"/>
      <c r="I37" s="28"/>
      <c r="J37" s="28"/>
      <c r="K37" s="28"/>
      <c r="L37" s="46">
        <f>H27/F27</f>
        <v>0.10119047619047619</v>
      </c>
      <c r="M37" s="28"/>
      <c r="N37" s="131"/>
    </row>
    <row r="38" spans="1:14" ht="15.75">
      <c r="A38" s="27"/>
      <c r="B38" s="28" t="s">
        <v>26</v>
      </c>
      <c r="C38" s="28"/>
      <c r="D38" s="28"/>
      <c r="E38" s="28"/>
      <c r="F38" s="28"/>
      <c r="G38" s="28"/>
      <c r="H38" s="28"/>
      <c r="I38" s="28"/>
      <c r="J38" s="28"/>
      <c r="K38" s="28"/>
      <c r="L38" s="46">
        <f>H29/F29</f>
        <v>0.10662585614290374</v>
      </c>
      <c r="M38" s="28"/>
      <c r="N38" s="131"/>
    </row>
    <row r="39" spans="1:14" ht="15.75">
      <c r="A39" s="27"/>
      <c r="B39" s="28" t="s">
        <v>27</v>
      </c>
      <c r="C39" s="28"/>
      <c r="D39" s="28"/>
      <c r="E39" s="28"/>
      <c r="F39" s="28"/>
      <c r="G39" s="28"/>
      <c r="H39" s="28"/>
      <c r="I39" s="28"/>
      <c r="J39" s="31" t="s">
        <v>151</v>
      </c>
      <c r="K39" s="31" t="s">
        <v>183</v>
      </c>
      <c r="L39" s="35">
        <v>75500</v>
      </c>
      <c r="M39" s="28"/>
      <c r="N39" s="131"/>
    </row>
    <row r="40" spans="1:14" ht="15.75">
      <c r="A40" s="27"/>
      <c r="B40" s="28"/>
      <c r="C40" s="28"/>
      <c r="D40" s="28"/>
      <c r="E40" s="28"/>
      <c r="F40" s="28"/>
      <c r="G40" s="28"/>
      <c r="H40" s="28"/>
      <c r="I40" s="28"/>
      <c r="J40" s="28" t="s">
        <v>175</v>
      </c>
      <c r="K40" s="28"/>
      <c r="L40" s="48"/>
      <c r="M40" s="28"/>
      <c r="N40" s="131"/>
    </row>
    <row r="41" spans="1:14" ht="15.75">
      <c r="A41" s="27"/>
      <c r="B41" s="28" t="s">
        <v>28</v>
      </c>
      <c r="C41" s="28"/>
      <c r="D41" s="28"/>
      <c r="E41" s="28"/>
      <c r="F41" s="28"/>
      <c r="G41" s="28"/>
      <c r="H41" s="28"/>
      <c r="I41" s="28"/>
      <c r="J41" s="31"/>
      <c r="K41" s="31"/>
      <c r="L41" s="31" t="s">
        <v>187</v>
      </c>
      <c r="M41" s="28"/>
      <c r="N41" s="131"/>
    </row>
    <row r="42" spans="1:14" ht="15.75">
      <c r="A42" s="32"/>
      <c r="B42" s="33" t="s">
        <v>29</v>
      </c>
      <c r="C42" s="33"/>
      <c r="D42" s="33"/>
      <c r="E42" s="33"/>
      <c r="F42" s="33"/>
      <c r="G42" s="33"/>
      <c r="H42" s="33"/>
      <c r="I42" s="33"/>
      <c r="J42" s="49"/>
      <c r="K42" s="49"/>
      <c r="L42" s="50">
        <v>36633</v>
      </c>
      <c r="M42" s="33"/>
      <c r="N42" s="131"/>
    </row>
    <row r="43" spans="1:14" ht="15.75">
      <c r="A43" s="27"/>
      <c r="B43" s="28" t="s">
        <v>30</v>
      </c>
      <c r="C43" s="28"/>
      <c r="D43" s="28"/>
      <c r="E43" s="28"/>
      <c r="F43" s="28"/>
      <c r="G43" s="28"/>
      <c r="H43" s="28"/>
      <c r="I43" s="28">
        <f>L43-J43+1</f>
        <v>94</v>
      </c>
      <c r="J43" s="51">
        <v>36448</v>
      </c>
      <c r="K43" s="52"/>
      <c r="L43" s="51">
        <v>36541</v>
      </c>
      <c r="M43" s="28"/>
      <c r="N43" s="131"/>
    </row>
    <row r="44" spans="1:14" ht="15.75">
      <c r="A44" s="27"/>
      <c r="B44" s="28" t="s">
        <v>31</v>
      </c>
      <c r="C44" s="28"/>
      <c r="D44" s="28"/>
      <c r="E44" s="28"/>
      <c r="F44" s="28"/>
      <c r="G44" s="28"/>
      <c r="H44" s="28"/>
      <c r="I44" s="28">
        <f>L44-J44+1</f>
        <v>91</v>
      </c>
      <c r="J44" s="51">
        <v>36542</v>
      </c>
      <c r="K44" s="52"/>
      <c r="L44" s="51">
        <v>36632</v>
      </c>
      <c r="M44" s="28"/>
      <c r="N44" s="131"/>
    </row>
    <row r="45" spans="1:14" ht="15.75">
      <c r="A45" s="27"/>
      <c r="B45" s="28" t="s">
        <v>32</v>
      </c>
      <c r="C45" s="28"/>
      <c r="D45" s="28"/>
      <c r="E45" s="28"/>
      <c r="F45" s="28"/>
      <c r="G45" s="28"/>
      <c r="H45" s="28"/>
      <c r="I45" s="28"/>
      <c r="J45" s="51"/>
      <c r="K45" s="52"/>
      <c r="L45" s="51" t="s">
        <v>194</v>
      </c>
      <c r="M45" s="28"/>
      <c r="N45" s="131"/>
    </row>
    <row r="46" spans="1:14" ht="15.75">
      <c r="A46" s="27"/>
      <c r="B46" s="28" t="s">
        <v>33</v>
      </c>
      <c r="C46" s="28"/>
      <c r="D46" s="28"/>
      <c r="E46" s="28"/>
      <c r="F46" s="28"/>
      <c r="G46" s="28"/>
      <c r="H46" s="28"/>
      <c r="I46" s="28"/>
      <c r="J46" s="51"/>
      <c r="K46" s="52"/>
      <c r="L46" s="51">
        <v>36623</v>
      </c>
      <c r="M46" s="28"/>
      <c r="N46" s="131"/>
    </row>
    <row r="47" spans="1:14" ht="15.75">
      <c r="A47" s="27"/>
      <c r="B47" s="28"/>
      <c r="C47" s="28"/>
      <c r="D47" s="28"/>
      <c r="E47" s="28"/>
      <c r="F47" s="28"/>
      <c r="G47" s="28"/>
      <c r="H47" s="28"/>
      <c r="I47" s="28"/>
      <c r="J47" s="51"/>
      <c r="K47" s="52"/>
      <c r="L47" s="51"/>
      <c r="M47" s="28"/>
      <c r="N47" s="131"/>
    </row>
    <row r="48" spans="1:14" ht="15.75">
      <c r="A48" s="8"/>
      <c r="B48" s="10"/>
      <c r="C48" s="10"/>
      <c r="D48" s="10"/>
      <c r="E48" s="10"/>
      <c r="F48" s="10"/>
      <c r="G48" s="10"/>
      <c r="H48" s="10"/>
      <c r="I48" s="10"/>
      <c r="J48" s="53"/>
      <c r="K48" s="54"/>
      <c r="L48" s="53"/>
      <c r="M48" s="10"/>
      <c r="N48" s="131"/>
    </row>
    <row r="49" spans="1:14" ht="19.5" thickBot="1">
      <c r="A49" s="138"/>
      <c r="B49" s="139" t="s">
        <v>195</v>
      </c>
      <c r="C49" s="140"/>
      <c r="D49" s="140"/>
      <c r="E49" s="140"/>
      <c r="F49" s="140"/>
      <c r="G49" s="140"/>
      <c r="H49" s="140"/>
      <c r="I49" s="140"/>
      <c r="J49" s="140"/>
      <c r="K49" s="140"/>
      <c r="L49" s="141"/>
      <c r="M49" s="142"/>
      <c r="N49" s="131"/>
    </row>
    <row r="50" spans="1:14" ht="15.75">
      <c r="A50" s="2"/>
      <c r="B50" s="5"/>
      <c r="C50" s="5"/>
      <c r="D50" s="5"/>
      <c r="E50" s="5"/>
      <c r="F50" s="5"/>
      <c r="G50" s="5"/>
      <c r="H50" s="5"/>
      <c r="I50" s="5"/>
      <c r="J50" s="5"/>
      <c r="K50" s="5"/>
      <c r="L50" s="57"/>
      <c r="M50" s="5"/>
      <c r="N50" s="131"/>
    </row>
    <row r="51" spans="1:14" ht="15.75">
      <c r="A51" s="8"/>
      <c r="B51" s="58" t="s">
        <v>35</v>
      </c>
      <c r="C51" s="16"/>
      <c r="D51" s="10"/>
      <c r="E51" s="10"/>
      <c r="F51" s="10"/>
      <c r="G51" s="10"/>
      <c r="H51" s="10"/>
      <c r="I51" s="10"/>
      <c r="J51" s="10"/>
      <c r="K51" s="10"/>
      <c r="L51" s="59"/>
      <c r="M51" s="10"/>
      <c r="N51" s="131"/>
    </row>
    <row r="52" spans="1:14" ht="15.75">
      <c r="A52" s="8"/>
      <c r="B52" s="16"/>
      <c r="C52" s="16"/>
      <c r="D52" s="10"/>
      <c r="E52" s="10"/>
      <c r="F52" s="10"/>
      <c r="G52" s="10"/>
      <c r="H52" s="10"/>
      <c r="I52" s="10"/>
      <c r="J52" s="10"/>
      <c r="K52" s="10"/>
      <c r="L52" s="59"/>
      <c r="M52" s="10"/>
      <c r="N52" s="131"/>
    </row>
    <row r="53" spans="1:14" s="165" customFormat="1" ht="63">
      <c r="A53" s="159"/>
      <c r="B53" s="160" t="s">
        <v>36</v>
      </c>
      <c r="C53" s="161" t="s">
        <v>145</v>
      </c>
      <c r="D53" s="161" t="s">
        <v>147</v>
      </c>
      <c r="E53" s="161"/>
      <c r="F53" s="161" t="s">
        <v>160</v>
      </c>
      <c r="G53" s="161"/>
      <c r="H53" s="161" t="s">
        <v>170</v>
      </c>
      <c r="I53" s="161"/>
      <c r="J53" s="161" t="s">
        <v>176</v>
      </c>
      <c r="K53" s="161"/>
      <c r="L53" s="162" t="s">
        <v>189</v>
      </c>
      <c r="M53" s="163"/>
      <c r="N53" s="171"/>
    </row>
    <row r="54" spans="1:14" ht="15.75">
      <c r="A54" s="27"/>
      <c r="B54" s="28" t="s">
        <v>37</v>
      </c>
      <c r="C54" s="38">
        <v>162582</v>
      </c>
      <c r="D54" s="60">
        <v>178873</v>
      </c>
      <c r="E54" s="38"/>
      <c r="F54" s="38">
        <v>3846</v>
      </c>
      <c r="G54" s="38"/>
      <c r="H54" s="38">
        <v>1409</v>
      </c>
      <c r="I54" s="38"/>
      <c r="J54" s="38">
        <v>0</v>
      </c>
      <c r="K54" s="38"/>
      <c r="L54" s="60">
        <f>D54-F54+H54-J54</f>
        <v>176436</v>
      </c>
      <c r="M54" s="28"/>
      <c r="N54" s="131"/>
    </row>
    <row r="55" spans="1:14" ht="15.75">
      <c r="A55" s="27"/>
      <c r="B55" s="28" t="s">
        <v>38</v>
      </c>
      <c r="C55" s="38">
        <v>66</v>
      </c>
      <c r="D55" s="60">
        <v>0</v>
      </c>
      <c r="E55" s="38"/>
      <c r="F55" s="38">
        <v>0</v>
      </c>
      <c r="G55" s="38"/>
      <c r="H55" s="38">
        <v>0</v>
      </c>
      <c r="I55" s="38"/>
      <c r="J55" s="38">
        <v>0</v>
      </c>
      <c r="K55" s="38"/>
      <c r="L55" s="60">
        <f>D55-F55</f>
        <v>0</v>
      </c>
      <c r="M55" s="28"/>
      <c r="N55" s="131"/>
    </row>
    <row r="56" spans="1:14" ht="15.75">
      <c r="A56" s="27"/>
      <c r="B56" s="28"/>
      <c r="C56" s="38"/>
      <c r="D56" s="60"/>
      <c r="E56" s="38"/>
      <c r="F56" s="38"/>
      <c r="G56" s="38"/>
      <c r="H56" s="38"/>
      <c r="I56" s="38"/>
      <c r="J56" s="38"/>
      <c r="K56" s="38"/>
      <c r="L56" s="60"/>
      <c r="M56" s="28"/>
      <c r="N56" s="131"/>
    </row>
    <row r="57" spans="1:14" ht="15.75">
      <c r="A57" s="27"/>
      <c r="B57" s="28" t="s">
        <v>39</v>
      </c>
      <c r="C57" s="38">
        <f>SUM(C54:C56)</f>
        <v>162648</v>
      </c>
      <c r="D57" s="61">
        <v>178873</v>
      </c>
      <c r="E57" s="38"/>
      <c r="F57" s="38">
        <f>SUM(F54:F56)</f>
        <v>3846</v>
      </c>
      <c r="G57" s="38"/>
      <c r="H57" s="38">
        <f>SUM(H54:H56)</f>
        <v>1409</v>
      </c>
      <c r="I57" s="38"/>
      <c r="J57" s="38">
        <f>SUM(J54:J56)</f>
        <v>0</v>
      </c>
      <c r="K57" s="38"/>
      <c r="L57" s="61">
        <f>SUM(L54:L56)</f>
        <v>176436</v>
      </c>
      <c r="M57" s="28"/>
      <c r="N57" s="131"/>
    </row>
    <row r="58" spans="1:14" ht="15.75">
      <c r="A58" s="27"/>
      <c r="B58" s="28"/>
      <c r="C58" s="38"/>
      <c r="D58" s="38"/>
      <c r="E58" s="38"/>
      <c r="F58" s="38"/>
      <c r="G58" s="38"/>
      <c r="H58" s="38"/>
      <c r="I58" s="38"/>
      <c r="J58" s="38"/>
      <c r="K58" s="38"/>
      <c r="L58" s="61"/>
      <c r="M58" s="28"/>
      <c r="N58" s="131"/>
    </row>
    <row r="59" spans="1:14" ht="15.75">
      <c r="A59" s="8"/>
      <c r="B59" s="154" t="s">
        <v>40</v>
      </c>
      <c r="C59" s="62"/>
      <c r="D59" s="62"/>
      <c r="E59" s="62"/>
      <c r="F59" s="62"/>
      <c r="G59" s="62"/>
      <c r="H59" s="62"/>
      <c r="I59" s="62"/>
      <c r="J59" s="62"/>
      <c r="K59" s="62"/>
      <c r="L59" s="63"/>
      <c r="M59" s="10"/>
      <c r="N59" s="131"/>
    </row>
    <row r="60" spans="1:14" ht="15.75">
      <c r="A60" s="8"/>
      <c r="B60" s="10"/>
      <c r="C60" s="62"/>
      <c r="D60" s="62"/>
      <c r="E60" s="62"/>
      <c r="F60" s="62"/>
      <c r="G60" s="62"/>
      <c r="H60" s="62"/>
      <c r="I60" s="62"/>
      <c r="J60" s="62"/>
      <c r="K60" s="62"/>
      <c r="L60" s="63"/>
      <c r="M60" s="10"/>
      <c r="N60" s="131"/>
    </row>
    <row r="61" spans="1:14" ht="15.75">
      <c r="A61" s="27"/>
      <c r="B61" s="28" t="s">
        <v>37</v>
      </c>
      <c r="C61" s="38"/>
      <c r="D61" s="38"/>
      <c r="E61" s="38"/>
      <c r="F61" s="38"/>
      <c r="G61" s="38"/>
      <c r="H61" s="38"/>
      <c r="I61" s="38"/>
      <c r="J61" s="38"/>
      <c r="K61" s="38"/>
      <c r="L61" s="61"/>
      <c r="M61" s="28"/>
      <c r="N61" s="131"/>
    </row>
    <row r="62" spans="1:14" ht="15.75">
      <c r="A62" s="27"/>
      <c r="B62" s="28" t="s">
        <v>38</v>
      </c>
      <c r="C62" s="38"/>
      <c r="D62" s="38"/>
      <c r="E62" s="38"/>
      <c r="F62" s="38"/>
      <c r="G62" s="38"/>
      <c r="H62" s="38"/>
      <c r="I62" s="38"/>
      <c r="J62" s="38"/>
      <c r="K62" s="38"/>
      <c r="L62" s="61"/>
      <c r="M62" s="28"/>
      <c r="N62" s="131"/>
    </row>
    <row r="63" spans="1:14" ht="15.75">
      <c r="A63" s="27"/>
      <c r="B63" s="28"/>
      <c r="C63" s="38"/>
      <c r="D63" s="38"/>
      <c r="E63" s="38"/>
      <c r="F63" s="38"/>
      <c r="G63" s="38"/>
      <c r="H63" s="38"/>
      <c r="I63" s="38"/>
      <c r="J63" s="38"/>
      <c r="K63" s="38"/>
      <c r="L63" s="61"/>
      <c r="M63" s="28"/>
      <c r="N63" s="131"/>
    </row>
    <row r="64" spans="1:14" ht="15.75">
      <c r="A64" s="27"/>
      <c r="B64" s="28" t="s">
        <v>39</v>
      </c>
      <c r="C64" s="38"/>
      <c r="D64" s="38"/>
      <c r="E64" s="38"/>
      <c r="F64" s="38"/>
      <c r="G64" s="38"/>
      <c r="H64" s="38"/>
      <c r="I64" s="38"/>
      <c r="J64" s="38"/>
      <c r="K64" s="38"/>
      <c r="L64" s="38"/>
      <c r="M64" s="28"/>
      <c r="N64" s="131"/>
    </row>
    <row r="65" spans="1:14" ht="15.75">
      <c r="A65" s="27"/>
      <c r="B65" s="28"/>
      <c r="C65" s="38"/>
      <c r="D65" s="38"/>
      <c r="E65" s="38"/>
      <c r="F65" s="38"/>
      <c r="G65" s="38"/>
      <c r="H65" s="38"/>
      <c r="I65" s="38"/>
      <c r="J65" s="38"/>
      <c r="K65" s="38"/>
      <c r="L65" s="38"/>
      <c r="M65" s="28"/>
      <c r="N65" s="131"/>
    </row>
    <row r="66" spans="1:14" ht="15.75">
      <c r="A66" s="27"/>
      <c r="B66" s="28" t="s">
        <v>41</v>
      </c>
      <c r="C66" s="38">
        <v>0</v>
      </c>
      <c r="D66" s="38">
        <v>0</v>
      </c>
      <c r="E66" s="38"/>
      <c r="F66" s="38"/>
      <c r="G66" s="38"/>
      <c r="H66" s="38"/>
      <c r="I66" s="38"/>
      <c r="J66" s="38"/>
      <c r="K66" s="38"/>
      <c r="L66" s="60">
        <f>D66-F66+H66-J66</f>
        <v>0</v>
      </c>
      <c r="M66" s="28"/>
      <c r="N66" s="131"/>
    </row>
    <row r="67" spans="1:14" ht="15.75">
      <c r="A67" s="27"/>
      <c r="B67" s="28" t="s">
        <v>42</v>
      </c>
      <c r="C67" s="38">
        <v>22352</v>
      </c>
      <c r="D67" s="38">
        <v>0</v>
      </c>
      <c r="E67" s="38"/>
      <c r="F67" s="38"/>
      <c r="G67" s="38"/>
      <c r="H67" s="38"/>
      <c r="I67" s="38"/>
      <c r="J67" s="38"/>
      <c r="K67" s="38"/>
      <c r="L67" s="61">
        <v>0</v>
      </c>
      <c r="M67" s="28"/>
      <c r="N67" s="131"/>
    </row>
    <row r="68" spans="1:14" ht="15.75">
      <c r="A68" s="27"/>
      <c r="B68" s="28" t="s">
        <v>43</v>
      </c>
      <c r="C68" s="38">
        <v>0</v>
      </c>
      <c r="D68" s="38">
        <f>L125</f>
        <v>0</v>
      </c>
      <c r="E68" s="38"/>
      <c r="F68" s="38"/>
      <c r="G68" s="38"/>
      <c r="H68" s="38"/>
      <c r="I68" s="38"/>
      <c r="J68" s="38"/>
      <c r="K68" s="38"/>
      <c r="L68" s="61">
        <f>SUM(C68:K68)</f>
        <v>0</v>
      </c>
      <c r="M68" s="28"/>
      <c r="N68" s="131"/>
    </row>
    <row r="69" spans="1:14" ht="15.75">
      <c r="A69" s="27"/>
      <c r="B69" s="28" t="s">
        <v>44</v>
      </c>
      <c r="C69" s="61">
        <f>SUM(C57:C68)</f>
        <v>185000</v>
      </c>
      <c r="D69" s="61">
        <f>SUM(D57:D68)</f>
        <v>178873</v>
      </c>
      <c r="E69" s="38"/>
      <c r="F69" s="61"/>
      <c r="G69" s="38"/>
      <c r="H69" s="61"/>
      <c r="I69" s="38"/>
      <c r="J69" s="61"/>
      <c r="K69" s="38"/>
      <c r="L69" s="61">
        <f>SUM(L57:L68)</f>
        <v>176436</v>
      </c>
      <c r="M69" s="28"/>
      <c r="N69" s="131"/>
    </row>
    <row r="70" spans="1:14" ht="15.75">
      <c r="A70" s="27"/>
      <c r="B70" s="28"/>
      <c r="C70" s="38"/>
      <c r="D70" s="38"/>
      <c r="E70" s="38"/>
      <c r="F70" s="38"/>
      <c r="G70" s="38"/>
      <c r="H70" s="38"/>
      <c r="I70" s="38"/>
      <c r="J70" s="38"/>
      <c r="K70" s="38"/>
      <c r="L70" s="61"/>
      <c r="M70" s="28"/>
      <c r="N70" s="131"/>
    </row>
    <row r="71" spans="1:14" ht="15.75">
      <c r="A71" s="8"/>
      <c r="B71" s="10"/>
      <c r="C71" s="10"/>
      <c r="D71" s="10"/>
      <c r="E71" s="10"/>
      <c r="F71" s="10"/>
      <c r="G71" s="10"/>
      <c r="H71" s="10"/>
      <c r="I71" s="10"/>
      <c r="J71" s="10"/>
      <c r="K71" s="10"/>
      <c r="L71" s="10"/>
      <c r="M71" s="10"/>
      <c r="N71" s="131"/>
    </row>
    <row r="72" spans="1:14" ht="15.75">
      <c r="A72" s="8"/>
      <c r="B72" s="58" t="s">
        <v>45</v>
      </c>
      <c r="C72" s="17"/>
      <c r="D72" s="17"/>
      <c r="E72" s="17"/>
      <c r="F72" s="17"/>
      <c r="G72" s="17"/>
      <c r="H72" s="17"/>
      <c r="I72" s="20"/>
      <c r="J72" s="20" t="s">
        <v>177</v>
      </c>
      <c r="K72" s="20"/>
      <c r="L72" s="20" t="s">
        <v>190</v>
      </c>
      <c r="M72" s="10"/>
      <c r="N72" s="131"/>
    </row>
    <row r="73" spans="1:14" ht="15.75">
      <c r="A73" s="27"/>
      <c r="B73" s="28" t="s">
        <v>46</v>
      </c>
      <c r="C73" s="28"/>
      <c r="D73" s="28"/>
      <c r="E73" s="28"/>
      <c r="F73" s="28"/>
      <c r="G73" s="28"/>
      <c r="H73" s="28"/>
      <c r="I73" s="28"/>
      <c r="J73" s="38">
        <v>0</v>
      </c>
      <c r="K73" s="28"/>
      <c r="L73" s="60">
        <v>0</v>
      </c>
      <c r="M73" s="28"/>
      <c r="N73" s="131"/>
    </row>
    <row r="74" spans="1:14" ht="15.75">
      <c r="A74" s="27"/>
      <c r="B74" s="28" t="s">
        <v>47</v>
      </c>
      <c r="C74" s="47" t="s">
        <v>146</v>
      </c>
      <c r="D74" s="65">
        <v>36616</v>
      </c>
      <c r="E74" s="28"/>
      <c r="F74" s="28"/>
      <c r="G74" s="28"/>
      <c r="H74" s="28"/>
      <c r="I74" s="28"/>
      <c r="J74" s="38">
        <v>3846</v>
      </c>
      <c r="K74" s="28"/>
      <c r="L74" s="60"/>
      <c r="M74" s="28"/>
      <c r="N74" s="131"/>
    </row>
    <row r="75" spans="1:14" ht="15.75">
      <c r="A75" s="27"/>
      <c r="B75" s="28" t="s">
        <v>48</v>
      </c>
      <c r="C75" s="28"/>
      <c r="D75" s="28"/>
      <c r="E75" s="28"/>
      <c r="F75" s="28"/>
      <c r="G75" s="28"/>
      <c r="H75" s="28"/>
      <c r="I75" s="28"/>
      <c r="J75" s="38"/>
      <c r="K75" s="28"/>
      <c r="L75" s="60">
        <f>2538+1193+36+24-685+419</f>
        <v>3525</v>
      </c>
      <c r="M75" s="28"/>
      <c r="N75" s="131"/>
    </row>
    <row r="76" spans="1:14" ht="15.75">
      <c r="A76" s="27"/>
      <c r="B76" s="28" t="s">
        <v>49</v>
      </c>
      <c r="C76" s="28"/>
      <c r="D76" s="28"/>
      <c r="E76" s="28"/>
      <c r="F76" s="28"/>
      <c r="G76" s="28"/>
      <c r="H76" s="28"/>
      <c r="I76" s="28"/>
      <c r="J76" s="38"/>
      <c r="K76" s="28"/>
      <c r="L76" s="60">
        <v>0</v>
      </c>
      <c r="M76" s="28"/>
      <c r="N76" s="131"/>
    </row>
    <row r="77" spans="1:14" ht="15.75">
      <c r="A77" s="27"/>
      <c r="B77" s="28" t="s">
        <v>50</v>
      </c>
      <c r="C77" s="28"/>
      <c r="D77" s="28"/>
      <c r="E77" s="28"/>
      <c r="F77" s="28"/>
      <c r="G77" s="28"/>
      <c r="H77" s="28"/>
      <c r="I77" s="28"/>
      <c r="J77" s="38">
        <f>SUM(J73:J76)</f>
        <v>3846</v>
      </c>
      <c r="K77" s="28"/>
      <c r="L77" s="61">
        <f>SUM(L73:L76)</f>
        <v>3525</v>
      </c>
      <c r="M77" s="28"/>
      <c r="N77" s="131"/>
    </row>
    <row r="78" spans="1:14" ht="15.75">
      <c r="A78" s="27"/>
      <c r="B78" s="28" t="s">
        <v>51</v>
      </c>
      <c r="C78" s="28"/>
      <c r="D78" s="28"/>
      <c r="E78" s="28"/>
      <c r="F78" s="28"/>
      <c r="G78" s="28"/>
      <c r="H78" s="28"/>
      <c r="I78" s="28"/>
      <c r="J78" s="38">
        <v>0</v>
      </c>
      <c r="K78" s="28"/>
      <c r="L78" s="60">
        <v>0</v>
      </c>
      <c r="M78" s="28"/>
      <c r="N78" s="131"/>
    </row>
    <row r="79" spans="1:14" ht="15.75">
      <c r="A79" s="27"/>
      <c r="B79" s="28" t="s">
        <v>52</v>
      </c>
      <c r="C79" s="28"/>
      <c r="D79" s="28"/>
      <c r="E79" s="28"/>
      <c r="F79" s="28"/>
      <c r="G79" s="28"/>
      <c r="H79" s="28"/>
      <c r="I79" s="28"/>
      <c r="J79" s="38">
        <f>J77+J78</f>
        <v>3846</v>
      </c>
      <c r="K79" s="28"/>
      <c r="L79" s="61">
        <f>L77+L78</f>
        <v>3525</v>
      </c>
      <c r="M79" s="28"/>
      <c r="N79" s="131"/>
    </row>
    <row r="80" spans="1:14" ht="15.75">
      <c r="A80" s="27"/>
      <c r="B80" s="166" t="s">
        <v>53</v>
      </c>
      <c r="C80" s="66"/>
      <c r="D80" s="28"/>
      <c r="E80" s="28"/>
      <c r="F80" s="28"/>
      <c r="G80" s="28"/>
      <c r="H80" s="28"/>
      <c r="I80" s="28"/>
      <c r="J80" s="38"/>
      <c r="K80" s="28"/>
      <c r="L80" s="60"/>
      <c r="M80" s="28"/>
      <c r="N80" s="131"/>
    </row>
    <row r="81" spans="1:14" ht="15.75">
      <c r="A81" s="27">
        <v>1</v>
      </c>
      <c r="B81" s="28" t="s">
        <v>54</v>
      </c>
      <c r="C81" s="28"/>
      <c r="D81" s="28"/>
      <c r="E81" s="28"/>
      <c r="F81" s="28"/>
      <c r="G81" s="28"/>
      <c r="H81" s="28"/>
      <c r="I81" s="28"/>
      <c r="J81" s="28"/>
      <c r="K81" s="28"/>
      <c r="L81" s="60">
        <v>0</v>
      </c>
      <c r="M81" s="28"/>
      <c r="N81" s="131"/>
    </row>
    <row r="82" spans="1:14" ht="15.75">
      <c r="A82" s="27">
        <v>2</v>
      </c>
      <c r="B82" s="28" t="s">
        <v>55</v>
      </c>
      <c r="C82" s="28"/>
      <c r="D82" s="28"/>
      <c r="E82" s="28"/>
      <c r="F82" s="28"/>
      <c r="G82" s="28"/>
      <c r="H82" s="28"/>
      <c r="I82" s="28"/>
      <c r="J82" s="28"/>
      <c r="K82" s="28"/>
      <c r="L82" s="60">
        <v>-3</v>
      </c>
      <c r="M82" s="28"/>
      <c r="N82" s="131"/>
    </row>
    <row r="83" spans="1:14" ht="15.75">
      <c r="A83" s="27">
        <v>3</v>
      </c>
      <c r="B83" s="28" t="s">
        <v>56</v>
      </c>
      <c r="C83" s="28"/>
      <c r="D83" s="28"/>
      <c r="E83" s="28"/>
      <c r="F83" s="28"/>
      <c r="G83" s="28"/>
      <c r="H83" s="28"/>
      <c r="I83" s="28"/>
      <c r="J83" s="28"/>
      <c r="K83" s="28"/>
      <c r="L83" s="60">
        <v>-138</v>
      </c>
      <c r="M83" s="28"/>
      <c r="N83" s="131"/>
    </row>
    <row r="84" spans="1:14" ht="15.75">
      <c r="A84" s="27">
        <v>4</v>
      </c>
      <c r="B84" s="28" t="s">
        <v>57</v>
      </c>
      <c r="C84" s="28"/>
      <c r="D84" s="28"/>
      <c r="E84" s="28"/>
      <c r="F84" s="28"/>
      <c r="G84" s="28"/>
      <c r="H84" s="28"/>
      <c r="I84" s="28"/>
      <c r="J84" s="28"/>
      <c r="K84" s="28"/>
      <c r="L84" s="60">
        <v>83</v>
      </c>
      <c r="M84" s="28"/>
      <c r="N84" s="131"/>
    </row>
    <row r="85" spans="1:14" ht="15.75">
      <c r="A85" s="27">
        <v>5</v>
      </c>
      <c r="B85" s="28" t="s">
        <v>58</v>
      </c>
      <c r="C85" s="28"/>
      <c r="D85" s="28"/>
      <c r="E85" s="28"/>
      <c r="F85" s="28"/>
      <c r="G85" s="28"/>
      <c r="H85" s="28"/>
      <c r="I85" s="28"/>
      <c r="J85" s="28"/>
      <c r="K85" s="28"/>
      <c r="L85" s="60">
        <v>-2560</v>
      </c>
      <c r="M85" s="28"/>
      <c r="N85" s="131"/>
    </row>
    <row r="86" spans="1:14" ht="15.75">
      <c r="A86" s="27">
        <v>6</v>
      </c>
      <c r="B86" s="28" t="s">
        <v>59</v>
      </c>
      <c r="C86" s="28"/>
      <c r="D86" s="28"/>
      <c r="E86" s="28"/>
      <c r="F86" s="28"/>
      <c r="G86" s="28"/>
      <c r="H86" s="28"/>
      <c r="I86" s="28"/>
      <c r="J86" s="28"/>
      <c r="K86" s="28"/>
      <c r="L86" s="60">
        <v>-291</v>
      </c>
      <c r="M86" s="28"/>
      <c r="N86" s="131"/>
    </row>
    <row r="87" spans="1:14" ht="15.75">
      <c r="A87" s="27">
        <v>7</v>
      </c>
      <c r="B87" s="28" t="s">
        <v>60</v>
      </c>
      <c r="C87" s="28"/>
      <c r="D87" s="28"/>
      <c r="E87" s="28"/>
      <c r="F87" s="28"/>
      <c r="G87" s="28"/>
      <c r="H87" s="28"/>
      <c r="I87" s="28"/>
      <c r="J87" s="28"/>
      <c r="K87" s="28"/>
      <c r="L87" s="60">
        <v>-3</v>
      </c>
      <c r="M87" s="28"/>
      <c r="N87" s="131"/>
    </row>
    <row r="88" spans="1:14" ht="15.75">
      <c r="A88" s="27">
        <v>8</v>
      </c>
      <c r="B88" s="28" t="s">
        <v>61</v>
      </c>
      <c r="C88" s="28"/>
      <c r="D88" s="28"/>
      <c r="E88" s="28"/>
      <c r="F88" s="28"/>
      <c r="G88" s="28"/>
      <c r="H88" s="28"/>
      <c r="I88" s="28"/>
      <c r="J88" s="28"/>
      <c r="K88" s="28"/>
      <c r="L88" s="60">
        <v>0</v>
      </c>
      <c r="M88" s="28"/>
      <c r="N88" s="131"/>
    </row>
    <row r="89" spans="1:14" ht="15.75">
      <c r="A89" s="27">
        <v>9</v>
      </c>
      <c r="B89" s="28" t="s">
        <v>62</v>
      </c>
      <c r="C89" s="28"/>
      <c r="D89" s="28"/>
      <c r="E89" s="28"/>
      <c r="F89" s="28"/>
      <c r="G89" s="28"/>
      <c r="H89" s="28"/>
      <c r="I89" s="28"/>
      <c r="J89" s="28"/>
      <c r="K89" s="28"/>
      <c r="L89" s="60">
        <v>0</v>
      </c>
      <c r="M89" s="28"/>
      <c r="N89" s="131"/>
    </row>
    <row r="90" spans="1:14" ht="15.75">
      <c r="A90" s="27">
        <v>10</v>
      </c>
      <c r="B90" s="28" t="s">
        <v>63</v>
      </c>
      <c r="C90" s="28"/>
      <c r="D90" s="28"/>
      <c r="E90" s="28"/>
      <c r="F90" s="28"/>
      <c r="G90" s="28"/>
      <c r="H90" s="28"/>
      <c r="I90" s="28"/>
      <c r="J90" s="28"/>
      <c r="K90" s="28"/>
      <c r="L90" s="60">
        <v>0</v>
      </c>
      <c r="M90" s="28"/>
      <c r="N90" s="131"/>
    </row>
    <row r="91" spans="1:14" ht="15.75">
      <c r="A91" s="27">
        <v>11</v>
      </c>
      <c r="B91" s="28" t="s">
        <v>64</v>
      </c>
      <c r="C91" s="28"/>
      <c r="D91" s="28"/>
      <c r="E91" s="28"/>
      <c r="F91" s="28"/>
      <c r="G91" s="28"/>
      <c r="H91" s="28"/>
      <c r="I91" s="28"/>
      <c r="J91" s="28"/>
      <c r="K91" s="28"/>
      <c r="L91" s="60">
        <v>0</v>
      </c>
      <c r="M91" s="28"/>
      <c r="N91" s="131"/>
    </row>
    <row r="92" spans="1:14" ht="15.75">
      <c r="A92" s="27">
        <v>12</v>
      </c>
      <c r="B92" s="28" t="s">
        <v>65</v>
      </c>
      <c r="C92" s="28"/>
      <c r="D92" s="28"/>
      <c r="E92" s="28"/>
      <c r="F92" s="28"/>
      <c r="G92" s="28"/>
      <c r="H92" s="28"/>
      <c r="I92" s="28"/>
      <c r="J92" s="28"/>
      <c r="K92" s="28"/>
      <c r="L92" s="60">
        <v>-148</v>
      </c>
      <c r="M92" s="28"/>
      <c r="N92" s="131"/>
    </row>
    <row r="93" spans="1:14" ht="15.75">
      <c r="A93" s="27">
        <v>13</v>
      </c>
      <c r="B93" s="28" t="s">
        <v>66</v>
      </c>
      <c r="C93" s="28"/>
      <c r="D93" s="28"/>
      <c r="E93" s="28"/>
      <c r="F93" s="28"/>
      <c r="G93" s="28"/>
      <c r="H93" s="28"/>
      <c r="I93" s="28"/>
      <c r="J93" s="28"/>
      <c r="K93" s="28"/>
      <c r="L93" s="60">
        <f>-SUM(L79:L92)</f>
        <v>-465</v>
      </c>
      <c r="M93" s="28"/>
      <c r="N93" s="131"/>
    </row>
    <row r="94" spans="1:14" ht="15.75">
      <c r="A94" s="27"/>
      <c r="B94" s="166" t="s">
        <v>67</v>
      </c>
      <c r="C94" s="66"/>
      <c r="D94" s="28"/>
      <c r="E94" s="28"/>
      <c r="F94" s="28"/>
      <c r="G94" s="28"/>
      <c r="H94" s="28"/>
      <c r="I94" s="28"/>
      <c r="J94" s="28"/>
      <c r="K94" s="28"/>
      <c r="L94" s="67"/>
      <c r="M94" s="28"/>
      <c r="N94" s="131"/>
    </row>
    <row r="95" spans="1:14" ht="15.75">
      <c r="A95" s="27"/>
      <c r="B95" s="28" t="s">
        <v>68</v>
      </c>
      <c r="C95" s="66"/>
      <c r="D95" s="28"/>
      <c r="E95" s="28"/>
      <c r="F95" s="28"/>
      <c r="G95" s="28"/>
      <c r="H95" s="28"/>
      <c r="I95" s="28"/>
      <c r="J95" s="38">
        <f>-J141</f>
        <v>-60</v>
      </c>
      <c r="K95" s="38"/>
      <c r="L95" s="60"/>
      <c r="M95" s="28"/>
      <c r="N95" s="131"/>
    </row>
    <row r="96" spans="1:14" ht="15.75">
      <c r="A96" s="27"/>
      <c r="B96" s="28" t="s">
        <v>69</v>
      </c>
      <c r="C96" s="28"/>
      <c r="D96" s="28"/>
      <c r="E96" s="28"/>
      <c r="F96" s="28"/>
      <c r="G96" s="28"/>
      <c r="H96" s="28"/>
      <c r="I96" s="28"/>
      <c r="J96" s="38">
        <f>-H141</f>
        <v>-1349</v>
      </c>
      <c r="K96" s="38"/>
      <c r="L96" s="60"/>
      <c r="M96" s="28"/>
      <c r="N96" s="131"/>
    </row>
    <row r="97" spans="1:14" ht="15.75">
      <c r="A97" s="27"/>
      <c r="B97" s="28" t="s">
        <v>70</v>
      </c>
      <c r="C97" s="28"/>
      <c r="D97" s="28"/>
      <c r="E97" s="28"/>
      <c r="F97" s="28"/>
      <c r="G97" s="28"/>
      <c r="H97" s="28"/>
      <c r="I97" s="28"/>
      <c r="J97" s="38">
        <v>-2437</v>
      </c>
      <c r="K97" s="38"/>
      <c r="L97" s="60"/>
      <c r="M97" s="28"/>
      <c r="N97" s="131"/>
    </row>
    <row r="98" spans="1:14" ht="15.75">
      <c r="A98" s="27"/>
      <c r="B98" s="28" t="s">
        <v>71</v>
      </c>
      <c r="C98" s="28"/>
      <c r="D98" s="28"/>
      <c r="E98" s="28"/>
      <c r="F98" s="28"/>
      <c r="G98" s="28"/>
      <c r="H98" s="28"/>
      <c r="I98" s="28"/>
      <c r="J98" s="38">
        <v>0</v>
      </c>
      <c r="K98" s="38"/>
      <c r="L98" s="60"/>
      <c r="M98" s="28"/>
      <c r="N98" s="131"/>
    </row>
    <row r="99" spans="1:14" ht="15.75">
      <c r="A99" s="27"/>
      <c r="B99" s="28" t="s">
        <v>72</v>
      </c>
      <c r="C99" s="28"/>
      <c r="D99" s="28"/>
      <c r="E99" s="28"/>
      <c r="F99" s="28"/>
      <c r="G99" s="28"/>
      <c r="H99" s="28"/>
      <c r="I99" s="28"/>
      <c r="J99" s="38">
        <f>SUM(J80:J98)</f>
        <v>-3846</v>
      </c>
      <c r="K99" s="38"/>
      <c r="L99" s="38">
        <f>SUM(L80:L98)</f>
        <v>-3525</v>
      </c>
      <c r="M99" s="28"/>
      <c r="N99" s="131"/>
    </row>
    <row r="100" spans="1:14" ht="15.75">
      <c r="A100" s="27"/>
      <c r="B100" s="28" t="s">
        <v>73</v>
      </c>
      <c r="C100" s="28"/>
      <c r="D100" s="28"/>
      <c r="E100" s="28"/>
      <c r="F100" s="28"/>
      <c r="G100" s="28"/>
      <c r="H100" s="28"/>
      <c r="I100" s="28"/>
      <c r="J100" s="38">
        <f>J79+J99</f>
        <v>0</v>
      </c>
      <c r="K100" s="38"/>
      <c r="L100" s="38">
        <f>L79+L99</f>
        <v>0</v>
      </c>
      <c r="M100" s="28"/>
      <c r="N100" s="131"/>
    </row>
    <row r="101" spans="1:14" ht="15.75">
      <c r="A101" s="27"/>
      <c r="B101" s="28"/>
      <c r="C101" s="28"/>
      <c r="D101" s="28"/>
      <c r="E101" s="28"/>
      <c r="F101" s="28"/>
      <c r="G101" s="28"/>
      <c r="H101" s="28"/>
      <c r="I101" s="28"/>
      <c r="J101" s="38"/>
      <c r="K101" s="38"/>
      <c r="L101" s="38"/>
      <c r="M101" s="28"/>
      <c r="N101" s="131"/>
    </row>
    <row r="102" spans="1:14" ht="15.75">
      <c r="A102" s="8"/>
      <c r="B102" s="10"/>
      <c r="C102" s="10"/>
      <c r="D102" s="10"/>
      <c r="E102" s="10"/>
      <c r="F102" s="10"/>
      <c r="G102" s="10"/>
      <c r="H102" s="10"/>
      <c r="I102" s="10"/>
      <c r="J102" s="62"/>
      <c r="K102" s="62"/>
      <c r="L102" s="62"/>
      <c r="M102" s="10"/>
      <c r="N102" s="131"/>
    </row>
    <row r="103" spans="1:14" ht="19.5" thickBot="1">
      <c r="A103" s="138"/>
      <c r="B103" s="139" t="s">
        <v>195</v>
      </c>
      <c r="C103" s="140"/>
      <c r="D103" s="140"/>
      <c r="E103" s="140"/>
      <c r="F103" s="140"/>
      <c r="G103" s="140"/>
      <c r="H103" s="140"/>
      <c r="I103" s="140"/>
      <c r="J103" s="143"/>
      <c r="K103" s="143"/>
      <c r="L103" s="143"/>
      <c r="M103" s="142"/>
      <c r="N103" s="131"/>
    </row>
    <row r="104" spans="1:14" ht="12" customHeight="1">
      <c r="A104" s="2"/>
      <c r="B104" s="5"/>
      <c r="C104" s="5"/>
      <c r="D104" s="5"/>
      <c r="E104" s="5"/>
      <c r="F104" s="5"/>
      <c r="G104" s="5"/>
      <c r="H104" s="5"/>
      <c r="I104" s="5"/>
      <c r="J104" s="5"/>
      <c r="K104" s="5"/>
      <c r="L104" s="57"/>
      <c r="M104" s="5"/>
      <c r="N104" s="131"/>
    </row>
    <row r="105" spans="1:14" ht="12" customHeight="1">
      <c r="A105" s="8"/>
      <c r="B105" s="10"/>
      <c r="C105" s="10"/>
      <c r="D105" s="10"/>
      <c r="E105" s="10"/>
      <c r="F105" s="10"/>
      <c r="G105" s="10"/>
      <c r="H105" s="10"/>
      <c r="I105" s="10"/>
      <c r="J105" s="10"/>
      <c r="K105" s="10"/>
      <c r="L105" s="59"/>
      <c r="M105" s="10"/>
      <c r="N105" s="131"/>
    </row>
    <row r="106" spans="1:14" ht="15.75">
      <c r="A106" s="8"/>
      <c r="B106" s="58" t="s">
        <v>74</v>
      </c>
      <c r="C106" s="16"/>
      <c r="D106" s="10"/>
      <c r="E106" s="10"/>
      <c r="F106" s="10"/>
      <c r="G106" s="10"/>
      <c r="H106" s="10"/>
      <c r="I106" s="10"/>
      <c r="J106" s="10"/>
      <c r="K106" s="10"/>
      <c r="L106" s="59"/>
      <c r="M106" s="10"/>
      <c r="N106" s="131"/>
    </row>
    <row r="107" spans="1:14" ht="15.75">
      <c r="A107" s="8"/>
      <c r="B107" s="23"/>
      <c r="C107" s="16"/>
      <c r="D107" s="10"/>
      <c r="E107" s="10"/>
      <c r="F107" s="10"/>
      <c r="G107" s="10"/>
      <c r="H107" s="10"/>
      <c r="I107" s="10"/>
      <c r="J107" s="10"/>
      <c r="K107" s="10"/>
      <c r="L107" s="59"/>
      <c r="M107" s="10"/>
      <c r="N107" s="131"/>
    </row>
    <row r="108" spans="1:14" ht="15.75">
      <c r="A108" s="8"/>
      <c r="B108" s="167" t="s">
        <v>75</v>
      </c>
      <c r="C108" s="16"/>
      <c r="D108" s="10"/>
      <c r="E108" s="10"/>
      <c r="F108" s="10"/>
      <c r="G108" s="10"/>
      <c r="H108" s="10"/>
      <c r="I108" s="10"/>
      <c r="J108" s="10"/>
      <c r="K108" s="10"/>
      <c r="L108" s="59"/>
      <c r="M108" s="10"/>
      <c r="N108" s="131"/>
    </row>
    <row r="109" spans="1:14" ht="15.75">
      <c r="A109" s="27"/>
      <c r="B109" s="28" t="s">
        <v>76</v>
      </c>
      <c r="C109" s="28"/>
      <c r="D109" s="28"/>
      <c r="E109" s="28"/>
      <c r="F109" s="28"/>
      <c r="G109" s="28"/>
      <c r="H109" s="28"/>
      <c r="I109" s="28"/>
      <c r="J109" s="28"/>
      <c r="K109" s="28"/>
      <c r="L109" s="60">
        <v>4625</v>
      </c>
      <c r="M109" s="28"/>
      <c r="N109" s="131"/>
    </row>
    <row r="110" spans="1:14" ht="15.75">
      <c r="A110" s="27"/>
      <c r="B110" s="28" t="s">
        <v>77</v>
      </c>
      <c r="C110" s="28"/>
      <c r="D110" s="28"/>
      <c r="E110" s="28"/>
      <c r="F110" s="28"/>
      <c r="G110" s="28"/>
      <c r="H110" s="28"/>
      <c r="I110" s="28"/>
      <c r="J110" s="28"/>
      <c r="K110" s="28"/>
      <c r="L110" s="60">
        <v>4625</v>
      </c>
      <c r="M110" s="28"/>
      <c r="N110" s="131"/>
    </row>
    <row r="111" spans="1:14" ht="15.75">
      <c r="A111" s="27"/>
      <c r="B111" s="28" t="s">
        <v>78</v>
      </c>
      <c r="C111" s="28"/>
      <c r="D111" s="28"/>
      <c r="E111" s="28"/>
      <c r="F111" s="28"/>
      <c r="G111" s="28"/>
      <c r="H111" s="28"/>
      <c r="I111" s="28"/>
      <c r="J111" s="28"/>
      <c r="K111" s="28"/>
      <c r="L111" s="60">
        <v>0</v>
      </c>
      <c r="M111" s="28"/>
      <c r="N111" s="131"/>
    </row>
    <row r="112" spans="1:14" ht="15.75">
      <c r="A112" s="27"/>
      <c r="B112" s="28" t="s">
        <v>79</v>
      </c>
      <c r="C112" s="28"/>
      <c r="D112" s="28"/>
      <c r="E112" s="28"/>
      <c r="F112" s="28"/>
      <c r="G112" s="28"/>
      <c r="H112" s="28"/>
      <c r="I112" s="28"/>
      <c r="J112" s="28"/>
      <c r="K112" s="28"/>
      <c r="L112" s="60">
        <v>0</v>
      </c>
      <c r="M112" s="28"/>
      <c r="N112" s="131"/>
    </row>
    <row r="113" spans="1:14" ht="15.75">
      <c r="A113" s="27"/>
      <c r="B113" s="28" t="s">
        <v>80</v>
      </c>
      <c r="C113" s="28"/>
      <c r="D113" s="28"/>
      <c r="E113" s="28"/>
      <c r="F113" s="28"/>
      <c r="G113" s="28"/>
      <c r="H113" s="28"/>
      <c r="I113" s="28"/>
      <c r="J113" s="28"/>
      <c r="K113" s="28"/>
      <c r="L113" s="60">
        <v>0</v>
      </c>
      <c r="M113" s="28"/>
      <c r="N113" s="131"/>
    </row>
    <row r="114" spans="1:14" ht="15.75">
      <c r="A114" s="27"/>
      <c r="B114" s="28" t="s">
        <v>58</v>
      </c>
      <c r="C114" s="28"/>
      <c r="D114" s="28"/>
      <c r="E114" s="28"/>
      <c r="F114" s="28"/>
      <c r="G114" s="28"/>
      <c r="H114" s="28"/>
      <c r="I114" s="28"/>
      <c r="J114" s="28"/>
      <c r="K114" s="28"/>
      <c r="L114" s="60">
        <v>0</v>
      </c>
      <c r="M114" s="28"/>
      <c r="N114" s="131"/>
    </row>
    <row r="115" spans="1:14" ht="15.75">
      <c r="A115" s="27"/>
      <c r="B115" s="28" t="s">
        <v>59</v>
      </c>
      <c r="C115" s="28"/>
      <c r="D115" s="28"/>
      <c r="E115" s="28"/>
      <c r="F115" s="28"/>
      <c r="G115" s="28"/>
      <c r="H115" s="28"/>
      <c r="I115" s="28"/>
      <c r="J115" s="28"/>
      <c r="K115" s="28"/>
      <c r="L115" s="60">
        <v>0</v>
      </c>
      <c r="M115" s="28"/>
      <c r="N115" s="131"/>
    </row>
    <row r="116" spans="1:14" ht="15.75">
      <c r="A116" s="27"/>
      <c r="B116" s="28" t="s">
        <v>81</v>
      </c>
      <c r="C116" s="28"/>
      <c r="D116" s="28"/>
      <c r="E116" s="28"/>
      <c r="F116" s="28"/>
      <c r="G116" s="28"/>
      <c r="H116" s="28"/>
      <c r="I116" s="28"/>
      <c r="J116" s="28"/>
      <c r="K116" s="28"/>
      <c r="L116" s="60">
        <f>SUM(L110:L114)</f>
        <v>4625</v>
      </c>
      <c r="M116" s="28"/>
      <c r="N116" s="131"/>
    </row>
    <row r="117" spans="1:14" ht="15.75">
      <c r="A117" s="27"/>
      <c r="B117" s="28"/>
      <c r="C117" s="28"/>
      <c r="D117" s="28"/>
      <c r="E117" s="28"/>
      <c r="F117" s="28"/>
      <c r="G117" s="28"/>
      <c r="H117" s="28"/>
      <c r="I117" s="28"/>
      <c r="J117" s="28"/>
      <c r="K117" s="28"/>
      <c r="L117" s="68"/>
      <c r="M117" s="28"/>
      <c r="N117" s="131"/>
    </row>
    <row r="118" spans="1:14" ht="15.75">
      <c r="A118" s="8"/>
      <c r="B118" s="167" t="s">
        <v>82</v>
      </c>
      <c r="C118" s="10"/>
      <c r="D118" s="10"/>
      <c r="E118" s="10"/>
      <c r="F118" s="10"/>
      <c r="G118" s="10"/>
      <c r="H118" s="10"/>
      <c r="I118" s="10"/>
      <c r="J118" s="10"/>
      <c r="K118" s="10"/>
      <c r="L118" s="59"/>
      <c r="M118" s="10"/>
      <c r="N118" s="131"/>
    </row>
    <row r="119" spans="1:14" ht="15.75">
      <c r="A119" s="27"/>
      <c r="B119" s="28" t="s">
        <v>83</v>
      </c>
      <c r="C119" s="28"/>
      <c r="D119" s="69"/>
      <c r="E119" s="28"/>
      <c r="F119" s="28"/>
      <c r="G119" s="28"/>
      <c r="H119" s="28"/>
      <c r="I119" s="28"/>
      <c r="J119" s="28"/>
      <c r="K119" s="28"/>
      <c r="L119" s="70" t="s">
        <v>156</v>
      </c>
      <c r="M119" s="28"/>
      <c r="N119" s="131"/>
    </row>
    <row r="120" spans="1:14" ht="15.75">
      <c r="A120" s="27"/>
      <c r="B120" s="28" t="s">
        <v>84</v>
      </c>
      <c r="C120" s="30"/>
      <c r="D120" s="30"/>
      <c r="E120" s="30"/>
      <c r="F120" s="30"/>
      <c r="G120" s="30"/>
      <c r="H120" s="30"/>
      <c r="I120" s="30"/>
      <c r="J120" s="30"/>
      <c r="K120" s="30"/>
      <c r="L120" s="70" t="s">
        <v>156</v>
      </c>
      <c r="M120" s="28"/>
      <c r="N120" s="131"/>
    </row>
    <row r="121" spans="1:14" ht="15.75">
      <c r="A121" s="27"/>
      <c r="B121" s="28" t="s">
        <v>85</v>
      </c>
      <c r="C121" s="28"/>
      <c r="D121" s="28"/>
      <c r="E121" s="28"/>
      <c r="F121" s="28"/>
      <c r="G121" s="28"/>
      <c r="H121" s="28"/>
      <c r="I121" s="28"/>
      <c r="J121" s="28"/>
      <c r="K121" s="28"/>
      <c r="L121" s="70" t="s">
        <v>156</v>
      </c>
      <c r="M121" s="28"/>
      <c r="N121" s="131"/>
    </row>
    <row r="122" spans="1:14" ht="15.75">
      <c r="A122" s="27"/>
      <c r="B122" s="28" t="s">
        <v>86</v>
      </c>
      <c r="C122" s="28"/>
      <c r="D122" s="28"/>
      <c r="E122" s="28"/>
      <c r="F122" s="28"/>
      <c r="G122" s="28"/>
      <c r="H122" s="28"/>
      <c r="I122" s="28"/>
      <c r="J122" s="28"/>
      <c r="K122" s="28"/>
      <c r="L122" s="70" t="s">
        <v>156</v>
      </c>
      <c r="M122" s="28"/>
      <c r="N122" s="131"/>
    </row>
    <row r="123" spans="1:14" ht="15.75">
      <c r="A123" s="27"/>
      <c r="B123" s="28"/>
      <c r="C123" s="28"/>
      <c r="D123" s="28"/>
      <c r="E123" s="28"/>
      <c r="F123" s="28"/>
      <c r="G123" s="28"/>
      <c r="H123" s="28"/>
      <c r="I123" s="28"/>
      <c r="J123" s="28"/>
      <c r="K123" s="28"/>
      <c r="L123" s="68"/>
      <c r="M123" s="28"/>
      <c r="N123" s="131"/>
    </row>
    <row r="124" spans="1:14" ht="15.75">
      <c r="A124" s="8"/>
      <c r="B124" s="167" t="s">
        <v>87</v>
      </c>
      <c r="C124" s="16"/>
      <c r="D124" s="10"/>
      <c r="E124" s="10"/>
      <c r="F124" s="10"/>
      <c r="G124" s="10"/>
      <c r="H124" s="10"/>
      <c r="I124" s="10"/>
      <c r="J124" s="10"/>
      <c r="K124" s="10"/>
      <c r="L124" s="71"/>
      <c r="M124" s="10"/>
      <c r="N124" s="131"/>
    </row>
    <row r="125" spans="1:14" ht="15.75">
      <c r="A125" s="27"/>
      <c r="B125" s="28" t="s">
        <v>88</v>
      </c>
      <c r="C125" s="28"/>
      <c r="D125" s="28"/>
      <c r="E125" s="28"/>
      <c r="F125" s="28"/>
      <c r="G125" s="28"/>
      <c r="H125" s="28"/>
      <c r="I125" s="28"/>
      <c r="J125" s="28"/>
      <c r="K125" s="28"/>
      <c r="L125" s="60">
        <v>0</v>
      </c>
      <c r="M125" s="28"/>
      <c r="N125" s="131"/>
    </row>
    <row r="126" spans="1:14" ht="15.75">
      <c r="A126" s="27"/>
      <c r="B126" s="28" t="s">
        <v>89</v>
      </c>
      <c r="C126" s="28"/>
      <c r="D126" s="28"/>
      <c r="E126" s="28"/>
      <c r="F126" s="28"/>
      <c r="G126" s="28"/>
      <c r="H126" s="28"/>
      <c r="I126" s="28"/>
      <c r="J126" s="28"/>
      <c r="K126" s="28"/>
      <c r="L126" s="60">
        <v>0</v>
      </c>
      <c r="M126" s="28"/>
      <c r="N126" s="131"/>
    </row>
    <row r="127" spans="1:14" ht="15.75">
      <c r="A127" s="27"/>
      <c r="B127" s="28" t="s">
        <v>90</v>
      </c>
      <c r="C127" s="28"/>
      <c r="D127" s="28"/>
      <c r="E127" s="28"/>
      <c r="F127" s="28"/>
      <c r="G127" s="28"/>
      <c r="H127" s="28"/>
      <c r="I127" s="28"/>
      <c r="J127" s="28"/>
      <c r="K127" s="28"/>
      <c r="L127" s="60">
        <f>L126+L125</f>
        <v>0</v>
      </c>
      <c r="M127" s="28"/>
      <c r="N127" s="131"/>
    </row>
    <row r="128" spans="1:14" ht="15.75">
      <c r="A128" s="27"/>
      <c r="B128" s="28" t="s">
        <v>91</v>
      </c>
      <c r="C128" s="28"/>
      <c r="D128" s="28"/>
      <c r="E128" s="28"/>
      <c r="F128" s="28"/>
      <c r="G128" s="28"/>
      <c r="H128" s="72"/>
      <c r="I128" s="28"/>
      <c r="J128" s="28"/>
      <c r="K128" s="28"/>
      <c r="L128" s="60">
        <v>0</v>
      </c>
      <c r="M128" s="28"/>
      <c r="N128" s="131"/>
    </row>
    <row r="129" spans="1:14" ht="15.75">
      <c r="A129" s="27"/>
      <c r="B129" s="28" t="s">
        <v>92</v>
      </c>
      <c r="C129" s="28"/>
      <c r="D129" s="28"/>
      <c r="E129" s="28"/>
      <c r="F129" s="28"/>
      <c r="G129" s="28"/>
      <c r="H129" s="28"/>
      <c r="I129" s="28"/>
      <c r="J129" s="28"/>
      <c r="K129" s="28"/>
      <c r="L129" s="60">
        <f>L127+L128</f>
        <v>0</v>
      </c>
      <c r="M129" s="28"/>
      <c r="N129" s="131"/>
    </row>
    <row r="130" spans="1:14" ht="7.5" customHeight="1">
      <c r="A130" s="27"/>
      <c r="B130" s="28"/>
      <c r="C130" s="28"/>
      <c r="D130" s="28"/>
      <c r="E130" s="28"/>
      <c r="F130" s="28"/>
      <c r="G130" s="28"/>
      <c r="H130" s="28"/>
      <c r="I130" s="28"/>
      <c r="J130" s="28"/>
      <c r="K130" s="28"/>
      <c r="L130" s="68"/>
      <c r="M130" s="28"/>
      <c r="N130" s="131"/>
    </row>
    <row r="131" spans="1:14" ht="6" customHeight="1">
      <c r="A131" s="2"/>
      <c r="B131" s="5"/>
      <c r="C131" s="5"/>
      <c r="D131" s="5"/>
      <c r="E131" s="5"/>
      <c r="F131" s="5"/>
      <c r="G131" s="5"/>
      <c r="H131" s="5"/>
      <c r="I131" s="5"/>
      <c r="J131" s="5"/>
      <c r="K131" s="5"/>
      <c r="L131" s="57"/>
      <c r="M131" s="5"/>
      <c r="N131" s="131"/>
    </row>
    <row r="132" spans="1:14" ht="15.75">
      <c r="A132" s="8"/>
      <c r="B132" s="167" t="s">
        <v>93</v>
      </c>
      <c r="C132" s="16"/>
      <c r="D132" s="10"/>
      <c r="E132" s="10"/>
      <c r="F132" s="10"/>
      <c r="G132" s="10"/>
      <c r="H132" s="10"/>
      <c r="I132" s="10"/>
      <c r="J132" s="10"/>
      <c r="K132" s="10"/>
      <c r="L132" s="59"/>
      <c r="M132" s="10"/>
      <c r="N132" s="131"/>
    </row>
    <row r="133" spans="1:14" ht="15.75">
      <c r="A133" s="8"/>
      <c r="B133" s="23"/>
      <c r="C133" s="16"/>
      <c r="D133" s="10"/>
      <c r="E133" s="10"/>
      <c r="F133" s="10"/>
      <c r="G133" s="10"/>
      <c r="H133" s="10"/>
      <c r="I133" s="10"/>
      <c r="J133" s="10"/>
      <c r="K133" s="10"/>
      <c r="L133" s="59"/>
      <c r="M133" s="10"/>
      <c r="N133" s="131"/>
    </row>
    <row r="134" spans="1:14" ht="15.75">
      <c r="A134" s="27"/>
      <c r="B134" s="28" t="s">
        <v>94</v>
      </c>
      <c r="C134" s="73"/>
      <c r="D134" s="28"/>
      <c r="E134" s="28"/>
      <c r="F134" s="28"/>
      <c r="G134" s="28"/>
      <c r="H134" s="28"/>
      <c r="I134" s="28"/>
      <c r="J134" s="28"/>
      <c r="K134" s="28"/>
      <c r="L134" s="60">
        <f>L57</f>
        <v>176436</v>
      </c>
      <c r="M134" s="28"/>
      <c r="N134" s="131"/>
    </row>
    <row r="135" spans="1:14" ht="15.75">
      <c r="A135" s="27"/>
      <c r="B135" s="28" t="s">
        <v>95</v>
      </c>
      <c r="C135" s="73"/>
      <c r="D135" s="28"/>
      <c r="E135" s="28"/>
      <c r="F135" s="28"/>
      <c r="G135" s="28"/>
      <c r="H135" s="28"/>
      <c r="I135" s="28"/>
      <c r="J135" s="28"/>
      <c r="K135" s="28"/>
      <c r="L135" s="60">
        <f>L69</f>
        <v>176436</v>
      </c>
      <c r="M135" s="28"/>
      <c r="N135" s="131"/>
    </row>
    <row r="136" spans="1:14" ht="7.5" customHeight="1">
      <c r="A136" s="27"/>
      <c r="B136" s="28"/>
      <c r="C136" s="28"/>
      <c r="D136" s="28"/>
      <c r="E136" s="28"/>
      <c r="F136" s="28"/>
      <c r="G136" s="28"/>
      <c r="H136" s="28"/>
      <c r="I136" s="28"/>
      <c r="J136" s="28"/>
      <c r="K136" s="28"/>
      <c r="L136" s="68"/>
      <c r="M136" s="28"/>
      <c r="N136" s="131"/>
    </row>
    <row r="137" spans="1:14" ht="15.75">
      <c r="A137" s="2"/>
      <c r="B137" s="5"/>
      <c r="C137" s="5"/>
      <c r="D137" s="5"/>
      <c r="E137" s="5"/>
      <c r="F137" s="5"/>
      <c r="G137" s="5"/>
      <c r="H137" s="5"/>
      <c r="I137" s="5"/>
      <c r="J137" s="5"/>
      <c r="K137" s="5"/>
      <c r="L137" s="57"/>
      <c r="M137" s="5"/>
      <c r="N137" s="131"/>
    </row>
    <row r="138" spans="1:14" ht="15.75">
      <c r="A138" s="132"/>
      <c r="B138" s="167" t="s">
        <v>96</v>
      </c>
      <c r="C138" s="154"/>
      <c r="D138" s="154"/>
      <c r="E138" s="154"/>
      <c r="F138" s="154"/>
      <c r="G138" s="154"/>
      <c r="H138" s="168" t="s">
        <v>171</v>
      </c>
      <c r="I138" s="168"/>
      <c r="J138" s="168" t="s">
        <v>178</v>
      </c>
      <c r="K138" s="154"/>
      <c r="L138" s="169" t="s">
        <v>191</v>
      </c>
      <c r="M138" s="12"/>
      <c r="N138" s="131"/>
    </row>
    <row r="139" spans="1:14" ht="15.75">
      <c r="A139" s="27"/>
      <c r="B139" s="28" t="s">
        <v>97</v>
      </c>
      <c r="C139" s="28"/>
      <c r="D139" s="28"/>
      <c r="E139" s="28"/>
      <c r="F139" s="28"/>
      <c r="G139" s="28"/>
      <c r="H139" s="60">
        <v>20000</v>
      </c>
      <c r="I139" s="28"/>
      <c r="J139" s="47"/>
      <c r="K139" s="28"/>
      <c r="L139" s="60"/>
      <c r="M139" s="28"/>
      <c r="N139" s="131"/>
    </row>
    <row r="140" spans="1:14" ht="15.75">
      <c r="A140" s="27"/>
      <c r="B140" s="28" t="s">
        <v>98</v>
      </c>
      <c r="C140" s="28"/>
      <c r="D140" s="28"/>
      <c r="E140" s="28"/>
      <c r="F140" s="28"/>
      <c r="G140" s="28"/>
      <c r="H140" s="60">
        <v>1772</v>
      </c>
      <c r="I140" s="28"/>
      <c r="J140" s="28">
        <v>327</v>
      </c>
      <c r="K140" s="28"/>
      <c r="L140" s="60">
        <f>J140+H140</f>
        <v>2099</v>
      </c>
      <c r="M140" s="28"/>
      <c r="N140" s="131"/>
    </row>
    <row r="141" spans="1:14" ht="15.75">
      <c r="A141" s="27"/>
      <c r="B141" s="28" t="s">
        <v>99</v>
      </c>
      <c r="C141" s="28"/>
      <c r="D141" s="28"/>
      <c r="E141" s="28"/>
      <c r="F141" s="28"/>
      <c r="G141" s="28"/>
      <c r="H141" s="38">
        <v>1349</v>
      </c>
      <c r="I141" s="28"/>
      <c r="J141" s="28">
        <v>60</v>
      </c>
      <c r="K141" s="28"/>
      <c r="L141" s="60">
        <f>J141+H141</f>
        <v>1409</v>
      </c>
      <c r="M141" s="28"/>
      <c r="N141" s="131"/>
    </row>
    <row r="142" spans="1:14" ht="15.75">
      <c r="A142" s="27"/>
      <c r="B142" s="28" t="s">
        <v>100</v>
      </c>
      <c r="C142" s="28"/>
      <c r="D142" s="28"/>
      <c r="E142" s="28"/>
      <c r="F142" s="28"/>
      <c r="G142" s="28"/>
      <c r="H142" s="60">
        <f>H140+H141</f>
        <v>3121</v>
      </c>
      <c r="I142" s="28"/>
      <c r="J142" s="60">
        <f>J141+J140</f>
        <v>387</v>
      </c>
      <c r="K142" s="28"/>
      <c r="L142" s="60">
        <f>J142+H142</f>
        <v>3508</v>
      </c>
      <c r="M142" s="28"/>
      <c r="N142" s="131"/>
    </row>
    <row r="143" spans="1:14" ht="15.75">
      <c r="A143" s="27"/>
      <c r="B143" s="28" t="s">
        <v>101</v>
      </c>
      <c r="C143" s="28"/>
      <c r="D143" s="28"/>
      <c r="E143" s="28"/>
      <c r="F143" s="28"/>
      <c r="G143" s="28"/>
      <c r="H143" s="60">
        <f>H139-H142</f>
        <v>16879</v>
      </c>
      <c r="I143" s="28"/>
      <c r="J143" s="47"/>
      <c r="K143" s="28"/>
      <c r="L143" s="60"/>
      <c r="M143" s="28"/>
      <c r="N143" s="131"/>
    </row>
    <row r="144" spans="1:14" ht="7.5" customHeight="1">
      <c r="A144" s="27"/>
      <c r="B144" s="28"/>
      <c r="C144" s="28"/>
      <c r="D144" s="28"/>
      <c r="E144" s="28"/>
      <c r="F144" s="28"/>
      <c r="G144" s="28"/>
      <c r="H144" s="28"/>
      <c r="I144" s="28"/>
      <c r="J144" s="28"/>
      <c r="K144" s="28"/>
      <c r="L144" s="68"/>
      <c r="M144" s="28"/>
      <c r="N144" s="131"/>
    </row>
    <row r="145" spans="1:14" ht="9" customHeight="1">
      <c r="A145" s="2"/>
      <c r="B145" s="5"/>
      <c r="C145" s="5"/>
      <c r="D145" s="5"/>
      <c r="E145" s="5"/>
      <c r="F145" s="5"/>
      <c r="G145" s="5"/>
      <c r="H145" s="5"/>
      <c r="I145" s="5"/>
      <c r="J145" s="5"/>
      <c r="K145" s="5"/>
      <c r="L145" s="57"/>
      <c r="M145" s="5"/>
      <c r="N145" s="131"/>
    </row>
    <row r="146" spans="1:14" ht="15.75">
      <c r="A146" s="8"/>
      <c r="B146" s="167" t="s">
        <v>102</v>
      </c>
      <c r="C146" s="16"/>
      <c r="D146" s="10"/>
      <c r="E146" s="10"/>
      <c r="F146" s="10"/>
      <c r="G146" s="10"/>
      <c r="H146" s="10"/>
      <c r="I146" s="10"/>
      <c r="J146" s="10"/>
      <c r="K146" s="10"/>
      <c r="L146" s="74"/>
      <c r="M146" s="10"/>
      <c r="N146" s="131"/>
    </row>
    <row r="147" spans="1:14" ht="15.75">
      <c r="A147" s="27"/>
      <c r="B147" s="28" t="s">
        <v>103</v>
      </c>
      <c r="C147" s="28"/>
      <c r="D147" s="28"/>
      <c r="E147" s="28"/>
      <c r="F147" s="28"/>
      <c r="G147" s="28"/>
      <c r="H147" s="28"/>
      <c r="I147" s="28"/>
      <c r="J147" s="28"/>
      <c r="K147" s="28"/>
      <c r="L147" s="67">
        <f>(L79+L81+L82+L83+L84)/-L85</f>
        <v>1.354296875</v>
      </c>
      <c r="M147" s="28" t="s">
        <v>192</v>
      </c>
      <c r="N147" s="131"/>
    </row>
    <row r="148" spans="1:14" ht="15.75">
      <c r="A148" s="27"/>
      <c r="B148" s="28" t="s">
        <v>104</v>
      </c>
      <c r="C148" s="28"/>
      <c r="D148" s="28"/>
      <c r="E148" s="28"/>
      <c r="F148" s="28"/>
      <c r="G148" s="28"/>
      <c r="H148" s="28"/>
      <c r="I148" s="28"/>
      <c r="J148" s="28"/>
      <c r="K148" s="28"/>
      <c r="L148" s="67">
        <v>1.28</v>
      </c>
      <c r="M148" s="28" t="s">
        <v>192</v>
      </c>
      <c r="N148" s="131"/>
    </row>
    <row r="149" spans="1:14" ht="15.75">
      <c r="A149" s="27"/>
      <c r="B149" s="28" t="s">
        <v>105</v>
      </c>
      <c r="C149" s="28"/>
      <c r="D149" s="28"/>
      <c r="E149" s="28"/>
      <c r="F149" s="28"/>
      <c r="G149" s="28"/>
      <c r="H149" s="28"/>
      <c r="I149" s="28"/>
      <c r="J149" s="28"/>
      <c r="K149" s="28"/>
      <c r="L149" s="67">
        <f>(L79+SUM(L81:L85))/-L86</f>
        <v>3.1168384879725086</v>
      </c>
      <c r="M149" s="28" t="s">
        <v>192</v>
      </c>
      <c r="N149" s="131"/>
    </row>
    <row r="150" spans="1:14" ht="15.75">
      <c r="A150" s="27"/>
      <c r="B150" s="28" t="s">
        <v>106</v>
      </c>
      <c r="C150" s="28"/>
      <c r="D150" s="28"/>
      <c r="E150" s="28"/>
      <c r="F150" s="28"/>
      <c r="G150" s="28"/>
      <c r="H150" s="28"/>
      <c r="I150" s="28"/>
      <c r="J150" s="28"/>
      <c r="K150" s="28"/>
      <c r="L150" s="75">
        <v>2.49</v>
      </c>
      <c r="M150" s="28" t="s">
        <v>192</v>
      </c>
      <c r="N150" s="131"/>
    </row>
    <row r="151" spans="1:14" ht="7.5" customHeight="1">
      <c r="A151" s="27"/>
      <c r="B151" s="28"/>
      <c r="C151" s="28"/>
      <c r="D151" s="28"/>
      <c r="E151" s="28"/>
      <c r="F151" s="28"/>
      <c r="G151" s="28"/>
      <c r="H151" s="28"/>
      <c r="I151" s="28"/>
      <c r="J151" s="28"/>
      <c r="K151" s="28"/>
      <c r="L151" s="28"/>
      <c r="M151" s="28"/>
      <c r="N151" s="131"/>
    </row>
    <row r="152" spans="1:14" ht="15.75">
      <c r="A152" s="8"/>
      <c r="B152" s="15"/>
      <c r="C152" s="15"/>
      <c r="D152" s="15"/>
      <c r="E152" s="15"/>
      <c r="F152" s="15"/>
      <c r="G152" s="15"/>
      <c r="H152" s="15"/>
      <c r="I152" s="15"/>
      <c r="J152" s="15"/>
      <c r="K152" s="15"/>
      <c r="L152" s="15"/>
      <c r="M152" s="15"/>
      <c r="N152" s="131"/>
    </row>
    <row r="153" spans="1:14" ht="15.75">
      <c r="A153" s="8"/>
      <c r="B153" s="15"/>
      <c r="C153" s="15"/>
      <c r="D153" s="15"/>
      <c r="E153" s="15"/>
      <c r="F153" s="15"/>
      <c r="G153" s="15"/>
      <c r="H153" s="15"/>
      <c r="I153" s="15"/>
      <c r="J153" s="15"/>
      <c r="K153" s="15"/>
      <c r="L153" s="15"/>
      <c r="M153" s="15"/>
      <c r="N153" s="131"/>
    </row>
    <row r="154" spans="1:14" ht="19.5" thickBot="1">
      <c r="A154" s="138"/>
      <c r="B154" s="139" t="s">
        <v>195</v>
      </c>
      <c r="C154" s="144"/>
      <c r="D154" s="144"/>
      <c r="E154" s="144"/>
      <c r="F154" s="144"/>
      <c r="G154" s="144"/>
      <c r="H154" s="144"/>
      <c r="I154" s="144"/>
      <c r="J154" s="144"/>
      <c r="K154" s="144"/>
      <c r="L154" s="144"/>
      <c r="M154" s="145"/>
      <c r="N154" s="131"/>
    </row>
    <row r="155" spans="1:14" ht="15.75">
      <c r="A155" s="133"/>
      <c r="B155" s="77" t="s">
        <v>107</v>
      </c>
      <c r="C155" s="78"/>
      <c r="D155" s="78"/>
      <c r="E155" s="78"/>
      <c r="F155" s="78"/>
      <c r="G155" s="79"/>
      <c r="H155" s="79"/>
      <c r="I155" s="79"/>
      <c r="J155" s="79">
        <v>36616</v>
      </c>
      <c r="K155" s="80"/>
      <c r="L155" s="5"/>
      <c r="M155" s="5"/>
      <c r="N155" s="131"/>
    </row>
    <row r="156" spans="1:14" ht="15.75">
      <c r="A156" s="82"/>
      <c r="B156" s="83"/>
      <c r="C156" s="84"/>
      <c r="D156" s="84"/>
      <c r="E156" s="84"/>
      <c r="F156" s="84"/>
      <c r="G156" s="85"/>
      <c r="H156" s="85"/>
      <c r="I156" s="85"/>
      <c r="J156" s="85"/>
      <c r="K156" s="10"/>
      <c r="L156" s="10"/>
      <c r="M156" s="10"/>
      <c r="N156" s="131"/>
    </row>
    <row r="157" spans="1:14" ht="15.75">
      <c r="A157" s="86"/>
      <c r="B157" s="87" t="s">
        <v>108</v>
      </c>
      <c r="C157" s="88"/>
      <c r="D157" s="88"/>
      <c r="E157" s="88"/>
      <c r="F157" s="88"/>
      <c r="G157" s="72"/>
      <c r="H157" s="72"/>
      <c r="I157" s="72"/>
      <c r="J157" s="89">
        <v>0.0714</v>
      </c>
      <c r="K157" s="28"/>
      <c r="L157" s="28"/>
      <c r="M157" s="28"/>
      <c r="N157" s="131"/>
    </row>
    <row r="158" spans="1:14" ht="15.75">
      <c r="A158" s="86"/>
      <c r="B158" s="87" t="s">
        <v>109</v>
      </c>
      <c r="C158" s="88"/>
      <c r="D158" s="88"/>
      <c r="E158" s="88"/>
      <c r="F158" s="88"/>
      <c r="G158" s="72"/>
      <c r="H158" s="72"/>
      <c r="I158" s="72"/>
      <c r="J158" s="46">
        <v>0.0553</v>
      </c>
      <c r="K158" s="28"/>
      <c r="L158" s="28"/>
      <c r="M158" s="28"/>
      <c r="N158" s="131"/>
    </row>
    <row r="159" spans="1:14" ht="15.75">
      <c r="A159" s="86"/>
      <c r="B159" s="87" t="s">
        <v>110</v>
      </c>
      <c r="C159" s="88"/>
      <c r="D159" s="88"/>
      <c r="E159" s="88"/>
      <c r="F159" s="88"/>
      <c r="G159" s="72"/>
      <c r="H159" s="72"/>
      <c r="I159" s="72"/>
      <c r="J159" s="89">
        <f>J157-J158</f>
        <v>0.016100000000000003</v>
      </c>
      <c r="K159" s="28"/>
      <c r="L159" s="28"/>
      <c r="M159" s="28"/>
      <c r="N159" s="131"/>
    </row>
    <row r="160" spans="1:14" ht="15.75">
      <c r="A160" s="86"/>
      <c r="B160" s="87" t="s">
        <v>111</v>
      </c>
      <c r="C160" s="88"/>
      <c r="D160" s="88"/>
      <c r="E160" s="88"/>
      <c r="F160" s="88"/>
      <c r="G160" s="72"/>
      <c r="H160" s="72"/>
      <c r="I160" s="72"/>
      <c r="J160" s="89">
        <v>0.07574</v>
      </c>
      <c r="K160" s="28"/>
      <c r="L160" s="28"/>
      <c r="M160" s="28"/>
      <c r="N160" s="131"/>
    </row>
    <row r="161" spans="1:14" ht="15.75">
      <c r="A161" s="86"/>
      <c r="B161" s="87" t="s">
        <v>112</v>
      </c>
      <c r="C161" s="88"/>
      <c r="D161" s="88"/>
      <c r="E161" s="88"/>
      <c r="F161" s="88"/>
      <c r="G161" s="72"/>
      <c r="H161" s="72"/>
      <c r="I161" s="72"/>
      <c r="J161" s="89">
        <f>L31</f>
        <v>0.06409260538594422</v>
      </c>
      <c r="K161" s="28"/>
      <c r="L161" s="28"/>
      <c r="M161" s="28"/>
      <c r="N161" s="131"/>
    </row>
    <row r="162" spans="1:14" ht="15.75">
      <c r="A162" s="86"/>
      <c r="B162" s="87" t="s">
        <v>113</v>
      </c>
      <c r="C162" s="88"/>
      <c r="D162" s="88"/>
      <c r="E162" s="88"/>
      <c r="F162" s="88"/>
      <c r="G162" s="72"/>
      <c r="H162" s="72"/>
      <c r="I162" s="72"/>
      <c r="J162" s="89">
        <f>J160-J161</f>
        <v>0.011647394614055784</v>
      </c>
      <c r="K162" s="28"/>
      <c r="L162" s="28"/>
      <c r="M162" s="28"/>
      <c r="N162" s="131"/>
    </row>
    <row r="163" spans="1:14" ht="15.75">
      <c r="A163" s="86"/>
      <c r="B163" s="87" t="s">
        <v>114</v>
      </c>
      <c r="C163" s="88"/>
      <c r="D163" s="88"/>
      <c r="E163" s="88"/>
      <c r="F163" s="88"/>
      <c r="G163" s="72"/>
      <c r="H163" s="72"/>
      <c r="I163" s="72"/>
      <c r="J163" s="90" t="s">
        <v>179</v>
      </c>
      <c r="K163" s="28"/>
      <c r="L163" s="28"/>
      <c r="M163" s="28"/>
      <c r="N163" s="131"/>
    </row>
    <row r="164" spans="1:14" ht="15.75">
      <c r="A164" s="86"/>
      <c r="B164" s="87" t="s">
        <v>115</v>
      </c>
      <c r="C164" s="88"/>
      <c r="D164" s="88"/>
      <c r="E164" s="88"/>
      <c r="F164" s="88"/>
      <c r="G164" s="72"/>
      <c r="H164" s="72"/>
      <c r="I164" s="72"/>
      <c r="J164" s="90" t="s">
        <v>180</v>
      </c>
      <c r="K164" s="28"/>
      <c r="L164" s="28"/>
      <c r="M164" s="28"/>
      <c r="N164" s="131"/>
    </row>
    <row r="165" spans="1:14" ht="15.75">
      <c r="A165" s="86"/>
      <c r="B165" s="87" t="s">
        <v>116</v>
      </c>
      <c r="C165" s="88"/>
      <c r="D165" s="88"/>
      <c r="E165" s="88"/>
      <c r="F165" s="88"/>
      <c r="G165" s="72"/>
      <c r="H165" s="72"/>
      <c r="I165" s="72"/>
      <c r="J165" s="91">
        <v>18.53</v>
      </c>
      <c r="K165" s="28" t="s">
        <v>184</v>
      </c>
      <c r="L165" s="28"/>
      <c r="M165" s="28"/>
      <c r="N165" s="131"/>
    </row>
    <row r="166" spans="1:14" ht="15.75">
      <c r="A166" s="86"/>
      <c r="B166" s="87" t="s">
        <v>117</v>
      </c>
      <c r="C166" s="88"/>
      <c r="D166" s="88"/>
      <c r="E166" s="88"/>
      <c r="F166" s="88"/>
      <c r="G166" s="72"/>
      <c r="H166" s="72"/>
      <c r="I166" s="72"/>
      <c r="J166" s="91">
        <v>17.924</v>
      </c>
      <c r="K166" s="28" t="s">
        <v>184</v>
      </c>
      <c r="L166" s="28"/>
      <c r="M166" s="28"/>
      <c r="N166" s="131"/>
    </row>
    <row r="167" spans="1:14" ht="15.75">
      <c r="A167" s="86"/>
      <c r="B167" s="87" t="s">
        <v>118</v>
      </c>
      <c r="C167" s="88"/>
      <c r="D167" s="88"/>
      <c r="E167" s="88"/>
      <c r="F167" s="88"/>
      <c r="G167" s="72"/>
      <c r="H167" s="72"/>
      <c r="I167" s="72"/>
      <c r="J167" s="89">
        <f>F54/'Dec 99'!L53</f>
        <v>0.021501288623772173</v>
      </c>
      <c r="K167" s="28"/>
      <c r="L167" s="28"/>
      <c r="M167" s="28"/>
      <c r="N167" s="131"/>
    </row>
    <row r="168" spans="1:14" ht="15.75">
      <c r="A168" s="86"/>
      <c r="B168" s="87" t="s">
        <v>119</v>
      </c>
      <c r="C168" s="88"/>
      <c r="D168" s="88"/>
      <c r="E168" s="88"/>
      <c r="F168" s="88"/>
      <c r="G168" s="72"/>
      <c r="H168" s="72"/>
      <c r="I168" s="72"/>
      <c r="J168" s="89">
        <v>0.0854</v>
      </c>
      <c r="K168" s="28"/>
      <c r="L168" s="28"/>
      <c r="M168" s="28"/>
      <c r="N168" s="131"/>
    </row>
    <row r="169" spans="1:14" ht="15.75">
      <c r="A169" s="86"/>
      <c r="B169" s="87"/>
      <c r="C169" s="87"/>
      <c r="D169" s="87"/>
      <c r="E169" s="87"/>
      <c r="F169" s="87"/>
      <c r="G169" s="28"/>
      <c r="H169" s="28"/>
      <c r="I169" s="28"/>
      <c r="J169" s="68"/>
      <c r="K169" s="28"/>
      <c r="L169" s="92"/>
      <c r="M169" s="28"/>
      <c r="N169" s="131"/>
    </row>
    <row r="170" spans="1:14" ht="15.75">
      <c r="A170" s="93"/>
      <c r="B170" s="17" t="s">
        <v>120</v>
      </c>
      <c r="C170" s="20"/>
      <c r="D170" s="94"/>
      <c r="E170" s="20"/>
      <c r="F170" s="94"/>
      <c r="G170" s="20"/>
      <c r="H170" s="94"/>
      <c r="I170" s="20" t="s">
        <v>172</v>
      </c>
      <c r="J170" s="94" t="s">
        <v>181</v>
      </c>
      <c r="K170" s="18"/>
      <c r="L170" s="18"/>
      <c r="M170" s="10"/>
      <c r="N170" s="131"/>
    </row>
    <row r="171" spans="1:14" ht="15.75">
      <c r="A171" s="95"/>
      <c r="B171" s="87" t="s">
        <v>121</v>
      </c>
      <c r="C171" s="61"/>
      <c r="D171" s="61"/>
      <c r="E171" s="61"/>
      <c r="F171" s="28"/>
      <c r="G171" s="28"/>
      <c r="H171" s="28"/>
      <c r="I171" s="31">
        <v>9</v>
      </c>
      <c r="J171" s="96">
        <v>580</v>
      </c>
      <c r="K171" s="28"/>
      <c r="L171" s="92"/>
      <c r="M171" s="97"/>
      <c r="N171" s="131"/>
    </row>
    <row r="172" spans="1:14" ht="15.75">
      <c r="A172" s="95"/>
      <c r="B172" s="87" t="s">
        <v>122</v>
      </c>
      <c r="C172" s="61"/>
      <c r="D172" s="61"/>
      <c r="E172" s="61"/>
      <c r="F172" s="28"/>
      <c r="G172" s="28"/>
      <c r="H172" s="28"/>
      <c r="I172" s="31">
        <v>0</v>
      </c>
      <c r="J172" s="96">
        <v>0</v>
      </c>
      <c r="K172" s="28"/>
      <c r="L172" s="92"/>
      <c r="M172" s="97"/>
      <c r="N172" s="131"/>
    </row>
    <row r="173" spans="1:14" ht="15.75">
      <c r="A173" s="95"/>
      <c r="B173" s="170" t="s">
        <v>123</v>
      </c>
      <c r="C173" s="61"/>
      <c r="D173" s="61"/>
      <c r="E173" s="61"/>
      <c r="F173" s="28"/>
      <c r="G173" s="28"/>
      <c r="H173" s="28"/>
      <c r="I173" s="28"/>
      <c r="J173" s="96">
        <v>0</v>
      </c>
      <c r="K173" s="28"/>
      <c r="L173" s="92"/>
      <c r="M173" s="97"/>
      <c r="N173" s="131"/>
    </row>
    <row r="174" spans="1:14" ht="15.75">
      <c r="A174" s="95"/>
      <c r="B174" s="170" t="s">
        <v>124</v>
      </c>
      <c r="C174" s="61"/>
      <c r="D174" s="61"/>
      <c r="E174" s="61"/>
      <c r="F174" s="28"/>
      <c r="G174" s="28"/>
      <c r="H174" s="28"/>
      <c r="I174" s="28"/>
      <c r="J174" s="96">
        <v>22352</v>
      </c>
      <c r="K174" s="28"/>
      <c r="L174" s="92"/>
      <c r="M174" s="97"/>
      <c r="N174" s="131"/>
    </row>
    <row r="175" spans="1:14" ht="15.75">
      <c r="A175" s="98"/>
      <c r="B175" s="170" t="s">
        <v>125</v>
      </c>
      <c r="C175" s="61"/>
      <c r="D175" s="87"/>
      <c r="E175" s="87"/>
      <c r="F175" s="87"/>
      <c r="G175" s="28"/>
      <c r="H175" s="28"/>
      <c r="I175" s="28"/>
      <c r="J175" s="96">
        <v>0</v>
      </c>
      <c r="K175" s="28"/>
      <c r="L175" s="92"/>
      <c r="M175" s="99"/>
      <c r="N175" s="131"/>
    </row>
    <row r="176" spans="1:14" ht="15.75">
      <c r="A176" s="95"/>
      <c r="B176" s="87" t="s">
        <v>126</v>
      </c>
      <c r="C176" s="61"/>
      <c r="D176" s="61"/>
      <c r="E176" s="61"/>
      <c r="F176" s="61"/>
      <c r="G176" s="28"/>
      <c r="H176" s="28"/>
      <c r="I176" s="28"/>
      <c r="J176" s="96">
        <v>0</v>
      </c>
      <c r="K176" s="28"/>
      <c r="L176" s="92"/>
      <c r="M176" s="99"/>
      <c r="N176" s="131"/>
    </row>
    <row r="177" spans="1:14" ht="15.75">
      <c r="A177" s="95"/>
      <c r="B177" s="87" t="s">
        <v>127</v>
      </c>
      <c r="C177" s="61"/>
      <c r="D177" s="61"/>
      <c r="E177" s="61"/>
      <c r="F177" s="61"/>
      <c r="G177" s="28"/>
      <c r="H177" s="28"/>
      <c r="I177" s="28"/>
      <c r="J177" s="96">
        <v>0</v>
      </c>
      <c r="K177" s="28"/>
      <c r="L177" s="92"/>
      <c r="M177" s="99"/>
      <c r="N177" s="131"/>
    </row>
    <row r="178" spans="1:14" ht="15.75">
      <c r="A178" s="98"/>
      <c r="B178" s="170" t="s">
        <v>128</v>
      </c>
      <c r="C178" s="61"/>
      <c r="D178" s="87"/>
      <c r="E178" s="87"/>
      <c r="F178" s="87"/>
      <c r="G178" s="28"/>
      <c r="H178" s="28"/>
      <c r="I178" s="28"/>
      <c r="J178" s="96"/>
      <c r="K178" s="28"/>
      <c r="L178" s="92"/>
      <c r="M178" s="99"/>
      <c r="N178" s="131"/>
    </row>
    <row r="179" spans="1:14" ht="15.75">
      <c r="A179" s="98"/>
      <c r="B179" s="87" t="s">
        <v>129</v>
      </c>
      <c r="C179" s="61"/>
      <c r="D179" s="87"/>
      <c r="E179" s="87"/>
      <c r="F179" s="87"/>
      <c r="G179" s="28"/>
      <c r="H179" s="28"/>
      <c r="I179" s="28"/>
      <c r="J179" s="96">
        <v>0</v>
      </c>
      <c r="K179" s="28"/>
      <c r="L179" s="92"/>
      <c r="M179" s="99"/>
      <c r="N179" s="131"/>
    </row>
    <row r="180" spans="1:14" ht="15.75">
      <c r="A180" s="95"/>
      <c r="B180" s="87" t="s">
        <v>130</v>
      </c>
      <c r="C180" s="61"/>
      <c r="D180" s="100"/>
      <c r="E180" s="100"/>
      <c r="F180" s="101"/>
      <c r="G180" s="28"/>
      <c r="H180" s="28"/>
      <c r="I180" s="28"/>
      <c r="J180" s="96">
        <v>0</v>
      </c>
      <c r="K180" s="28"/>
      <c r="L180" s="92"/>
      <c r="M180" s="99"/>
      <c r="N180" s="131"/>
    </row>
    <row r="181" spans="1:14" ht="15.75">
      <c r="A181" s="95"/>
      <c r="B181" s="87" t="s">
        <v>131</v>
      </c>
      <c r="C181" s="61"/>
      <c r="D181" s="100"/>
      <c r="E181" s="100"/>
      <c r="F181" s="101"/>
      <c r="G181" s="28"/>
      <c r="H181" s="28"/>
      <c r="I181" s="28"/>
      <c r="J181" s="96">
        <v>0</v>
      </c>
      <c r="K181" s="28"/>
      <c r="L181" s="92"/>
      <c r="M181" s="99"/>
      <c r="N181" s="131"/>
    </row>
    <row r="182" spans="1:14" ht="15.75">
      <c r="A182" s="95"/>
      <c r="B182" s="87" t="s">
        <v>132</v>
      </c>
      <c r="C182" s="61"/>
      <c r="D182" s="102"/>
      <c r="E182" s="100"/>
      <c r="F182" s="101"/>
      <c r="G182" s="28"/>
      <c r="H182" s="28"/>
      <c r="I182" s="28"/>
      <c r="J182" s="103">
        <v>0</v>
      </c>
      <c r="K182" s="28"/>
      <c r="L182" s="92"/>
      <c r="M182" s="99"/>
      <c r="N182" s="131"/>
    </row>
    <row r="183" spans="1:14" ht="15.75">
      <c r="A183" s="95"/>
      <c r="B183" s="87"/>
      <c r="C183" s="61"/>
      <c r="D183" s="102"/>
      <c r="E183" s="100"/>
      <c r="F183" s="101"/>
      <c r="G183" s="28"/>
      <c r="H183" s="28"/>
      <c r="I183" s="28"/>
      <c r="J183" s="103"/>
      <c r="K183" s="28"/>
      <c r="L183" s="92"/>
      <c r="M183" s="99"/>
      <c r="N183" s="131"/>
    </row>
    <row r="184" spans="1:14" ht="15.75">
      <c r="A184" s="8"/>
      <c r="B184" s="17" t="s">
        <v>133</v>
      </c>
      <c r="C184" s="20"/>
      <c r="D184" s="94"/>
      <c r="E184" s="20"/>
      <c r="F184" s="94"/>
      <c r="G184" s="20"/>
      <c r="H184" s="94" t="s">
        <v>172</v>
      </c>
      <c r="I184" s="20" t="s">
        <v>173</v>
      </c>
      <c r="J184" s="94" t="s">
        <v>182</v>
      </c>
      <c r="K184" s="20" t="s">
        <v>173</v>
      </c>
      <c r="L184" s="18"/>
      <c r="M184" s="104"/>
      <c r="N184" s="131"/>
    </row>
    <row r="185" spans="1:14" ht="15.75">
      <c r="A185" s="27"/>
      <c r="B185" s="61" t="s">
        <v>134</v>
      </c>
      <c r="C185" s="105"/>
      <c r="D185" s="61"/>
      <c r="E185" s="105"/>
      <c r="F185" s="28"/>
      <c r="G185" s="105"/>
      <c r="H185" s="61">
        <v>3676</v>
      </c>
      <c r="I185" s="105">
        <f>H185/$H$191</f>
        <v>0.978440244876231</v>
      </c>
      <c r="J185" s="60">
        <v>172938</v>
      </c>
      <c r="K185" s="106">
        <f>J185/$J$191</f>
        <v>0.9801741141263688</v>
      </c>
      <c r="L185" s="92"/>
      <c r="M185" s="99"/>
      <c r="N185" s="131"/>
    </row>
    <row r="186" spans="1:14" ht="15.75">
      <c r="A186" s="27"/>
      <c r="B186" s="61" t="s">
        <v>135</v>
      </c>
      <c r="C186" s="105"/>
      <c r="D186" s="61"/>
      <c r="E186" s="105"/>
      <c r="F186" s="28"/>
      <c r="G186" s="107"/>
      <c r="H186" s="61">
        <v>28</v>
      </c>
      <c r="I186" s="105">
        <f>H186/$H$191</f>
        <v>0.007452754857599149</v>
      </c>
      <c r="J186" s="60">
        <v>1666</v>
      </c>
      <c r="K186" s="106">
        <f>J186/$J$191</f>
        <v>0.009442517400077082</v>
      </c>
      <c r="L186" s="92"/>
      <c r="M186" s="99"/>
      <c r="N186" s="131"/>
    </row>
    <row r="187" spans="1:14" ht="15.75">
      <c r="A187" s="27"/>
      <c r="B187" s="61" t="s">
        <v>136</v>
      </c>
      <c r="C187" s="105"/>
      <c r="D187" s="61"/>
      <c r="E187" s="105"/>
      <c r="F187" s="28"/>
      <c r="G187" s="107"/>
      <c r="H187" s="61">
        <v>9</v>
      </c>
      <c r="I187" s="105">
        <f>H187/$H$191</f>
        <v>0.0023955283470854403</v>
      </c>
      <c r="J187" s="60">
        <v>416</v>
      </c>
      <c r="K187" s="106">
        <f>J187/$J$191</f>
        <v>0.002357795461243737</v>
      </c>
      <c r="L187" s="92"/>
      <c r="M187" s="99"/>
      <c r="N187" s="131"/>
    </row>
    <row r="188" spans="1:14" ht="15.75">
      <c r="A188" s="27"/>
      <c r="B188" s="61" t="s">
        <v>137</v>
      </c>
      <c r="C188" s="105"/>
      <c r="D188" s="61"/>
      <c r="E188" s="105"/>
      <c r="F188" s="28"/>
      <c r="G188" s="107"/>
      <c r="H188" s="61">
        <v>44</v>
      </c>
      <c r="I188" s="105">
        <f>H188/$H$191</f>
        <v>0.011711471919084376</v>
      </c>
      <c r="J188" s="60">
        <f>162+1251+3</f>
        <v>1416</v>
      </c>
      <c r="K188" s="106">
        <f>J188/$J$191</f>
        <v>0.008025573012310412</v>
      </c>
      <c r="L188" s="92"/>
      <c r="M188" s="99"/>
      <c r="N188" s="131"/>
    </row>
    <row r="189" spans="1:14" ht="15.75">
      <c r="A189" s="27"/>
      <c r="B189" s="30"/>
      <c r="C189" s="105"/>
      <c r="D189" s="61"/>
      <c r="E189" s="105"/>
      <c r="F189" s="28"/>
      <c r="G189" s="107"/>
      <c r="H189" s="61"/>
      <c r="I189" s="105"/>
      <c r="J189" s="60"/>
      <c r="K189" s="106"/>
      <c r="L189" s="92"/>
      <c r="M189" s="99"/>
      <c r="N189" s="131"/>
    </row>
    <row r="190" spans="1:14" ht="15.75">
      <c r="A190" s="27"/>
      <c r="B190" s="61" t="s">
        <v>138</v>
      </c>
      <c r="C190" s="108"/>
      <c r="D190" s="97"/>
      <c r="E190" s="108"/>
      <c r="F190" s="28"/>
      <c r="G190" s="108"/>
      <c r="H190" s="97"/>
      <c r="I190" s="108"/>
      <c r="J190" s="60"/>
      <c r="K190" s="106"/>
      <c r="L190" s="92"/>
      <c r="M190" s="99"/>
      <c r="N190" s="131"/>
    </row>
    <row r="191" spans="1:14" ht="15.75">
      <c r="A191" s="27"/>
      <c r="B191" s="28"/>
      <c r="C191" s="28"/>
      <c r="D191" s="28"/>
      <c r="E191" s="28"/>
      <c r="F191" s="28"/>
      <c r="G191" s="28"/>
      <c r="H191" s="38">
        <f>SUM(H185:H189)</f>
        <v>3757</v>
      </c>
      <c r="I191" s="109">
        <f>SUM(I185:I190)</f>
        <v>1</v>
      </c>
      <c r="J191" s="60">
        <f>SUM(J185:J190)</f>
        <v>176436</v>
      </c>
      <c r="K191" s="127">
        <f>SUM(K185:K190)</f>
        <v>1</v>
      </c>
      <c r="L191" s="28"/>
      <c r="M191" s="28"/>
      <c r="N191" s="131"/>
    </row>
    <row r="192" spans="1:14" ht="15.75">
      <c r="A192" s="27"/>
      <c r="B192" s="28"/>
      <c r="C192" s="28"/>
      <c r="D192" s="28"/>
      <c r="E192" s="28"/>
      <c r="F192" s="28"/>
      <c r="G192" s="28"/>
      <c r="H192" s="38"/>
      <c r="I192" s="109"/>
      <c r="J192" s="60"/>
      <c r="K192" s="127"/>
      <c r="L192" s="28"/>
      <c r="M192" s="28"/>
      <c r="N192" s="131"/>
    </row>
    <row r="193" spans="1:14" ht="15.75">
      <c r="A193" s="27"/>
      <c r="B193" s="28"/>
      <c r="C193" s="28"/>
      <c r="D193" s="28"/>
      <c r="E193" s="28"/>
      <c r="F193" s="28"/>
      <c r="G193" s="28"/>
      <c r="H193" s="38"/>
      <c r="I193" s="109"/>
      <c r="J193" s="60"/>
      <c r="K193" s="127"/>
      <c r="L193" s="28"/>
      <c r="M193" s="28"/>
      <c r="N193" s="131"/>
    </row>
    <row r="194" spans="1:14" ht="15.75">
      <c r="A194" s="114"/>
      <c r="B194" s="17" t="s">
        <v>139</v>
      </c>
      <c r="C194" s="115"/>
      <c r="D194" s="20" t="s">
        <v>148</v>
      </c>
      <c r="E194" s="18"/>
      <c r="F194" s="17" t="s">
        <v>161</v>
      </c>
      <c r="G194" s="116"/>
      <c r="H194" s="116"/>
      <c r="I194" s="15"/>
      <c r="J194" s="15"/>
      <c r="K194" s="15"/>
      <c r="L194" s="15"/>
      <c r="M194" s="15"/>
      <c r="N194" s="131"/>
    </row>
    <row r="195" spans="1:14" ht="15.75">
      <c r="A195" s="114"/>
      <c r="B195" s="15"/>
      <c r="C195" s="15"/>
      <c r="D195" s="10"/>
      <c r="E195" s="10"/>
      <c r="F195" s="10"/>
      <c r="G195" s="15"/>
      <c r="H195" s="15"/>
      <c r="I195" s="15"/>
      <c r="J195" s="15"/>
      <c r="K195" s="15"/>
      <c r="L195" s="15"/>
      <c r="M195" s="15"/>
      <c r="N195" s="131"/>
    </row>
    <row r="196" spans="1:14" ht="15.75">
      <c r="A196" s="114"/>
      <c r="B196" s="16" t="s">
        <v>140</v>
      </c>
      <c r="C196" s="117"/>
      <c r="D196" s="118" t="s">
        <v>149</v>
      </c>
      <c r="E196" s="16"/>
      <c r="F196" s="16" t="s">
        <v>162</v>
      </c>
      <c r="G196" s="117"/>
      <c r="H196" s="117"/>
      <c r="I196" s="15"/>
      <c r="J196" s="15"/>
      <c r="K196" s="15"/>
      <c r="L196" s="15"/>
      <c r="M196" s="15"/>
      <c r="N196" s="131"/>
    </row>
    <row r="197" spans="1:14" ht="15.75">
      <c r="A197" s="114"/>
      <c r="B197" s="16" t="s">
        <v>141</v>
      </c>
      <c r="C197" s="117"/>
      <c r="D197" s="118" t="s">
        <v>150</v>
      </c>
      <c r="E197" s="16"/>
      <c r="F197" s="16" t="s">
        <v>163</v>
      </c>
      <c r="G197" s="117"/>
      <c r="H197" s="117"/>
      <c r="I197" s="15"/>
      <c r="J197" s="15"/>
      <c r="K197" s="15"/>
      <c r="L197" s="15"/>
      <c r="M197" s="15"/>
      <c r="N197" s="131"/>
    </row>
    <row r="198" spans="1:14" ht="15.75">
      <c r="A198" s="114"/>
      <c r="B198" s="16"/>
      <c r="C198" s="117"/>
      <c r="D198" s="118"/>
      <c r="E198" s="16"/>
      <c r="F198" s="16"/>
      <c r="G198" s="117"/>
      <c r="H198" s="117"/>
      <c r="I198" s="15"/>
      <c r="J198" s="15"/>
      <c r="K198" s="15"/>
      <c r="L198" s="15"/>
      <c r="M198" s="15"/>
      <c r="N198" s="131"/>
    </row>
    <row r="199" spans="1:14" ht="15.75">
      <c r="A199" s="114"/>
      <c r="B199" s="16"/>
      <c r="C199" s="117"/>
      <c r="D199" s="118"/>
      <c r="E199" s="16"/>
      <c r="F199" s="16"/>
      <c r="G199" s="117"/>
      <c r="H199" s="117"/>
      <c r="I199" s="15"/>
      <c r="J199" s="15"/>
      <c r="K199" s="15"/>
      <c r="L199" s="15"/>
      <c r="M199" s="15"/>
      <c r="N199" s="131"/>
    </row>
    <row r="200" spans="1:14" ht="18.75">
      <c r="A200" s="114"/>
      <c r="B200" s="55" t="s">
        <v>195</v>
      </c>
      <c r="C200" s="117"/>
      <c r="D200" s="118"/>
      <c r="E200" s="16"/>
      <c r="F200" s="16"/>
      <c r="G200" s="117"/>
      <c r="H200" s="117"/>
      <c r="I200" s="15"/>
      <c r="J200" s="15"/>
      <c r="K200" s="15"/>
      <c r="L200" s="15"/>
      <c r="M200" s="15"/>
      <c r="N200" s="131"/>
    </row>
    <row r="201" spans="1:13" ht="15">
      <c r="A201" s="130"/>
      <c r="B201" s="130"/>
      <c r="C201" s="130"/>
      <c r="D201" s="130"/>
      <c r="E201" s="130"/>
      <c r="F201" s="130"/>
      <c r="G201" s="130"/>
      <c r="H201" s="130"/>
      <c r="I201" s="130"/>
      <c r="J201" s="130"/>
      <c r="K201" s="130"/>
      <c r="L201" s="130"/>
      <c r="M201" s="130"/>
    </row>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5" manualBreakCount="5">
    <brk id="49" min="103" max="154" man="1"/>
    <brk id="49" max="13" man="1"/>
    <brk id="103" max="13" man="1"/>
    <brk id="154" max="13" man="1"/>
    <brk id="201" max="0" man="1"/>
  </rowBreaks>
  <drawing r:id="rId1"/>
</worksheet>
</file>

<file path=xl/worksheets/sheet4.xml><?xml version="1.0" encoding="utf-8"?>
<worksheet xmlns="http://schemas.openxmlformats.org/spreadsheetml/2006/main" xmlns:r="http://schemas.openxmlformats.org/officeDocument/2006/relationships">
  <dimension ref="A1:N201"/>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32.10546875" style="1" customWidth="1"/>
    <col min="14" max="16384" width="9.6640625" style="1" customWidth="1"/>
  </cols>
  <sheetData>
    <row r="1" spans="1:14" ht="20.25">
      <c r="A1" s="2"/>
      <c r="B1" s="3" t="s">
        <v>0</v>
      </c>
      <c r="C1" s="4"/>
      <c r="D1" s="5"/>
      <c r="E1" s="5"/>
      <c r="F1" s="5"/>
      <c r="G1" s="5"/>
      <c r="H1" s="5"/>
      <c r="I1" s="5"/>
      <c r="J1" s="5"/>
      <c r="K1" s="5"/>
      <c r="L1" s="5"/>
      <c r="M1" s="5"/>
      <c r="N1" s="131"/>
    </row>
    <row r="2" spans="1:14" ht="15.75">
      <c r="A2" s="8"/>
      <c r="B2" s="9"/>
      <c r="C2" s="9"/>
      <c r="D2" s="10"/>
      <c r="E2" s="10"/>
      <c r="F2" s="10"/>
      <c r="G2" s="10"/>
      <c r="H2" s="10"/>
      <c r="I2" s="10"/>
      <c r="J2" s="10"/>
      <c r="K2" s="10"/>
      <c r="L2" s="10"/>
      <c r="M2" s="10"/>
      <c r="N2" s="131"/>
    </row>
    <row r="3" spans="1:14" ht="15.75">
      <c r="A3" s="11"/>
      <c r="B3" s="154" t="s">
        <v>1</v>
      </c>
      <c r="C3" s="10"/>
      <c r="D3" s="10"/>
      <c r="E3" s="10"/>
      <c r="F3" s="10"/>
      <c r="G3" s="10"/>
      <c r="H3" s="10"/>
      <c r="I3" s="10"/>
      <c r="J3" s="10"/>
      <c r="K3" s="10"/>
      <c r="L3" s="10"/>
      <c r="M3" s="10"/>
      <c r="N3" s="131"/>
    </row>
    <row r="4" spans="1:14" ht="15.75">
      <c r="A4" s="8"/>
      <c r="B4" s="9"/>
      <c r="C4" s="9"/>
      <c r="D4" s="10"/>
      <c r="E4" s="10"/>
      <c r="F4" s="10"/>
      <c r="G4" s="10"/>
      <c r="H4" s="10"/>
      <c r="I4" s="10"/>
      <c r="J4" s="10"/>
      <c r="K4" s="10"/>
      <c r="L4" s="10"/>
      <c r="M4" s="10"/>
      <c r="N4" s="131"/>
    </row>
    <row r="5" spans="1:14" ht="12" customHeight="1">
      <c r="A5" s="8"/>
      <c r="B5" s="13" t="s">
        <v>2</v>
      </c>
      <c r="C5" s="14"/>
      <c r="D5" s="10"/>
      <c r="E5" s="10"/>
      <c r="F5" s="10"/>
      <c r="G5" s="10"/>
      <c r="H5" s="10"/>
      <c r="I5" s="10"/>
      <c r="J5" s="10"/>
      <c r="K5" s="10"/>
      <c r="L5" s="10"/>
      <c r="M5" s="10"/>
      <c r="N5" s="131"/>
    </row>
    <row r="6" spans="1:14" ht="12" customHeight="1">
      <c r="A6" s="8"/>
      <c r="B6" s="13" t="s">
        <v>3</v>
      </c>
      <c r="C6" s="14"/>
      <c r="D6" s="10"/>
      <c r="E6" s="10"/>
      <c r="F6" s="10"/>
      <c r="G6" s="10"/>
      <c r="H6" s="10"/>
      <c r="I6" s="10"/>
      <c r="J6" s="10"/>
      <c r="K6" s="10"/>
      <c r="L6" s="10"/>
      <c r="M6" s="10"/>
      <c r="N6" s="131"/>
    </row>
    <row r="7" spans="1:14" ht="12" customHeight="1">
      <c r="A7" s="8"/>
      <c r="B7" s="13" t="s">
        <v>4</v>
      </c>
      <c r="C7" s="14"/>
      <c r="D7" s="10"/>
      <c r="E7" s="10"/>
      <c r="F7" s="10"/>
      <c r="G7" s="10"/>
      <c r="H7" s="10"/>
      <c r="I7" s="10"/>
      <c r="J7" s="10"/>
      <c r="K7" s="10"/>
      <c r="L7" s="10"/>
      <c r="M7" s="10"/>
      <c r="N7" s="131"/>
    </row>
    <row r="8" spans="1:14" ht="12" customHeight="1">
      <c r="A8" s="8"/>
      <c r="B8" s="13" t="s">
        <v>5</v>
      </c>
      <c r="C8" s="14"/>
      <c r="D8" s="10"/>
      <c r="E8" s="10"/>
      <c r="F8" s="10"/>
      <c r="G8" s="10"/>
      <c r="H8" s="10"/>
      <c r="I8" s="10"/>
      <c r="J8" s="10"/>
      <c r="K8" s="10"/>
      <c r="L8" s="10"/>
      <c r="M8" s="10"/>
      <c r="N8" s="131"/>
    </row>
    <row r="9" spans="1:14" ht="12" customHeight="1">
      <c r="A9" s="8"/>
      <c r="B9" s="15"/>
      <c r="C9" s="14"/>
      <c r="D9" s="10"/>
      <c r="E9" s="10"/>
      <c r="F9" s="10"/>
      <c r="G9" s="10"/>
      <c r="H9" s="10"/>
      <c r="I9" s="10"/>
      <c r="J9" s="10"/>
      <c r="K9" s="10"/>
      <c r="L9" s="10"/>
      <c r="M9" s="10"/>
      <c r="N9" s="131"/>
    </row>
    <row r="10" spans="1:14" ht="15.75">
      <c r="A10" s="8"/>
      <c r="B10" s="13"/>
      <c r="C10" s="14"/>
      <c r="D10" s="16"/>
      <c r="E10" s="16"/>
      <c r="F10" s="10"/>
      <c r="G10" s="10"/>
      <c r="H10" s="10"/>
      <c r="I10" s="10"/>
      <c r="J10" s="10"/>
      <c r="K10" s="10"/>
      <c r="L10" s="10"/>
      <c r="M10" s="10"/>
      <c r="N10" s="131"/>
    </row>
    <row r="11" spans="1:14" ht="15.75">
      <c r="A11" s="8"/>
      <c r="B11" s="16" t="s">
        <v>6</v>
      </c>
      <c r="C11" s="16"/>
      <c r="D11" s="10"/>
      <c r="E11" s="10"/>
      <c r="F11" s="10"/>
      <c r="G11" s="10"/>
      <c r="H11" s="10"/>
      <c r="I11" s="10"/>
      <c r="J11" s="10"/>
      <c r="K11" s="10"/>
      <c r="L11" s="10"/>
      <c r="M11" s="10"/>
      <c r="N11" s="131"/>
    </row>
    <row r="12" spans="1:14" ht="15.75">
      <c r="A12" s="8"/>
      <c r="B12" s="16"/>
      <c r="C12" s="16"/>
      <c r="D12" s="10"/>
      <c r="E12" s="10"/>
      <c r="F12" s="10"/>
      <c r="G12" s="10"/>
      <c r="H12" s="10"/>
      <c r="I12" s="10"/>
      <c r="J12" s="10"/>
      <c r="K12" s="10"/>
      <c r="L12" s="10"/>
      <c r="M12" s="10"/>
      <c r="N12" s="131"/>
    </row>
    <row r="13" spans="1:14" ht="15.75">
      <c r="A13" s="2"/>
      <c r="B13" s="5"/>
      <c r="C13" s="5"/>
      <c r="D13" s="5"/>
      <c r="E13" s="5"/>
      <c r="F13" s="5"/>
      <c r="G13" s="5"/>
      <c r="H13" s="5"/>
      <c r="I13" s="5"/>
      <c r="J13" s="5"/>
      <c r="K13" s="5"/>
      <c r="L13" s="5"/>
      <c r="M13" s="5"/>
      <c r="N13" s="131"/>
    </row>
    <row r="14" spans="1:14" ht="15.75">
      <c r="A14" s="8"/>
      <c r="B14" s="17" t="s">
        <v>7</v>
      </c>
      <c r="C14" s="17"/>
      <c r="D14" s="18"/>
      <c r="E14" s="18"/>
      <c r="F14" s="18"/>
      <c r="G14" s="18"/>
      <c r="H14" s="18"/>
      <c r="I14" s="18"/>
      <c r="J14" s="18"/>
      <c r="K14" s="18"/>
      <c r="L14" s="19" t="s">
        <v>185</v>
      </c>
      <c r="M14" s="18"/>
      <c r="N14" s="131"/>
    </row>
    <row r="15" spans="1:14" ht="15.75">
      <c r="A15" s="8"/>
      <c r="B15" s="17" t="s">
        <v>8</v>
      </c>
      <c r="C15" s="17"/>
      <c r="D15" s="18"/>
      <c r="E15" s="18"/>
      <c r="F15" s="18"/>
      <c r="G15" s="18"/>
      <c r="H15" s="18"/>
      <c r="I15" s="18"/>
      <c r="J15" s="18"/>
      <c r="K15" s="18"/>
      <c r="L15" s="20" t="s">
        <v>186</v>
      </c>
      <c r="M15" s="18"/>
      <c r="N15" s="131"/>
    </row>
    <row r="16" spans="1:14" ht="15.75">
      <c r="A16" s="8"/>
      <c r="B16" s="17" t="s">
        <v>9</v>
      </c>
      <c r="C16" s="17"/>
      <c r="D16" s="18"/>
      <c r="E16" s="18"/>
      <c r="F16" s="18"/>
      <c r="G16" s="18"/>
      <c r="H16" s="18"/>
      <c r="I16" s="18"/>
      <c r="J16" s="18"/>
      <c r="K16" s="18"/>
      <c r="L16" s="21">
        <v>36724</v>
      </c>
      <c r="M16" s="18"/>
      <c r="N16" s="131"/>
    </row>
    <row r="17" spans="1:14" ht="15.75">
      <c r="A17" s="8"/>
      <c r="B17" s="10"/>
      <c r="C17" s="10"/>
      <c r="D17" s="10"/>
      <c r="E17" s="10"/>
      <c r="F17" s="10"/>
      <c r="G17" s="10"/>
      <c r="H17" s="10"/>
      <c r="I17" s="10"/>
      <c r="J17" s="10"/>
      <c r="K17" s="10"/>
      <c r="L17" s="22"/>
      <c r="M17" s="10"/>
      <c r="N17" s="131"/>
    </row>
    <row r="18" spans="1:14" ht="15.75">
      <c r="A18" s="8"/>
      <c r="B18" s="23" t="s">
        <v>10</v>
      </c>
      <c r="C18" s="10"/>
      <c r="D18" s="10"/>
      <c r="E18" s="10"/>
      <c r="F18" s="10"/>
      <c r="G18" s="10"/>
      <c r="H18" s="10"/>
      <c r="I18" s="10"/>
      <c r="J18" s="22" t="s">
        <v>174</v>
      </c>
      <c r="K18" s="10"/>
      <c r="L18" s="15"/>
      <c r="M18" s="10"/>
      <c r="N18" s="131"/>
    </row>
    <row r="19" spans="1:14" ht="15.75">
      <c r="A19" s="8"/>
      <c r="B19" s="10"/>
      <c r="C19" s="10"/>
      <c r="D19" s="10"/>
      <c r="E19" s="10"/>
      <c r="F19" s="10"/>
      <c r="G19" s="10"/>
      <c r="H19" s="10"/>
      <c r="I19" s="10"/>
      <c r="J19" s="10"/>
      <c r="K19" s="10"/>
      <c r="L19" s="24"/>
      <c r="M19" s="10"/>
      <c r="N19" s="131"/>
    </row>
    <row r="20" spans="1:14" ht="15.75">
      <c r="A20" s="8"/>
      <c r="B20" s="10"/>
      <c r="C20" s="155" t="s">
        <v>143</v>
      </c>
      <c r="D20" s="25"/>
      <c r="E20" s="25"/>
      <c r="F20" s="157" t="s">
        <v>151</v>
      </c>
      <c r="G20" s="157"/>
      <c r="H20" s="157" t="s">
        <v>164</v>
      </c>
      <c r="I20" s="158"/>
      <c r="J20" s="158"/>
      <c r="K20" s="15"/>
      <c r="L20" s="15"/>
      <c r="M20" s="10"/>
      <c r="N20" s="131"/>
    </row>
    <row r="21" spans="1:14" ht="15.75">
      <c r="A21" s="27"/>
      <c r="B21" s="28" t="s">
        <v>11</v>
      </c>
      <c r="C21" s="156" t="s">
        <v>144</v>
      </c>
      <c r="D21" s="29"/>
      <c r="E21" s="29"/>
      <c r="F21" s="29" t="s">
        <v>152</v>
      </c>
      <c r="G21" s="29"/>
      <c r="H21" s="29" t="s">
        <v>165</v>
      </c>
      <c r="I21" s="29"/>
      <c r="J21" s="29"/>
      <c r="K21" s="30"/>
      <c r="L21" s="30"/>
      <c r="M21" s="28"/>
      <c r="N21" s="131"/>
    </row>
    <row r="22" spans="1:14" ht="15.75">
      <c r="A22" s="27"/>
      <c r="B22" s="28" t="s">
        <v>12</v>
      </c>
      <c r="C22" s="31"/>
      <c r="D22" s="29"/>
      <c r="E22" s="29"/>
      <c r="F22" s="29" t="s">
        <v>153</v>
      </c>
      <c r="G22" s="29"/>
      <c r="H22" s="29" t="s">
        <v>166</v>
      </c>
      <c r="I22" s="29"/>
      <c r="J22" s="29"/>
      <c r="K22" s="30"/>
      <c r="L22" s="30"/>
      <c r="M22" s="28"/>
      <c r="N22" s="131"/>
    </row>
    <row r="23" spans="1:14" ht="15.75">
      <c r="A23" s="32"/>
      <c r="B23" s="33" t="s">
        <v>13</v>
      </c>
      <c r="C23" s="33"/>
      <c r="D23" s="34"/>
      <c r="E23" s="34"/>
      <c r="F23" s="34" t="s">
        <v>152</v>
      </c>
      <c r="G23" s="34"/>
      <c r="H23" s="34" t="s">
        <v>165</v>
      </c>
      <c r="I23" s="29"/>
      <c r="J23" s="29"/>
      <c r="K23" s="30"/>
      <c r="L23" s="30"/>
      <c r="M23" s="28"/>
      <c r="N23" s="131"/>
    </row>
    <row r="24" spans="1:14" ht="15.75">
      <c r="A24" s="32"/>
      <c r="B24" s="33" t="s">
        <v>14</v>
      </c>
      <c r="C24" s="33"/>
      <c r="D24" s="34"/>
      <c r="E24" s="34"/>
      <c r="F24" s="34" t="s">
        <v>153</v>
      </c>
      <c r="G24" s="34"/>
      <c r="H24" s="34" t="s">
        <v>166</v>
      </c>
      <c r="I24" s="29"/>
      <c r="J24" s="29"/>
      <c r="K24" s="30"/>
      <c r="L24" s="30"/>
      <c r="M24" s="28"/>
      <c r="N24" s="131"/>
    </row>
    <row r="25" spans="1:14" ht="15.75">
      <c r="A25" s="27"/>
      <c r="B25" s="28" t="s">
        <v>15</v>
      </c>
      <c r="C25" s="28"/>
      <c r="D25" s="31"/>
      <c r="E25" s="29"/>
      <c r="F25" s="31" t="s">
        <v>154</v>
      </c>
      <c r="G25" s="29"/>
      <c r="H25" s="31" t="s">
        <v>167</v>
      </c>
      <c r="I25" s="29"/>
      <c r="J25" s="31"/>
      <c r="K25" s="30"/>
      <c r="L25" s="30"/>
      <c r="M25" s="28"/>
      <c r="N25" s="131"/>
    </row>
    <row r="26" spans="1:14" ht="15.75">
      <c r="A26" s="27"/>
      <c r="B26" s="28"/>
      <c r="C26" s="28"/>
      <c r="D26" s="28"/>
      <c r="E26" s="29"/>
      <c r="F26" s="29"/>
      <c r="G26" s="29"/>
      <c r="H26" s="29"/>
      <c r="I26" s="29"/>
      <c r="J26" s="29"/>
      <c r="K26" s="30"/>
      <c r="L26" s="30"/>
      <c r="M26" s="28"/>
      <c r="N26" s="131"/>
    </row>
    <row r="27" spans="1:14" ht="15.75">
      <c r="A27" s="27"/>
      <c r="B27" s="28" t="s">
        <v>16</v>
      </c>
      <c r="C27" s="28"/>
      <c r="D27" s="35"/>
      <c r="E27" s="36"/>
      <c r="F27" s="35">
        <v>168000</v>
      </c>
      <c r="G27" s="35"/>
      <c r="H27" s="35">
        <v>17000</v>
      </c>
      <c r="I27" s="35"/>
      <c r="J27" s="35"/>
      <c r="K27" s="37"/>
      <c r="L27" s="35">
        <f>H27+F27</f>
        <v>185000</v>
      </c>
      <c r="M27" s="38"/>
      <c r="N27" s="131"/>
    </row>
    <row r="28" spans="1:14" ht="15.75">
      <c r="A28" s="27"/>
      <c r="B28" s="28" t="s">
        <v>17</v>
      </c>
      <c r="C28" s="126">
        <v>0.949027</v>
      </c>
      <c r="D28" s="35"/>
      <c r="E28" s="36"/>
      <c r="F28" s="35">
        <f>168000*C28-1</f>
        <v>159435.536</v>
      </c>
      <c r="G28" s="35"/>
      <c r="H28" s="35">
        <v>17000</v>
      </c>
      <c r="I28" s="35"/>
      <c r="J28" s="35"/>
      <c r="K28" s="37"/>
      <c r="L28" s="35">
        <f>H28+F28</f>
        <v>176435.536</v>
      </c>
      <c r="M28" s="38"/>
      <c r="N28" s="131"/>
    </row>
    <row r="29" spans="1:14" ht="13.5" customHeight="1">
      <c r="A29" s="32"/>
      <c r="B29" s="33" t="s">
        <v>18</v>
      </c>
      <c r="C29" s="40">
        <v>0.932746</v>
      </c>
      <c r="D29" s="41"/>
      <c r="E29" s="42"/>
      <c r="F29" s="41">
        <f>168000*C29</f>
        <v>156701.32799999998</v>
      </c>
      <c r="G29" s="41"/>
      <c r="H29" s="41">
        <v>17000</v>
      </c>
      <c r="I29" s="41"/>
      <c r="J29" s="41"/>
      <c r="K29" s="43"/>
      <c r="L29" s="41">
        <f>H29+F29+D29</f>
        <v>173701.32799999998</v>
      </c>
      <c r="M29" s="38"/>
      <c r="N29" s="131"/>
    </row>
    <row r="30" spans="1:14" ht="15.75">
      <c r="A30" s="27"/>
      <c r="B30" s="28" t="s">
        <v>19</v>
      </c>
      <c r="C30" s="44"/>
      <c r="D30" s="31"/>
      <c r="E30" s="28"/>
      <c r="F30" s="31" t="s">
        <v>155</v>
      </c>
      <c r="G30" s="31"/>
      <c r="H30" s="31" t="s">
        <v>168</v>
      </c>
      <c r="I30" s="31"/>
      <c r="J30" s="31"/>
      <c r="K30" s="30"/>
      <c r="L30" s="30"/>
      <c r="M30" s="28"/>
      <c r="N30" s="131"/>
    </row>
    <row r="31" spans="1:14" ht="15.75">
      <c r="A31" s="27"/>
      <c r="B31" s="28" t="s">
        <v>20</v>
      </c>
      <c r="C31" s="28"/>
      <c r="D31" s="45"/>
      <c r="E31" s="28"/>
      <c r="F31" s="45">
        <v>0.0652125</v>
      </c>
      <c r="G31" s="46"/>
      <c r="H31" s="45">
        <v>0.0704125</v>
      </c>
      <c r="I31" s="46"/>
      <c r="J31" s="45"/>
      <c r="K31" s="30"/>
      <c r="L31" s="46">
        <f>SUMPRODUCT(F31:H31,F28:H28)/L28</f>
        <v>0.06571353285315494</v>
      </c>
      <c r="M31" s="28"/>
      <c r="N31" s="131"/>
    </row>
    <row r="32" spans="1:14" ht="15.75">
      <c r="A32" s="27"/>
      <c r="B32" s="28" t="s">
        <v>21</v>
      </c>
      <c r="C32" s="28"/>
      <c r="D32" s="45"/>
      <c r="E32" s="28"/>
      <c r="F32" s="45">
        <f>(6.35984)/100</f>
        <v>0.0635984</v>
      </c>
      <c r="G32" s="46"/>
      <c r="H32" s="45">
        <f>(6.87984)/100</f>
        <v>0.0687984</v>
      </c>
      <c r="I32" s="46"/>
      <c r="J32" s="45"/>
      <c r="K32" s="30"/>
      <c r="L32" s="30"/>
      <c r="M32" s="28"/>
      <c r="N32" s="131"/>
    </row>
    <row r="33" spans="1:14" ht="15.75">
      <c r="A33" s="27"/>
      <c r="B33" s="28" t="s">
        <v>22</v>
      </c>
      <c r="C33" s="28"/>
      <c r="D33" s="31"/>
      <c r="E33" s="28"/>
      <c r="F33" s="31" t="s">
        <v>157</v>
      </c>
      <c r="G33" s="31"/>
      <c r="H33" s="31" t="s">
        <v>157</v>
      </c>
      <c r="I33" s="31"/>
      <c r="J33" s="31"/>
      <c r="K33" s="30"/>
      <c r="L33" s="30"/>
      <c r="M33" s="28"/>
      <c r="N33" s="131"/>
    </row>
    <row r="34" spans="1:14" ht="15.75">
      <c r="A34" s="27"/>
      <c r="B34" s="28" t="s">
        <v>23</v>
      </c>
      <c r="C34" s="28"/>
      <c r="D34" s="31"/>
      <c r="E34" s="28"/>
      <c r="F34" s="31" t="s">
        <v>158</v>
      </c>
      <c r="G34" s="31"/>
      <c r="H34" s="31" t="s">
        <v>158</v>
      </c>
      <c r="I34" s="31"/>
      <c r="J34" s="31"/>
      <c r="K34" s="30"/>
      <c r="L34" s="30"/>
      <c r="M34" s="28"/>
      <c r="N34" s="131"/>
    </row>
    <row r="35" spans="1:14" ht="15.75">
      <c r="A35" s="27"/>
      <c r="B35" s="28" t="s">
        <v>24</v>
      </c>
      <c r="C35" s="28"/>
      <c r="D35" s="31"/>
      <c r="E35" s="28"/>
      <c r="F35" s="31" t="s">
        <v>159</v>
      </c>
      <c r="G35" s="31"/>
      <c r="H35" s="31" t="s">
        <v>169</v>
      </c>
      <c r="I35" s="31"/>
      <c r="J35" s="31"/>
      <c r="K35" s="30"/>
      <c r="L35" s="30"/>
      <c r="M35" s="28"/>
      <c r="N35" s="131"/>
    </row>
    <row r="36" spans="1:14" ht="15.75">
      <c r="A36" s="27"/>
      <c r="B36" s="28"/>
      <c r="C36" s="28"/>
      <c r="D36" s="47"/>
      <c r="E36" s="47"/>
      <c r="F36" s="28"/>
      <c r="G36" s="47"/>
      <c r="H36" s="47"/>
      <c r="I36" s="47"/>
      <c r="J36" s="47"/>
      <c r="K36" s="47"/>
      <c r="L36" s="47"/>
      <c r="M36" s="28"/>
      <c r="N36" s="131"/>
    </row>
    <row r="37" spans="1:14" ht="15.75">
      <c r="A37" s="27"/>
      <c r="B37" s="28" t="s">
        <v>25</v>
      </c>
      <c r="C37" s="28"/>
      <c r="D37" s="28"/>
      <c r="E37" s="28"/>
      <c r="F37" s="28"/>
      <c r="G37" s="28"/>
      <c r="H37" s="28"/>
      <c r="I37" s="28"/>
      <c r="J37" s="28"/>
      <c r="K37" s="28"/>
      <c r="L37" s="46">
        <f>H27/F27</f>
        <v>0.10119047619047619</v>
      </c>
      <c r="M37" s="28"/>
      <c r="N37" s="131"/>
    </row>
    <row r="38" spans="1:14" ht="15.75">
      <c r="A38" s="27"/>
      <c r="B38" s="28" t="s">
        <v>26</v>
      </c>
      <c r="C38" s="28"/>
      <c r="D38" s="28"/>
      <c r="E38" s="28"/>
      <c r="F38" s="28"/>
      <c r="G38" s="28"/>
      <c r="H38" s="28"/>
      <c r="I38" s="28"/>
      <c r="J38" s="28"/>
      <c r="K38" s="28"/>
      <c r="L38" s="46">
        <f>H29/F29</f>
        <v>0.10848663643743978</v>
      </c>
      <c r="M38" s="28"/>
      <c r="N38" s="131"/>
    </row>
    <row r="39" spans="1:14" ht="15.75">
      <c r="A39" s="27"/>
      <c r="B39" s="28" t="s">
        <v>27</v>
      </c>
      <c r="C39" s="28"/>
      <c r="D39" s="28"/>
      <c r="E39" s="28"/>
      <c r="F39" s="28"/>
      <c r="G39" s="28"/>
      <c r="H39" s="28"/>
      <c r="I39" s="28"/>
      <c r="J39" s="31" t="s">
        <v>151</v>
      </c>
      <c r="K39" s="31" t="s">
        <v>183</v>
      </c>
      <c r="L39" s="35">
        <v>75500</v>
      </c>
      <c r="M39" s="28"/>
      <c r="N39" s="131"/>
    </row>
    <row r="40" spans="1:14" ht="15.75">
      <c r="A40" s="27"/>
      <c r="B40" s="28"/>
      <c r="C40" s="28"/>
      <c r="D40" s="28"/>
      <c r="E40" s="28"/>
      <c r="F40" s="28"/>
      <c r="G40" s="28"/>
      <c r="H40" s="28"/>
      <c r="I40" s="28"/>
      <c r="J40" s="28" t="s">
        <v>175</v>
      </c>
      <c r="K40" s="28"/>
      <c r="L40" s="48"/>
      <c r="M40" s="28"/>
      <c r="N40" s="131"/>
    </row>
    <row r="41" spans="1:14" ht="15.75">
      <c r="A41" s="27"/>
      <c r="B41" s="28" t="s">
        <v>28</v>
      </c>
      <c r="C41" s="28"/>
      <c r="D41" s="28"/>
      <c r="E41" s="28"/>
      <c r="F41" s="28"/>
      <c r="G41" s="28"/>
      <c r="H41" s="28"/>
      <c r="I41" s="28"/>
      <c r="J41" s="31"/>
      <c r="K41" s="31"/>
      <c r="L41" s="31" t="s">
        <v>187</v>
      </c>
      <c r="M41" s="28"/>
      <c r="N41" s="131"/>
    </row>
    <row r="42" spans="1:14" ht="15.75">
      <c r="A42" s="32"/>
      <c r="B42" s="33" t="s">
        <v>29</v>
      </c>
      <c r="C42" s="33"/>
      <c r="D42" s="33"/>
      <c r="E42" s="33"/>
      <c r="F42" s="33"/>
      <c r="G42" s="33"/>
      <c r="H42" s="33"/>
      <c r="I42" s="33"/>
      <c r="J42" s="49"/>
      <c r="K42" s="49"/>
      <c r="L42" s="50">
        <v>36724</v>
      </c>
      <c r="M42" s="33"/>
      <c r="N42" s="131"/>
    </row>
    <row r="43" spans="1:14" ht="15.75">
      <c r="A43" s="27"/>
      <c r="B43" s="28" t="s">
        <v>30</v>
      </c>
      <c r="C43" s="28"/>
      <c r="D43" s="28"/>
      <c r="E43" s="28"/>
      <c r="F43" s="28"/>
      <c r="G43" s="28"/>
      <c r="H43" s="28"/>
      <c r="I43" s="28">
        <f>L43-J43+1</f>
        <v>91</v>
      </c>
      <c r="J43" s="51">
        <v>36542</v>
      </c>
      <c r="K43" s="52"/>
      <c r="L43" s="51">
        <v>36632</v>
      </c>
      <c r="M43" s="28"/>
      <c r="N43" s="131"/>
    </row>
    <row r="44" spans="1:14" ht="15.75">
      <c r="A44" s="27"/>
      <c r="B44" s="28" t="s">
        <v>31</v>
      </c>
      <c r="C44" s="28"/>
      <c r="D44" s="28"/>
      <c r="E44" s="28"/>
      <c r="F44" s="28"/>
      <c r="G44" s="28"/>
      <c r="H44" s="28"/>
      <c r="I44" s="28">
        <f>L44-J44+1</f>
        <v>91</v>
      </c>
      <c r="J44" s="51">
        <v>36633</v>
      </c>
      <c r="K44" s="52"/>
      <c r="L44" s="51">
        <v>36723</v>
      </c>
      <c r="M44" s="28"/>
      <c r="N44" s="131"/>
    </row>
    <row r="45" spans="1:14" ht="15.75">
      <c r="A45" s="27"/>
      <c r="B45" s="28" t="s">
        <v>32</v>
      </c>
      <c r="C45" s="28"/>
      <c r="D45" s="28"/>
      <c r="E45" s="28"/>
      <c r="F45" s="28"/>
      <c r="G45" s="28"/>
      <c r="H45" s="28"/>
      <c r="I45" s="28"/>
      <c r="J45" s="51"/>
      <c r="K45" s="52"/>
      <c r="L45" s="51" t="s">
        <v>194</v>
      </c>
      <c r="M45" s="28"/>
      <c r="N45" s="131"/>
    </row>
    <row r="46" spans="1:14" ht="15.75">
      <c r="A46" s="27"/>
      <c r="B46" s="28" t="s">
        <v>33</v>
      </c>
      <c r="C46" s="28"/>
      <c r="D46" s="28"/>
      <c r="E46" s="28"/>
      <c r="F46" s="28"/>
      <c r="G46" s="28"/>
      <c r="H46" s="28"/>
      <c r="I46" s="28"/>
      <c r="J46" s="51"/>
      <c r="K46" s="52"/>
      <c r="L46" s="51">
        <v>36714</v>
      </c>
      <c r="M46" s="28"/>
      <c r="N46" s="131"/>
    </row>
    <row r="47" spans="1:14" ht="15.75">
      <c r="A47" s="27"/>
      <c r="B47" s="28"/>
      <c r="C47" s="28"/>
      <c r="D47" s="28"/>
      <c r="E47" s="28"/>
      <c r="F47" s="28"/>
      <c r="G47" s="28"/>
      <c r="H47" s="28"/>
      <c r="I47" s="28"/>
      <c r="J47" s="51"/>
      <c r="K47" s="52"/>
      <c r="L47" s="51"/>
      <c r="M47" s="28"/>
      <c r="N47" s="131"/>
    </row>
    <row r="48" spans="1:14" ht="15.75">
      <c r="A48" s="8"/>
      <c r="B48" s="10"/>
      <c r="C48" s="10"/>
      <c r="D48" s="10"/>
      <c r="E48" s="10"/>
      <c r="F48" s="10"/>
      <c r="G48" s="10"/>
      <c r="H48" s="10"/>
      <c r="I48" s="10"/>
      <c r="J48" s="53"/>
      <c r="K48" s="54"/>
      <c r="L48" s="53"/>
      <c r="M48" s="10"/>
      <c r="N48" s="131"/>
    </row>
    <row r="49" spans="1:14" ht="19.5" thickBot="1">
      <c r="A49" s="138"/>
      <c r="B49" s="139" t="s">
        <v>196</v>
      </c>
      <c r="C49" s="140"/>
      <c r="D49" s="140"/>
      <c r="E49" s="140"/>
      <c r="F49" s="140"/>
      <c r="G49" s="140"/>
      <c r="H49" s="140"/>
      <c r="I49" s="140"/>
      <c r="J49" s="140"/>
      <c r="K49" s="140"/>
      <c r="L49" s="141"/>
      <c r="M49" s="142"/>
      <c r="N49" s="131"/>
    </row>
    <row r="50" spans="1:14" ht="15.75">
      <c r="A50" s="2"/>
      <c r="B50" s="5"/>
      <c r="C50" s="5"/>
      <c r="D50" s="5"/>
      <c r="E50" s="5"/>
      <c r="F50" s="5"/>
      <c r="G50" s="5"/>
      <c r="H50" s="5"/>
      <c r="I50" s="5"/>
      <c r="J50" s="5"/>
      <c r="K50" s="5"/>
      <c r="L50" s="57"/>
      <c r="M50" s="5"/>
      <c r="N50" s="131"/>
    </row>
    <row r="51" spans="1:14" ht="15.75">
      <c r="A51" s="8"/>
      <c r="B51" s="58" t="s">
        <v>35</v>
      </c>
      <c r="C51" s="16"/>
      <c r="D51" s="10"/>
      <c r="E51" s="10"/>
      <c r="F51" s="10"/>
      <c r="G51" s="10"/>
      <c r="H51" s="10"/>
      <c r="I51" s="10"/>
      <c r="J51" s="10"/>
      <c r="K51" s="10"/>
      <c r="L51" s="59"/>
      <c r="M51" s="10"/>
      <c r="N51" s="131"/>
    </row>
    <row r="52" spans="1:14" ht="15.75">
      <c r="A52" s="8"/>
      <c r="B52" s="16"/>
      <c r="C52" s="16"/>
      <c r="D52" s="10"/>
      <c r="E52" s="10"/>
      <c r="F52" s="10"/>
      <c r="G52" s="10"/>
      <c r="H52" s="10"/>
      <c r="I52" s="10"/>
      <c r="J52" s="10"/>
      <c r="K52" s="10"/>
      <c r="L52" s="59"/>
      <c r="M52" s="10"/>
      <c r="N52" s="131"/>
    </row>
    <row r="53" spans="1:14" s="165" customFormat="1" ht="63">
      <c r="A53" s="159"/>
      <c r="B53" s="160" t="s">
        <v>36</v>
      </c>
      <c r="C53" s="161" t="s">
        <v>145</v>
      </c>
      <c r="D53" s="161" t="s">
        <v>147</v>
      </c>
      <c r="E53" s="161"/>
      <c r="F53" s="161" t="s">
        <v>160</v>
      </c>
      <c r="G53" s="161"/>
      <c r="H53" s="161" t="s">
        <v>170</v>
      </c>
      <c r="I53" s="161"/>
      <c r="J53" s="161" t="s">
        <v>176</v>
      </c>
      <c r="K53" s="161"/>
      <c r="L53" s="162" t="s">
        <v>189</v>
      </c>
      <c r="M53" s="163"/>
      <c r="N53" s="171"/>
    </row>
    <row r="54" spans="1:14" ht="15.75">
      <c r="A54" s="27"/>
      <c r="B54" s="28" t="s">
        <v>37</v>
      </c>
      <c r="C54" s="38">
        <v>162582</v>
      </c>
      <c r="D54" s="60">
        <v>176436</v>
      </c>
      <c r="E54" s="38"/>
      <c r="F54" s="38">
        <v>3788</v>
      </c>
      <c r="G54" s="38"/>
      <c r="H54" s="38">
        <f>1012+41</f>
        <v>1053</v>
      </c>
      <c r="I54" s="38"/>
      <c r="J54" s="38">
        <v>0</v>
      </c>
      <c r="K54" s="38"/>
      <c r="L54" s="60">
        <f>D54-F54+H54-J54</f>
        <v>173701</v>
      </c>
      <c r="M54" s="28"/>
      <c r="N54" s="131"/>
    </row>
    <row r="55" spans="1:14" ht="15.75">
      <c r="A55" s="27"/>
      <c r="B55" s="28" t="s">
        <v>38</v>
      </c>
      <c r="C55" s="38">
        <v>66</v>
      </c>
      <c r="D55" s="60">
        <v>0</v>
      </c>
      <c r="E55" s="38"/>
      <c r="F55" s="38">
        <v>0</v>
      </c>
      <c r="G55" s="38"/>
      <c r="H55" s="38">
        <v>0</v>
      </c>
      <c r="I55" s="38"/>
      <c r="J55" s="38">
        <v>0</v>
      </c>
      <c r="K55" s="38"/>
      <c r="L55" s="60">
        <f>D55-F55</f>
        <v>0</v>
      </c>
      <c r="M55" s="28"/>
      <c r="N55" s="131"/>
    </row>
    <row r="56" spans="1:14" ht="15.75">
      <c r="A56" s="27"/>
      <c r="B56" s="28"/>
      <c r="C56" s="38"/>
      <c r="D56" s="60"/>
      <c r="E56" s="38"/>
      <c r="F56" s="38"/>
      <c r="G56" s="38"/>
      <c r="H56" s="38"/>
      <c r="I56" s="38"/>
      <c r="J56" s="38"/>
      <c r="K56" s="38"/>
      <c r="L56" s="60"/>
      <c r="M56" s="28"/>
      <c r="N56" s="131"/>
    </row>
    <row r="57" spans="1:14" ht="15.75">
      <c r="A57" s="27"/>
      <c r="B57" s="28" t="s">
        <v>39</v>
      </c>
      <c r="C57" s="38">
        <f>SUM(C54:C56)</f>
        <v>162648</v>
      </c>
      <c r="D57" s="61">
        <v>176436</v>
      </c>
      <c r="E57" s="38"/>
      <c r="F57" s="38">
        <f>SUM(F54:F56)</f>
        <v>3788</v>
      </c>
      <c r="G57" s="38"/>
      <c r="H57" s="38">
        <f>SUM(H54:H56)</f>
        <v>1053</v>
      </c>
      <c r="I57" s="38"/>
      <c r="J57" s="38">
        <f>SUM(J54:J56)</f>
        <v>0</v>
      </c>
      <c r="K57" s="38"/>
      <c r="L57" s="61">
        <f>SUM(L54:L56)</f>
        <v>173701</v>
      </c>
      <c r="M57" s="28"/>
      <c r="N57" s="131"/>
    </row>
    <row r="58" spans="1:14" ht="15.75">
      <c r="A58" s="27"/>
      <c r="B58" s="28"/>
      <c r="C58" s="38"/>
      <c r="D58" s="38"/>
      <c r="E58" s="38"/>
      <c r="F58" s="38"/>
      <c r="G58" s="38"/>
      <c r="H58" s="38"/>
      <c r="I58" s="38"/>
      <c r="J58" s="38"/>
      <c r="K58" s="38"/>
      <c r="L58" s="61"/>
      <c r="M58" s="28"/>
      <c r="N58" s="131"/>
    </row>
    <row r="59" spans="1:14" ht="15.75">
      <c r="A59" s="8"/>
      <c r="B59" s="154" t="s">
        <v>40</v>
      </c>
      <c r="C59" s="62"/>
      <c r="D59" s="62"/>
      <c r="E59" s="62"/>
      <c r="F59" s="62"/>
      <c r="G59" s="62"/>
      <c r="H59" s="62"/>
      <c r="I59" s="62"/>
      <c r="J59" s="62"/>
      <c r="K59" s="62"/>
      <c r="L59" s="63"/>
      <c r="M59" s="10"/>
      <c r="N59" s="131"/>
    </row>
    <row r="60" spans="1:14" ht="15.75">
      <c r="A60" s="8"/>
      <c r="B60" s="10"/>
      <c r="C60" s="62"/>
      <c r="D60" s="62"/>
      <c r="E60" s="62"/>
      <c r="F60" s="62"/>
      <c r="G60" s="62"/>
      <c r="H60" s="62"/>
      <c r="I60" s="62"/>
      <c r="J60" s="62"/>
      <c r="K60" s="62"/>
      <c r="L60" s="63"/>
      <c r="M60" s="10"/>
      <c r="N60" s="131"/>
    </row>
    <row r="61" spans="1:14" ht="15.75">
      <c r="A61" s="27"/>
      <c r="B61" s="28" t="s">
        <v>37</v>
      </c>
      <c r="C61" s="38"/>
      <c r="D61" s="38"/>
      <c r="E61" s="38"/>
      <c r="F61" s="38"/>
      <c r="G61" s="38"/>
      <c r="H61" s="38"/>
      <c r="I61" s="38"/>
      <c r="J61" s="38"/>
      <c r="K61" s="38"/>
      <c r="L61" s="61"/>
      <c r="M61" s="28"/>
      <c r="N61" s="131"/>
    </row>
    <row r="62" spans="1:14" ht="15.75">
      <c r="A62" s="27"/>
      <c r="B62" s="28" t="s">
        <v>38</v>
      </c>
      <c r="C62" s="38"/>
      <c r="D62" s="38"/>
      <c r="E62" s="38"/>
      <c r="F62" s="38"/>
      <c r="G62" s="38"/>
      <c r="H62" s="38"/>
      <c r="I62" s="38"/>
      <c r="J62" s="38"/>
      <c r="K62" s="38"/>
      <c r="L62" s="61"/>
      <c r="M62" s="28"/>
      <c r="N62" s="131"/>
    </row>
    <row r="63" spans="1:14" ht="15.75">
      <c r="A63" s="27"/>
      <c r="B63" s="28"/>
      <c r="C63" s="38"/>
      <c r="D63" s="38"/>
      <c r="E63" s="38"/>
      <c r="F63" s="38"/>
      <c r="G63" s="38"/>
      <c r="H63" s="38"/>
      <c r="I63" s="38"/>
      <c r="J63" s="38"/>
      <c r="K63" s="38"/>
      <c r="L63" s="61"/>
      <c r="M63" s="28"/>
      <c r="N63" s="131"/>
    </row>
    <row r="64" spans="1:14" ht="15.75">
      <c r="A64" s="27"/>
      <c r="B64" s="28" t="s">
        <v>39</v>
      </c>
      <c r="C64" s="38"/>
      <c r="D64" s="38"/>
      <c r="E64" s="38"/>
      <c r="F64" s="38"/>
      <c r="G64" s="38"/>
      <c r="H64" s="38"/>
      <c r="I64" s="38"/>
      <c r="J64" s="38"/>
      <c r="K64" s="38"/>
      <c r="L64" s="38"/>
      <c r="M64" s="28"/>
      <c r="N64" s="131"/>
    </row>
    <row r="65" spans="1:14" ht="15.75">
      <c r="A65" s="27"/>
      <c r="B65" s="28"/>
      <c r="C65" s="38"/>
      <c r="D65" s="38"/>
      <c r="E65" s="38"/>
      <c r="F65" s="38"/>
      <c r="G65" s="38"/>
      <c r="H65" s="38"/>
      <c r="I65" s="38"/>
      <c r="J65" s="38"/>
      <c r="K65" s="38"/>
      <c r="L65" s="38"/>
      <c r="M65" s="28"/>
      <c r="N65" s="131"/>
    </row>
    <row r="66" spans="1:14" ht="15.75">
      <c r="A66" s="27"/>
      <c r="B66" s="28" t="s">
        <v>41</v>
      </c>
      <c r="C66" s="38">
        <v>0</v>
      </c>
      <c r="D66" s="38">
        <v>0</v>
      </c>
      <c r="E66" s="38"/>
      <c r="F66" s="38"/>
      <c r="G66" s="38"/>
      <c r="H66" s="38"/>
      <c r="I66" s="38"/>
      <c r="J66" s="38"/>
      <c r="K66" s="38"/>
      <c r="L66" s="60">
        <f>D66-F66+H66-J66</f>
        <v>0</v>
      </c>
      <c r="M66" s="28"/>
      <c r="N66" s="131"/>
    </row>
    <row r="67" spans="1:14" ht="15.75">
      <c r="A67" s="27"/>
      <c r="B67" s="28" t="s">
        <v>42</v>
      </c>
      <c r="C67" s="38">
        <v>22352</v>
      </c>
      <c r="D67" s="38">
        <v>0</v>
      </c>
      <c r="E67" s="38"/>
      <c r="F67" s="38"/>
      <c r="G67" s="38"/>
      <c r="H67" s="38"/>
      <c r="I67" s="38"/>
      <c r="J67" s="38"/>
      <c r="K67" s="38"/>
      <c r="L67" s="61">
        <v>0</v>
      </c>
      <c r="M67" s="28"/>
      <c r="N67" s="131"/>
    </row>
    <row r="68" spans="1:14" ht="15.75">
      <c r="A68" s="27"/>
      <c r="B68" s="28" t="s">
        <v>43</v>
      </c>
      <c r="C68" s="38">
        <v>0</v>
      </c>
      <c r="D68" s="38">
        <f>L125</f>
        <v>0</v>
      </c>
      <c r="E68" s="38"/>
      <c r="F68" s="38"/>
      <c r="G68" s="38"/>
      <c r="H68" s="38"/>
      <c r="I68" s="38"/>
      <c r="J68" s="38"/>
      <c r="K68" s="38"/>
      <c r="L68" s="61">
        <f>SUM(C68:K68)</f>
        <v>0</v>
      </c>
      <c r="M68" s="28"/>
      <c r="N68" s="131"/>
    </row>
    <row r="69" spans="1:14" ht="15.75">
      <c r="A69" s="27"/>
      <c r="B69" s="28" t="s">
        <v>44</v>
      </c>
      <c r="C69" s="61">
        <f>SUM(C57:C68)</f>
        <v>185000</v>
      </c>
      <c r="D69" s="61">
        <f>SUM(D57:D68)</f>
        <v>176436</v>
      </c>
      <c r="E69" s="38"/>
      <c r="F69" s="61"/>
      <c r="G69" s="38"/>
      <c r="H69" s="61"/>
      <c r="I69" s="38"/>
      <c r="J69" s="61"/>
      <c r="K69" s="38"/>
      <c r="L69" s="61">
        <f>SUM(L57:L68)</f>
        <v>173701</v>
      </c>
      <c r="M69" s="28"/>
      <c r="N69" s="131"/>
    </row>
    <row r="70" spans="1:14" ht="15.75">
      <c r="A70" s="27"/>
      <c r="B70" s="28"/>
      <c r="C70" s="38"/>
      <c r="D70" s="38"/>
      <c r="E70" s="38"/>
      <c r="F70" s="38"/>
      <c r="G70" s="38"/>
      <c r="H70" s="38"/>
      <c r="I70" s="38"/>
      <c r="J70" s="38"/>
      <c r="K70" s="38"/>
      <c r="L70" s="61"/>
      <c r="M70" s="28"/>
      <c r="N70" s="131"/>
    </row>
    <row r="71" spans="1:14" ht="15.75">
      <c r="A71" s="8"/>
      <c r="B71" s="10"/>
      <c r="C71" s="10"/>
      <c r="D71" s="10"/>
      <c r="E71" s="10"/>
      <c r="F71" s="10"/>
      <c r="G71" s="10"/>
      <c r="H71" s="10"/>
      <c r="I71" s="10"/>
      <c r="J71" s="10"/>
      <c r="K71" s="10"/>
      <c r="L71" s="10"/>
      <c r="M71" s="10"/>
      <c r="N71" s="131"/>
    </row>
    <row r="72" spans="1:14" ht="15.75">
      <c r="A72" s="8"/>
      <c r="B72" s="58" t="s">
        <v>45</v>
      </c>
      <c r="C72" s="17"/>
      <c r="D72" s="17"/>
      <c r="E72" s="17"/>
      <c r="F72" s="17"/>
      <c r="G72" s="17"/>
      <c r="H72" s="17"/>
      <c r="I72" s="20"/>
      <c r="J72" s="20" t="s">
        <v>177</v>
      </c>
      <c r="K72" s="20"/>
      <c r="L72" s="20" t="s">
        <v>190</v>
      </c>
      <c r="M72" s="10"/>
      <c r="N72" s="131"/>
    </row>
    <row r="73" spans="1:14" ht="15.75">
      <c r="A73" s="27"/>
      <c r="B73" s="28" t="s">
        <v>46</v>
      </c>
      <c r="C73" s="28"/>
      <c r="D73" s="28"/>
      <c r="E73" s="28"/>
      <c r="F73" s="28"/>
      <c r="G73" s="28"/>
      <c r="H73" s="28"/>
      <c r="I73" s="28"/>
      <c r="J73" s="38">
        <v>0</v>
      </c>
      <c r="K73" s="28"/>
      <c r="L73" s="60">
        <v>0</v>
      </c>
      <c r="M73" s="28"/>
      <c r="N73" s="131"/>
    </row>
    <row r="74" spans="1:14" ht="15.75">
      <c r="A74" s="27"/>
      <c r="B74" s="28" t="s">
        <v>47</v>
      </c>
      <c r="C74" s="47" t="s">
        <v>146</v>
      </c>
      <c r="D74" s="65">
        <v>36707</v>
      </c>
      <c r="E74" s="28"/>
      <c r="F74" s="28"/>
      <c r="G74" s="28"/>
      <c r="H74" s="28"/>
      <c r="I74" s="28"/>
      <c r="J74" s="38">
        <v>3788</v>
      </c>
      <c r="K74" s="28"/>
      <c r="L74" s="60"/>
      <c r="M74" s="28"/>
      <c r="N74" s="131"/>
    </row>
    <row r="75" spans="1:14" ht="15.75">
      <c r="A75" s="27"/>
      <c r="B75" s="28" t="s">
        <v>48</v>
      </c>
      <c r="C75" s="28"/>
      <c r="D75" s="28"/>
      <c r="E75" s="28"/>
      <c r="F75" s="28"/>
      <c r="G75" s="28"/>
      <c r="H75" s="28"/>
      <c r="I75" s="28"/>
      <c r="J75" s="38"/>
      <c r="K75" s="28"/>
      <c r="L75" s="60">
        <v>3490</v>
      </c>
      <c r="M75" s="28"/>
      <c r="N75" s="131"/>
    </row>
    <row r="76" spans="1:14" ht="15.75">
      <c r="A76" s="27"/>
      <c r="B76" s="28" t="s">
        <v>49</v>
      </c>
      <c r="C76" s="28"/>
      <c r="D76" s="28"/>
      <c r="E76" s="28"/>
      <c r="F76" s="28"/>
      <c r="G76" s="28"/>
      <c r="H76" s="28"/>
      <c r="I76" s="28"/>
      <c r="J76" s="38"/>
      <c r="K76" s="28"/>
      <c r="L76" s="60">
        <v>0</v>
      </c>
      <c r="M76" s="28"/>
      <c r="N76" s="131"/>
    </row>
    <row r="77" spans="1:14" ht="15.75">
      <c r="A77" s="27"/>
      <c r="B77" s="28" t="s">
        <v>50</v>
      </c>
      <c r="C77" s="28"/>
      <c r="D77" s="28"/>
      <c r="E77" s="28"/>
      <c r="F77" s="28"/>
      <c r="G77" s="28"/>
      <c r="H77" s="28"/>
      <c r="I77" s="28"/>
      <c r="J77" s="38">
        <f>SUM(J73:J76)</f>
        <v>3788</v>
      </c>
      <c r="K77" s="28"/>
      <c r="L77" s="61">
        <f>SUM(L73:L76)</f>
        <v>3490</v>
      </c>
      <c r="M77" s="28"/>
      <c r="N77" s="131"/>
    </row>
    <row r="78" spans="1:14" ht="15.75">
      <c r="A78" s="27"/>
      <c r="B78" s="28" t="s">
        <v>51</v>
      </c>
      <c r="C78" s="28"/>
      <c r="D78" s="28"/>
      <c r="E78" s="28"/>
      <c r="F78" s="28"/>
      <c r="G78" s="28"/>
      <c r="H78" s="28"/>
      <c r="I78" s="28"/>
      <c r="J78" s="38">
        <v>0</v>
      </c>
      <c r="K78" s="28"/>
      <c r="L78" s="60">
        <v>0</v>
      </c>
      <c r="M78" s="28"/>
      <c r="N78" s="131"/>
    </row>
    <row r="79" spans="1:14" ht="15.75">
      <c r="A79" s="27"/>
      <c r="B79" s="28" t="s">
        <v>52</v>
      </c>
      <c r="C79" s="28"/>
      <c r="D79" s="28"/>
      <c r="E79" s="28"/>
      <c r="F79" s="28"/>
      <c r="G79" s="28"/>
      <c r="H79" s="28"/>
      <c r="I79" s="28"/>
      <c r="J79" s="38">
        <f>J77+J78</f>
        <v>3788</v>
      </c>
      <c r="K79" s="28"/>
      <c r="L79" s="61">
        <f>L77+L78</f>
        <v>3490</v>
      </c>
      <c r="M79" s="28"/>
      <c r="N79" s="131"/>
    </row>
    <row r="80" spans="1:14" ht="15.75">
      <c r="A80" s="27"/>
      <c r="B80" s="166" t="s">
        <v>53</v>
      </c>
      <c r="C80" s="66"/>
      <c r="D80" s="28"/>
      <c r="E80" s="28"/>
      <c r="F80" s="28"/>
      <c r="G80" s="28"/>
      <c r="H80" s="28"/>
      <c r="I80" s="28"/>
      <c r="J80" s="38"/>
      <c r="K80" s="28"/>
      <c r="L80" s="60"/>
      <c r="M80" s="28"/>
      <c r="N80" s="131"/>
    </row>
    <row r="81" spans="1:14" ht="15.75">
      <c r="A81" s="27">
        <v>1</v>
      </c>
      <c r="B81" s="28" t="s">
        <v>54</v>
      </c>
      <c r="C81" s="28"/>
      <c r="D81" s="28"/>
      <c r="E81" s="28"/>
      <c r="F81" s="28"/>
      <c r="G81" s="28"/>
      <c r="H81" s="28"/>
      <c r="I81" s="28"/>
      <c r="J81" s="28"/>
      <c r="K81" s="28"/>
      <c r="L81" s="60">
        <v>0</v>
      </c>
      <c r="M81" s="28"/>
      <c r="N81" s="131"/>
    </row>
    <row r="82" spans="1:14" ht="15.75">
      <c r="A82" s="27">
        <v>2</v>
      </c>
      <c r="B82" s="28" t="s">
        <v>55</v>
      </c>
      <c r="C82" s="28"/>
      <c r="D82" s="28"/>
      <c r="E82" s="28"/>
      <c r="F82" s="28"/>
      <c r="G82" s="28"/>
      <c r="H82" s="28"/>
      <c r="I82" s="28"/>
      <c r="J82" s="28"/>
      <c r="K82" s="28"/>
      <c r="L82" s="60">
        <v>-3</v>
      </c>
      <c r="M82" s="28"/>
      <c r="N82" s="131"/>
    </row>
    <row r="83" spans="1:14" ht="15.75">
      <c r="A83" s="27">
        <v>3</v>
      </c>
      <c r="B83" s="28" t="s">
        <v>56</v>
      </c>
      <c r="C83" s="28"/>
      <c r="D83" s="28"/>
      <c r="E83" s="28"/>
      <c r="F83" s="28"/>
      <c r="G83" s="28"/>
      <c r="H83" s="28"/>
      <c r="I83" s="28"/>
      <c r="J83" s="28"/>
      <c r="K83" s="28"/>
      <c r="L83" s="60">
        <v>-136</v>
      </c>
      <c r="M83" s="28"/>
      <c r="N83" s="131"/>
    </row>
    <row r="84" spans="1:14" ht="15.75">
      <c r="A84" s="27">
        <v>4</v>
      </c>
      <c r="B84" s="28" t="s">
        <v>57</v>
      </c>
      <c r="C84" s="28"/>
      <c r="D84" s="28"/>
      <c r="E84" s="28"/>
      <c r="F84" s="28"/>
      <c r="G84" s="28"/>
      <c r="H84" s="28"/>
      <c r="I84" s="28"/>
      <c r="J84" s="28"/>
      <c r="K84" s="28"/>
      <c r="L84" s="60">
        <v>125</v>
      </c>
      <c r="M84" s="28"/>
      <c r="N84" s="131"/>
    </row>
    <row r="85" spans="1:14" ht="15.75">
      <c r="A85" s="27">
        <v>5</v>
      </c>
      <c r="B85" s="28" t="s">
        <v>58</v>
      </c>
      <c r="C85" s="28"/>
      <c r="D85" s="28"/>
      <c r="E85" s="28"/>
      <c r="F85" s="28"/>
      <c r="G85" s="28"/>
      <c r="H85" s="28"/>
      <c r="I85" s="28"/>
      <c r="J85" s="28"/>
      <c r="K85" s="28"/>
      <c r="L85" s="60">
        <v>-2585</v>
      </c>
      <c r="M85" s="28"/>
      <c r="N85" s="131"/>
    </row>
    <row r="86" spans="1:14" ht="15.75">
      <c r="A86" s="27">
        <v>6</v>
      </c>
      <c r="B86" s="28" t="s">
        <v>59</v>
      </c>
      <c r="C86" s="28"/>
      <c r="D86" s="28"/>
      <c r="E86" s="28"/>
      <c r="F86" s="28"/>
      <c r="G86" s="28"/>
      <c r="H86" s="28"/>
      <c r="I86" s="28"/>
      <c r="J86" s="28"/>
      <c r="K86" s="28"/>
      <c r="L86" s="60">
        <v>-298</v>
      </c>
      <c r="M86" s="28"/>
      <c r="N86" s="131"/>
    </row>
    <row r="87" spans="1:14" ht="15.75">
      <c r="A87" s="27">
        <v>7</v>
      </c>
      <c r="B87" s="28" t="s">
        <v>60</v>
      </c>
      <c r="C87" s="28"/>
      <c r="D87" s="28"/>
      <c r="E87" s="28"/>
      <c r="F87" s="28"/>
      <c r="G87" s="28"/>
      <c r="H87" s="28"/>
      <c r="I87" s="28"/>
      <c r="J87" s="28"/>
      <c r="K87" s="28"/>
      <c r="L87" s="60">
        <v>-3</v>
      </c>
      <c r="M87" s="28"/>
      <c r="N87" s="131"/>
    </row>
    <row r="88" spans="1:14" ht="15.75">
      <c r="A88" s="27">
        <v>8</v>
      </c>
      <c r="B88" s="28" t="s">
        <v>61</v>
      </c>
      <c r="C88" s="28"/>
      <c r="D88" s="28"/>
      <c r="E88" s="28"/>
      <c r="F88" s="28"/>
      <c r="G88" s="28"/>
      <c r="H88" s="28"/>
      <c r="I88" s="28"/>
      <c r="J88" s="28"/>
      <c r="K88" s="28"/>
      <c r="L88" s="60">
        <v>0</v>
      </c>
      <c r="M88" s="28"/>
      <c r="N88" s="131"/>
    </row>
    <row r="89" spans="1:14" ht="15.75">
      <c r="A89" s="27">
        <v>9</v>
      </c>
      <c r="B89" s="28" t="s">
        <v>62</v>
      </c>
      <c r="C89" s="28"/>
      <c r="D89" s="28"/>
      <c r="E89" s="28"/>
      <c r="F89" s="28"/>
      <c r="G89" s="28"/>
      <c r="H89" s="28"/>
      <c r="I89" s="28"/>
      <c r="J89" s="28"/>
      <c r="K89" s="28"/>
      <c r="L89" s="60">
        <v>0</v>
      </c>
      <c r="M89" s="28"/>
      <c r="N89" s="131"/>
    </row>
    <row r="90" spans="1:14" ht="15.75">
      <c r="A90" s="27">
        <v>10</v>
      </c>
      <c r="B90" s="28" t="s">
        <v>63</v>
      </c>
      <c r="C90" s="28"/>
      <c r="D90" s="28"/>
      <c r="E90" s="28"/>
      <c r="F90" s="28"/>
      <c r="G90" s="28"/>
      <c r="H90" s="28"/>
      <c r="I90" s="28"/>
      <c r="J90" s="28"/>
      <c r="K90" s="28"/>
      <c r="L90" s="60">
        <v>0</v>
      </c>
      <c r="M90" s="28"/>
      <c r="N90" s="131"/>
    </row>
    <row r="91" spans="1:14" ht="15.75">
      <c r="A91" s="27">
        <v>11</v>
      </c>
      <c r="B91" s="28" t="s">
        <v>64</v>
      </c>
      <c r="C91" s="28"/>
      <c r="D91" s="28"/>
      <c r="E91" s="28"/>
      <c r="F91" s="28"/>
      <c r="G91" s="28"/>
      <c r="H91" s="28"/>
      <c r="I91" s="28"/>
      <c r="J91" s="28"/>
      <c r="K91" s="28"/>
      <c r="L91" s="60">
        <v>0</v>
      </c>
      <c r="M91" s="28"/>
      <c r="N91" s="131"/>
    </row>
    <row r="92" spans="1:14" ht="15.75">
      <c r="A92" s="27">
        <v>12</v>
      </c>
      <c r="B92" s="28" t="s">
        <v>65</v>
      </c>
      <c r="C92" s="28"/>
      <c r="D92" s="28"/>
      <c r="E92" s="28"/>
      <c r="F92" s="28"/>
      <c r="G92" s="28"/>
      <c r="H92" s="28"/>
      <c r="I92" s="28"/>
      <c r="J92" s="28"/>
      <c r="K92" s="28"/>
      <c r="L92" s="60">
        <v>-151</v>
      </c>
      <c r="M92" s="28"/>
      <c r="N92" s="131"/>
    </row>
    <row r="93" spans="1:14" ht="15.75">
      <c r="A93" s="27">
        <v>13</v>
      </c>
      <c r="B93" s="28" t="s">
        <v>66</v>
      </c>
      <c r="C93" s="28"/>
      <c r="D93" s="28"/>
      <c r="E93" s="28"/>
      <c r="F93" s="28"/>
      <c r="G93" s="28"/>
      <c r="H93" s="28"/>
      <c r="I93" s="28"/>
      <c r="J93" s="28"/>
      <c r="K93" s="28"/>
      <c r="L93" s="60">
        <f>-SUM(L79:L92)</f>
        <v>-439</v>
      </c>
      <c r="M93" s="28"/>
      <c r="N93" s="131"/>
    </row>
    <row r="94" spans="1:14" ht="15.75">
      <c r="A94" s="27"/>
      <c r="B94" s="166" t="s">
        <v>67</v>
      </c>
      <c r="C94" s="66"/>
      <c r="D94" s="28"/>
      <c r="E94" s="28"/>
      <c r="F94" s="28"/>
      <c r="G94" s="28"/>
      <c r="H94" s="28"/>
      <c r="I94" s="28"/>
      <c r="J94" s="28"/>
      <c r="K94" s="28"/>
      <c r="L94" s="67"/>
      <c r="M94" s="28"/>
      <c r="N94" s="131"/>
    </row>
    <row r="95" spans="1:14" ht="15.75">
      <c r="A95" s="27"/>
      <c r="B95" s="28" t="s">
        <v>68</v>
      </c>
      <c r="C95" s="66"/>
      <c r="D95" s="28"/>
      <c r="E95" s="28"/>
      <c r="F95" s="28"/>
      <c r="G95" s="28"/>
      <c r="H95" s="28"/>
      <c r="I95" s="28"/>
      <c r="J95" s="38">
        <f>-J141</f>
        <v>-41</v>
      </c>
      <c r="K95" s="38"/>
      <c r="L95" s="60"/>
      <c r="M95" s="28"/>
      <c r="N95" s="131"/>
    </row>
    <row r="96" spans="1:14" ht="15.75">
      <c r="A96" s="27"/>
      <c r="B96" s="28" t="s">
        <v>69</v>
      </c>
      <c r="C96" s="28"/>
      <c r="D96" s="28"/>
      <c r="E96" s="28"/>
      <c r="F96" s="28"/>
      <c r="G96" s="28"/>
      <c r="H96" s="28"/>
      <c r="I96" s="28"/>
      <c r="J96" s="38">
        <f>-H141</f>
        <v>-1012</v>
      </c>
      <c r="K96" s="38"/>
      <c r="L96" s="60"/>
      <c r="M96" s="28"/>
      <c r="N96" s="131"/>
    </row>
    <row r="97" spans="1:14" ht="15.75">
      <c r="A97" s="27"/>
      <c r="B97" s="28" t="s">
        <v>70</v>
      </c>
      <c r="C97" s="28"/>
      <c r="D97" s="28"/>
      <c r="E97" s="28"/>
      <c r="F97" s="28"/>
      <c r="G97" s="28"/>
      <c r="H97" s="28"/>
      <c r="I97" s="28"/>
      <c r="J97" s="38">
        <v>-2735</v>
      </c>
      <c r="K97" s="38"/>
      <c r="L97" s="60"/>
      <c r="M97" s="28"/>
      <c r="N97" s="131"/>
    </row>
    <row r="98" spans="1:14" ht="15.75">
      <c r="A98" s="27"/>
      <c r="B98" s="28" t="s">
        <v>71</v>
      </c>
      <c r="C98" s="28"/>
      <c r="D98" s="28"/>
      <c r="E98" s="28"/>
      <c r="F98" s="28"/>
      <c r="G98" s="28"/>
      <c r="H98" s="28"/>
      <c r="I98" s="28"/>
      <c r="J98" s="38">
        <v>0</v>
      </c>
      <c r="K98" s="38"/>
      <c r="L98" s="60"/>
      <c r="M98" s="28"/>
      <c r="N98" s="131"/>
    </row>
    <row r="99" spans="1:14" ht="15.75">
      <c r="A99" s="27"/>
      <c r="B99" s="28" t="s">
        <v>72</v>
      </c>
      <c r="C99" s="28"/>
      <c r="D99" s="28"/>
      <c r="E99" s="28"/>
      <c r="F99" s="28"/>
      <c r="G99" s="28"/>
      <c r="H99" s="28"/>
      <c r="I99" s="28"/>
      <c r="J99" s="38">
        <f>SUM(J80:J98)</f>
        <v>-3788</v>
      </c>
      <c r="K99" s="38"/>
      <c r="L99" s="38">
        <f>SUM(L80:L98)</f>
        <v>-3490</v>
      </c>
      <c r="M99" s="28"/>
      <c r="N99" s="131"/>
    </row>
    <row r="100" spans="1:14" ht="15.75">
      <c r="A100" s="27"/>
      <c r="B100" s="28" t="s">
        <v>73</v>
      </c>
      <c r="C100" s="28"/>
      <c r="D100" s="28"/>
      <c r="E100" s="28"/>
      <c r="F100" s="28"/>
      <c r="G100" s="28"/>
      <c r="H100" s="28"/>
      <c r="I100" s="28"/>
      <c r="J100" s="38">
        <f>J79+J99</f>
        <v>0</v>
      </c>
      <c r="K100" s="38"/>
      <c r="L100" s="38">
        <f>L79+L99</f>
        <v>0</v>
      </c>
      <c r="M100" s="28"/>
      <c r="N100" s="131"/>
    </row>
    <row r="101" spans="1:14" ht="15.75">
      <c r="A101" s="27"/>
      <c r="B101" s="28"/>
      <c r="C101" s="28"/>
      <c r="D101" s="28"/>
      <c r="E101" s="28"/>
      <c r="F101" s="28"/>
      <c r="G101" s="28"/>
      <c r="H101" s="28"/>
      <c r="I101" s="28"/>
      <c r="J101" s="38"/>
      <c r="K101" s="38"/>
      <c r="L101" s="38"/>
      <c r="M101" s="28"/>
      <c r="N101" s="131"/>
    </row>
    <row r="102" spans="1:14" ht="15.75">
      <c r="A102" s="8"/>
      <c r="B102" s="10"/>
      <c r="C102" s="10"/>
      <c r="D102" s="10"/>
      <c r="E102" s="10"/>
      <c r="F102" s="10"/>
      <c r="G102" s="10"/>
      <c r="H102" s="10"/>
      <c r="I102" s="10"/>
      <c r="J102" s="62"/>
      <c r="K102" s="62"/>
      <c r="L102" s="62"/>
      <c r="M102" s="10"/>
      <c r="N102" s="131"/>
    </row>
    <row r="103" spans="1:14" ht="19.5" thickBot="1">
      <c r="A103" s="138"/>
      <c r="B103" s="139" t="s">
        <v>196</v>
      </c>
      <c r="C103" s="140"/>
      <c r="D103" s="140"/>
      <c r="E103" s="140"/>
      <c r="F103" s="140"/>
      <c r="G103" s="140"/>
      <c r="H103" s="140"/>
      <c r="I103" s="140"/>
      <c r="J103" s="143"/>
      <c r="K103" s="143"/>
      <c r="L103" s="143"/>
      <c r="M103" s="142"/>
      <c r="N103" s="131"/>
    </row>
    <row r="104" spans="1:14" ht="12" customHeight="1">
      <c r="A104" s="2"/>
      <c r="B104" s="5"/>
      <c r="C104" s="5"/>
      <c r="D104" s="5"/>
      <c r="E104" s="5"/>
      <c r="F104" s="5"/>
      <c r="G104" s="5"/>
      <c r="H104" s="5"/>
      <c r="I104" s="5"/>
      <c r="J104" s="5"/>
      <c r="K104" s="5"/>
      <c r="L104" s="57"/>
      <c r="M104" s="5"/>
      <c r="N104" s="131"/>
    </row>
    <row r="105" spans="1:14" ht="12" customHeight="1">
      <c r="A105" s="8"/>
      <c r="B105" s="10"/>
      <c r="C105" s="10"/>
      <c r="D105" s="10"/>
      <c r="E105" s="10"/>
      <c r="F105" s="10"/>
      <c r="G105" s="10"/>
      <c r="H105" s="10"/>
      <c r="I105" s="10"/>
      <c r="J105" s="10"/>
      <c r="K105" s="10"/>
      <c r="L105" s="59"/>
      <c r="M105" s="10"/>
      <c r="N105" s="131"/>
    </row>
    <row r="106" spans="1:14" ht="15.75">
      <c r="A106" s="8"/>
      <c r="B106" s="58" t="s">
        <v>74</v>
      </c>
      <c r="C106" s="16"/>
      <c r="D106" s="10"/>
      <c r="E106" s="10"/>
      <c r="F106" s="10"/>
      <c r="G106" s="10"/>
      <c r="H106" s="10"/>
      <c r="I106" s="10"/>
      <c r="J106" s="10"/>
      <c r="K106" s="10"/>
      <c r="L106" s="59"/>
      <c r="M106" s="10"/>
      <c r="N106" s="131"/>
    </row>
    <row r="107" spans="1:14" ht="15.75">
      <c r="A107" s="8"/>
      <c r="B107" s="23"/>
      <c r="C107" s="16"/>
      <c r="D107" s="10"/>
      <c r="E107" s="10"/>
      <c r="F107" s="10"/>
      <c r="G107" s="10"/>
      <c r="H107" s="10"/>
      <c r="I107" s="10"/>
      <c r="J107" s="10"/>
      <c r="K107" s="10"/>
      <c r="L107" s="59"/>
      <c r="M107" s="10"/>
      <c r="N107" s="131"/>
    </row>
    <row r="108" spans="1:14" ht="15.75">
      <c r="A108" s="8"/>
      <c r="B108" s="167" t="s">
        <v>75</v>
      </c>
      <c r="C108" s="16"/>
      <c r="D108" s="10"/>
      <c r="E108" s="10"/>
      <c r="F108" s="10"/>
      <c r="G108" s="10"/>
      <c r="H108" s="10"/>
      <c r="I108" s="10"/>
      <c r="J108" s="10"/>
      <c r="K108" s="10"/>
      <c r="L108" s="59"/>
      <c r="M108" s="10"/>
      <c r="N108" s="131"/>
    </row>
    <row r="109" spans="1:14" ht="15.75">
      <c r="A109" s="27"/>
      <c r="B109" s="28" t="s">
        <v>76</v>
      </c>
      <c r="C109" s="28"/>
      <c r="D109" s="28"/>
      <c r="E109" s="28"/>
      <c r="F109" s="28"/>
      <c r="G109" s="28"/>
      <c r="H109" s="28"/>
      <c r="I109" s="28"/>
      <c r="J109" s="28"/>
      <c r="K109" s="28"/>
      <c r="L109" s="60">
        <v>4625</v>
      </c>
      <c r="M109" s="28"/>
      <c r="N109" s="131"/>
    </row>
    <row r="110" spans="1:14" ht="15.75">
      <c r="A110" s="27"/>
      <c r="B110" s="28" t="s">
        <v>77</v>
      </c>
      <c r="C110" s="28"/>
      <c r="D110" s="28"/>
      <c r="E110" s="28"/>
      <c r="F110" s="28"/>
      <c r="G110" s="28"/>
      <c r="H110" s="28"/>
      <c r="I110" s="28"/>
      <c r="J110" s="28"/>
      <c r="K110" s="28"/>
      <c r="L110" s="60">
        <v>4625</v>
      </c>
      <c r="M110" s="28"/>
      <c r="N110" s="131"/>
    </row>
    <row r="111" spans="1:14" ht="15.75">
      <c r="A111" s="27"/>
      <c r="B111" s="28" t="s">
        <v>78</v>
      </c>
      <c r="C111" s="28"/>
      <c r="D111" s="28"/>
      <c r="E111" s="28"/>
      <c r="F111" s="28"/>
      <c r="G111" s="28"/>
      <c r="H111" s="28"/>
      <c r="I111" s="28"/>
      <c r="J111" s="28"/>
      <c r="K111" s="28"/>
      <c r="L111" s="60">
        <v>0</v>
      </c>
      <c r="M111" s="28"/>
      <c r="N111" s="131"/>
    </row>
    <row r="112" spans="1:14" ht="15.75">
      <c r="A112" s="27"/>
      <c r="B112" s="28" t="s">
        <v>79</v>
      </c>
      <c r="C112" s="28"/>
      <c r="D112" s="28"/>
      <c r="E112" s="28"/>
      <c r="F112" s="28"/>
      <c r="G112" s="28"/>
      <c r="H112" s="28"/>
      <c r="I112" s="28"/>
      <c r="J112" s="28"/>
      <c r="K112" s="28"/>
      <c r="L112" s="60">
        <v>0</v>
      </c>
      <c r="M112" s="28"/>
      <c r="N112" s="131"/>
    </row>
    <row r="113" spans="1:14" ht="15.75">
      <c r="A113" s="27"/>
      <c r="B113" s="28" t="s">
        <v>80</v>
      </c>
      <c r="C113" s="28"/>
      <c r="D113" s="28"/>
      <c r="E113" s="28"/>
      <c r="F113" s="28"/>
      <c r="G113" s="28"/>
      <c r="H113" s="28"/>
      <c r="I113" s="28"/>
      <c r="J113" s="28"/>
      <c r="K113" s="28"/>
      <c r="L113" s="60">
        <v>0</v>
      </c>
      <c r="M113" s="28"/>
      <c r="N113" s="131"/>
    </row>
    <row r="114" spans="1:14" ht="15.75">
      <c r="A114" s="27"/>
      <c r="B114" s="28" t="s">
        <v>58</v>
      </c>
      <c r="C114" s="28"/>
      <c r="D114" s="28"/>
      <c r="E114" s="28"/>
      <c r="F114" s="28"/>
      <c r="G114" s="28"/>
      <c r="H114" s="28"/>
      <c r="I114" s="28"/>
      <c r="J114" s="28"/>
      <c r="K114" s="28"/>
      <c r="L114" s="60">
        <v>0</v>
      </c>
      <c r="M114" s="28"/>
      <c r="N114" s="131"/>
    </row>
    <row r="115" spans="1:14" ht="15.75">
      <c r="A115" s="27"/>
      <c r="B115" s="28" t="s">
        <v>59</v>
      </c>
      <c r="C115" s="28"/>
      <c r="D115" s="28"/>
      <c r="E115" s="28"/>
      <c r="F115" s="28"/>
      <c r="G115" s="28"/>
      <c r="H115" s="28"/>
      <c r="I115" s="28"/>
      <c r="J115" s="28"/>
      <c r="K115" s="28"/>
      <c r="L115" s="60">
        <v>0</v>
      </c>
      <c r="M115" s="28"/>
      <c r="N115" s="131"/>
    </row>
    <row r="116" spans="1:14" ht="15.75">
      <c r="A116" s="27"/>
      <c r="B116" s="28" t="s">
        <v>81</v>
      </c>
      <c r="C116" s="28"/>
      <c r="D116" s="28"/>
      <c r="E116" s="28"/>
      <c r="F116" s="28"/>
      <c r="G116" s="28"/>
      <c r="H116" s="28"/>
      <c r="I116" s="28"/>
      <c r="J116" s="28"/>
      <c r="K116" s="28"/>
      <c r="L116" s="60">
        <f>SUM(L110:L114)</f>
        <v>4625</v>
      </c>
      <c r="M116" s="28"/>
      <c r="N116" s="131"/>
    </row>
    <row r="117" spans="1:14" ht="15.75">
      <c r="A117" s="27"/>
      <c r="B117" s="28"/>
      <c r="C117" s="28"/>
      <c r="D117" s="28"/>
      <c r="E117" s="28"/>
      <c r="F117" s="28"/>
      <c r="G117" s="28"/>
      <c r="H117" s="28"/>
      <c r="I117" s="28"/>
      <c r="J117" s="28"/>
      <c r="K117" s="28"/>
      <c r="L117" s="68"/>
      <c r="M117" s="28"/>
      <c r="N117" s="131"/>
    </row>
    <row r="118" spans="1:14" ht="15.75">
      <c r="A118" s="8"/>
      <c r="B118" s="167" t="s">
        <v>82</v>
      </c>
      <c r="C118" s="10"/>
      <c r="D118" s="10"/>
      <c r="E118" s="10"/>
      <c r="F118" s="10"/>
      <c r="G118" s="10"/>
      <c r="H118" s="10"/>
      <c r="I118" s="10"/>
      <c r="J118" s="10"/>
      <c r="K118" s="10"/>
      <c r="L118" s="59"/>
      <c r="M118" s="10"/>
      <c r="N118" s="131"/>
    </row>
    <row r="119" spans="1:14" ht="15.75">
      <c r="A119" s="27"/>
      <c r="B119" s="28" t="s">
        <v>83</v>
      </c>
      <c r="C119" s="28"/>
      <c r="D119" s="69"/>
      <c r="E119" s="28"/>
      <c r="F119" s="28"/>
      <c r="G119" s="28"/>
      <c r="H119" s="28"/>
      <c r="I119" s="28"/>
      <c r="J119" s="28"/>
      <c r="K119" s="28"/>
      <c r="L119" s="70" t="s">
        <v>156</v>
      </c>
      <c r="M119" s="28"/>
      <c r="N119" s="131"/>
    </row>
    <row r="120" spans="1:14" ht="15.75">
      <c r="A120" s="27"/>
      <c r="B120" s="28" t="s">
        <v>84</v>
      </c>
      <c r="C120" s="30"/>
      <c r="D120" s="30"/>
      <c r="E120" s="30"/>
      <c r="F120" s="30"/>
      <c r="G120" s="30"/>
      <c r="H120" s="30"/>
      <c r="I120" s="30"/>
      <c r="J120" s="30"/>
      <c r="K120" s="30"/>
      <c r="L120" s="70" t="s">
        <v>156</v>
      </c>
      <c r="M120" s="28"/>
      <c r="N120" s="131"/>
    </row>
    <row r="121" spans="1:14" ht="15.75">
      <c r="A121" s="27"/>
      <c r="B121" s="28" t="s">
        <v>85</v>
      </c>
      <c r="C121" s="28"/>
      <c r="D121" s="28"/>
      <c r="E121" s="28"/>
      <c r="F121" s="28"/>
      <c r="G121" s="28"/>
      <c r="H121" s="28"/>
      <c r="I121" s="28"/>
      <c r="J121" s="28"/>
      <c r="K121" s="28"/>
      <c r="L121" s="70" t="s">
        <v>156</v>
      </c>
      <c r="M121" s="28"/>
      <c r="N121" s="131"/>
    </row>
    <row r="122" spans="1:14" ht="15.75">
      <c r="A122" s="27"/>
      <c r="B122" s="28" t="s">
        <v>86</v>
      </c>
      <c r="C122" s="28"/>
      <c r="D122" s="28"/>
      <c r="E122" s="28"/>
      <c r="F122" s="28"/>
      <c r="G122" s="28"/>
      <c r="H122" s="28"/>
      <c r="I122" s="28"/>
      <c r="J122" s="28"/>
      <c r="K122" s="28"/>
      <c r="L122" s="70" t="s">
        <v>156</v>
      </c>
      <c r="M122" s="28"/>
      <c r="N122" s="131"/>
    </row>
    <row r="123" spans="1:14" ht="15.75">
      <c r="A123" s="27"/>
      <c r="B123" s="28"/>
      <c r="C123" s="28"/>
      <c r="D123" s="28"/>
      <c r="E123" s="28"/>
      <c r="F123" s="28"/>
      <c r="G123" s="28"/>
      <c r="H123" s="28"/>
      <c r="I123" s="28"/>
      <c r="J123" s="28"/>
      <c r="K123" s="28"/>
      <c r="L123" s="68"/>
      <c r="M123" s="28"/>
      <c r="N123" s="131"/>
    </row>
    <row r="124" spans="1:14" ht="15.75">
      <c r="A124" s="8"/>
      <c r="B124" s="167" t="s">
        <v>87</v>
      </c>
      <c r="C124" s="16"/>
      <c r="D124" s="10"/>
      <c r="E124" s="10"/>
      <c r="F124" s="10"/>
      <c r="G124" s="10"/>
      <c r="H124" s="10"/>
      <c r="I124" s="10"/>
      <c r="J124" s="10"/>
      <c r="K124" s="10"/>
      <c r="L124" s="71"/>
      <c r="M124" s="10"/>
      <c r="N124" s="131"/>
    </row>
    <row r="125" spans="1:14" ht="15.75">
      <c r="A125" s="27"/>
      <c r="B125" s="28" t="s">
        <v>88</v>
      </c>
      <c r="C125" s="28"/>
      <c r="D125" s="28"/>
      <c r="E125" s="28"/>
      <c r="F125" s="28"/>
      <c r="G125" s="28"/>
      <c r="H125" s="28"/>
      <c r="I125" s="28"/>
      <c r="J125" s="28"/>
      <c r="K125" s="28"/>
      <c r="L125" s="60">
        <v>0</v>
      </c>
      <c r="M125" s="28"/>
      <c r="N125" s="131"/>
    </row>
    <row r="126" spans="1:14" ht="15.75">
      <c r="A126" s="27"/>
      <c r="B126" s="28" t="s">
        <v>89</v>
      </c>
      <c r="C126" s="28"/>
      <c r="D126" s="28"/>
      <c r="E126" s="28"/>
      <c r="F126" s="28"/>
      <c r="G126" s="28"/>
      <c r="H126" s="28"/>
      <c r="I126" s="28"/>
      <c r="J126" s="28"/>
      <c r="K126" s="28"/>
      <c r="L126" s="60">
        <v>0</v>
      </c>
      <c r="M126" s="28"/>
      <c r="N126" s="131"/>
    </row>
    <row r="127" spans="1:14" ht="15.75">
      <c r="A127" s="27"/>
      <c r="B127" s="28" t="s">
        <v>90</v>
      </c>
      <c r="C127" s="28"/>
      <c r="D127" s="28"/>
      <c r="E127" s="28"/>
      <c r="F127" s="28"/>
      <c r="G127" s="28"/>
      <c r="H127" s="28"/>
      <c r="I127" s="28"/>
      <c r="J127" s="28"/>
      <c r="K127" s="28"/>
      <c r="L127" s="60">
        <f>L126+L125</f>
        <v>0</v>
      </c>
      <c r="M127" s="28"/>
      <c r="N127" s="131"/>
    </row>
    <row r="128" spans="1:14" ht="15.75">
      <c r="A128" s="27"/>
      <c r="B128" s="28" t="s">
        <v>91</v>
      </c>
      <c r="C128" s="28"/>
      <c r="D128" s="28"/>
      <c r="E128" s="28"/>
      <c r="F128" s="28"/>
      <c r="G128" s="28"/>
      <c r="H128" s="72"/>
      <c r="I128" s="28"/>
      <c r="J128" s="28"/>
      <c r="K128" s="28"/>
      <c r="L128" s="60">
        <v>0</v>
      </c>
      <c r="M128" s="28"/>
      <c r="N128" s="131"/>
    </row>
    <row r="129" spans="1:14" ht="15.75">
      <c r="A129" s="27"/>
      <c r="B129" s="28" t="s">
        <v>92</v>
      </c>
      <c r="C129" s="28"/>
      <c r="D129" s="28"/>
      <c r="E129" s="28"/>
      <c r="F129" s="28"/>
      <c r="G129" s="28"/>
      <c r="H129" s="28"/>
      <c r="I129" s="28"/>
      <c r="J129" s="28"/>
      <c r="K129" s="28"/>
      <c r="L129" s="60">
        <f>L127+L128</f>
        <v>0</v>
      </c>
      <c r="M129" s="28"/>
      <c r="N129" s="131"/>
    </row>
    <row r="130" spans="1:14" ht="7.5" customHeight="1">
      <c r="A130" s="27"/>
      <c r="B130" s="28"/>
      <c r="C130" s="28"/>
      <c r="D130" s="28"/>
      <c r="E130" s="28"/>
      <c r="F130" s="28"/>
      <c r="G130" s="28"/>
      <c r="H130" s="28"/>
      <c r="I130" s="28"/>
      <c r="J130" s="28"/>
      <c r="K130" s="28"/>
      <c r="L130" s="68"/>
      <c r="M130" s="28"/>
      <c r="N130" s="131"/>
    </row>
    <row r="131" spans="1:14" ht="6" customHeight="1">
      <c r="A131" s="2"/>
      <c r="B131" s="5"/>
      <c r="C131" s="5"/>
      <c r="D131" s="5"/>
      <c r="E131" s="5"/>
      <c r="F131" s="5"/>
      <c r="G131" s="5"/>
      <c r="H131" s="5"/>
      <c r="I131" s="5"/>
      <c r="J131" s="5"/>
      <c r="K131" s="5"/>
      <c r="L131" s="57"/>
      <c r="M131" s="5"/>
      <c r="N131" s="131"/>
    </row>
    <row r="132" spans="1:14" ht="15.75">
      <c r="A132" s="8"/>
      <c r="B132" s="167" t="s">
        <v>93</v>
      </c>
      <c r="C132" s="16"/>
      <c r="D132" s="10"/>
      <c r="E132" s="10"/>
      <c r="F132" s="10"/>
      <c r="G132" s="10"/>
      <c r="H132" s="10"/>
      <c r="I132" s="10"/>
      <c r="J132" s="10"/>
      <c r="K132" s="10"/>
      <c r="L132" s="59"/>
      <c r="M132" s="10"/>
      <c r="N132" s="131"/>
    </row>
    <row r="133" spans="1:14" ht="15.75">
      <c r="A133" s="8"/>
      <c r="B133" s="23"/>
      <c r="C133" s="16"/>
      <c r="D133" s="10"/>
      <c r="E133" s="10"/>
      <c r="F133" s="10"/>
      <c r="G133" s="10"/>
      <c r="H133" s="10"/>
      <c r="I133" s="10"/>
      <c r="J133" s="10"/>
      <c r="K133" s="10"/>
      <c r="L133" s="59"/>
      <c r="M133" s="10"/>
      <c r="N133" s="131"/>
    </row>
    <row r="134" spans="1:14" ht="15.75">
      <c r="A134" s="27"/>
      <c r="B134" s="28" t="s">
        <v>94</v>
      </c>
      <c r="C134" s="73"/>
      <c r="D134" s="28"/>
      <c r="E134" s="28"/>
      <c r="F134" s="28"/>
      <c r="G134" s="28"/>
      <c r="H134" s="28"/>
      <c r="I134" s="28"/>
      <c r="J134" s="28"/>
      <c r="K134" s="28"/>
      <c r="L134" s="60">
        <f>L57</f>
        <v>173701</v>
      </c>
      <c r="M134" s="28"/>
      <c r="N134" s="131"/>
    </row>
    <row r="135" spans="1:14" ht="15.75">
      <c r="A135" s="27"/>
      <c r="B135" s="28" t="s">
        <v>95</v>
      </c>
      <c r="C135" s="73"/>
      <c r="D135" s="28"/>
      <c r="E135" s="28"/>
      <c r="F135" s="28"/>
      <c r="G135" s="28"/>
      <c r="H135" s="28"/>
      <c r="I135" s="28"/>
      <c r="J135" s="28"/>
      <c r="K135" s="28"/>
      <c r="L135" s="60">
        <f>L69</f>
        <v>173701</v>
      </c>
      <c r="M135" s="28"/>
      <c r="N135" s="131"/>
    </row>
    <row r="136" spans="1:14" ht="7.5" customHeight="1">
      <c r="A136" s="27"/>
      <c r="B136" s="28"/>
      <c r="C136" s="28"/>
      <c r="D136" s="28"/>
      <c r="E136" s="28"/>
      <c r="F136" s="28"/>
      <c r="G136" s="28"/>
      <c r="H136" s="28"/>
      <c r="I136" s="28"/>
      <c r="J136" s="28"/>
      <c r="K136" s="28"/>
      <c r="L136" s="68"/>
      <c r="M136" s="28"/>
      <c r="N136" s="131"/>
    </row>
    <row r="137" spans="1:14" ht="15.75">
      <c r="A137" s="2"/>
      <c r="B137" s="5"/>
      <c r="C137" s="5"/>
      <c r="D137" s="5"/>
      <c r="E137" s="5"/>
      <c r="F137" s="5"/>
      <c r="G137" s="5"/>
      <c r="H137" s="5"/>
      <c r="I137" s="5"/>
      <c r="J137" s="5"/>
      <c r="K137" s="5"/>
      <c r="L137" s="57"/>
      <c r="M137" s="5"/>
      <c r="N137" s="131"/>
    </row>
    <row r="138" spans="1:14" ht="15.75">
      <c r="A138" s="132"/>
      <c r="B138" s="167" t="s">
        <v>96</v>
      </c>
      <c r="C138" s="154"/>
      <c r="D138" s="154"/>
      <c r="E138" s="154"/>
      <c r="F138" s="154"/>
      <c r="G138" s="154"/>
      <c r="H138" s="168" t="s">
        <v>171</v>
      </c>
      <c r="I138" s="168"/>
      <c r="J138" s="168" t="s">
        <v>178</v>
      </c>
      <c r="K138" s="154"/>
      <c r="L138" s="169" t="s">
        <v>191</v>
      </c>
      <c r="M138" s="12"/>
      <c r="N138" s="131"/>
    </row>
    <row r="139" spans="1:14" ht="15.75">
      <c r="A139" s="27"/>
      <c r="B139" s="28" t="s">
        <v>97</v>
      </c>
      <c r="C139" s="28"/>
      <c r="D139" s="28"/>
      <c r="E139" s="28"/>
      <c r="F139" s="28"/>
      <c r="G139" s="28"/>
      <c r="H139" s="60">
        <v>20000</v>
      </c>
      <c r="I139" s="28"/>
      <c r="J139" s="47"/>
      <c r="K139" s="28"/>
      <c r="L139" s="60"/>
      <c r="M139" s="28"/>
      <c r="N139" s="131"/>
    </row>
    <row r="140" spans="1:14" ht="15.75">
      <c r="A140" s="27"/>
      <c r="B140" s="28" t="s">
        <v>98</v>
      </c>
      <c r="C140" s="28"/>
      <c r="D140" s="28"/>
      <c r="E140" s="28"/>
      <c r="F140" s="28"/>
      <c r="G140" s="28"/>
      <c r="H140" s="60">
        <v>3121</v>
      </c>
      <c r="I140" s="28"/>
      <c r="J140" s="28">
        <v>387</v>
      </c>
      <c r="K140" s="28"/>
      <c r="L140" s="60">
        <f>J140+H140</f>
        <v>3508</v>
      </c>
      <c r="M140" s="28"/>
      <c r="N140" s="131"/>
    </row>
    <row r="141" spans="1:14" ht="15.75">
      <c r="A141" s="27"/>
      <c r="B141" s="28" t="s">
        <v>99</v>
      </c>
      <c r="C141" s="28"/>
      <c r="D141" s="28"/>
      <c r="E141" s="28"/>
      <c r="F141" s="28"/>
      <c r="G141" s="28"/>
      <c r="H141" s="38">
        <v>1012</v>
      </c>
      <c r="I141" s="28"/>
      <c r="J141" s="28">
        <v>41</v>
      </c>
      <c r="K141" s="28"/>
      <c r="L141" s="60">
        <f>J141+H141</f>
        <v>1053</v>
      </c>
      <c r="M141" s="28"/>
      <c r="N141" s="131"/>
    </row>
    <row r="142" spans="1:14" ht="15.75">
      <c r="A142" s="27"/>
      <c r="B142" s="28" t="s">
        <v>100</v>
      </c>
      <c r="C142" s="28"/>
      <c r="D142" s="28"/>
      <c r="E142" s="28"/>
      <c r="F142" s="28"/>
      <c r="G142" s="28"/>
      <c r="H142" s="60">
        <f>H140+H141</f>
        <v>4133</v>
      </c>
      <c r="I142" s="28"/>
      <c r="J142" s="60">
        <f>J141+J140</f>
        <v>428</v>
      </c>
      <c r="K142" s="28"/>
      <c r="L142" s="60">
        <f>J142+H142</f>
        <v>4561</v>
      </c>
      <c r="M142" s="28"/>
      <c r="N142" s="131"/>
    </row>
    <row r="143" spans="1:14" ht="15.75">
      <c r="A143" s="27"/>
      <c r="B143" s="28" t="s">
        <v>101</v>
      </c>
      <c r="C143" s="28"/>
      <c r="D143" s="28"/>
      <c r="E143" s="28"/>
      <c r="F143" s="28"/>
      <c r="G143" s="28"/>
      <c r="H143" s="60">
        <f>H139-H142</f>
        <v>15867</v>
      </c>
      <c r="I143" s="28"/>
      <c r="J143" s="47"/>
      <c r="K143" s="28"/>
      <c r="L143" s="60"/>
      <c r="M143" s="28"/>
      <c r="N143" s="131"/>
    </row>
    <row r="144" spans="1:14" ht="7.5" customHeight="1">
      <c r="A144" s="27"/>
      <c r="B144" s="28"/>
      <c r="C144" s="28"/>
      <c r="D144" s="28"/>
      <c r="E144" s="28"/>
      <c r="F144" s="28"/>
      <c r="G144" s="28"/>
      <c r="H144" s="28"/>
      <c r="I144" s="28"/>
      <c r="J144" s="28"/>
      <c r="K144" s="28"/>
      <c r="L144" s="68"/>
      <c r="M144" s="28"/>
      <c r="N144" s="131"/>
    </row>
    <row r="145" spans="1:14" ht="9" customHeight="1">
      <c r="A145" s="2"/>
      <c r="B145" s="5"/>
      <c r="C145" s="5"/>
      <c r="D145" s="5"/>
      <c r="E145" s="5"/>
      <c r="F145" s="5"/>
      <c r="G145" s="5"/>
      <c r="H145" s="5"/>
      <c r="I145" s="5"/>
      <c r="J145" s="5"/>
      <c r="K145" s="5"/>
      <c r="L145" s="57"/>
      <c r="M145" s="5"/>
      <c r="N145" s="131"/>
    </row>
    <row r="146" spans="1:14" ht="15.75">
      <c r="A146" s="8"/>
      <c r="B146" s="167" t="s">
        <v>102</v>
      </c>
      <c r="C146" s="16"/>
      <c r="D146" s="10"/>
      <c r="E146" s="10"/>
      <c r="F146" s="10"/>
      <c r="G146" s="10"/>
      <c r="H146" s="10"/>
      <c r="I146" s="10"/>
      <c r="J146" s="10"/>
      <c r="K146" s="10"/>
      <c r="L146" s="74"/>
      <c r="M146" s="10"/>
      <c r="N146" s="131"/>
    </row>
    <row r="147" spans="1:14" ht="15.75">
      <c r="A147" s="27"/>
      <c r="B147" s="28" t="s">
        <v>103</v>
      </c>
      <c r="C147" s="28"/>
      <c r="D147" s="28"/>
      <c r="E147" s="28"/>
      <c r="F147" s="28"/>
      <c r="G147" s="28"/>
      <c r="H147" s="28"/>
      <c r="I147" s="28"/>
      <c r="J147" s="28"/>
      <c r="K147" s="28"/>
      <c r="L147" s="67">
        <f>(L79+L81+L82+L83+L84)/-L85</f>
        <v>1.3446808510638297</v>
      </c>
      <c r="M147" s="28" t="s">
        <v>192</v>
      </c>
      <c r="N147" s="131"/>
    </row>
    <row r="148" spans="1:14" ht="15.75">
      <c r="A148" s="27"/>
      <c r="B148" s="28" t="s">
        <v>104</v>
      </c>
      <c r="C148" s="28"/>
      <c r="D148" s="28"/>
      <c r="E148" s="28"/>
      <c r="F148" s="28"/>
      <c r="G148" s="28"/>
      <c r="H148" s="28"/>
      <c r="I148" s="28"/>
      <c r="J148" s="28"/>
      <c r="K148" s="28"/>
      <c r="L148" s="67">
        <v>1.29</v>
      </c>
      <c r="M148" s="28" t="s">
        <v>192</v>
      </c>
      <c r="N148" s="131"/>
    </row>
    <row r="149" spans="1:14" ht="15.75">
      <c r="A149" s="27"/>
      <c r="B149" s="28" t="s">
        <v>105</v>
      </c>
      <c r="C149" s="28"/>
      <c r="D149" s="28"/>
      <c r="E149" s="28"/>
      <c r="F149" s="28"/>
      <c r="G149" s="28"/>
      <c r="H149" s="28"/>
      <c r="I149" s="28"/>
      <c r="J149" s="28"/>
      <c r="K149" s="28"/>
      <c r="L149" s="67">
        <f>(L79+SUM(L81:L85))/-L86</f>
        <v>2.98993288590604</v>
      </c>
      <c r="M149" s="28" t="s">
        <v>192</v>
      </c>
      <c r="N149" s="131"/>
    </row>
    <row r="150" spans="1:14" ht="15.75">
      <c r="A150" s="27"/>
      <c r="B150" s="28" t="s">
        <v>106</v>
      </c>
      <c r="C150" s="28"/>
      <c r="D150" s="28"/>
      <c r="E150" s="28"/>
      <c r="F150" s="28"/>
      <c r="G150" s="28"/>
      <c r="H150" s="28"/>
      <c r="I150" s="28"/>
      <c r="J150" s="28"/>
      <c r="K150" s="28"/>
      <c r="L150" s="75">
        <v>2.61</v>
      </c>
      <c r="M150" s="28" t="s">
        <v>192</v>
      </c>
      <c r="N150" s="131"/>
    </row>
    <row r="151" spans="1:14" ht="7.5" customHeight="1">
      <c r="A151" s="27"/>
      <c r="B151" s="28"/>
      <c r="C151" s="28"/>
      <c r="D151" s="28"/>
      <c r="E151" s="28"/>
      <c r="F151" s="28"/>
      <c r="G151" s="28"/>
      <c r="H151" s="28"/>
      <c r="I151" s="28"/>
      <c r="J151" s="28"/>
      <c r="K151" s="28"/>
      <c r="L151" s="28"/>
      <c r="M151" s="28"/>
      <c r="N151" s="131"/>
    </row>
    <row r="152" spans="1:14" ht="15.75">
      <c r="A152" s="8"/>
      <c r="B152" s="15"/>
      <c r="C152" s="15"/>
      <c r="D152" s="15"/>
      <c r="E152" s="15"/>
      <c r="F152" s="15"/>
      <c r="G152" s="15"/>
      <c r="H152" s="15"/>
      <c r="I152" s="15"/>
      <c r="J152" s="15"/>
      <c r="K152" s="15"/>
      <c r="L152" s="15"/>
      <c r="M152" s="15"/>
      <c r="N152" s="131"/>
    </row>
    <row r="153" spans="1:14" ht="15.75">
      <c r="A153" s="8"/>
      <c r="B153" s="15"/>
      <c r="C153" s="15"/>
      <c r="D153" s="15"/>
      <c r="E153" s="15"/>
      <c r="F153" s="15"/>
      <c r="G153" s="15"/>
      <c r="H153" s="15"/>
      <c r="I153" s="15"/>
      <c r="J153" s="15"/>
      <c r="K153" s="15"/>
      <c r="L153" s="15"/>
      <c r="M153" s="15"/>
      <c r="N153" s="131"/>
    </row>
    <row r="154" spans="1:14" ht="19.5" thickBot="1">
      <c r="A154" s="138"/>
      <c r="B154" s="139" t="s">
        <v>196</v>
      </c>
      <c r="C154" s="144"/>
      <c r="D154" s="144"/>
      <c r="E154" s="144"/>
      <c r="F154" s="144"/>
      <c r="G154" s="144"/>
      <c r="H154" s="144"/>
      <c r="I154" s="144"/>
      <c r="J154" s="144"/>
      <c r="K154" s="144"/>
      <c r="L154" s="144"/>
      <c r="M154" s="145"/>
      <c r="N154" s="131"/>
    </row>
    <row r="155" spans="1:14" ht="15.75">
      <c r="A155" s="133"/>
      <c r="B155" s="77" t="s">
        <v>107</v>
      </c>
      <c r="C155" s="78"/>
      <c r="D155" s="78"/>
      <c r="E155" s="78"/>
      <c r="F155" s="78"/>
      <c r="G155" s="79"/>
      <c r="H155" s="79"/>
      <c r="I155" s="79"/>
      <c r="J155" s="79">
        <v>36707</v>
      </c>
      <c r="K155" s="80"/>
      <c r="L155" s="5"/>
      <c r="M155" s="5"/>
      <c r="N155" s="131"/>
    </row>
    <row r="156" spans="1:14" ht="15.75">
      <c r="A156" s="82"/>
      <c r="B156" s="83"/>
      <c r="C156" s="84"/>
      <c r="D156" s="84"/>
      <c r="E156" s="84"/>
      <c r="F156" s="84"/>
      <c r="G156" s="85"/>
      <c r="H156" s="85"/>
      <c r="I156" s="85"/>
      <c r="J156" s="85"/>
      <c r="K156" s="10"/>
      <c r="L156" s="10"/>
      <c r="M156" s="10"/>
      <c r="N156" s="131"/>
    </row>
    <row r="157" spans="1:14" ht="15.75">
      <c r="A157" s="86"/>
      <c r="B157" s="87" t="s">
        <v>108</v>
      </c>
      <c r="C157" s="88"/>
      <c r="D157" s="88"/>
      <c r="E157" s="88"/>
      <c r="F157" s="88"/>
      <c r="G157" s="72"/>
      <c r="H157" s="72"/>
      <c r="I157" s="72"/>
      <c r="J157" s="89">
        <v>0.0714</v>
      </c>
      <c r="K157" s="28"/>
      <c r="L157" s="28"/>
      <c r="M157" s="28"/>
      <c r="N157" s="131"/>
    </row>
    <row r="158" spans="1:14" ht="15.75">
      <c r="A158" s="86"/>
      <c r="B158" s="87" t="s">
        <v>109</v>
      </c>
      <c r="C158" s="88"/>
      <c r="D158" s="88"/>
      <c r="E158" s="88"/>
      <c r="F158" s="88"/>
      <c r="G158" s="72"/>
      <c r="H158" s="72"/>
      <c r="I158" s="72"/>
      <c r="J158" s="46">
        <v>0.0553</v>
      </c>
      <c r="K158" s="28"/>
      <c r="L158" s="28"/>
      <c r="M158" s="28"/>
      <c r="N158" s="131"/>
    </row>
    <row r="159" spans="1:14" ht="15.75">
      <c r="A159" s="86"/>
      <c r="B159" s="87" t="s">
        <v>110</v>
      </c>
      <c r="C159" s="88"/>
      <c r="D159" s="88"/>
      <c r="E159" s="88"/>
      <c r="F159" s="88"/>
      <c r="G159" s="72"/>
      <c r="H159" s="72"/>
      <c r="I159" s="72"/>
      <c r="J159" s="89">
        <f>J157-J158</f>
        <v>0.016100000000000003</v>
      </c>
      <c r="K159" s="28"/>
      <c r="L159" s="28"/>
      <c r="M159" s="28"/>
      <c r="N159" s="131"/>
    </row>
    <row r="160" spans="1:14" ht="15.75">
      <c r="A160" s="86"/>
      <c r="B160" s="87" t="s">
        <v>111</v>
      </c>
      <c r="C160" s="88"/>
      <c r="D160" s="88"/>
      <c r="E160" s="88"/>
      <c r="F160" s="88"/>
      <c r="G160" s="72"/>
      <c r="H160" s="72"/>
      <c r="I160" s="72"/>
      <c r="J160" s="89">
        <v>0.07576</v>
      </c>
      <c r="K160" s="28"/>
      <c r="L160" s="28"/>
      <c r="M160" s="28"/>
      <c r="N160" s="131"/>
    </row>
    <row r="161" spans="1:14" ht="15.75">
      <c r="A161" s="86"/>
      <c r="B161" s="87" t="s">
        <v>112</v>
      </c>
      <c r="C161" s="88"/>
      <c r="D161" s="88"/>
      <c r="E161" s="88"/>
      <c r="F161" s="88"/>
      <c r="G161" s="72"/>
      <c r="H161" s="72"/>
      <c r="I161" s="72"/>
      <c r="J161" s="89">
        <f>L31</f>
        <v>0.06571353285315494</v>
      </c>
      <c r="K161" s="28"/>
      <c r="L161" s="28"/>
      <c r="M161" s="28"/>
      <c r="N161" s="131"/>
    </row>
    <row r="162" spans="1:14" ht="15.75">
      <c r="A162" s="86"/>
      <c r="B162" s="87" t="s">
        <v>113</v>
      </c>
      <c r="C162" s="88"/>
      <c r="D162" s="88"/>
      <c r="E162" s="88"/>
      <c r="F162" s="88"/>
      <c r="G162" s="72"/>
      <c r="H162" s="72"/>
      <c r="I162" s="72"/>
      <c r="J162" s="89">
        <f>J160-J161</f>
        <v>0.010046467146845053</v>
      </c>
      <c r="K162" s="28"/>
      <c r="L162" s="28"/>
      <c r="M162" s="28"/>
      <c r="N162" s="131"/>
    </row>
    <row r="163" spans="1:14" ht="15.75">
      <c r="A163" s="86"/>
      <c r="B163" s="87" t="s">
        <v>114</v>
      </c>
      <c r="C163" s="88"/>
      <c r="D163" s="88"/>
      <c r="E163" s="88"/>
      <c r="F163" s="88"/>
      <c r="G163" s="72"/>
      <c r="H163" s="72"/>
      <c r="I163" s="72"/>
      <c r="J163" s="90" t="s">
        <v>179</v>
      </c>
      <c r="K163" s="28"/>
      <c r="L163" s="28"/>
      <c r="M163" s="28"/>
      <c r="N163" s="131"/>
    </row>
    <row r="164" spans="1:14" ht="15.75">
      <c r="A164" s="86"/>
      <c r="B164" s="87" t="s">
        <v>115</v>
      </c>
      <c r="C164" s="88"/>
      <c r="D164" s="88"/>
      <c r="E164" s="88"/>
      <c r="F164" s="88"/>
      <c r="G164" s="72"/>
      <c r="H164" s="72"/>
      <c r="I164" s="72"/>
      <c r="J164" s="90" t="s">
        <v>180</v>
      </c>
      <c r="K164" s="28"/>
      <c r="L164" s="28"/>
      <c r="M164" s="28"/>
      <c r="N164" s="131"/>
    </row>
    <row r="165" spans="1:14" ht="15.75">
      <c r="A165" s="86"/>
      <c r="B165" s="87" t="s">
        <v>116</v>
      </c>
      <c r="C165" s="88"/>
      <c r="D165" s="88"/>
      <c r="E165" s="88"/>
      <c r="F165" s="88"/>
      <c r="G165" s="72"/>
      <c r="H165" s="72"/>
      <c r="I165" s="72"/>
      <c r="J165" s="91">
        <v>18.53</v>
      </c>
      <c r="K165" s="28" t="s">
        <v>184</v>
      </c>
      <c r="L165" s="28"/>
      <c r="M165" s="28"/>
      <c r="N165" s="131"/>
    </row>
    <row r="166" spans="1:14" ht="15.75">
      <c r="A166" s="86"/>
      <c r="B166" s="87" t="s">
        <v>117</v>
      </c>
      <c r="C166" s="88"/>
      <c r="D166" s="88"/>
      <c r="E166" s="88"/>
      <c r="F166" s="88"/>
      <c r="G166" s="72"/>
      <c r="H166" s="72"/>
      <c r="I166" s="72"/>
      <c r="J166" s="91">
        <v>17.7</v>
      </c>
      <c r="K166" s="28" t="s">
        <v>184</v>
      </c>
      <c r="L166" s="28"/>
      <c r="M166" s="28"/>
      <c r="N166" s="131"/>
    </row>
    <row r="167" spans="1:14" ht="15.75">
      <c r="A167" s="86"/>
      <c r="B167" s="87" t="s">
        <v>118</v>
      </c>
      <c r="C167" s="88"/>
      <c r="D167" s="88"/>
      <c r="E167" s="88"/>
      <c r="F167" s="88"/>
      <c r="G167" s="72"/>
      <c r="H167" s="72"/>
      <c r="I167" s="72"/>
      <c r="J167" s="89">
        <f>F54/'Mar 00'!L54</f>
        <v>0.021469541363440568</v>
      </c>
      <c r="K167" s="28"/>
      <c r="L167" s="28"/>
      <c r="M167" s="28"/>
      <c r="N167" s="131"/>
    </row>
    <row r="168" spans="1:14" ht="15.75">
      <c r="A168" s="86"/>
      <c r="B168" s="87" t="s">
        <v>119</v>
      </c>
      <c r="C168" s="88"/>
      <c r="D168" s="88"/>
      <c r="E168" s="88"/>
      <c r="F168" s="88"/>
      <c r="G168" s="72"/>
      <c r="H168" s="72"/>
      <c r="I168" s="72"/>
      <c r="J168" s="89">
        <v>0.0849</v>
      </c>
      <c r="K168" s="28"/>
      <c r="L168" s="28"/>
      <c r="M168" s="28"/>
      <c r="N168" s="131"/>
    </row>
    <row r="169" spans="1:14" ht="15.75">
      <c r="A169" s="86"/>
      <c r="B169" s="87"/>
      <c r="C169" s="87"/>
      <c r="D169" s="87"/>
      <c r="E169" s="87"/>
      <c r="F169" s="87"/>
      <c r="G169" s="28"/>
      <c r="H169" s="28"/>
      <c r="I169" s="28"/>
      <c r="J169" s="68"/>
      <c r="K169" s="28"/>
      <c r="L169" s="92"/>
      <c r="M169" s="28"/>
      <c r="N169" s="131"/>
    </row>
    <row r="170" spans="1:14" ht="15.75">
      <c r="A170" s="93"/>
      <c r="B170" s="17" t="s">
        <v>120</v>
      </c>
      <c r="C170" s="20"/>
      <c r="D170" s="94"/>
      <c r="E170" s="20"/>
      <c r="F170" s="94"/>
      <c r="G170" s="20"/>
      <c r="H170" s="94"/>
      <c r="I170" s="20" t="s">
        <v>172</v>
      </c>
      <c r="J170" s="94" t="s">
        <v>181</v>
      </c>
      <c r="K170" s="18"/>
      <c r="L170" s="18"/>
      <c r="M170" s="10"/>
      <c r="N170" s="131"/>
    </row>
    <row r="171" spans="1:14" ht="15.75">
      <c r="A171" s="95"/>
      <c r="B171" s="87" t="s">
        <v>121</v>
      </c>
      <c r="C171" s="61"/>
      <c r="D171" s="61"/>
      <c r="E171" s="61"/>
      <c r="F171" s="28"/>
      <c r="G171" s="28"/>
      <c r="H171" s="28"/>
      <c r="I171" s="31">
        <v>11</v>
      </c>
      <c r="J171" s="96">
        <v>688</v>
      </c>
      <c r="K171" s="28"/>
      <c r="L171" s="92"/>
      <c r="M171" s="97"/>
      <c r="N171" s="131"/>
    </row>
    <row r="172" spans="1:14" ht="15.75">
      <c r="A172" s="95"/>
      <c r="B172" s="87" t="s">
        <v>122</v>
      </c>
      <c r="C172" s="61"/>
      <c r="D172" s="61"/>
      <c r="E172" s="61"/>
      <c r="F172" s="28"/>
      <c r="G172" s="28"/>
      <c r="H172" s="28"/>
      <c r="I172" s="31">
        <v>0</v>
      </c>
      <c r="J172" s="96">
        <v>0</v>
      </c>
      <c r="K172" s="28"/>
      <c r="L172" s="92"/>
      <c r="M172" s="97"/>
      <c r="N172" s="131"/>
    </row>
    <row r="173" spans="1:14" ht="15.75">
      <c r="A173" s="95"/>
      <c r="B173" s="170" t="s">
        <v>123</v>
      </c>
      <c r="C173" s="61"/>
      <c r="D173" s="61"/>
      <c r="E173" s="61"/>
      <c r="F173" s="28"/>
      <c r="G173" s="28"/>
      <c r="H173" s="28"/>
      <c r="I173" s="28"/>
      <c r="J173" s="96">
        <v>0</v>
      </c>
      <c r="K173" s="28"/>
      <c r="L173" s="92"/>
      <c r="M173" s="97"/>
      <c r="N173" s="131"/>
    </row>
    <row r="174" spans="1:14" ht="15.75">
      <c r="A174" s="95"/>
      <c r="B174" s="170" t="s">
        <v>124</v>
      </c>
      <c r="C174" s="61"/>
      <c r="D174" s="61"/>
      <c r="E174" s="61"/>
      <c r="F174" s="28"/>
      <c r="G174" s="28"/>
      <c r="H174" s="28"/>
      <c r="I174" s="28"/>
      <c r="J174" s="96">
        <v>22352</v>
      </c>
      <c r="K174" s="28"/>
      <c r="L174" s="92"/>
      <c r="M174" s="97"/>
      <c r="N174" s="131"/>
    </row>
    <row r="175" spans="1:14" ht="15.75">
      <c r="A175" s="98"/>
      <c r="B175" s="170" t="s">
        <v>125</v>
      </c>
      <c r="C175" s="61"/>
      <c r="D175" s="87"/>
      <c r="E175" s="87"/>
      <c r="F175" s="87"/>
      <c r="G175" s="28"/>
      <c r="H175" s="28"/>
      <c r="I175" s="28"/>
      <c r="J175" s="96">
        <v>0</v>
      </c>
      <c r="K175" s="28"/>
      <c r="L175" s="92"/>
      <c r="M175" s="99"/>
      <c r="N175" s="131"/>
    </row>
    <row r="176" spans="1:14" ht="15.75">
      <c r="A176" s="95"/>
      <c r="B176" s="87" t="s">
        <v>126</v>
      </c>
      <c r="C176" s="61"/>
      <c r="D176" s="61"/>
      <c r="E176" s="61"/>
      <c r="F176" s="61"/>
      <c r="G176" s="28"/>
      <c r="H176" s="28"/>
      <c r="I176" s="28"/>
      <c r="J176" s="96">
        <v>0</v>
      </c>
      <c r="K176" s="28"/>
      <c r="L176" s="92"/>
      <c r="M176" s="99"/>
      <c r="N176" s="131"/>
    </row>
    <row r="177" spans="1:14" ht="15.75">
      <c r="A177" s="95"/>
      <c r="B177" s="87" t="s">
        <v>127</v>
      </c>
      <c r="C177" s="61"/>
      <c r="D177" s="61"/>
      <c r="E177" s="61"/>
      <c r="F177" s="61"/>
      <c r="G177" s="28"/>
      <c r="H177" s="28"/>
      <c r="I177" s="28"/>
      <c r="J177" s="96">
        <v>0</v>
      </c>
      <c r="K177" s="28"/>
      <c r="L177" s="92"/>
      <c r="M177" s="99"/>
      <c r="N177" s="131"/>
    </row>
    <row r="178" spans="1:14" ht="15.75">
      <c r="A178" s="98"/>
      <c r="B178" s="170" t="s">
        <v>128</v>
      </c>
      <c r="C178" s="61"/>
      <c r="D178" s="87"/>
      <c r="E178" s="87"/>
      <c r="F178" s="87"/>
      <c r="G178" s="28"/>
      <c r="H178" s="28"/>
      <c r="I178" s="28"/>
      <c r="J178" s="96"/>
      <c r="K178" s="28"/>
      <c r="L178" s="92"/>
      <c r="M178" s="99"/>
      <c r="N178" s="131"/>
    </row>
    <row r="179" spans="1:14" ht="15.75">
      <c r="A179" s="98"/>
      <c r="B179" s="87" t="s">
        <v>129</v>
      </c>
      <c r="C179" s="61"/>
      <c r="D179" s="87"/>
      <c r="E179" s="87"/>
      <c r="F179" s="87"/>
      <c r="G179" s="28"/>
      <c r="H179" s="28"/>
      <c r="I179" s="28"/>
      <c r="J179" s="96">
        <v>0</v>
      </c>
      <c r="K179" s="28"/>
      <c r="L179" s="92"/>
      <c r="M179" s="99"/>
      <c r="N179" s="131"/>
    </row>
    <row r="180" spans="1:14" ht="15.75">
      <c r="A180" s="95"/>
      <c r="B180" s="87" t="s">
        <v>130</v>
      </c>
      <c r="C180" s="61"/>
      <c r="D180" s="100"/>
      <c r="E180" s="100"/>
      <c r="F180" s="101"/>
      <c r="G180" s="28"/>
      <c r="H180" s="28"/>
      <c r="I180" s="28"/>
      <c r="J180" s="96">
        <v>0</v>
      </c>
      <c r="K180" s="28"/>
      <c r="L180" s="92"/>
      <c r="M180" s="99"/>
      <c r="N180" s="131"/>
    </row>
    <row r="181" spans="1:14" ht="15.75">
      <c r="A181" s="95"/>
      <c r="B181" s="87" t="s">
        <v>131</v>
      </c>
      <c r="C181" s="61"/>
      <c r="D181" s="100"/>
      <c r="E181" s="100"/>
      <c r="F181" s="101"/>
      <c r="G181" s="28"/>
      <c r="H181" s="28"/>
      <c r="I181" s="28"/>
      <c r="J181" s="96">
        <v>0</v>
      </c>
      <c r="K181" s="28"/>
      <c r="L181" s="92"/>
      <c r="M181" s="99"/>
      <c r="N181" s="131"/>
    </row>
    <row r="182" spans="1:14" ht="15.75">
      <c r="A182" s="95"/>
      <c r="B182" s="87" t="s">
        <v>132</v>
      </c>
      <c r="C182" s="61"/>
      <c r="D182" s="102"/>
      <c r="E182" s="100"/>
      <c r="F182" s="101"/>
      <c r="G182" s="28"/>
      <c r="H182" s="28"/>
      <c r="I182" s="28"/>
      <c r="J182" s="103">
        <v>0</v>
      </c>
      <c r="K182" s="28"/>
      <c r="L182" s="92"/>
      <c r="M182" s="99"/>
      <c r="N182" s="131"/>
    </row>
    <row r="183" spans="1:14" ht="15.75">
      <c r="A183" s="95"/>
      <c r="B183" s="87"/>
      <c r="C183" s="61"/>
      <c r="D183" s="102"/>
      <c r="E183" s="100"/>
      <c r="F183" s="101"/>
      <c r="G183" s="28"/>
      <c r="H183" s="28"/>
      <c r="I183" s="28"/>
      <c r="J183" s="103"/>
      <c r="K183" s="28"/>
      <c r="L183" s="92"/>
      <c r="M183" s="99"/>
      <c r="N183" s="131"/>
    </row>
    <row r="184" spans="1:14" ht="15.75">
      <c r="A184" s="8"/>
      <c r="B184" s="17" t="s">
        <v>133</v>
      </c>
      <c r="C184" s="20"/>
      <c r="D184" s="94"/>
      <c r="E184" s="20"/>
      <c r="F184" s="94"/>
      <c r="G184" s="20"/>
      <c r="H184" s="94" t="s">
        <v>172</v>
      </c>
      <c r="I184" s="20" t="s">
        <v>173</v>
      </c>
      <c r="J184" s="94" t="s">
        <v>182</v>
      </c>
      <c r="K184" s="20" t="s">
        <v>173</v>
      </c>
      <c r="L184" s="18"/>
      <c r="M184" s="104"/>
      <c r="N184" s="131"/>
    </row>
    <row r="185" spans="1:14" ht="15.75">
      <c r="A185" s="27"/>
      <c r="B185" s="61" t="s">
        <v>134</v>
      </c>
      <c r="C185" s="105"/>
      <c r="D185" s="61"/>
      <c r="E185" s="105"/>
      <c r="F185" s="28"/>
      <c r="G185" s="105"/>
      <c r="H185" s="61">
        <v>3661</v>
      </c>
      <c r="I185" s="105">
        <f>H185/H191</f>
        <v>0.9783538214858365</v>
      </c>
      <c r="J185" s="60">
        <v>170249</v>
      </c>
      <c r="K185" s="106">
        <f>J185/J191</f>
        <v>0.9801267695637906</v>
      </c>
      <c r="L185" s="92"/>
      <c r="M185" s="99"/>
      <c r="N185" s="131"/>
    </row>
    <row r="186" spans="1:14" ht="15.75">
      <c r="A186" s="27"/>
      <c r="B186" s="61" t="s">
        <v>135</v>
      </c>
      <c r="C186" s="105"/>
      <c r="D186" s="61"/>
      <c r="E186" s="105"/>
      <c r="F186" s="28"/>
      <c r="G186" s="107"/>
      <c r="H186" s="61">
        <v>29</v>
      </c>
      <c r="I186" s="105">
        <f>H186/$H191</f>
        <v>0.00774986638161411</v>
      </c>
      <c r="J186" s="60">
        <v>1452</v>
      </c>
      <c r="K186" s="106">
        <f>J186/J191</f>
        <v>0.008359191944778672</v>
      </c>
      <c r="L186" s="92"/>
      <c r="M186" s="99"/>
      <c r="N186" s="131"/>
    </row>
    <row r="187" spans="1:14" ht="15.75">
      <c r="A187" s="27"/>
      <c r="B187" s="61" t="s">
        <v>136</v>
      </c>
      <c r="C187" s="105"/>
      <c r="D187" s="61"/>
      <c r="E187" s="105"/>
      <c r="F187" s="28"/>
      <c r="G187" s="107"/>
      <c r="H187" s="61">
        <v>17</v>
      </c>
      <c r="I187" s="105">
        <f>H187/H191</f>
        <v>0.004543025120256547</v>
      </c>
      <c r="J187" s="60">
        <v>627</v>
      </c>
      <c r="K187" s="106">
        <f>J187/J191</f>
        <v>0.0036096510670635172</v>
      </c>
      <c r="L187" s="92"/>
      <c r="M187" s="99"/>
      <c r="N187" s="131"/>
    </row>
    <row r="188" spans="1:14" ht="15.75">
      <c r="A188" s="27"/>
      <c r="B188" s="61" t="s">
        <v>137</v>
      </c>
      <c r="C188" s="105"/>
      <c r="D188" s="61"/>
      <c r="E188" s="105"/>
      <c r="F188" s="28"/>
      <c r="G188" s="107"/>
      <c r="H188" s="61">
        <f>10+25</f>
        <v>35</v>
      </c>
      <c r="I188" s="105">
        <f>H188/H191</f>
        <v>0.00935328701229289</v>
      </c>
      <c r="J188" s="60">
        <f>385+981+7</f>
        <v>1373</v>
      </c>
      <c r="K188" s="106">
        <f>J188/J191</f>
        <v>0.00790438742436716</v>
      </c>
      <c r="L188" s="92"/>
      <c r="M188" s="99"/>
      <c r="N188" s="131"/>
    </row>
    <row r="189" spans="1:14" ht="15.75">
      <c r="A189" s="27"/>
      <c r="B189" s="30"/>
      <c r="C189" s="105"/>
      <c r="D189" s="61"/>
      <c r="E189" s="105"/>
      <c r="F189" s="28"/>
      <c r="G189" s="107"/>
      <c r="H189" s="61"/>
      <c r="I189" s="105"/>
      <c r="J189" s="60"/>
      <c r="K189" s="106"/>
      <c r="L189" s="92"/>
      <c r="M189" s="99"/>
      <c r="N189" s="131"/>
    </row>
    <row r="190" spans="1:14" ht="15.75">
      <c r="A190" s="27"/>
      <c r="B190" s="61" t="s">
        <v>138</v>
      </c>
      <c r="C190" s="108"/>
      <c r="D190" s="97"/>
      <c r="E190" s="108"/>
      <c r="F190" s="28"/>
      <c r="G190" s="108"/>
      <c r="H190" s="97"/>
      <c r="I190" s="108"/>
      <c r="J190" s="60"/>
      <c r="K190" s="106"/>
      <c r="L190" s="92"/>
      <c r="M190" s="99"/>
      <c r="N190" s="131"/>
    </row>
    <row r="191" spans="1:14" ht="15.75">
      <c r="A191" s="27"/>
      <c r="B191" s="28"/>
      <c r="C191" s="28"/>
      <c r="D191" s="28"/>
      <c r="E191" s="28"/>
      <c r="F191" s="28"/>
      <c r="G191" s="28"/>
      <c r="H191" s="38">
        <f>SUM(H185:H189)</f>
        <v>3742</v>
      </c>
      <c r="I191" s="109">
        <f>SUM(I185:I190)</f>
        <v>1</v>
      </c>
      <c r="J191" s="60">
        <f>SUM(J185:J190)</f>
        <v>173701</v>
      </c>
      <c r="K191" s="127">
        <f>SUM(K185:K190)</f>
        <v>1</v>
      </c>
      <c r="L191" s="28"/>
      <c r="M191" s="28"/>
      <c r="N191" s="131"/>
    </row>
    <row r="192" spans="1:14" ht="15.75">
      <c r="A192" s="27"/>
      <c r="B192" s="28"/>
      <c r="C192" s="28"/>
      <c r="D192" s="28"/>
      <c r="E192" s="28"/>
      <c r="F192" s="28"/>
      <c r="G192" s="28"/>
      <c r="H192" s="38"/>
      <c r="I192" s="109"/>
      <c r="J192" s="60"/>
      <c r="K192" s="127"/>
      <c r="L192" s="28"/>
      <c r="M192" s="28"/>
      <c r="N192" s="131"/>
    </row>
    <row r="193" spans="1:14" ht="15.75">
      <c r="A193" s="27"/>
      <c r="B193" s="28"/>
      <c r="C193" s="28"/>
      <c r="D193" s="28"/>
      <c r="E193" s="28"/>
      <c r="F193" s="28"/>
      <c r="G193" s="28"/>
      <c r="H193" s="38"/>
      <c r="I193" s="109"/>
      <c r="J193" s="60"/>
      <c r="K193" s="127"/>
      <c r="L193" s="28"/>
      <c r="M193" s="28"/>
      <c r="N193" s="131"/>
    </row>
    <row r="194" spans="1:14" ht="15.75">
      <c r="A194" s="114"/>
      <c r="B194" s="17" t="s">
        <v>139</v>
      </c>
      <c r="C194" s="115"/>
      <c r="D194" s="20" t="s">
        <v>148</v>
      </c>
      <c r="E194" s="18"/>
      <c r="F194" s="17" t="s">
        <v>161</v>
      </c>
      <c r="G194" s="116"/>
      <c r="H194" s="116"/>
      <c r="I194" s="15"/>
      <c r="J194" s="15"/>
      <c r="K194" s="15"/>
      <c r="L194" s="15"/>
      <c r="M194" s="15"/>
      <c r="N194" s="131"/>
    </row>
    <row r="195" spans="1:14" ht="15.75">
      <c r="A195" s="114"/>
      <c r="B195" s="15"/>
      <c r="C195" s="15"/>
      <c r="D195" s="10"/>
      <c r="E195" s="10"/>
      <c r="F195" s="10"/>
      <c r="G195" s="15"/>
      <c r="H195" s="15"/>
      <c r="I195" s="15"/>
      <c r="J195" s="15"/>
      <c r="K195" s="15"/>
      <c r="L195" s="15"/>
      <c r="M195" s="15"/>
      <c r="N195" s="131"/>
    </row>
    <row r="196" spans="1:14" ht="15.75">
      <c r="A196" s="114"/>
      <c r="B196" s="16" t="s">
        <v>140</v>
      </c>
      <c r="C196" s="117"/>
      <c r="D196" s="118" t="s">
        <v>149</v>
      </c>
      <c r="E196" s="16"/>
      <c r="F196" s="16" t="s">
        <v>162</v>
      </c>
      <c r="G196" s="117"/>
      <c r="H196" s="117"/>
      <c r="I196" s="15"/>
      <c r="J196" s="15"/>
      <c r="K196" s="15"/>
      <c r="L196" s="15"/>
      <c r="M196" s="15"/>
      <c r="N196" s="131"/>
    </row>
    <row r="197" spans="1:14" ht="15.75">
      <c r="A197" s="114"/>
      <c r="B197" s="16" t="s">
        <v>141</v>
      </c>
      <c r="C197" s="117"/>
      <c r="D197" s="118" t="s">
        <v>197</v>
      </c>
      <c r="E197" s="16"/>
      <c r="F197" s="16" t="s">
        <v>163</v>
      </c>
      <c r="G197" s="117"/>
      <c r="H197" s="117"/>
      <c r="I197" s="15"/>
      <c r="J197" s="15"/>
      <c r="K197" s="15"/>
      <c r="L197" s="15"/>
      <c r="M197" s="15"/>
      <c r="N197" s="131"/>
    </row>
    <row r="198" spans="1:14" ht="15.75">
      <c r="A198" s="114"/>
      <c r="B198" s="16"/>
      <c r="C198" s="117"/>
      <c r="D198" s="118"/>
      <c r="E198" s="16"/>
      <c r="F198" s="16"/>
      <c r="G198" s="117"/>
      <c r="H198" s="117"/>
      <c r="I198" s="15"/>
      <c r="J198" s="15"/>
      <c r="K198" s="15"/>
      <c r="L198" s="15"/>
      <c r="M198" s="15"/>
      <c r="N198" s="131"/>
    </row>
    <row r="199" spans="1:14" ht="15.75">
      <c r="A199" s="114"/>
      <c r="B199" s="16"/>
      <c r="C199" s="117"/>
      <c r="D199" s="118"/>
      <c r="E199" s="16"/>
      <c r="F199" s="16"/>
      <c r="G199" s="117"/>
      <c r="H199" s="117"/>
      <c r="I199" s="15"/>
      <c r="J199" s="15"/>
      <c r="K199" s="15"/>
      <c r="L199" s="15"/>
      <c r="M199" s="15"/>
      <c r="N199" s="131"/>
    </row>
    <row r="200" spans="1:14" ht="18.75">
      <c r="A200" s="114"/>
      <c r="B200" s="55" t="s">
        <v>196</v>
      </c>
      <c r="C200" s="117"/>
      <c r="D200" s="118"/>
      <c r="E200" s="16"/>
      <c r="F200" s="16"/>
      <c r="G200" s="117"/>
      <c r="H200" s="117"/>
      <c r="I200" s="15"/>
      <c r="J200" s="15"/>
      <c r="K200" s="15"/>
      <c r="L200" s="15"/>
      <c r="M200" s="15"/>
      <c r="N200" s="131"/>
    </row>
    <row r="201" spans="1:13" ht="15">
      <c r="A201" s="130"/>
      <c r="B201" s="130"/>
      <c r="C201" s="130"/>
      <c r="D201" s="130"/>
      <c r="E201" s="130"/>
      <c r="F201" s="130"/>
      <c r="G201" s="130"/>
      <c r="H201" s="130"/>
      <c r="I201" s="130"/>
      <c r="J201" s="130"/>
      <c r="K201" s="130"/>
      <c r="L201" s="130"/>
      <c r="M201" s="130"/>
    </row>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5" manualBreakCount="5">
    <brk id="49" min="103" max="154" man="1"/>
    <brk id="49" max="13" man="1"/>
    <brk id="103" max="13" man="1"/>
    <brk id="154" max="13" man="1"/>
    <brk id="201" max="0" man="1"/>
  </rowBreaks>
  <colBreaks count="1" manualBreakCount="1">
    <brk id="14" max="200" man="1"/>
  </colBreaks>
  <drawing r:id="rId1"/>
</worksheet>
</file>

<file path=xl/worksheets/sheet5.xml><?xml version="1.0" encoding="utf-8"?>
<worksheet xmlns="http://schemas.openxmlformats.org/spreadsheetml/2006/main" xmlns:r="http://schemas.openxmlformats.org/officeDocument/2006/relationships">
  <dimension ref="A1:N201"/>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32.77734375" style="1" customWidth="1"/>
    <col min="14" max="14" width="9.88671875" style="1" customWidth="1"/>
    <col min="15" max="16384" width="9.6640625" style="1" customWidth="1"/>
  </cols>
  <sheetData>
    <row r="1" spans="1:14" ht="20.25">
      <c r="A1" s="2"/>
      <c r="B1" s="3" t="s">
        <v>0</v>
      </c>
      <c r="C1" s="4"/>
      <c r="D1" s="5"/>
      <c r="E1" s="5"/>
      <c r="F1" s="5"/>
      <c r="G1" s="5"/>
      <c r="H1" s="5"/>
      <c r="I1" s="5"/>
      <c r="J1" s="5"/>
      <c r="K1" s="5"/>
      <c r="L1" s="5"/>
      <c r="M1" s="5"/>
      <c r="N1" s="131"/>
    </row>
    <row r="2" spans="1:14" ht="15.75">
      <c r="A2" s="8"/>
      <c r="B2" s="9"/>
      <c r="C2" s="9"/>
      <c r="D2" s="10"/>
      <c r="E2" s="10"/>
      <c r="F2" s="10"/>
      <c r="G2" s="10"/>
      <c r="H2" s="10"/>
      <c r="I2" s="10"/>
      <c r="J2" s="10"/>
      <c r="K2" s="10"/>
      <c r="L2" s="10"/>
      <c r="M2" s="10"/>
      <c r="N2" s="131"/>
    </row>
    <row r="3" spans="1:14" ht="15.75">
      <c r="A3" s="11"/>
      <c r="B3" s="154" t="s">
        <v>1</v>
      </c>
      <c r="C3" s="10"/>
      <c r="D3" s="10"/>
      <c r="E3" s="10"/>
      <c r="F3" s="10"/>
      <c r="G3" s="10"/>
      <c r="H3" s="10"/>
      <c r="I3" s="10"/>
      <c r="J3" s="10"/>
      <c r="K3" s="10"/>
      <c r="L3" s="10"/>
      <c r="M3" s="10"/>
      <c r="N3" s="131"/>
    </row>
    <row r="4" spans="1:14" ht="15.75">
      <c r="A4" s="8"/>
      <c r="B4" s="9"/>
      <c r="C4" s="9"/>
      <c r="D4" s="10"/>
      <c r="E4" s="10"/>
      <c r="F4" s="10"/>
      <c r="G4" s="10"/>
      <c r="H4" s="10"/>
      <c r="I4" s="10"/>
      <c r="J4" s="10"/>
      <c r="K4" s="10"/>
      <c r="L4" s="10"/>
      <c r="M4" s="10"/>
      <c r="N4" s="131"/>
    </row>
    <row r="5" spans="1:14" ht="12" customHeight="1">
      <c r="A5" s="8"/>
      <c r="B5" s="13" t="s">
        <v>2</v>
      </c>
      <c r="C5" s="14"/>
      <c r="D5" s="10"/>
      <c r="E5" s="10"/>
      <c r="F5" s="10"/>
      <c r="G5" s="10"/>
      <c r="H5" s="10"/>
      <c r="I5" s="10"/>
      <c r="J5" s="10"/>
      <c r="K5" s="10"/>
      <c r="L5" s="10"/>
      <c r="M5" s="10"/>
      <c r="N5" s="131"/>
    </row>
    <row r="6" spans="1:14" ht="12" customHeight="1">
      <c r="A6" s="8"/>
      <c r="B6" s="13" t="s">
        <v>3</v>
      </c>
      <c r="C6" s="14"/>
      <c r="D6" s="10"/>
      <c r="E6" s="10"/>
      <c r="F6" s="10"/>
      <c r="G6" s="10"/>
      <c r="H6" s="10"/>
      <c r="I6" s="10"/>
      <c r="J6" s="10"/>
      <c r="K6" s="10"/>
      <c r="L6" s="10"/>
      <c r="M6" s="10"/>
      <c r="N6" s="131"/>
    </row>
    <row r="7" spans="1:14" ht="12" customHeight="1">
      <c r="A7" s="8"/>
      <c r="B7" s="13" t="s">
        <v>4</v>
      </c>
      <c r="C7" s="14"/>
      <c r="D7" s="10"/>
      <c r="E7" s="10"/>
      <c r="F7" s="10"/>
      <c r="G7" s="10"/>
      <c r="H7" s="10"/>
      <c r="I7" s="10"/>
      <c r="J7" s="10"/>
      <c r="K7" s="10"/>
      <c r="L7" s="10"/>
      <c r="M7" s="10"/>
      <c r="N7" s="131"/>
    </row>
    <row r="8" spans="1:14" ht="12" customHeight="1">
      <c r="A8" s="8"/>
      <c r="B8" s="13" t="s">
        <v>5</v>
      </c>
      <c r="C8" s="14"/>
      <c r="D8" s="10"/>
      <c r="E8" s="10"/>
      <c r="F8" s="10"/>
      <c r="G8" s="10"/>
      <c r="H8" s="10"/>
      <c r="I8" s="10"/>
      <c r="J8" s="10"/>
      <c r="K8" s="10"/>
      <c r="L8" s="10"/>
      <c r="M8" s="10"/>
      <c r="N8" s="131"/>
    </row>
    <row r="9" spans="1:14" ht="12" customHeight="1">
      <c r="A9" s="8"/>
      <c r="B9" s="15"/>
      <c r="C9" s="14"/>
      <c r="D9" s="10"/>
      <c r="E9" s="10"/>
      <c r="F9" s="10"/>
      <c r="G9" s="10"/>
      <c r="H9" s="10"/>
      <c r="I9" s="10"/>
      <c r="J9" s="10"/>
      <c r="K9" s="10"/>
      <c r="L9" s="10"/>
      <c r="M9" s="10"/>
      <c r="N9" s="131"/>
    </row>
    <row r="10" spans="1:14" ht="15.75">
      <c r="A10" s="8"/>
      <c r="B10" s="13"/>
      <c r="C10" s="14"/>
      <c r="D10" s="16"/>
      <c r="E10" s="16"/>
      <c r="F10" s="10"/>
      <c r="G10" s="10"/>
      <c r="H10" s="10"/>
      <c r="I10" s="10"/>
      <c r="J10" s="10"/>
      <c r="K10" s="10"/>
      <c r="L10" s="10"/>
      <c r="M10" s="10"/>
      <c r="N10" s="131"/>
    </row>
    <row r="11" spans="1:14" ht="15.75">
      <c r="A11" s="8"/>
      <c r="B11" s="16" t="s">
        <v>6</v>
      </c>
      <c r="C11" s="16"/>
      <c r="D11" s="10"/>
      <c r="E11" s="10"/>
      <c r="F11" s="10"/>
      <c r="G11" s="10"/>
      <c r="H11" s="10"/>
      <c r="I11" s="10"/>
      <c r="J11" s="10"/>
      <c r="K11" s="10"/>
      <c r="L11" s="10"/>
      <c r="M11" s="10"/>
      <c r="N11" s="131"/>
    </row>
    <row r="12" spans="1:14" ht="15.75">
      <c r="A12" s="8"/>
      <c r="B12" s="16"/>
      <c r="C12" s="16"/>
      <c r="D12" s="10"/>
      <c r="E12" s="10"/>
      <c r="F12" s="10"/>
      <c r="G12" s="10"/>
      <c r="H12" s="10"/>
      <c r="I12" s="10"/>
      <c r="J12" s="10"/>
      <c r="K12" s="10"/>
      <c r="L12" s="10"/>
      <c r="M12" s="10"/>
      <c r="N12" s="131"/>
    </row>
    <row r="13" spans="1:14" ht="15.75">
      <c r="A13" s="2"/>
      <c r="B13" s="5"/>
      <c r="C13" s="5"/>
      <c r="D13" s="5"/>
      <c r="E13" s="5"/>
      <c r="F13" s="5"/>
      <c r="G13" s="5"/>
      <c r="H13" s="5"/>
      <c r="I13" s="5"/>
      <c r="J13" s="5"/>
      <c r="K13" s="5"/>
      <c r="L13" s="5"/>
      <c r="M13" s="5"/>
      <c r="N13" s="131"/>
    </row>
    <row r="14" spans="1:14" ht="15.75">
      <c r="A14" s="8"/>
      <c r="B14" s="17" t="s">
        <v>7</v>
      </c>
      <c r="C14" s="17"/>
      <c r="D14" s="18"/>
      <c r="E14" s="18"/>
      <c r="F14" s="18"/>
      <c r="G14" s="18"/>
      <c r="H14" s="18"/>
      <c r="I14" s="18"/>
      <c r="J14" s="18"/>
      <c r="K14" s="18"/>
      <c r="L14" s="19" t="s">
        <v>185</v>
      </c>
      <c r="M14" s="18"/>
      <c r="N14" s="131"/>
    </row>
    <row r="15" spans="1:14" ht="15.75">
      <c r="A15" s="8"/>
      <c r="B15" s="17" t="s">
        <v>8</v>
      </c>
      <c r="C15" s="17"/>
      <c r="D15" s="18"/>
      <c r="E15" s="18"/>
      <c r="F15" s="18"/>
      <c r="G15" s="18"/>
      <c r="H15" s="18"/>
      <c r="I15" s="18"/>
      <c r="J15" s="18"/>
      <c r="K15" s="18"/>
      <c r="L15" s="20" t="s">
        <v>186</v>
      </c>
      <c r="M15" s="18"/>
      <c r="N15" s="131"/>
    </row>
    <row r="16" spans="1:14" ht="15.75">
      <c r="A16" s="8"/>
      <c r="B16" s="17" t="s">
        <v>9</v>
      </c>
      <c r="C16" s="17"/>
      <c r="D16" s="18"/>
      <c r="E16" s="18"/>
      <c r="F16" s="18"/>
      <c r="G16" s="18"/>
      <c r="H16" s="18"/>
      <c r="I16" s="18"/>
      <c r="J16" s="18"/>
      <c r="K16" s="18"/>
      <c r="L16" s="21">
        <v>36815</v>
      </c>
      <c r="M16" s="18"/>
      <c r="N16" s="131"/>
    </row>
    <row r="17" spans="1:14" ht="15.75">
      <c r="A17" s="8"/>
      <c r="B17" s="10"/>
      <c r="C17" s="10"/>
      <c r="D17" s="10"/>
      <c r="E17" s="10"/>
      <c r="F17" s="10"/>
      <c r="G17" s="10"/>
      <c r="H17" s="10"/>
      <c r="I17" s="10"/>
      <c r="J17" s="10"/>
      <c r="K17" s="10"/>
      <c r="L17" s="22"/>
      <c r="M17" s="10"/>
      <c r="N17" s="131"/>
    </row>
    <row r="18" spans="1:14" ht="15.75">
      <c r="A18" s="8"/>
      <c r="B18" s="23" t="s">
        <v>10</v>
      </c>
      <c r="C18" s="10"/>
      <c r="D18" s="10"/>
      <c r="E18" s="10"/>
      <c r="F18" s="10"/>
      <c r="G18" s="10"/>
      <c r="H18" s="10"/>
      <c r="I18" s="10"/>
      <c r="J18" s="22" t="s">
        <v>174</v>
      </c>
      <c r="K18" s="10"/>
      <c r="L18" s="15"/>
      <c r="M18" s="10"/>
      <c r="N18" s="131"/>
    </row>
    <row r="19" spans="1:14" ht="15.75">
      <c r="A19" s="8"/>
      <c r="B19" s="10"/>
      <c r="C19" s="10"/>
      <c r="D19" s="10"/>
      <c r="E19" s="10"/>
      <c r="F19" s="10"/>
      <c r="G19" s="10"/>
      <c r="H19" s="10"/>
      <c r="I19" s="10"/>
      <c r="J19" s="10"/>
      <c r="K19" s="10"/>
      <c r="L19" s="24"/>
      <c r="M19" s="10"/>
      <c r="N19" s="131"/>
    </row>
    <row r="20" spans="1:14" ht="15.75">
      <c r="A20" s="8"/>
      <c r="B20" s="10"/>
      <c r="C20" s="155" t="s">
        <v>143</v>
      </c>
      <c r="D20" s="25"/>
      <c r="E20" s="25"/>
      <c r="F20" s="157" t="s">
        <v>151</v>
      </c>
      <c r="G20" s="157"/>
      <c r="H20" s="157" t="s">
        <v>164</v>
      </c>
      <c r="I20" s="25"/>
      <c r="J20" s="25"/>
      <c r="K20" s="15"/>
      <c r="L20" s="15"/>
      <c r="M20" s="10"/>
      <c r="N20" s="131"/>
    </row>
    <row r="21" spans="1:14" ht="15.75">
      <c r="A21" s="27"/>
      <c r="B21" s="28" t="s">
        <v>11</v>
      </c>
      <c r="C21" s="156" t="s">
        <v>144</v>
      </c>
      <c r="D21" s="29"/>
      <c r="E21" s="29"/>
      <c r="F21" s="29" t="s">
        <v>152</v>
      </c>
      <c r="G21" s="29"/>
      <c r="H21" s="29" t="s">
        <v>165</v>
      </c>
      <c r="I21" s="29"/>
      <c r="J21" s="29"/>
      <c r="K21" s="30"/>
      <c r="L21" s="30"/>
      <c r="M21" s="28"/>
      <c r="N21" s="131"/>
    </row>
    <row r="22" spans="1:14" ht="15.75">
      <c r="A22" s="27"/>
      <c r="B22" s="28" t="s">
        <v>12</v>
      </c>
      <c r="C22" s="31"/>
      <c r="D22" s="29"/>
      <c r="E22" s="29"/>
      <c r="F22" s="29" t="s">
        <v>153</v>
      </c>
      <c r="G22" s="29"/>
      <c r="H22" s="29" t="s">
        <v>166</v>
      </c>
      <c r="I22" s="29"/>
      <c r="J22" s="29"/>
      <c r="K22" s="30"/>
      <c r="L22" s="30"/>
      <c r="M22" s="28"/>
      <c r="N22" s="131"/>
    </row>
    <row r="23" spans="1:14" ht="15.75">
      <c r="A23" s="32"/>
      <c r="B23" s="33" t="s">
        <v>13</v>
      </c>
      <c r="C23" s="33"/>
      <c r="D23" s="34"/>
      <c r="E23" s="34"/>
      <c r="F23" s="34" t="s">
        <v>152</v>
      </c>
      <c r="G23" s="34"/>
      <c r="H23" s="34" t="s">
        <v>165</v>
      </c>
      <c r="I23" s="29"/>
      <c r="J23" s="29"/>
      <c r="K23" s="30"/>
      <c r="L23" s="30"/>
      <c r="M23" s="28"/>
      <c r="N23" s="131"/>
    </row>
    <row r="24" spans="1:14" ht="15.75">
      <c r="A24" s="32"/>
      <c r="B24" s="33" t="s">
        <v>14</v>
      </c>
      <c r="C24" s="33"/>
      <c r="D24" s="34"/>
      <c r="E24" s="34"/>
      <c r="F24" s="34" t="s">
        <v>153</v>
      </c>
      <c r="G24" s="34"/>
      <c r="H24" s="34" t="s">
        <v>166</v>
      </c>
      <c r="I24" s="29"/>
      <c r="J24" s="29"/>
      <c r="K24" s="30"/>
      <c r="L24" s="30"/>
      <c r="M24" s="28"/>
      <c r="N24" s="131"/>
    </row>
    <row r="25" spans="1:14" ht="15.75">
      <c r="A25" s="27"/>
      <c r="B25" s="28" t="s">
        <v>15</v>
      </c>
      <c r="C25" s="28"/>
      <c r="D25" s="31"/>
      <c r="E25" s="29"/>
      <c r="F25" s="31" t="s">
        <v>154</v>
      </c>
      <c r="G25" s="29"/>
      <c r="H25" s="31" t="s">
        <v>167</v>
      </c>
      <c r="I25" s="29"/>
      <c r="J25" s="31"/>
      <c r="K25" s="30"/>
      <c r="L25" s="30"/>
      <c r="M25" s="28"/>
      <c r="N25" s="131"/>
    </row>
    <row r="26" spans="1:14" ht="15.75">
      <c r="A26" s="27"/>
      <c r="B26" s="28"/>
      <c r="C26" s="28"/>
      <c r="D26" s="28"/>
      <c r="E26" s="29"/>
      <c r="F26" s="29"/>
      <c r="G26" s="29"/>
      <c r="H26" s="29"/>
      <c r="I26" s="29"/>
      <c r="J26" s="29"/>
      <c r="K26" s="30"/>
      <c r="L26" s="30"/>
      <c r="M26" s="28"/>
      <c r="N26" s="131"/>
    </row>
    <row r="27" spans="1:14" ht="15.75">
      <c r="A27" s="27"/>
      <c r="B27" s="28" t="s">
        <v>16</v>
      </c>
      <c r="C27" s="28"/>
      <c r="D27" s="35"/>
      <c r="E27" s="36"/>
      <c r="F27" s="35">
        <v>168000</v>
      </c>
      <c r="G27" s="35"/>
      <c r="H27" s="35">
        <v>17000</v>
      </c>
      <c r="I27" s="35"/>
      <c r="J27" s="35"/>
      <c r="K27" s="37"/>
      <c r="L27" s="35">
        <f>H27+F27</f>
        <v>185000</v>
      </c>
      <c r="M27" s="38"/>
      <c r="N27" s="131"/>
    </row>
    <row r="28" spans="1:14" ht="15.75">
      <c r="A28" s="27"/>
      <c r="B28" s="28" t="s">
        <v>17</v>
      </c>
      <c r="C28" s="126">
        <v>0.932746</v>
      </c>
      <c r="D28" s="35"/>
      <c r="E28" s="36"/>
      <c r="F28" s="35">
        <f>168000*C28</f>
        <v>156701.32799999998</v>
      </c>
      <c r="G28" s="35"/>
      <c r="H28" s="35">
        <v>17000</v>
      </c>
      <c r="I28" s="35"/>
      <c r="J28" s="35"/>
      <c r="K28" s="37"/>
      <c r="L28" s="35">
        <f>H28+F28</f>
        <v>173701.32799999998</v>
      </c>
      <c r="M28" s="38"/>
      <c r="N28" s="131"/>
    </row>
    <row r="29" spans="1:14" ht="13.5" customHeight="1">
      <c r="A29" s="32"/>
      <c r="B29" s="33" t="s">
        <v>18</v>
      </c>
      <c r="C29" s="40">
        <v>0.917741</v>
      </c>
      <c r="D29" s="41"/>
      <c r="E29" s="42"/>
      <c r="F29" s="41">
        <f>168000*C29</f>
        <v>154180.488</v>
      </c>
      <c r="G29" s="41"/>
      <c r="H29" s="41">
        <v>17000</v>
      </c>
      <c r="I29" s="41"/>
      <c r="J29" s="41"/>
      <c r="K29" s="43"/>
      <c r="L29" s="41">
        <f>H29+F29+D29</f>
        <v>171180.488</v>
      </c>
      <c r="M29" s="38"/>
      <c r="N29" s="131"/>
    </row>
    <row r="30" spans="1:14" ht="15.75">
      <c r="A30" s="27"/>
      <c r="B30" s="28" t="s">
        <v>19</v>
      </c>
      <c r="C30" s="44"/>
      <c r="D30" s="31"/>
      <c r="E30" s="28"/>
      <c r="F30" s="31" t="s">
        <v>155</v>
      </c>
      <c r="G30" s="31"/>
      <c r="H30" s="31" t="s">
        <v>168</v>
      </c>
      <c r="I30" s="31"/>
      <c r="J30" s="31"/>
      <c r="K30" s="30"/>
      <c r="L30" s="30"/>
      <c r="M30" s="28"/>
      <c r="N30" s="131"/>
    </row>
    <row r="31" spans="1:14" ht="15.75">
      <c r="A31" s="27"/>
      <c r="B31" s="28" t="s">
        <v>20</v>
      </c>
      <c r="C31" s="28"/>
      <c r="D31" s="45"/>
      <c r="E31" s="28"/>
      <c r="F31" s="45">
        <v>0.0646</v>
      </c>
      <c r="G31" s="46"/>
      <c r="H31" s="45">
        <v>0.0698</v>
      </c>
      <c r="I31" s="46"/>
      <c r="J31" s="45"/>
      <c r="K31" s="30"/>
      <c r="L31" s="46">
        <f>SUMPRODUCT(F31:H31,F28:H28)/L28</f>
        <v>0.0651089195403273</v>
      </c>
      <c r="M31" s="28"/>
      <c r="N31" s="131"/>
    </row>
    <row r="32" spans="1:14" ht="15.75">
      <c r="A32" s="27"/>
      <c r="B32" s="28" t="s">
        <v>21</v>
      </c>
      <c r="C32" s="28"/>
      <c r="D32" s="45"/>
      <c r="E32" s="28"/>
      <c r="F32" s="45">
        <v>0.0652125</v>
      </c>
      <c r="G32" s="46"/>
      <c r="H32" s="45">
        <v>0.0704125</v>
      </c>
      <c r="I32" s="46"/>
      <c r="J32" s="45"/>
      <c r="K32" s="30"/>
      <c r="L32" s="30"/>
      <c r="M32" s="28"/>
      <c r="N32" s="131"/>
    </row>
    <row r="33" spans="1:14" ht="15.75">
      <c r="A33" s="27"/>
      <c r="B33" s="28" t="s">
        <v>22</v>
      </c>
      <c r="C33" s="28"/>
      <c r="D33" s="31"/>
      <c r="E33" s="28"/>
      <c r="F33" s="31" t="s">
        <v>157</v>
      </c>
      <c r="G33" s="31"/>
      <c r="H33" s="31" t="s">
        <v>157</v>
      </c>
      <c r="I33" s="31"/>
      <c r="J33" s="31"/>
      <c r="K33" s="30"/>
      <c r="L33" s="30"/>
      <c r="M33" s="28"/>
      <c r="N33" s="131"/>
    </row>
    <row r="34" spans="1:14" ht="15.75">
      <c r="A34" s="27"/>
      <c r="B34" s="28" t="s">
        <v>23</v>
      </c>
      <c r="C34" s="28"/>
      <c r="D34" s="31"/>
      <c r="E34" s="28"/>
      <c r="F34" s="31" t="s">
        <v>158</v>
      </c>
      <c r="G34" s="31"/>
      <c r="H34" s="31" t="s">
        <v>158</v>
      </c>
      <c r="I34" s="31"/>
      <c r="J34" s="31"/>
      <c r="K34" s="30"/>
      <c r="L34" s="30"/>
      <c r="M34" s="28"/>
      <c r="N34" s="131"/>
    </row>
    <row r="35" spans="1:14" ht="15.75">
      <c r="A35" s="27"/>
      <c r="B35" s="28" t="s">
        <v>24</v>
      </c>
      <c r="C35" s="28"/>
      <c r="D35" s="31"/>
      <c r="E35" s="28"/>
      <c r="F35" s="31" t="s">
        <v>159</v>
      </c>
      <c r="G35" s="31"/>
      <c r="H35" s="31" t="s">
        <v>169</v>
      </c>
      <c r="I35" s="31"/>
      <c r="J35" s="31"/>
      <c r="K35" s="30"/>
      <c r="L35" s="30"/>
      <c r="M35" s="28"/>
      <c r="N35" s="131"/>
    </row>
    <row r="36" spans="1:14" ht="15.75">
      <c r="A36" s="27"/>
      <c r="B36" s="28"/>
      <c r="C36" s="28"/>
      <c r="D36" s="47"/>
      <c r="E36" s="47"/>
      <c r="F36" s="28"/>
      <c r="G36" s="47"/>
      <c r="H36" s="47"/>
      <c r="I36" s="47"/>
      <c r="J36" s="47"/>
      <c r="K36" s="47"/>
      <c r="L36" s="47"/>
      <c r="M36" s="28"/>
      <c r="N36" s="131"/>
    </row>
    <row r="37" spans="1:14" ht="15.75">
      <c r="A37" s="27"/>
      <c r="B37" s="28" t="s">
        <v>25</v>
      </c>
      <c r="C37" s="28"/>
      <c r="D37" s="28"/>
      <c r="E37" s="28"/>
      <c r="F37" s="28"/>
      <c r="G37" s="28"/>
      <c r="H37" s="28"/>
      <c r="I37" s="28"/>
      <c r="J37" s="28"/>
      <c r="K37" s="28"/>
      <c r="L37" s="46">
        <f>H27/F27</f>
        <v>0.10119047619047619</v>
      </c>
      <c r="M37" s="28"/>
      <c r="N37" s="131"/>
    </row>
    <row r="38" spans="1:14" ht="15.75">
      <c r="A38" s="27"/>
      <c r="B38" s="28" t="s">
        <v>26</v>
      </c>
      <c r="C38" s="28"/>
      <c r="D38" s="28"/>
      <c r="E38" s="28"/>
      <c r="F38" s="28"/>
      <c r="G38" s="28"/>
      <c r="H38" s="28"/>
      <c r="I38" s="28"/>
      <c r="J38" s="28"/>
      <c r="K38" s="28"/>
      <c r="L38" s="46">
        <f>H29/F29</f>
        <v>0.11026038521813472</v>
      </c>
      <c r="M38" s="28"/>
      <c r="N38" s="131"/>
    </row>
    <row r="39" spans="1:14" ht="15.75">
      <c r="A39" s="27"/>
      <c r="B39" s="28" t="s">
        <v>27</v>
      </c>
      <c r="C39" s="28"/>
      <c r="D39" s="28"/>
      <c r="E39" s="28"/>
      <c r="F39" s="28"/>
      <c r="G39" s="28"/>
      <c r="H39" s="28"/>
      <c r="I39" s="28"/>
      <c r="J39" s="31" t="s">
        <v>151</v>
      </c>
      <c r="K39" s="31" t="s">
        <v>183</v>
      </c>
      <c r="L39" s="35">
        <v>75500</v>
      </c>
      <c r="M39" s="28"/>
      <c r="N39" s="131"/>
    </row>
    <row r="40" spans="1:14" ht="15.75">
      <c r="A40" s="27"/>
      <c r="B40" s="28"/>
      <c r="C40" s="28"/>
      <c r="D40" s="28"/>
      <c r="E40" s="28"/>
      <c r="F40" s="28"/>
      <c r="G40" s="28"/>
      <c r="H40" s="28"/>
      <c r="I40" s="28"/>
      <c r="J40" s="28" t="s">
        <v>175</v>
      </c>
      <c r="K40" s="28"/>
      <c r="L40" s="48"/>
      <c r="M40" s="28"/>
      <c r="N40" s="131"/>
    </row>
    <row r="41" spans="1:14" ht="15.75">
      <c r="A41" s="27"/>
      <c r="B41" s="28" t="s">
        <v>28</v>
      </c>
      <c r="C41" s="28"/>
      <c r="D41" s="28"/>
      <c r="E41" s="28"/>
      <c r="F41" s="28"/>
      <c r="G41" s="28"/>
      <c r="H41" s="28"/>
      <c r="I41" s="28"/>
      <c r="J41" s="31"/>
      <c r="K41" s="31"/>
      <c r="L41" s="31" t="s">
        <v>187</v>
      </c>
      <c r="M41" s="28"/>
      <c r="N41" s="131"/>
    </row>
    <row r="42" spans="1:14" ht="15.75">
      <c r="A42" s="32"/>
      <c r="B42" s="33" t="s">
        <v>29</v>
      </c>
      <c r="C42" s="33"/>
      <c r="D42" s="33"/>
      <c r="E42" s="33"/>
      <c r="F42" s="33"/>
      <c r="G42" s="33"/>
      <c r="H42" s="33"/>
      <c r="I42" s="33"/>
      <c r="J42" s="49"/>
      <c r="K42" s="49"/>
      <c r="L42" s="50">
        <v>36815</v>
      </c>
      <c r="M42" s="33"/>
      <c r="N42" s="131"/>
    </row>
    <row r="43" spans="1:14" ht="15.75">
      <c r="A43" s="27"/>
      <c r="B43" s="28" t="s">
        <v>30</v>
      </c>
      <c r="C43" s="28"/>
      <c r="D43" s="28"/>
      <c r="E43" s="28"/>
      <c r="F43" s="28"/>
      <c r="G43" s="28"/>
      <c r="H43" s="28"/>
      <c r="I43" s="28">
        <f>L43-J43+1</f>
        <v>91</v>
      </c>
      <c r="J43" s="51">
        <v>36633</v>
      </c>
      <c r="K43" s="52"/>
      <c r="L43" s="51">
        <v>36723</v>
      </c>
      <c r="M43" s="28"/>
      <c r="N43" s="131"/>
    </row>
    <row r="44" spans="1:14" ht="15.75">
      <c r="A44" s="27"/>
      <c r="B44" s="28" t="s">
        <v>31</v>
      </c>
      <c r="C44" s="28"/>
      <c r="D44" s="28"/>
      <c r="E44" s="28"/>
      <c r="F44" s="28"/>
      <c r="G44" s="28"/>
      <c r="H44" s="28"/>
      <c r="I44" s="28">
        <f>L44-J44+1</f>
        <v>91</v>
      </c>
      <c r="J44" s="51">
        <v>36724</v>
      </c>
      <c r="K44" s="52"/>
      <c r="L44" s="51">
        <v>36814</v>
      </c>
      <c r="M44" s="28"/>
      <c r="N44" s="131"/>
    </row>
    <row r="45" spans="1:14" ht="15.75">
      <c r="A45" s="27"/>
      <c r="B45" s="28" t="s">
        <v>32</v>
      </c>
      <c r="C45" s="28"/>
      <c r="D45" s="28"/>
      <c r="E45" s="28"/>
      <c r="F45" s="28"/>
      <c r="G45" s="28"/>
      <c r="H45" s="28"/>
      <c r="I45" s="28"/>
      <c r="J45" s="51"/>
      <c r="K45" s="52"/>
      <c r="L45" s="51" t="s">
        <v>194</v>
      </c>
      <c r="M45" s="28"/>
      <c r="N45" s="131"/>
    </row>
    <row r="46" spans="1:14" ht="15.75">
      <c r="A46" s="27"/>
      <c r="B46" s="28" t="s">
        <v>33</v>
      </c>
      <c r="C46" s="28"/>
      <c r="D46" s="28"/>
      <c r="E46" s="28"/>
      <c r="F46" s="28"/>
      <c r="G46" s="28"/>
      <c r="H46" s="28"/>
      <c r="I46" s="28"/>
      <c r="J46" s="51"/>
      <c r="K46" s="52"/>
      <c r="L46" s="51">
        <v>36805</v>
      </c>
      <c r="M46" s="28"/>
      <c r="N46" s="131"/>
    </row>
    <row r="47" spans="1:14" ht="15.75">
      <c r="A47" s="27"/>
      <c r="B47" s="28"/>
      <c r="C47" s="28"/>
      <c r="D47" s="28"/>
      <c r="E47" s="28"/>
      <c r="F47" s="28"/>
      <c r="G47" s="28"/>
      <c r="H47" s="28"/>
      <c r="I47" s="28"/>
      <c r="J47" s="28"/>
      <c r="K47" s="28"/>
      <c r="L47" s="134"/>
      <c r="M47" s="28"/>
      <c r="N47" s="131"/>
    </row>
    <row r="48" spans="1:14" ht="15.75">
      <c r="A48" s="8"/>
      <c r="B48" s="10"/>
      <c r="C48" s="10"/>
      <c r="D48" s="10"/>
      <c r="E48" s="10"/>
      <c r="F48" s="10"/>
      <c r="G48" s="10"/>
      <c r="H48" s="10"/>
      <c r="I48" s="10"/>
      <c r="J48" s="10"/>
      <c r="K48" s="10"/>
      <c r="L48" s="56"/>
      <c r="M48" s="10"/>
      <c r="N48" s="131"/>
    </row>
    <row r="49" spans="1:14" ht="19.5" thickBot="1">
      <c r="A49" s="138"/>
      <c r="B49" s="139" t="s">
        <v>198</v>
      </c>
      <c r="C49" s="140"/>
      <c r="D49" s="140"/>
      <c r="E49" s="140"/>
      <c r="F49" s="140"/>
      <c r="G49" s="140"/>
      <c r="H49" s="140"/>
      <c r="I49" s="140"/>
      <c r="J49" s="140"/>
      <c r="K49" s="140"/>
      <c r="L49" s="141"/>
      <c r="M49" s="142"/>
      <c r="N49" s="131"/>
    </row>
    <row r="50" spans="1:14" ht="15.75">
      <c r="A50" s="2"/>
      <c r="B50" s="5"/>
      <c r="C50" s="5"/>
      <c r="D50" s="5"/>
      <c r="E50" s="5"/>
      <c r="F50" s="5"/>
      <c r="G50" s="5"/>
      <c r="H50" s="5"/>
      <c r="I50" s="5"/>
      <c r="J50" s="5"/>
      <c r="K50" s="5"/>
      <c r="L50" s="57"/>
      <c r="M50" s="5"/>
      <c r="N50" s="131"/>
    </row>
    <row r="51" spans="1:14" ht="15.75">
      <c r="A51" s="8"/>
      <c r="B51" s="58" t="s">
        <v>35</v>
      </c>
      <c r="C51" s="16"/>
      <c r="D51" s="10"/>
      <c r="E51" s="10"/>
      <c r="F51" s="10"/>
      <c r="G51" s="10"/>
      <c r="H51" s="10"/>
      <c r="I51" s="10"/>
      <c r="J51" s="10"/>
      <c r="K51" s="10"/>
      <c r="L51" s="59"/>
      <c r="M51" s="10"/>
      <c r="N51" s="131"/>
    </row>
    <row r="52" spans="1:14" ht="15.75">
      <c r="A52" s="8"/>
      <c r="B52" s="16"/>
      <c r="C52" s="16"/>
      <c r="D52" s="10"/>
      <c r="E52" s="10"/>
      <c r="F52" s="10"/>
      <c r="G52" s="10"/>
      <c r="H52" s="10"/>
      <c r="I52" s="10"/>
      <c r="J52" s="10"/>
      <c r="K52" s="10"/>
      <c r="L52" s="59"/>
      <c r="M52" s="10"/>
      <c r="N52" s="131"/>
    </row>
    <row r="53" spans="1:14" s="165" customFormat="1" ht="63">
      <c r="A53" s="159"/>
      <c r="B53" s="160" t="s">
        <v>36</v>
      </c>
      <c r="C53" s="161" t="s">
        <v>145</v>
      </c>
      <c r="D53" s="161" t="s">
        <v>147</v>
      </c>
      <c r="E53" s="161"/>
      <c r="F53" s="161" t="s">
        <v>160</v>
      </c>
      <c r="G53" s="161"/>
      <c r="H53" s="161" t="s">
        <v>170</v>
      </c>
      <c r="I53" s="161"/>
      <c r="J53" s="161" t="s">
        <v>176</v>
      </c>
      <c r="K53" s="161"/>
      <c r="L53" s="162" t="s">
        <v>189</v>
      </c>
      <c r="M53" s="163"/>
      <c r="N53" s="171"/>
    </row>
    <row r="54" spans="1:14" ht="15.75">
      <c r="A54" s="27"/>
      <c r="B54" s="28" t="s">
        <v>37</v>
      </c>
      <c r="C54" s="38">
        <v>162582</v>
      </c>
      <c r="D54" s="60">
        <v>173701</v>
      </c>
      <c r="E54" s="38"/>
      <c r="F54" s="38">
        <v>4408</v>
      </c>
      <c r="G54" s="38"/>
      <c r="H54" s="38">
        <v>1887</v>
      </c>
      <c r="I54" s="38"/>
      <c r="J54" s="38">
        <v>0</v>
      </c>
      <c r="K54" s="38"/>
      <c r="L54" s="60">
        <f>D54-F54+H54-J54</f>
        <v>171180</v>
      </c>
      <c r="M54" s="28"/>
      <c r="N54" s="131"/>
    </row>
    <row r="55" spans="1:14" ht="15.75">
      <c r="A55" s="27"/>
      <c r="B55" s="28" t="s">
        <v>38</v>
      </c>
      <c r="C55" s="38">
        <v>66</v>
      </c>
      <c r="D55" s="60">
        <v>0</v>
      </c>
      <c r="E55" s="38"/>
      <c r="F55" s="38">
        <v>0</v>
      </c>
      <c r="G55" s="38"/>
      <c r="H55" s="38">
        <v>0</v>
      </c>
      <c r="I55" s="38"/>
      <c r="J55" s="38">
        <v>0</v>
      </c>
      <c r="K55" s="38"/>
      <c r="L55" s="60">
        <f>D55-F55</f>
        <v>0</v>
      </c>
      <c r="M55" s="28"/>
      <c r="N55" s="131"/>
    </row>
    <row r="56" spans="1:14" ht="15.75">
      <c r="A56" s="27"/>
      <c r="B56" s="28"/>
      <c r="C56" s="38"/>
      <c r="D56" s="60"/>
      <c r="E56" s="38"/>
      <c r="F56" s="38"/>
      <c r="G56" s="38"/>
      <c r="H56" s="38"/>
      <c r="I56" s="38"/>
      <c r="J56" s="38"/>
      <c r="K56" s="38"/>
      <c r="L56" s="60"/>
      <c r="M56" s="28"/>
      <c r="N56" s="131"/>
    </row>
    <row r="57" spans="1:14" ht="15.75">
      <c r="A57" s="27"/>
      <c r="B57" s="28" t="s">
        <v>39</v>
      </c>
      <c r="C57" s="38">
        <f>SUM(C54:C56)</f>
        <v>162648</v>
      </c>
      <c r="D57" s="61">
        <v>173701</v>
      </c>
      <c r="E57" s="38"/>
      <c r="F57" s="38">
        <f>SUM(F54:F56)</f>
        <v>4408</v>
      </c>
      <c r="G57" s="38"/>
      <c r="H57" s="38">
        <f>SUM(H54:H56)</f>
        <v>1887</v>
      </c>
      <c r="I57" s="38"/>
      <c r="J57" s="38">
        <f>SUM(J54:J56)</f>
        <v>0</v>
      </c>
      <c r="K57" s="38"/>
      <c r="L57" s="61">
        <f>SUM(L54:L56)</f>
        <v>171180</v>
      </c>
      <c r="M57" s="28"/>
      <c r="N57" s="131"/>
    </row>
    <row r="58" spans="1:14" ht="15.75">
      <c r="A58" s="27"/>
      <c r="B58" s="28"/>
      <c r="C58" s="38"/>
      <c r="D58" s="38"/>
      <c r="E58" s="38"/>
      <c r="F58" s="38"/>
      <c r="G58" s="38"/>
      <c r="H58" s="38"/>
      <c r="I58" s="38"/>
      <c r="J58" s="38"/>
      <c r="K58" s="38"/>
      <c r="L58" s="61"/>
      <c r="M58" s="28"/>
      <c r="N58" s="131"/>
    </row>
    <row r="59" spans="1:14" ht="15.75">
      <c r="A59" s="8"/>
      <c r="B59" s="154" t="s">
        <v>40</v>
      </c>
      <c r="C59" s="62"/>
      <c r="D59" s="62"/>
      <c r="E59" s="62"/>
      <c r="F59" s="62"/>
      <c r="G59" s="62"/>
      <c r="H59" s="62"/>
      <c r="I59" s="62"/>
      <c r="J59" s="62"/>
      <c r="K59" s="62"/>
      <c r="L59" s="63"/>
      <c r="M59" s="10"/>
      <c r="N59" s="131"/>
    </row>
    <row r="60" spans="1:14" ht="15.75">
      <c r="A60" s="8"/>
      <c r="B60" s="10"/>
      <c r="C60" s="62"/>
      <c r="D60" s="62"/>
      <c r="E60" s="62"/>
      <c r="F60" s="62"/>
      <c r="G60" s="62"/>
      <c r="H60" s="62"/>
      <c r="I60" s="62"/>
      <c r="J60" s="62"/>
      <c r="K60" s="62"/>
      <c r="L60" s="63"/>
      <c r="M60" s="10"/>
      <c r="N60" s="131"/>
    </row>
    <row r="61" spans="1:14" ht="15.75">
      <c r="A61" s="27"/>
      <c r="B61" s="28" t="s">
        <v>37</v>
      </c>
      <c r="C61" s="38"/>
      <c r="D61" s="38"/>
      <c r="E61" s="38"/>
      <c r="F61" s="38"/>
      <c r="G61" s="38"/>
      <c r="H61" s="38"/>
      <c r="I61" s="38"/>
      <c r="J61" s="38"/>
      <c r="K61" s="38"/>
      <c r="L61" s="61"/>
      <c r="M61" s="28"/>
      <c r="N61" s="131"/>
    </row>
    <row r="62" spans="1:14" ht="15.75">
      <c r="A62" s="27"/>
      <c r="B62" s="28" t="s">
        <v>38</v>
      </c>
      <c r="C62" s="38"/>
      <c r="D62" s="38"/>
      <c r="E62" s="38"/>
      <c r="F62" s="38"/>
      <c r="G62" s="38"/>
      <c r="H62" s="38"/>
      <c r="I62" s="38"/>
      <c r="J62" s="38"/>
      <c r="K62" s="38"/>
      <c r="L62" s="61"/>
      <c r="M62" s="28"/>
      <c r="N62" s="131"/>
    </row>
    <row r="63" spans="1:14" ht="15.75">
      <c r="A63" s="27"/>
      <c r="B63" s="28"/>
      <c r="C63" s="38"/>
      <c r="D63" s="38"/>
      <c r="E63" s="38"/>
      <c r="F63" s="38"/>
      <c r="G63" s="38"/>
      <c r="H63" s="38"/>
      <c r="I63" s="38"/>
      <c r="J63" s="38"/>
      <c r="K63" s="38"/>
      <c r="L63" s="61"/>
      <c r="M63" s="28"/>
      <c r="N63" s="131"/>
    </row>
    <row r="64" spans="1:14" ht="15.75">
      <c r="A64" s="27"/>
      <c r="B64" s="28" t="s">
        <v>39</v>
      </c>
      <c r="C64" s="38"/>
      <c r="D64" s="38"/>
      <c r="E64" s="38"/>
      <c r="F64" s="38"/>
      <c r="G64" s="38"/>
      <c r="H64" s="38"/>
      <c r="I64" s="38"/>
      <c r="J64" s="38"/>
      <c r="K64" s="38"/>
      <c r="L64" s="38"/>
      <c r="M64" s="28"/>
      <c r="N64" s="131"/>
    </row>
    <row r="65" spans="1:14" ht="15.75">
      <c r="A65" s="27"/>
      <c r="B65" s="28"/>
      <c r="C65" s="38"/>
      <c r="D65" s="38"/>
      <c r="E65" s="38"/>
      <c r="F65" s="38"/>
      <c r="G65" s="38"/>
      <c r="H65" s="38"/>
      <c r="I65" s="38"/>
      <c r="J65" s="38"/>
      <c r="K65" s="38"/>
      <c r="L65" s="38"/>
      <c r="M65" s="28"/>
      <c r="N65" s="131"/>
    </row>
    <row r="66" spans="1:14" ht="15.75">
      <c r="A66" s="27"/>
      <c r="B66" s="28" t="s">
        <v>41</v>
      </c>
      <c r="C66" s="38">
        <v>0</v>
      </c>
      <c r="D66" s="38">
        <v>0</v>
      </c>
      <c r="E66" s="38"/>
      <c r="F66" s="38"/>
      <c r="G66" s="38"/>
      <c r="H66" s="38"/>
      <c r="I66" s="38"/>
      <c r="J66" s="38"/>
      <c r="K66" s="38"/>
      <c r="L66" s="60">
        <f>D66-F66+H66-J66</f>
        <v>0</v>
      </c>
      <c r="M66" s="28"/>
      <c r="N66" s="131"/>
    </row>
    <row r="67" spans="1:14" ht="15.75">
      <c r="A67" s="27"/>
      <c r="B67" s="28" t="s">
        <v>42</v>
      </c>
      <c r="C67" s="38">
        <v>22352</v>
      </c>
      <c r="D67" s="38">
        <v>0</v>
      </c>
      <c r="E67" s="38"/>
      <c r="F67" s="38"/>
      <c r="G67" s="38"/>
      <c r="H67" s="38"/>
      <c r="I67" s="38"/>
      <c r="J67" s="38"/>
      <c r="K67" s="38"/>
      <c r="L67" s="61">
        <v>0</v>
      </c>
      <c r="M67" s="28"/>
      <c r="N67" s="131"/>
    </row>
    <row r="68" spans="1:14" ht="15.75">
      <c r="A68" s="27"/>
      <c r="B68" s="28" t="s">
        <v>43</v>
      </c>
      <c r="C68" s="38">
        <v>0</v>
      </c>
      <c r="D68" s="38">
        <f>L125</f>
        <v>0</v>
      </c>
      <c r="E68" s="38"/>
      <c r="F68" s="38"/>
      <c r="G68" s="38"/>
      <c r="H68" s="38"/>
      <c r="I68" s="38"/>
      <c r="J68" s="38"/>
      <c r="K68" s="38"/>
      <c r="L68" s="61">
        <f>SUM(C68:K68)</f>
        <v>0</v>
      </c>
      <c r="M68" s="28"/>
      <c r="N68" s="131"/>
    </row>
    <row r="69" spans="1:14" ht="15.75">
      <c r="A69" s="27"/>
      <c r="B69" s="28" t="s">
        <v>44</v>
      </c>
      <c r="C69" s="61">
        <f>SUM(C57:C68)</f>
        <v>185000</v>
      </c>
      <c r="D69" s="61">
        <f>SUM(D57:D68)</f>
        <v>173701</v>
      </c>
      <c r="E69" s="38"/>
      <c r="F69" s="61"/>
      <c r="G69" s="38"/>
      <c r="H69" s="61"/>
      <c r="I69" s="38"/>
      <c r="J69" s="61"/>
      <c r="K69" s="38"/>
      <c r="L69" s="61">
        <f>SUM(L57:L68)</f>
        <v>171180</v>
      </c>
      <c r="M69" s="28"/>
      <c r="N69" s="131"/>
    </row>
    <row r="70" spans="1:14" ht="15.75">
      <c r="A70" s="27"/>
      <c r="B70" s="28"/>
      <c r="C70" s="38"/>
      <c r="D70" s="38"/>
      <c r="E70" s="38"/>
      <c r="F70" s="38"/>
      <c r="G70" s="38"/>
      <c r="H70" s="38"/>
      <c r="I70" s="38"/>
      <c r="J70" s="38"/>
      <c r="K70" s="38"/>
      <c r="L70" s="61"/>
      <c r="M70" s="28"/>
      <c r="N70" s="131"/>
    </row>
    <row r="71" spans="1:14" ht="15.75">
      <c r="A71" s="8"/>
      <c r="B71" s="10"/>
      <c r="C71" s="10"/>
      <c r="D71" s="10"/>
      <c r="E71" s="10"/>
      <c r="F71" s="10"/>
      <c r="G71" s="10"/>
      <c r="H71" s="10"/>
      <c r="I71" s="10"/>
      <c r="J71" s="10"/>
      <c r="K71" s="10"/>
      <c r="L71" s="10"/>
      <c r="M71" s="10"/>
      <c r="N71" s="131"/>
    </row>
    <row r="72" spans="1:14" ht="15.75">
      <c r="A72" s="8"/>
      <c r="B72" s="58" t="s">
        <v>45</v>
      </c>
      <c r="C72" s="17"/>
      <c r="D72" s="17"/>
      <c r="E72" s="17"/>
      <c r="F72" s="17"/>
      <c r="G72" s="17"/>
      <c r="H72" s="17"/>
      <c r="I72" s="20"/>
      <c r="J72" s="20" t="s">
        <v>177</v>
      </c>
      <c r="K72" s="20"/>
      <c r="L72" s="20" t="s">
        <v>190</v>
      </c>
      <c r="M72" s="10"/>
      <c r="N72" s="131"/>
    </row>
    <row r="73" spans="1:14" ht="15.75">
      <c r="A73" s="27"/>
      <c r="B73" s="28" t="s">
        <v>46</v>
      </c>
      <c r="C73" s="28"/>
      <c r="D73" s="28"/>
      <c r="E73" s="28"/>
      <c r="F73" s="28"/>
      <c r="G73" s="28"/>
      <c r="H73" s="28"/>
      <c r="I73" s="28"/>
      <c r="J73" s="38">
        <v>0</v>
      </c>
      <c r="K73" s="28"/>
      <c r="L73" s="60">
        <v>0</v>
      </c>
      <c r="M73" s="28"/>
      <c r="N73" s="131"/>
    </row>
    <row r="74" spans="1:14" ht="15.75">
      <c r="A74" s="27"/>
      <c r="B74" s="28" t="s">
        <v>47</v>
      </c>
      <c r="C74" s="47" t="s">
        <v>146</v>
      </c>
      <c r="D74" s="65">
        <v>36799</v>
      </c>
      <c r="E74" s="28"/>
      <c r="F74" s="28"/>
      <c r="G74" s="28"/>
      <c r="H74" s="28"/>
      <c r="I74" s="28"/>
      <c r="J74" s="38">
        <v>4408</v>
      </c>
      <c r="K74" s="28"/>
      <c r="L74" s="60"/>
      <c r="M74" s="28"/>
      <c r="N74" s="131"/>
    </row>
    <row r="75" spans="1:14" ht="15.75">
      <c r="A75" s="27"/>
      <c r="B75" s="28" t="s">
        <v>48</v>
      </c>
      <c r="C75" s="28"/>
      <c r="D75" s="28"/>
      <c r="E75" s="28"/>
      <c r="F75" s="28"/>
      <c r="G75" s="28"/>
      <c r="H75" s="28"/>
      <c r="I75" s="28"/>
      <c r="J75" s="38"/>
      <c r="K75" s="28"/>
      <c r="L75" s="60">
        <v>3492</v>
      </c>
      <c r="M75" s="28"/>
      <c r="N75" s="131"/>
    </row>
    <row r="76" spans="1:14" ht="15.75">
      <c r="A76" s="27"/>
      <c r="B76" s="28" t="s">
        <v>49</v>
      </c>
      <c r="C76" s="28"/>
      <c r="D76" s="28"/>
      <c r="E76" s="28"/>
      <c r="F76" s="28"/>
      <c r="G76" s="28"/>
      <c r="H76" s="28"/>
      <c r="I76" s="28"/>
      <c r="J76" s="38"/>
      <c r="K76" s="28"/>
      <c r="L76" s="60">
        <v>0</v>
      </c>
      <c r="M76" s="28"/>
      <c r="N76" s="131"/>
    </row>
    <row r="77" spans="1:14" ht="15.75">
      <c r="A77" s="27"/>
      <c r="B77" s="28" t="s">
        <v>50</v>
      </c>
      <c r="C77" s="28"/>
      <c r="D77" s="28"/>
      <c r="E77" s="28"/>
      <c r="F77" s="28"/>
      <c r="G77" s="28"/>
      <c r="H77" s="28"/>
      <c r="I77" s="28"/>
      <c r="J77" s="38">
        <f>SUM(J73:J76)</f>
        <v>4408</v>
      </c>
      <c r="K77" s="28"/>
      <c r="L77" s="61">
        <f>SUM(L73:L76)</f>
        <v>3492</v>
      </c>
      <c r="M77" s="28"/>
      <c r="N77" s="131"/>
    </row>
    <row r="78" spans="1:14" ht="15.75">
      <c r="A78" s="27"/>
      <c r="B78" s="28" t="s">
        <v>51</v>
      </c>
      <c r="C78" s="28"/>
      <c r="D78" s="28"/>
      <c r="E78" s="28"/>
      <c r="F78" s="28"/>
      <c r="G78" s="28"/>
      <c r="H78" s="28"/>
      <c r="I78" s="28"/>
      <c r="J78" s="38">
        <v>0</v>
      </c>
      <c r="K78" s="28"/>
      <c r="L78" s="60">
        <v>0</v>
      </c>
      <c r="M78" s="28"/>
      <c r="N78" s="131"/>
    </row>
    <row r="79" spans="1:14" ht="15.75">
      <c r="A79" s="27"/>
      <c r="B79" s="28" t="s">
        <v>52</v>
      </c>
      <c r="C79" s="28"/>
      <c r="D79" s="28"/>
      <c r="E79" s="28"/>
      <c r="F79" s="28"/>
      <c r="G79" s="28"/>
      <c r="H79" s="28"/>
      <c r="I79" s="28"/>
      <c r="J79" s="38">
        <f>J77+J78</f>
        <v>4408</v>
      </c>
      <c r="K79" s="28"/>
      <c r="L79" s="61">
        <f>L77+L78</f>
        <v>3492</v>
      </c>
      <c r="M79" s="28"/>
      <c r="N79" s="131"/>
    </row>
    <row r="80" spans="1:14" ht="15.75">
      <c r="A80" s="27"/>
      <c r="B80" s="166" t="s">
        <v>53</v>
      </c>
      <c r="C80" s="66"/>
      <c r="D80" s="28"/>
      <c r="E80" s="28"/>
      <c r="F80" s="28"/>
      <c r="G80" s="28"/>
      <c r="H80" s="28"/>
      <c r="I80" s="28"/>
      <c r="J80" s="38"/>
      <c r="K80" s="28"/>
      <c r="L80" s="60"/>
      <c r="M80" s="28"/>
      <c r="N80" s="131"/>
    </row>
    <row r="81" spans="1:14" ht="15.75">
      <c r="A81" s="27">
        <v>1</v>
      </c>
      <c r="B81" s="28" t="s">
        <v>54</v>
      </c>
      <c r="C81" s="28"/>
      <c r="D81" s="28"/>
      <c r="E81" s="28"/>
      <c r="F81" s="28"/>
      <c r="G81" s="28"/>
      <c r="H81" s="28"/>
      <c r="I81" s="28"/>
      <c r="J81" s="28"/>
      <c r="K81" s="28"/>
      <c r="L81" s="60">
        <v>0</v>
      </c>
      <c r="M81" s="28"/>
      <c r="N81" s="131"/>
    </row>
    <row r="82" spans="1:14" ht="15.75">
      <c r="A82" s="27">
        <v>2</v>
      </c>
      <c r="B82" s="28" t="s">
        <v>55</v>
      </c>
      <c r="C82" s="28"/>
      <c r="D82" s="28"/>
      <c r="E82" s="28"/>
      <c r="F82" s="28"/>
      <c r="G82" s="28"/>
      <c r="H82" s="28"/>
      <c r="I82" s="28"/>
      <c r="J82" s="28"/>
      <c r="K82" s="28"/>
      <c r="L82" s="60">
        <v>-3</v>
      </c>
      <c r="M82" s="28"/>
      <c r="N82" s="131"/>
    </row>
    <row r="83" spans="1:14" ht="15.75">
      <c r="A83" s="27">
        <v>3</v>
      </c>
      <c r="B83" s="28" t="s">
        <v>56</v>
      </c>
      <c r="C83" s="28"/>
      <c r="D83" s="28"/>
      <c r="E83" s="28"/>
      <c r="F83" s="28"/>
      <c r="G83" s="28"/>
      <c r="H83" s="28"/>
      <c r="I83" s="28"/>
      <c r="J83" s="28"/>
      <c r="K83" s="28"/>
      <c r="L83" s="60">
        <v>-134</v>
      </c>
      <c r="M83" s="28"/>
      <c r="N83" s="131"/>
    </row>
    <row r="84" spans="1:14" ht="15.75">
      <c r="A84" s="27">
        <v>4</v>
      </c>
      <c r="B84" s="28" t="s">
        <v>57</v>
      </c>
      <c r="C84" s="28"/>
      <c r="D84" s="28"/>
      <c r="E84" s="28"/>
      <c r="F84" s="28"/>
      <c r="G84" s="28"/>
      <c r="H84" s="28"/>
      <c r="I84" s="28"/>
      <c r="J84" s="28"/>
      <c r="K84" s="28"/>
      <c r="L84" s="60">
        <v>110</v>
      </c>
      <c r="M84" s="28"/>
      <c r="N84" s="131"/>
    </row>
    <row r="85" spans="1:14" ht="15.75">
      <c r="A85" s="27">
        <v>5</v>
      </c>
      <c r="B85" s="28" t="s">
        <v>58</v>
      </c>
      <c r="C85" s="28"/>
      <c r="D85" s="28"/>
      <c r="E85" s="28"/>
      <c r="F85" s="28"/>
      <c r="G85" s="28"/>
      <c r="H85" s="28"/>
      <c r="I85" s="28"/>
      <c r="J85" s="28"/>
      <c r="K85" s="28"/>
      <c r="L85" s="60">
        <v>-2517</v>
      </c>
      <c r="M85" s="28"/>
      <c r="N85" s="131"/>
    </row>
    <row r="86" spans="1:14" ht="15.75">
      <c r="A86" s="27">
        <v>6</v>
      </c>
      <c r="B86" s="28" t="s">
        <v>59</v>
      </c>
      <c r="C86" s="28"/>
      <c r="D86" s="28"/>
      <c r="E86" s="28"/>
      <c r="F86" s="28"/>
      <c r="G86" s="28"/>
      <c r="H86" s="28"/>
      <c r="I86" s="28"/>
      <c r="J86" s="28"/>
      <c r="K86" s="28"/>
      <c r="L86" s="60">
        <v>-295</v>
      </c>
      <c r="M86" s="28"/>
      <c r="N86" s="131"/>
    </row>
    <row r="87" spans="1:14" ht="15.75">
      <c r="A87" s="27">
        <v>7</v>
      </c>
      <c r="B87" s="28" t="s">
        <v>60</v>
      </c>
      <c r="C87" s="28"/>
      <c r="D87" s="28"/>
      <c r="E87" s="28"/>
      <c r="F87" s="28"/>
      <c r="G87" s="28"/>
      <c r="H87" s="28"/>
      <c r="I87" s="28"/>
      <c r="J87" s="28"/>
      <c r="K87" s="28"/>
      <c r="L87" s="60">
        <v>-3</v>
      </c>
      <c r="M87" s="28"/>
      <c r="N87" s="131"/>
    </row>
    <row r="88" spans="1:14" ht="15.75">
      <c r="A88" s="27">
        <v>8</v>
      </c>
      <c r="B88" s="28" t="s">
        <v>61</v>
      </c>
      <c r="C88" s="28"/>
      <c r="D88" s="28"/>
      <c r="E88" s="28"/>
      <c r="F88" s="28"/>
      <c r="G88" s="28"/>
      <c r="H88" s="28"/>
      <c r="I88" s="28"/>
      <c r="J88" s="28"/>
      <c r="K88" s="28"/>
      <c r="L88" s="60">
        <v>0</v>
      </c>
      <c r="M88" s="28"/>
      <c r="N88" s="131"/>
    </row>
    <row r="89" spans="1:14" ht="15.75">
      <c r="A89" s="27">
        <v>9</v>
      </c>
      <c r="B89" s="28" t="s">
        <v>62</v>
      </c>
      <c r="C89" s="28"/>
      <c r="D89" s="28"/>
      <c r="E89" s="28"/>
      <c r="F89" s="28"/>
      <c r="G89" s="28"/>
      <c r="H89" s="28"/>
      <c r="I89" s="28"/>
      <c r="J89" s="28"/>
      <c r="K89" s="28"/>
      <c r="L89" s="60">
        <v>0</v>
      </c>
      <c r="M89" s="28"/>
      <c r="N89" s="131"/>
    </row>
    <row r="90" spans="1:14" ht="15.75">
      <c r="A90" s="27">
        <v>10</v>
      </c>
      <c r="B90" s="28" t="s">
        <v>63</v>
      </c>
      <c r="C90" s="28"/>
      <c r="D90" s="28"/>
      <c r="E90" s="28"/>
      <c r="F90" s="28"/>
      <c r="G90" s="28"/>
      <c r="H90" s="28"/>
      <c r="I90" s="28"/>
      <c r="J90" s="28"/>
      <c r="K90" s="28"/>
      <c r="L90" s="60">
        <v>0</v>
      </c>
      <c r="M90" s="28"/>
      <c r="N90" s="131"/>
    </row>
    <row r="91" spans="1:14" ht="15.75">
      <c r="A91" s="27">
        <v>11</v>
      </c>
      <c r="B91" s="28" t="s">
        <v>64</v>
      </c>
      <c r="C91" s="28"/>
      <c r="D91" s="28"/>
      <c r="E91" s="28"/>
      <c r="F91" s="28"/>
      <c r="G91" s="28"/>
      <c r="H91" s="28"/>
      <c r="I91" s="28"/>
      <c r="J91" s="28"/>
      <c r="K91" s="28"/>
      <c r="L91" s="60">
        <v>0</v>
      </c>
      <c r="M91" s="28"/>
      <c r="N91" s="131"/>
    </row>
    <row r="92" spans="1:14" ht="15.75">
      <c r="A92" s="27">
        <v>12</v>
      </c>
      <c r="B92" s="28" t="s">
        <v>65</v>
      </c>
      <c r="C92" s="28"/>
      <c r="D92" s="28"/>
      <c r="E92" s="28"/>
      <c r="F92" s="28"/>
      <c r="G92" s="28"/>
      <c r="H92" s="28"/>
      <c r="I92" s="28"/>
      <c r="J92" s="28"/>
      <c r="K92" s="28"/>
      <c r="L92" s="60">
        <v>-149</v>
      </c>
      <c r="M92" s="28"/>
      <c r="N92" s="131"/>
    </row>
    <row r="93" spans="1:14" ht="15.75">
      <c r="A93" s="27">
        <v>13</v>
      </c>
      <c r="B93" s="28" t="s">
        <v>66</v>
      </c>
      <c r="C93" s="28"/>
      <c r="D93" s="28"/>
      <c r="E93" s="28"/>
      <c r="F93" s="28"/>
      <c r="G93" s="28"/>
      <c r="H93" s="28"/>
      <c r="I93" s="28"/>
      <c r="J93" s="28"/>
      <c r="K93" s="28"/>
      <c r="L93" s="60">
        <f>-SUM(L79:L92)</f>
        <v>-501</v>
      </c>
      <c r="M93" s="28"/>
      <c r="N93" s="131"/>
    </row>
    <row r="94" spans="1:14" ht="15.75">
      <c r="A94" s="27"/>
      <c r="B94" s="166" t="s">
        <v>67</v>
      </c>
      <c r="C94" s="66"/>
      <c r="D94" s="28"/>
      <c r="E94" s="28"/>
      <c r="F94" s="28"/>
      <c r="G94" s="28"/>
      <c r="H94" s="28"/>
      <c r="I94" s="28"/>
      <c r="J94" s="28"/>
      <c r="K94" s="28"/>
      <c r="L94" s="67"/>
      <c r="M94" s="28"/>
      <c r="N94" s="131"/>
    </row>
    <row r="95" spans="1:14" ht="15.75">
      <c r="A95" s="27"/>
      <c r="B95" s="28" t="s">
        <v>68</v>
      </c>
      <c r="C95" s="66"/>
      <c r="D95" s="28"/>
      <c r="E95" s="28"/>
      <c r="F95" s="28"/>
      <c r="G95" s="28"/>
      <c r="H95" s="28"/>
      <c r="I95" s="28"/>
      <c r="J95" s="38">
        <f>-J141</f>
        <v>-68</v>
      </c>
      <c r="K95" s="38"/>
      <c r="L95" s="60"/>
      <c r="M95" s="28"/>
      <c r="N95" s="131"/>
    </row>
    <row r="96" spans="1:14" ht="15.75">
      <c r="A96" s="27"/>
      <c r="B96" s="28" t="s">
        <v>69</v>
      </c>
      <c r="C96" s="28"/>
      <c r="D96" s="28"/>
      <c r="E96" s="28"/>
      <c r="F96" s="28"/>
      <c r="G96" s="28"/>
      <c r="H96" s="28"/>
      <c r="I96" s="28"/>
      <c r="J96" s="38">
        <f>-H141</f>
        <v>-1819</v>
      </c>
      <c r="K96" s="38"/>
      <c r="L96" s="60"/>
      <c r="M96" s="28"/>
      <c r="N96" s="131"/>
    </row>
    <row r="97" spans="1:14" ht="15.75">
      <c r="A97" s="27"/>
      <c r="B97" s="28" t="s">
        <v>70</v>
      </c>
      <c r="C97" s="28"/>
      <c r="D97" s="28"/>
      <c r="E97" s="28"/>
      <c r="F97" s="28"/>
      <c r="G97" s="28"/>
      <c r="H97" s="28"/>
      <c r="I97" s="28"/>
      <c r="J97" s="38">
        <v>-2521</v>
      </c>
      <c r="K97" s="38"/>
      <c r="L97" s="60"/>
      <c r="M97" s="28"/>
      <c r="N97" s="131"/>
    </row>
    <row r="98" spans="1:14" ht="15.75">
      <c r="A98" s="27"/>
      <c r="B98" s="28" t="s">
        <v>71</v>
      </c>
      <c r="C98" s="28"/>
      <c r="D98" s="28"/>
      <c r="E98" s="28"/>
      <c r="F98" s="28"/>
      <c r="G98" s="28"/>
      <c r="H98" s="28"/>
      <c r="I98" s="28"/>
      <c r="J98" s="38">
        <v>0</v>
      </c>
      <c r="K98" s="38"/>
      <c r="L98" s="60"/>
      <c r="M98" s="28"/>
      <c r="N98" s="131"/>
    </row>
    <row r="99" spans="1:14" ht="15.75">
      <c r="A99" s="27"/>
      <c r="B99" s="28" t="s">
        <v>72</v>
      </c>
      <c r="C99" s="28"/>
      <c r="D99" s="28"/>
      <c r="E99" s="28"/>
      <c r="F99" s="28"/>
      <c r="G99" s="28"/>
      <c r="H99" s="28"/>
      <c r="I99" s="28"/>
      <c r="J99" s="38">
        <f>SUM(J80:J98)</f>
        <v>-4408</v>
      </c>
      <c r="K99" s="38"/>
      <c r="L99" s="38">
        <f>SUM(L80:L98)</f>
        <v>-3492</v>
      </c>
      <c r="M99" s="28"/>
      <c r="N99" s="131"/>
    </row>
    <row r="100" spans="1:14" ht="15.75">
      <c r="A100" s="27"/>
      <c r="B100" s="28" t="s">
        <v>73</v>
      </c>
      <c r="C100" s="28"/>
      <c r="D100" s="28"/>
      <c r="E100" s="28"/>
      <c r="F100" s="28"/>
      <c r="G100" s="28"/>
      <c r="H100" s="28"/>
      <c r="I100" s="28"/>
      <c r="J100" s="38">
        <f>J79+J99</f>
        <v>0</v>
      </c>
      <c r="K100" s="38"/>
      <c r="L100" s="38">
        <f>L79+L99</f>
        <v>0</v>
      </c>
      <c r="M100" s="28"/>
      <c r="N100" s="131"/>
    </row>
    <row r="101" spans="1:14" ht="15.75">
      <c r="A101" s="27"/>
      <c r="B101" s="28"/>
      <c r="C101" s="28"/>
      <c r="D101" s="28"/>
      <c r="E101" s="28"/>
      <c r="F101" s="28"/>
      <c r="G101" s="28"/>
      <c r="H101" s="28"/>
      <c r="I101" s="28"/>
      <c r="J101" s="38"/>
      <c r="K101" s="38"/>
      <c r="L101" s="38"/>
      <c r="M101" s="28"/>
      <c r="N101" s="131"/>
    </row>
    <row r="102" spans="1:14" ht="15.75">
      <c r="A102" s="8"/>
      <c r="B102" s="10"/>
      <c r="C102" s="10"/>
      <c r="D102" s="10"/>
      <c r="E102" s="10"/>
      <c r="F102" s="10"/>
      <c r="G102" s="10"/>
      <c r="H102" s="10"/>
      <c r="I102" s="10"/>
      <c r="J102" s="62"/>
      <c r="K102" s="62"/>
      <c r="L102" s="62"/>
      <c r="M102" s="10"/>
      <c r="N102" s="131"/>
    </row>
    <row r="103" spans="1:14" ht="19.5" thickBot="1">
      <c r="A103" s="138"/>
      <c r="B103" s="139" t="s">
        <v>198</v>
      </c>
      <c r="C103" s="140"/>
      <c r="D103" s="140"/>
      <c r="E103" s="140"/>
      <c r="F103" s="140"/>
      <c r="G103" s="140"/>
      <c r="H103" s="140"/>
      <c r="I103" s="140"/>
      <c r="J103" s="143"/>
      <c r="K103" s="143"/>
      <c r="L103" s="143"/>
      <c r="M103" s="142"/>
      <c r="N103" s="131"/>
    </row>
    <row r="104" spans="1:14" ht="12" customHeight="1">
      <c r="A104" s="2"/>
      <c r="B104" s="5"/>
      <c r="C104" s="5"/>
      <c r="D104" s="5"/>
      <c r="E104" s="5"/>
      <c r="F104" s="5"/>
      <c r="G104" s="5"/>
      <c r="H104" s="5"/>
      <c r="I104" s="5"/>
      <c r="J104" s="5"/>
      <c r="K104" s="5"/>
      <c r="L104" s="57"/>
      <c r="M104" s="5"/>
      <c r="N104" s="131"/>
    </row>
    <row r="105" spans="1:14" ht="12" customHeight="1">
      <c r="A105" s="8"/>
      <c r="B105" s="10"/>
      <c r="C105" s="10"/>
      <c r="D105" s="10"/>
      <c r="E105" s="10"/>
      <c r="F105" s="10"/>
      <c r="G105" s="10"/>
      <c r="H105" s="10"/>
      <c r="I105" s="10"/>
      <c r="J105" s="10"/>
      <c r="K105" s="10"/>
      <c r="L105" s="59"/>
      <c r="M105" s="10"/>
      <c r="N105" s="131"/>
    </row>
    <row r="106" spans="1:14" ht="15.75">
      <c r="A106" s="8"/>
      <c r="B106" s="58" t="s">
        <v>74</v>
      </c>
      <c r="C106" s="16"/>
      <c r="D106" s="10"/>
      <c r="E106" s="10"/>
      <c r="F106" s="10"/>
      <c r="G106" s="10"/>
      <c r="H106" s="10"/>
      <c r="I106" s="10"/>
      <c r="J106" s="10"/>
      <c r="K106" s="10"/>
      <c r="L106" s="59"/>
      <c r="M106" s="10"/>
      <c r="N106" s="131"/>
    </row>
    <row r="107" spans="1:14" ht="15.75">
      <c r="A107" s="8"/>
      <c r="B107" s="23"/>
      <c r="C107" s="16"/>
      <c r="D107" s="10"/>
      <c r="E107" s="10"/>
      <c r="F107" s="10"/>
      <c r="G107" s="10"/>
      <c r="H107" s="10"/>
      <c r="I107" s="10"/>
      <c r="J107" s="10"/>
      <c r="K107" s="10"/>
      <c r="L107" s="59"/>
      <c r="M107" s="10"/>
      <c r="N107" s="131"/>
    </row>
    <row r="108" spans="1:14" ht="15.75">
      <c r="A108" s="8"/>
      <c r="B108" s="167" t="s">
        <v>75</v>
      </c>
      <c r="C108" s="16"/>
      <c r="D108" s="10"/>
      <c r="E108" s="10"/>
      <c r="F108" s="10"/>
      <c r="G108" s="10"/>
      <c r="H108" s="10"/>
      <c r="I108" s="10"/>
      <c r="J108" s="10"/>
      <c r="K108" s="10"/>
      <c r="L108" s="59"/>
      <c r="M108" s="10"/>
      <c r="N108" s="131"/>
    </row>
    <row r="109" spans="1:14" ht="15.75">
      <c r="A109" s="27"/>
      <c r="B109" s="28" t="s">
        <v>76</v>
      </c>
      <c r="C109" s="28"/>
      <c r="D109" s="28"/>
      <c r="E109" s="28"/>
      <c r="F109" s="28"/>
      <c r="G109" s="28"/>
      <c r="H109" s="28"/>
      <c r="I109" s="28"/>
      <c r="J109" s="28"/>
      <c r="K109" s="28"/>
      <c r="L109" s="60">
        <v>4625</v>
      </c>
      <c r="M109" s="28"/>
      <c r="N109" s="131"/>
    </row>
    <row r="110" spans="1:14" ht="15.75">
      <c r="A110" s="27"/>
      <c r="B110" s="28" t="s">
        <v>77</v>
      </c>
      <c r="C110" s="28"/>
      <c r="D110" s="28"/>
      <c r="E110" s="28"/>
      <c r="F110" s="28"/>
      <c r="G110" s="28"/>
      <c r="H110" s="28"/>
      <c r="I110" s="28"/>
      <c r="J110" s="28"/>
      <c r="K110" s="28"/>
      <c r="L110" s="60">
        <v>4625</v>
      </c>
      <c r="M110" s="28"/>
      <c r="N110" s="131"/>
    </row>
    <row r="111" spans="1:14" ht="15.75">
      <c r="A111" s="27"/>
      <c r="B111" s="28" t="s">
        <v>78</v>
      </c>
      <c r="C111" s="28"/>
      <c r="D111" s="28"/>
      <c r="E111" s="28"/>
      <c r="F111" s="28"/>
      <c r="G111" s="28"/>
      <c r="H111" s="28"/>
      <c r="I111" s="28"/>
      <c r="J111" s="28"/>
      <c r="K111" s="28"/>
      <c r="L111" s="60">
        <v>0</v>
      </c>
      <c r="M111" s="28"/>
      <c r="N111" s="131"/>
    </row>
    <row r="112" spans="1:14" ht="15.75">
      <c r="A112" s="27"/>
      <c r="B112" s="28" t="s">
        <v>79</v>
      </c>
      <c r="C112" s="28"/>
      <c r="D112" s="28"/>
      <c r="E112" s="28"/>
      <c r="F112" s="28"/>
      <c r="G112" s="28"/>
      <c r="H112" s="28"/>
      <c r="I112" s="28"/>
      <c r="J112" s="28"/>
      <c r="K112" s="28"/>
      <c r="L112" s="60">
        <v>0</v>
      </c>
      <c r="M112" s="28"/>
      <c r="N112" s="131"/>
    </row>
    <row r="113" spans="1:14" ht="15.75">
      <c r="A113" s="27"/>
      <c r="B113" s="28" t="s">
        <v>80</v>
      </c>
      <c r="C113" s="28"/>
      <c r="D113" s="28"/>
      <c r="E113" s="28"/>
      <c r="F113" s="28"/>
      <c r="G113" s="28"/>
      <c r="H113" s="28"/>
      <c r="I113" s="28"/>
      <c r="J113" s="28"/>
      <c r="K113" s="28"/>
      <c r="L113" s="60">
        <v>0</v>
      </c>
      <c r="M113" s="28"/>
      <c r="N113" s="131"/>
    </row>
    <row r="114" spans="1:14" ht="15.75">
      <c r="A114" s="27"/>
      <c r="B114" s="28" t="s">
        <v>58</v>
      </c>
      <c r="C114" s="28"/>
      <c r="D114" s="28"/>
      <c r="E114" s="28"/>
      <c r="F114" s="28"/>
      <c r="G114" s="28"/>
      <c r="H114" s="28"/>
      <c r="I114" s="28"/>
      <c r="J114" s="28"/>
      <c r="K114" s="28"/>
      <c r="L114" s="60">
        <v>0</v>
      </c>
      <c r="M114" s="28"/>
      <c r="N114" s="131"/>
    </row>
    <row r="115" spans="1:14" ht="15.75">
      <c r="A115" s="27"/>
      <c r="B115" s="28" t="s">
        <v>59</v>
      </c>
      <c r="C115" s="28"/>
      <c r="D115" s="28"/>
      <c r="E115" s="28"/>
      <c r="F115" s="28"/>
      <c r="G115" s="28"/>
      <c r="H115" s="28"/>
      <c r="I115" s="28"/>
      <c r="J115" s="28"/>
      <c r="K115" s="28"/>
      <c r="L115" s="60">
        <v>0</v>
      </c>
      <c r="M115" s="28"/>
      <c r="N115" s="131"/>
    </row>
    <row r="116" spans="1:14" ht="15.75">
      <c r="A116" s="27"/>
      <c r="B116" s="28" t="s">
        <v>81</v>
      </c>
      <c r="C116" s="28"/>
      <c r="D116" s="28"/>
      <c r="E116" s="28"/>
      <c r="F116" s="28"/>
      <c r="G116" s="28"/>
      <c r="H116" s="28"/>
      <c r="I116" s="28"/>
      <c r="J116" s="28"/>
      <c r="K116" s="28"/>
      <c r="L116" s="60">
        <f>SUM(L110:L114)</f>
        <v>4625</v>
      </c>
      <c r="M116" s="28"/>
      <c r="N116" s="131"/>
    </row>
    <row r="117" spans="1:14" ht="15.75">
      <c r="A117" s="27"/>
      <c r="B117" s="28"/>
      <c r="C117" s="28"/>
      <c r="D117" s="28"/>
      <c r="E117" s="28"/>
      <c r="F117" s="28"/>
      <c r="G117" s="28"/>
      <c r="H117" s="28"/>
      <c r="I117" s="28"/>
      <c r="J117" s="28"/>
      <c r="K117" s="28"/>
      <c r="L117" s="68"/>
      <c r="M117" s="28"/>
      <c r="N117" s="131"/>
    </row>
    <row r="118" spans="1:14" ht="15.75">
      <c r="A118" s="8"/>
      <c r="B118" s="167" t="s">
        <v>82</v>
      </c>
      <c r="C118" s="10"/>
      <c r="D118" s="10"/>
      <c r="E118" s="10"/>
      <c r="F118" s="10"/>
      <c r="G118" s="10"/>
      <c r="H118" s="10"/>
      <c r="I118" s="10"/>
      <c r="J118" s="10"/>
      <c r="K118" s="10"/>
      <c r="L118" s="59"/>
      <c r="M118" s="10"/>
      <c r="N118" s="131"/>
    </row>
    <row r="119" spans="1:14" ht="15.75">
      <c r="A119" s="27"/>
      <c r="B119" s="28" t="s">
        <v>83</v>
      </c>
      <c r="C119" s="28"/>
      <c r="D119" s="69"/>
      <c r="E119" s="28"/>
      <c r="F119" s="28"/>
      <c r="G119" s="28"/>
      <c r="H119" s="28"/>
      <c r="I119" s="28"/>
      <c r="J119" s="28"/>
      <c r="K119" s="28"/>
      <c r="L119" s="70" t="s">
        <v>156</v>
      </c>
      <c r="M119" s="28"/>
      <c r="N119" s="131"/>
    </row>
    <row r="120" spans="1:14" ht="15.75">
      <c r="A120" s="27"/>
      <c r="B120" s="28" t="s">
        <v>84</v>
      </c>
      <c r="C120" s="30"/>
      <c r="D120" s="30"/>
      <c r="E120" s="30"/>
      <c r="F120" s="30"/>
      <c r="G120" s="30"/>
      <c r="H120" s="30"/>
      <c r="I120" s="30"/>
      <c r="J120" s="30"/>
      <c r="K120" s="30"/>
      <c r="L120" s="70" t="s">
        <v>156</v>
      </c>
      <c r="M120" s="28"/>
      <c r="N120" s="131"/>
    </row>
    <row r="121" spans="1:14" ht="15.75">
      <c r="A121" s="27"/>
      <c r="B121" s="28" t="s">
        <v>85</v>
      </c>
      <c r="C121" s="28"/>
      <c r="D121" s="28"/>
      <c r="E121" s="28"/>
      <c r="F121" s="28"/>
      <c r="G121" s="28"/>
      <c r="H121" s="28"/>
      <c r="I121" s="28"/>
      <c r="J121" s="28"/>
      <c r="K121" s="28"/>
      <c r="L121" s="70" t="s">
        <v>156</v>
      </c>
      <c r="M121" s="28"/>
      <c r="N121" s="131"/>
    </row>
    <row r="122" spans="1:14" ht="15.75">
      <c r="A122" s="27"/>
      <c r="B122" s="28" t="s">
        <v>86</v>
      </c>
      <c r="C122" s="28"/>
      <c r="D122" s="28"/>
      <c r="E122" s="28"/>
      <c r="F122" s="28"/>
      <c r="G122" s="28"/>
      <c r="H122" s="28"/>
      <c r="I122" s="28"/>
      <c r="J122" s="28"/>
      <c r="K122" s="28"/>
      <c r="L122" s="70" t="s">
        <v>156</v>
      </c>
      <c r="M122" s="28"/>
      <c r="N122" s="131"/>
    </row>
    <row r="123" spans="1:14" ht="15.75">
      <c r="A123" s="27"/>
      <c r="B123" s="28"/>
      <c r="C123" s="28"/>
      <c r="D123" s="28"/>
      <c r="E123" s="28"/>
      <c r="F123" s="28"/>
      <c r="G123" s="28"/>
      <c r="H123" s="28"/>
      <c r="I123" s="28"/>
      <c r="J123" s="28"/>
      <c r="K123" s="28"/>
      <c r="L123" s="68"/>
      <c r="M123" s="28"/>
      <c r="N123" s="131"/>
    </row>
    <row r="124" spans="1:14" ht="15.75">
      <c r="A124" s="8"/>
      <c r="B124" s="167" t="s">
        <v>87</v>
      </c>
      <c r="C124" s="16"/>
      <c r="D124" s="10"/>
      <c r="E124" s="10"/>
      <c r="F124" s="10"/>
      <c r="G124" s="10"/>
      <c r="H124" s="10"/>
      <c r="I124" s="10"/>
      <c r="J124" s="10"/>
      <c r="K124" s="10"/>
      <c r="L124" s="71"/>
      <c r="M124" s="10"/>
      <c r="N124" s="131"/>
    </row>
    <row r="125" spans="1:14" ht="15.75">
      <c r="A125" s="27"/>
      <c r="B125" s="28" t="s">
        <v>88</v>
      </c>
      <c r="C125" s="28"/>
      <c r="D125" s="28"/>
      <c r="E125" s="28"/>
      <c r="F125" s="28"/>
      <c r="G125" s="28"/>
      <c r="H125" s="28"/>
      <c r="I125" s="28"/>
      <c r="J125" s="28"/>
      <c r="K125" s="28"/>
      <c r="L125" s="60">
        <v>0</v>
      </c>
      <c r="M125" s="28"/>
      <c r="N125" s="131"/>
    </row>
    <row r="126" spans="1:14" ht="15.75">
      <c r="A126" s="27"/>
      <c r="B126" s="28" t="s">
        <v>89</v>
      </c>
      <c r="C126" s="28"/>
      <c r="D126" s="28"/>
      <c r="E126" s="28"/>
      <c r="F126" s="28"/>
      <c r="G126" s="28"/>
      <c r="H126" s="28"/>
      <c r="I126" s="28"/>
      <c r="J126" s="28"/>
      <c r="K126" s="28"/>
      <c r="L126" s="60">
        <v>0</v>
      </c>
      <c r="M126" s="28"/>
      <c r="N126" s="131"/>
    </row>
    <row r="127" spans="1:14" ht="15.75">
      <c r="A127" s="27"/>
      <c r="B127" s="28" t="s">
        <v>90</v>
      </c>
      <c r="C127" s="28"/>
      <c r="D127" s="28"/>
      <c r="E127" s="28"/>
      <c r="F127" s="28"/>
      <c r="G127" s="28"/>
      <c r="H127" s="28"/>
      <c r="I127" s="28"/>
      <c r="J127" s="28"/>
      <c r="K127" s="28"/>
      <c r="L127" s="60">
        <f>L126+L125</f>
        <v>0</v>
      </c>
      <c r="M127" s="28"/>
      <c r="N127" s="131"/>
    </row>
    <row r="128" spans="1:14" ht="15.75">
      <c r="A128" s="27"/>
      <c r="B128" s="28" t="s">
        <v>91</v>
      </c>
      <c r="C128" s="28"/>
      <c r="D128" s="28"/>
      <c r="E128" s="28"/>
      <c r="F128" s="28"/>
      <c r="G128" s="28"/>
      <c r="H128" s="72"/>
      <c r="I128" s="28"/>
      <c r="J128" s="28"/>
      <c r="K128" s="28"/>
      <c r="L128" s="60">
        <v>0</v>
      </c>
      <c r="M128" s="28"/>
      <c r="N128" s="131"/>
    </row>
    <row r="129" spans="1:14" ht="15.75">
      <c r="A129" s="27"/>
      <c r="B129" s="28" t="s">
        <v>92</v>
      </c>
      <c r="C129" s="28"/>
      <c r="D129" s="28"/>
      <c r="E129" s="28"/>
      <c r="F129" s="28"/>
      <c r="G129" s="28"/>
      <c r="H129" s="28"/>
      <c r="I129" s="28"/>
      <c r="J129" s="28"/>
      <c r="K129" s="28"/>
      <c r="L129" s="60">
        <f>L127+L128</f>
        <v>0</v>
      </c>
      <c r="M129" s="28"/>
      <c r="N129" s="131"/>
    </row>
    <row r="130" spans="1:14" ht="7.5" customHeight="1">
      <c r="A130" s="27"/>
      <c r="B130" s="28"/>
      <c r="C130" s="28"/>
      <c r="D130" s="28"/>
      <c r="E130" s="28"/>
      <c r="F130" s="28"/>
      <c r="G130" s="28"/>
      <c r="H130" s="28"/>
      <c r="I130" s="28"/>
      <c r="J130" s="28"/>
      <c r="K130" s="28"/>
      <c r="L130" s="68"/>
      <c r="M130" s="28"/>
      <c r="N130" s="131"/>
    </row>
    <row r="131" spans="1:14" ht="6" customHeight="1">
      <c r="A131" s="2"/>
      <c r="B131" s="5"/>
      <c r="C131" s="5"/>
      <c r="D131" s="5"/>
      <c r="E131" s="5"/>
      <c r="F131" s="5"/>
      <c r="G131" s="5"/>
      <c r="H131" s="5"/>
      <c r="I131" s="5"/>
      <c r="J131" s="5"/>
      <c r="K131" s="5"/>
      <c r="L131" s="57"/>
      <c r="M131" s="5"/>
      <c r="N131" s="131"/>
    </row>
    <row r="132" spans="1:14" ht="15.75">
      <c r="A132" s="8"/>
      <c r="B132" s="167" t="s">
        <v>93</v>
      </c>
      <c r="C132" s="16"/>
      <c r="D132" s="10"/>
      <c r="E132" s="10"/>
      <c r="F132" s="10"/>
      <c r="G132" s="10"/>
      <c r="H132" s="10"/>
      <c r="I132" s="10"/>
      <c r="J132" s="10"/>
      <c r="K132" s="10"/>
      <c r="L132" s="59"/>
      <c r="M132" s="10"/>
      <c r="N132" s="131"/>
    </row>
    <row r="133" spans="1:14" ht="15.75">
      <c r="A133" s="8"/>
      <c r="B133" s="23"/>
      <c r="C133" s="16"/>
      <c r="D133" s="10"/>
      <c r="E133" s="10"/>
      <c r="F133" s="10"/>
      <c r="G133" s="10"/>
      <c r="H133" s="10"/>
      <c r="I133" s="10"/>
      <c r="J133" s="10"/>
      <c r="K133" s="10"/>
      <c r="L133" s="59"/>
      <c r="M133" s="10"/>
      <c r="N133" s="131"/>
    </row>
    <row r="134" spans="1:14" ht="15.75">
      <c r="A134" s="27"/>
      <c r="B134" s="28" t="s">
        <v>94</v>
      </c>
      <c r="C134" s="73"/>
      <c r="D134" s="28"/>
      <c r="E134" s="28"/>
      <c r="F134" s="28"/>
      <c r="G134" s="28"/>
      <c r="H134" s="28"/>
      <c r="I134" s="28"/>
      <c r="J134" s="28"/>
      <c r="K134" s="28"/>
      <c r="L134" s="60">
        <f>L57</f>
        <v>171180</v>
      </c>
      <c r="M134" s="28"/>
      <c r="N134" s="131"/>
    </row>
    <row r="135" spans="1:14" ht="15.75">
      <c r="A135" s="27"/>
      <c r="B135" s="28" t="s">
        <v>95</v>
      </c>
      <c r="C135" s="73"/>
      <c r="D135" s="28"/>
      <c r="E135" s="28"/>
      <c r="F135" s="28"/>
      <c r="G135" s="28"/>
      <c r="H135" s="28"/>
      <c r="I135" s="28"/>
      <c r="J135" s="28"/>
      <c r="K135" s="28"/>
      <c r="L135" s="60">
        <f>L69</f>
        <v>171180</v>
      </c>
      <c r="M135" s="28"/>
      <c r="N135" s="131"/>
    </row>
    <row r="136" spans="1:14" ht="7.5" customHeight="1">
      <c r="A136" s="27"/>
      <c r="B136" s="28"/>
      <c r="C136" s="28"/>
      <c r="D136" s="28"/>
      <c r="E136" s="28"/>
      <c r="F136" s="28"/>
      <c r="G136" s="28"/>
      <c r="H136" s="28"/>
      <c r="I136" s="28"/>
      <c r="J136" s="28"/>
      <c r="K136" s="28"/>
      <c r="L136" s="68"/>
      <c r="M136" s="28"/>
      <c r="N136" s="131"/>
    </row>
    <row r="137" spans="1:14" ht="15.75">
      <c r="A137" s="2"/>
      <c r="B137" s="5"/>
      <c r="C137" s="5"/>
      <c r="D137" s="5"/>
      <c r="E137" s="5"/>
      <c r="F137" s="5"/>
      <c r="G137" s="5"/>
      <c r="H137" s="5"/>
      <c r="I137" s="5"/>
      <c r="J137" s="5"/>
      <c r="K137" s="5"/>
      <c r="L137" s="57"/>
      <c r="M137" s="5"/>
      <c r="N137" s="131"/>
    </row>
    <row r="138" spans="1:14" ht="15.75">
      <c r="A138" s="132"/>
      <c r="B138" s="167" t="s">
        <v>96</v>
      </c>
      <c r="C138" s="154"/>
      <c r="D138" s="154"/>
      <c r="E138" s="154"/>
      <c r="F138" s="154"/>
      <c r="G138" s="154"/>
      <c r="H138" s="168" t="s">
        <v>171</v>
      </c>
      <c r="I138" s="168"/>
      <c r="J138" s="168" t="s">
        <v>178</v>
      </c>
      <c r="K138" s="154"/>
      <c r="L138" s="169" t="s">
        <v>191</v>
      </c>
      <c r="M138" s="12"/>
      <c r="N138" s="131"/>
    </row>
    <row r="139" spans="1:14" ht="15.75">
      <c r="A139" s="27"/>
      <c r="B139" s="28" t="s">
        <v>97</v>
      </c>
      <c r="C139" s="28"/>
      <c r="D139" s="28"/>
      <c r="E139" s="28"/>
      <c r="F139" s="28"/>
      <c r="G139" s="28"/>
      <c r="H139" s="60">
        <v>20000</v>
      </c>
      <c r="I139" s="28"/>
      <c r="J139" s="47"/>
      <c r="K139" s="28"/>
      <c r="L139" s="60"/>
      <c r="M139" s="28"/>
      <c r="N139" s="131"/>
    </row>
    <row r="140" spans="1:14" ht="15.75">
      <c r="A140" s="27"/>
      <c r="B140" s="28" t="s">
        <v>98</v>
      </c>
      <c r="C140" s="28"/>
      <c r="D140" s="28"/>
      <c r="E140" s="28"/>
      <c r="F140" s="28"/>
      <c r="G140" s="28"/>
      <c r="H140" s="60">
        <v>4133</v>
      </c>
      <c r="I140" s="28"/>
      <c r="J140" s="28">
        <v>428</v>
      </c>
      <c r="K140" s="28"/>
      <c r="L140" s="60">
        <f>J140+H140</f>
        <v>4561</v>
      </c>
      <c r="M140" s="28"/>
      <c r="N140" s="131"/>
    </row>
    <row r="141" spans="1:14" ht="15.75">
      <c r="A141" s="27"/>
      <c r="B141" s="28" t="s">
        <v>99</v>
      </c>
      <c r="C141" s="28"/>
      <c r="D141" s="28"/>
      <c r="E141" s="28"/>
      <c r="F141" s="28"/>
      <c r="G141" s="28"/>
      <c r="H141" s="38">
        <v>1819</v>
      </c>
      <c r="I141" s="28"/>
      <c r="J141" s="28">
        <v>68</v>
      </c>
      <c r="K141" s="28"/>
      <c r="L141" s="60">
        <f>J141+H141</f>
        <v>1887</v>
      </c>
      <c r="M141" s="28"/>
      <c r="N141" s="131"/>
    </row>
    <row r="142" spans="1:14" ht="15.75">
      <c r="A142" s="27"/>
      <c r="B142" s="28" t="s">
        <v>100</v>
      </c>
      <c r="C142" s="28"/>
      <c r="D142" s="28"/>
      <c r="E142" s="28"/>
      <c r="F142" s="28"/>
      <c r="G142" s="28"/>
      <c r="H142" s="60">
        <f>H140+H141</f>
        <v>5952</v>
      </c>
      <c r="I142" s="28"/>
      <c r="J142" s="60">
        <f>J141+J140</f>
        <v>496</v>
      </c>
      <c r="K142" s="28"/>
      <c r="L142" s="60">
        <f>J142+H142</f>
        <v>6448</v>
      </c>
      <c r="M142" s="28"/>
      <c r="N142" s="131"/>
    </row>
    <row r="143" spans="1:14" ht="15.75">
      <c r="A143" s="27"/>
      <c r="B143" s="28" t="s">
        <v>101</v>
      </c>
      <c r="C143" s="28"/>
      <c r="D143" s="28"/>
      <c r="E143" s="28"/>
      <c r="F143" s="28"/>
      <c r="G143" s="28"/>
      <c r="H143" s="60">
        <f>H139-H142</f>
        <v>14048</v>
      </c>
      <c r="I143" s="28"/>
      <c r="J143" s="47"/>
      <c r="K143" s="28"/>
      <c r="L143" s="60"/>
      <c r="M143" s="28"/>
      <c r="N143" s="131"/>
    </row>
    <row r="144" spans="1:14" ht="7.5" customHeight="1">
      <c r="A144" s="27"/>
      <c r="B144" s="28"/>
      <c r="C144" s="28"/>
      <c r="D144" s="28"/>
      <c r="E144" s="28"/>
      <c r="F144" s="28"/>
      <c r="G144" s="28"/>
      <c r="H144" s="28"/>
      <c r="I144" s="28"/>
      <c r="J144" s="28"/>
      <c r="K144" s="28"/>
      <c r="L144" s="68"/>
      <c r="M144" s="28"/>
      <c r="N144" s="131"/>
    </row>
    <row r="145" spans="1:14" ht="9" customHeight="1">
      <c r="A145" s="2"/>
      <c r="B145" s="5"/>
      <c r="C145" s="5"/>
      <c r="D145" s="5"/>
      <c r="E145" s="5"/>
      <c r="F145" s="5"/>
      <c r="G145" s="5"/>
      <c r="H145" s="5"/>
      <c r="I145" s="5"/>
      <c r="J145" s="5"/>
      <c r="K145" s="5"/>
      <c r="L145" s="57"/>
      <c r="M145" s="5"/>
      <c r="N145" s="131"/>
    </row>
    <row r="146" spans="1:14" ht="15.75">
      <c r="A146" s="8"/>
      <c r="B146" s="167" t="s">
        <v>102</v>
      </c>
      <c r="C146" s="16"/>
      <c r="D146" s="10"/>
      <c r="E146" s="10"/>
      <c r="F146" s="10"/>
      <c r="G146" s="10"/>
      <c r="H146" s="10"/>
      <c r="I146" s="10"/>
      <c r="J146" s="10"/>
      <c r="K146" s="10"/>
      <c r="L146" s="74"/>
      <c r="M146" s="10"/>
      <c r="N146" s="131"/>
    </row>
    <row r="147" spans="1:14" ht="15.75">
      <c r="A147" s="27"/>
      <c r="B147" s="28" t="s">
        <v>103</v>
      </c>
      <c r="C147" s="28"/>
      <c r="D147" s="28"/>
      <c r="E147" s="28"/>
      <c r="F147" s="28"/>
      <c r="G147" s="28"/>
      <c r="H147" s="28"/>
      <c r="I147" s="28"/>
      <c r="J147" s="28"/>
      <c r="K147" s="28"/>
      <c r="L147" s="67">
        <f>(L79+L81+L82+L83+L84)/-L85</f>
        <v>1.3766388557806912</v>
      </c>
      <c r="M147" s="28" t="s">
        <v>192</v>
      </c>
      <c r="N147" s="131"/>
    </row>
    <row r="148" spans="1:14" ht="15.75">
      <c r="A148" s="27"/>
      <c r="B148" s="28" t="s">
        <v>104</v>
      </c>
      <c r="C148" s="28"/>
      <c r="D148" s="28"/>
      <c r="E148" s="28"/>
      <c r="F148" s="28"/>
      <c r="G148" s="28"/>
      <c r="H148" s="28"/>
      <c r="I148" s="28"/>
      <c r="J148" s="28"/>
      <c r="K148" s="28"/>
      <c r="L148" s="67">
        <v>1.31</v>
      </c>
      <c r="M148" s="28" t="s">
        <v>192</v>
      </c>
      <c r="N148" s="131"/>
    </row>
    <row r="149" spans="1:14" ht="15.75">
      <c r="A149" s="27"/>
      <c r="B149" s="28" t="s">
        <v>105</v>
      </c>
      <c r="C149" s="28"/>
      <c r="D149" s="28"/>
      <c r="E149" s="28"/>
      <c r="F149" s="28"/>
      <c r="G149" s="28"/>
      <c r="H149" s="28"/>
      <c r="I149" s="28"/>
      <c r="J149" s="28"/>
      <c r="K149" s="28"/>
      <c r="L149" s="67">
        <f>(L79+SUM(L81:L85))/-L86</f>
        <v>3.2135593220338983</v>
      </c>
      <c r="M149" s="28" t="s">
        <v>192</v>
      </c>
      <c r="N149" s="131"/>
    </row>
    <row r="150" spans="1:14" ht="15.75">
      <c r="A150" s="27"/>
      <c r="B150" s="28" t="s">
        <v>106</v>
      </c>
      <c r="C150" s="28"/>
      <c r="D150" s="28"/>
      <c r="E150" s="28"/>
      <c r="F150" s="28"/>
      <c r="G150" s="28"/>
      <c r="H150" s="28"/>
      <c r="I150" s="28"/>
      <c r="J150" s="28"/>
      <c r="K150" s="28"/>
      <c r="L150" s="75">
        <v>2.72</v>
      </c>
      <c r="M150" s="28" t="s">
        <v>192</v>
      </c>
      <c r="N150" s="131"/>
    </row>
    <row r="151" spans="1:14" ht="7.5" customHeight="1">
      <c r="A151" s="27"/>
      <c r="B151" s="28"/>
      <c r="C151" s="28"/>
      <c r="D151" s="28"/>
      <c r="E151" s="28"/>
      <c r="F151" s="28"/>
      <c r="G151" s="28"/>
      <c r="H151" s="28"/>
      <c r="I151" s="28"/>
      <c r="J151" s="28"/>
      <c r="K151" s="28"/>
      <c r="L151" s="28"/>
      <c r="M151" s="28"/>
      <c r="N151" s="131"/>
    </row>
    <row r="152" spans="1:14" ht="15.75">
      <c r="A152" s="8"/>
      <c r="B152" s="15"/>
      <c r="C152" s="15"/>
      <c r="D152" s="15"/>
      <c r="E152" s="15"/>
      <c r="F152" s="15"/>
      <c r="G152" s="15"/>
      <c r="H152" s="15"/>
      <c r="I152" s="15"/>
      <c r="J152" s="15"/>
      <c r="K152" s="15"/>
      <c r="L152" s="15"/>
      <c r="M152" s="15"/>
      <c r="N152" s="131"/>
    </row>
    <row r="153" spans="1:14" ht="15.75">
      <c r="A153" s="8"/>
      <c r="B153" s="15"/>
      <c r="C153" s="15"/>
      <c r="D153" s="15"/>
      <c r="E153" s="15"/>
      <c r="F153" s="15"/>
      <c r="G153" s="15"/>
      <c r="H153" s="15"/>
      <c r="I153" s="15"/>
      <c r="J153" s="15"/>
      <c r="K153" s="15"/>
      <c r="L153" s="15"/>
      <c r="M153" s="15"/>
      <c r="N153" s="131"/>
    </row>
    <row r="154" spans="1:14" ht="19.5" thickBot="1">
      <c r="A154" s="138"/>
      <c r="B154" s="139" t="s">
        <v>198</v>
      </c>
      <c r="C154" s="144"/>
      <c r="D154" s="144"/>
      <c r="E154" s="144"/>
      <c r="F154" s="144"/>
      <c r="G154" s="144"/>
      <c r="H154" s="144"/>
      <c r="I154" s="144"/>
      <c r="J154" s="144"/>
      <c r="K154" s="144"/>
      <c r="L154" s="144"/>
      <c r="M154" s="145"/>
      <c r="N154" s="131"/>
    </row>
    <row r="155" spans="1:14" ht="15.75">
      <c r="A155" s="133"/>
      <c r="B155" s="77" t="s">
        <v>107</v>
      </c>
      <c r="C155" s="78"/>
      <c r="D155" s="78"/>
      <c r="E155" s="78"/>
      <c r="F155" s="78"/>
      <c r="G155" s="79"/>
      <c r="H155" s="79"/>
      <c r="I155" s="79"/>
      <c r="J155" s="79">
        <v>36799</v>
      </c>
      <c r="K155" s="80"/>
      <c r="L155" s="5"/>
      <c r="M155" s="5"/>
      <c r="N155" s="131"/>
    </row>
    <row r="156" spans="1:14" ht="15.75">
      <c r="A156" s="82"/>
      <c r="B156" s="83"/>
      <c r="C156" s="84"/>
      <c r="D156" s="84"/>
      <c r="E156" s="84"/>
      <c r="F156" s="84"/>
      <c r="G156" s="85"/>
      <c r="H156" s="85"/>
      <c r="I156" s="85"/>
      <c r="J156" s="85"/>
      <c r="K156" s="10"/>
      <c r="L156" s="10"/>
      <c r="M156" s="10"/>
      <c r="N156" s="131"/>
    </row>
    <row r="157" spans="1:14" ht="15.75">
      <c r="A157" s="86"/>
      <c r="B157" s="87" t="s">
        <v>108</v>
      </c>
      <c r="C157" s="88"/>
      <c r="D157" s="88"/>
      <c r="E157" s="88"/>
      <c r="F157" s="88"/>
      <c r="G157" s="72"/>
      <c r="H157" s="72"/>
      <c r="I157" s="72"/>
      <c r="J157" s="89">
        <v>0.0714</v>
      </c>
      <c r="K157" s="28"/>
      <c r="L157" s="28"/>
      <c r="M157" s="28"/>
      <c r="N157" s="131"/>
    </row>
    <row r="158" spans="1:14" ht="15.75">
      <c r="A158" s="86"/>
      <c r="B158" s="87" t="s">
        <v>109</v>
      </c>
      <c r="C158" s="88"/>
      <c r="D158" s="88"/>
      <c r="E158" s="88"/>
      <c r="F158" s="88"/>
      <c r="G158" s="72"/>
      <c r="H158" s="72"/>
      <c r="I158" s="72"/>
      <c r="J158" s="46">
        <v>0.0553</v>
      </c>
      <c r="K158" s="28"/>
      <c r="L158" s="28"/>
      <c r="M158" s="28"/>
      <c r="N158" s="131"/>
    </row>
    <row r="159" spans="1:14" ht="15.75">
      <c r="A159" s="86"/>
      <c r="B159" s="87" t="s">
        <v>110</v>
      </c>
      <c r="C159" s="88"/>
      <c r="D159" s="88"/>
      <c r="E159" s="88"/>
      <c r="F159" s="88"/>
      <c r="G159" s="72"/>
      <c r="H159" s="72"/>
      <c r="I159" s="72"/>
      <c r="J159" s="89">
        <f>J157-J158</f>
        <v>0.016100000000000003</v>
      </c>
      <c r="K159" s="28"/>
      <c r="L159" s="28"/>
      <c r="M159" s="28"/>
      <c r="N159" s="131"/>
    </row>
    <row r="160" spans="1:14" ht="15.75">
      <c r="A160" s="86"/>
      <c r="B160" s="87" t="s">
        <v>111</v>
      </c>
      <c r="C160" s="88"/>
      <c r="D160" s="88"/>
      <c r="E160" s="88"/>
      <c r="F160" s="88"/>
      <c r="G160" s="72"/>
      <c r="H160" s="72"/>
      <c r="I160" s="72"/>
      <c r="J160" s="89">
        <v>0.07573</v>
      </c>
      <c r="K160" s="28"/>
      <c r="L160" s="28"/>
      <c r="M160" s="28"/>
      <c r="N160" s="131"/>
    </row>
    <row r="161" spans="1:14" ht="15.75">
      <c r="A161" s="86"/>
      <c r="B161" s="87" t="s">
        <v>112</v>
      </c>
      <c r="C161" s="88"/>
      <c r="D161" s="88"/>
      <c r="E161" s="88"/>
      <c r="F161" s="88"/>
      <c r="G161" s="72"/>
      <c r="H161" s="72"/>
      <c r="I161" s="72"/>
      <c r="J161" s="89">
        <f>L31</f>
        <v>0.0651089195403273</v>
      </c>
      <c r="K161" s="28"/>
      <c r="L161" s="28"/>
      <c r="M161" s="28"/>
      <c r="N161" s="131"/>
    </row>
    <row r="162" spans="1:14" ht="15.75">
      <c r="A162" s="86"/>
      <c r="B162" s="87" t="s">
        <v>113</v>
      </c>
      <c r="C162" s="88"/>
      <c r="D162" s="88"/>
      <c r="E162" s="88"/>
      <c r="F162" s="88"/>
      <c r="G162" s="72"/>
      <c r="H162" s="72"/>
      <c r="I162" s="72"/>
      <c r="J162" s="89">
        <f>J160-J161</f>
        <v>0.010621080459672708</v>
      </c>
      <c r="K162" s="28"/>
      <c r="L162" s="28"/>
      <c r="M162" s="28"/>
      <c r="N162" s="131"/>
    </row>
    <row r="163" spans="1:14" ht="15.75">
      <c r="A163" s="86"/>
      <c r="B163" s="87" t="s">
        <v>114</v>
      </c>
      <c r="C163" s="88"/>
      <c r="D163" s="88"/>
      <c r="E163" s="88"/>
      <c r="F163" s="88"/>
      <c r="G163" s="72"/>
      <c r="H163" s="72"/>
      <c r="I163" s="72"/>
      <c r="J163" s="90" t="s">
        <v>179</v>
      </c>
      <c r="K163" s="28"/>
      <c r="L163" s="28"/>
      <c r="M163" s="28"/>
      <c r="N163" s="131"/>
    </row>
    <row r="164" spans="1:14" ht="15.75">
      <c r="A164" s="86"/>
      <c r="B164" s="87" t="s">
        <v>115</v>
      </c>
      <c r="C164" s="88"/>
      <c r="D164" s="88"/>
      <c r="E164" s="88"/>
      <c r="F164" s="88"/>
      <c r="G164" s="72"/>
      <c r="H164" s="72"/>
      <c r="I164" s="72"/>
      <c r="J164" s="90" t="s">
        <v>180</v>
      </c>
      <c r="K164" s="28"/>
      <c r="L164" s="28"/>
      <c r="M164" s="28"/>
      <c r="N164" s="131"/>
    </row>
    <row r="165" spans="1:14" ht="15.75">
      <c r="A165" s="86"/>
      <c r="B165" s="87" t="s">
        <v>116</v>
      </c>
      <c r="C165" s="88"/>
      <c r="D165" s="88"/>
      <c r="E165" s="88"/>
      <c r="F165" s="88"/>
      <c r="G165" s="72"/>
      <c r="H165" s="72"/>
      <c r="I165" s="72"/>
      <c r="J165" s="91">
        <v>18.53</v>
      </c>
      <c r="K165" s="28" t="s">
        <v>184</v>
      </c>
      <c r="L165" s="28"/>
      <c r="M165" s="28"/>
      <c r="N165" s="131"/>
    </row>
    <row r="166" spans="1:14" ht="15.75">
      <c r="A166" s="86"/>
      <c r="B166" s="87" t="s">
        <v>117</v>
      </c>
      <c r="C166" s="88"/>
      <c r="D166" s="88"/>
      <c r="E166" s="88"/>
      <c r="F166" s="88"/>
      <c r="G166" s="72"/>
      <c r="H166" s="72"/>
      <c r="I166" s="72"/>
      <c r="J166" s="91">
        <v>17.48</v>
      </c>
      <c r="K166" s="28" t="s">
        <v>184</v>
      </c>
      <c r="L166" s="28"/>
      <c r="M166" s="28"/>
      <c r="N166" s="131"/>
    </row>
    <row r="167" spans="1:14" ht="15.75">
      <c r="A167" s="86"/>
      <c r="B167" s="87" t="s">
        <v>118</v>
      </c>
      <c r="C167" s="88"/>
      <c r="D167" s="88"/>
      <c r="E167" s="88"/>
      <c r="F167" s="88"/>
      <c r="G167" s="72"/>
      <c r="H167" s="72"/>
      <c r="I167" s="72"/>
      <c r="J167" s="89">
        <f>F54/'Jun 00'!L54</f>
        <v>0.025376940835113212</v>
      </c>
      <c r="K167" s="28"/>
      <c r="L167" s="28"/>
      <c r="M167" s="28"/>
      <c r="N167" s="131"/>
    </row>
    <row r="168" spans="1:14" ht="15.75">
      <c r="A168" s="86"/>
      <c r="B168" s="87" t="s">
        <v>119</v>
      </c>
      <c r="C168" s="88"/>
      <c r="D168" s="88"/>
      <c r="E168" s="88"/>
      <c r="F168" s="88"/>
      <c r="G168" s="72"/>
      <c r="H168" s="72"/>
      <c r="I168" s="72"/>
      <c r="J168" s="89">
        <v>0.0875</v>
      </c>
      <c r="K168" s="28"/>
      <c r="L168" s="28"/>
      <c r="M168" s="28"/>
      <c r="N168" s="131"/>
    </row>
    <row r="169" spans="1:14" ht="15.75">
      <c r="A169" s="86"/>
      <c r="B169" s="87"/>
      <c r="C169" s="87"/>
      <c r="D169" s="87"/>
      <c r="E169" s="87"/>
      <c r="F169" s="87"/>
      <c r="G169" s="28"/>
      <c r="H169" s="28"/>
      <c r="I169" s="28"/>
      <c r="J169" s="68"/>
      <c r="K169" s="28"/>
      <c r="L169" s="92"/>
      <c r="M169" s="28"/>
      <c r="N169" s="131"/>
    </row>
    <row r="170" spans="1:14" ht="15.75">
      <c r="A170" s="93"/>
      <c r="B170" s="17" t="s">
        <v>120</v>
      </c>
      <c r="C170" s="20"/>
      <c r="D170" s="94"/>
      <c r="E170" s="20"/>
      <c r="F170" s="94"/>
      <c r="G170" s="20"/>
      <c r="H170" s="94"/>
      <c r="I170" s="20" t="s">
        <v>172</v>
      </c>
      <c r="J170" s="94" t="s">
        <v>181</v>
      </c>
      <c r="K170" s="18"/>
      <c r="L170" s="18"/>
      <c r="M170" s="10"/>
      <c r="N170" s="131"/>
    </row>
    <row r="171" spans="1:14" ht="15.75">
      <c r="A171" s="95"/>
      <c r="B171" s="87" t="s">
        <v>121</v>
      </c>
      <c r="C171" s="61"/>
      <c r="D171" s="61"/>
      <c r="E171" s="61"/>
      <c r="F171" s="28"/>
      <c r="G171" s="28"/>
      <c r="H171" s="28"/>
      <c r="I171" s="31">
        <v>10</v>
      </c>
      <c r="J171" s="96">
        <v>585</v>
      </c>
      <c r="K171" s="28"/>
      <c r="L171" s="92"/>
      <c r="M171" s="97"/>
      <c r="N171" s="131"/>
    </row>
    <row r="172" spans="1:14" ht="15.75">
      <c r="A172" s="95"/>
      <c r="B172" s="87" t="s">
        <v>122</v>
      </c>
      <c r="C172" s="61"/>
      <c r="D172" s="61"/>
      <c r="E172" s="61"/>
      <c r="F172" s="28"/>
      <c r="G172" s="28"/>
      <c r="H172" s="28"/>
      <c r="I172" s="31">
        <v>0</v>
      </c>
      <c r="J172" s="96">
        <v>0</v>
      </c>
      <c r="K172" s="28"/>
      <c r="L172" s="92"/>
      <c r="M172" s="97"/>
      <c r="N172" s="131"/>
    </row>
    <row r="173" spans="1:14" ht="15.75">
      <c r="A173" s="95"/>
      <c r="B173" s="170" t="s">
        <v>123</v>
      </c>
      <c r="C173" s="61"/>
      <c r="D173" s="61"/>
      <c r="E173" s="61"/>
      <c r="F173" s="28"/>
      <c r="G173" s="28"/>
      <c r="H173" s="28"/>
      <c r="I173" s="28"/>
      <c r="J173" s="96">
        <v>0</v>
      </c>
      <c r="K173" s="28"/>
      <c r="L173" s="92"/>
      <c r="M173" s="97"/>
      <c r="N173" s="131"/>
    </row>
    <row r="174" spans="1:14" ht="15.75">
      <c r="A174" s="95"/>
      <c r="B174" s="170" t="s">
        <v>124</v>
      </c>
      <c r="C174" s="61"/>
      <c r="D174" s="61"/>
      <c r="E174" s="61"/>
      <c r="F174" s="28"/>
      <c r="G174" s="28"/>
      <c r="H174" s="28"/>
      <c r="I174" s="28"/>
      <c r="J174" s="96">
        <v>22352</v>
      </c>
      <c r="K174" s="28"/>
      <c r="L174" s="92"/>
      <c r="M174" s="97"/>
      <c r="N174" s="131"/>
    </row>
    <row r="175" spans="1:14" ht="15.75">
      <c r="A175" s="98"/>
      <c r="B175" s="170" t="s">
        <v>125</v>
      </c>
      <c r="C175" s="61"/>
      <c r="D175" s="87"/>
      <c r="E175" s="87"/>
      <c r="F175" s="87"/>
      <c r="G175" s="28"/>
      <c r="H175" s="28"/>
      <c r="I175" s="28"/>
      <c r="J175" s="96">
        <v>0</v>
      </c>
      <c r="K175" s="28"/>
      <c r="L175" s="92"/>
      <c r="M175" s="99"/>
      <c r="N175" s="131"/>
    </row>
    <row r="176" spans="1:14" ht="15.75">
      <c r="A176" s="95"/>
      <c r="B176" s="87" t="s">
        <v>126</v>
      </c>
      <c r="C176" s="61"/>
      <c r="D176" s="61"/>
      <c r="E176" s="61"/>
      <c r="F176" s="61"/>
      <c r="G176" s="28"/>
      <c r="H176" s="28"/>
      <c r="I176" s="28"/>
      <c r="J176" s="96">
        <v>0</v>
      </c>
      <c r="K176" s="28"/>
      <c r="L176" s="92"/>
      <c r="M176" s="99"/>
      <c r="N176" s="131"/>
    </row>
    <row r="177" spans="1:14" ht="15.75">
      <c r="A177" s="95"/>
      <c r="B177" s="87" t="s">
        <v>127</v>
      </c>
      <c r="C177" s="61"/>
      <c r="D177" s="61"/>
      <c r="E177" s="61"/>
      <c r="F177" s="61"/>
      <c r="G177" s="28"/>
      <c r="H177" s="28"/>
      <c r="I177" s="28"/>
      <c r="J177" s="96">
        <v>0</v>
      </c>
      <c r="K177" s="28"/>
      <c r="L177" s="92"/>
      <c r="M177" s="99"/>
      <c r="N177" s="131"/>
    </row>
    <row r="178" spans="1:14" ht="15.75">
      <c r="A178" s="98"/>
      <c r="B178" s="170" t="s">
        <v>128</v>
      </c>
      <c r="C178" s="61"/>
      <c r="D178" s="87"/>
      <c r="E178" s="87"/>
      <c r="F178" s="87"/>
      <c r="G178" s="28"/>
      <c r="H178" s="28"/>
      <c r="I178" s="28"/>
      <c r="J178" s="96"/>
      <c r="K178" s="28"/>
      <c r="L178" s="92"/>
      <c r="M178" s="99"/>
      <c r="N178" s="131"/>
    </row>
    <row r="179" spans="1:14" ht="15.75">
      <c r="A179" s="98"/>
      <c r="B179" s="87" t="s">
        <v>129</v>
      </c>
      <c r="C179" s="61"/>
      <c r="D179" s="87"/>
      <c r="E179" s="87"/>
      <c r="F179" s="87"/>
      <c r="G179" s="28"/>
      <c r="H179" s="28"/>
      <c r="I179" s="28"/>
      <c r="J179" s="96">
        <v>0</v>
      </c>
      <c r="K179" s="28"/>
      <c r="L179" s="92"/>
      <c r="M179" s="99"/>
      <c r="N179" s="131"/>
    </row>
    <row r="180" spans="1:14" ht="15.75">
      <c r="A180" s="95"/>
      <c r="B180" s="87" t="s">
        <v>130</v>
      </c>
      <c r="C180" s="61"/>
      <c r="D180" s="100"/>
      <c r="E180" s="100"/>
      <c r="F180" s="101"/>
      <c r="G180" s="28"/>
      <c r="H180" s="28"/>
      <c r="I180" s="28"/>
      <c r="J180" s="96">
        <v>0</v>
      </c>
      <c r="K180" s="28"/>
      <c r="L180" s="92"/>
      <c r="M180" s="99"/>
      <c r="N180" s="131"/>
    </row>
    <row r="181" spans="1:14" ht="15.75">
      <c r="A181" s="95"/>
      <c r="B181" s="87" t="s">
        <v>131</v>
      </c>
      <c r="C181" s="61"/>
      <c r="D181" s="100"/>
      <c r="E181" s="100"/>
      <c r="F181" s="101"/>
      <c r="G181" s="28"/>
      <c r="H181" s="28"/>
      <c r="I181" s="28"/>
      <c r="J181" s="96">
        <v>0</v>
      </c>
      <c r="K181" s="28"/>
      <c r="L181" s="92"/>
      <c r="M181" s="99"/>
      <c r="N181" s="131"/>
    </row>
    <row r="182" spans="1:14" ht="15.75">
      <c r="A182" s="95"/>
      <c r="B182" s="87" t="s">
        <v>132</v>
      </c>
      <c r="C182" s="61"/>
      <c r="D182" s="102"/>
      <c r="E182" s="100"/>
      <c r="F182" s="101"/>
      <c r="G182" s="28"/>
      <c r="H182" s="28"/>
      <c r="I182" s="28"/>
      <c r="J182" s="103">
        <v>0</v>
      </c>
      <c r="K182" s="28"/>
      <c r="L182" s="92"/>
      <c r="M182" s="99"/>
      <c r="N182" s="131"/>
    </row>
    <row r="183" spans="1:14" ht="15.75">
      <c r="A183" s="95"/>
      <c r="B183" s="87"/>
      <c r="C183" s="61"/>
      <c r="D183" s="102"/>
      <c r="E183" s="100"/>
      <c r="F183" s="101"/>
      <c r="G183" s="28"/>
      <c r="H183" s="28"/>
      <c r="I183" s="28"/>
      <c r="J183" s="103"/>
      <c r="K183" s="28"/>
      <c r="L183" s="92"/>
      <c r="M183" s="99"/>
      <c r="N183" s="131"/>
    </row>
    <row r="184" spans="1:14" ht="15.75">
      <c r="A184" s="8"/>
      <c r="B184" s="17" t="s">
        <v>133</v>
      </c>
      <c r="C184" s="20"/>
      <c r="D184" s="94"/>
      <c r="E184" s="20"/>
      <c r="F184" s="94"/>
      <c r="G184" s="20"/>
      <c r="H184" s="94" t="s">
        <v>172</v>
      </c>
      <c r="I184" s="20" t="s">
        <v>173</v>
      </c>
      <c r="J184" s="94" t="s">
        <v>182</v>
      </c>
      <c r="K184" s="20" t="s">
        <v>173</v>
      </c>
      <c r="L184" s="18"/>
      <c r="M184" s="104"/>
      <c r="N184" s="131"/>
    </row>
    <row r="185" spans="1:14" ht="15.75">
      <c r="A185" s="27"/>
      <c r="B185" s="61" t="s">
        <v>134</v>
      </c>
      <c r="C185" s="105"/>
      <c r="D185" s="61"/>
      <c r="E185" s="105"/>
      <c r="F185" s="28"/>
      <c r="G185" s="105"/>
      <c r="H185" s="61">
        <v>3667</v>
      </c>
      <c r="I185" s="105">
        <f>H185/H191</f>
        <v>0.9773454157782516</v>
      </c>
      <c r="J185" s="60">
        <v>167116</v>
      </c>
      <c r="K185" s="106">
        <f>J185/J191</f>
        <v>0.9762589087510223</v>
      </c>
      <c r="L185" s="92"/>
      <c r="M185" s="99"/>
      <c r="N185" s="131"/>
    </row>
    <row r="186" spans="1:14" ht="15.75">
      <c r="A186" s="27"/>
      <c r="B186" s="61" t="s">
        <v>135</v>
      </c>
      <c r="C186" s="105"/>
      <c r="D186" s="61"/>
      <c r="E186" s="105"/>
      <c r="F186" s="28"/>
      <c r="G186" s="107"/>
      <c r="H186" s="61">
        <v>41</v>
      </c>
      <c r="I186" s="105">
        <f>H186/$H191</f>
        <v>0.010927505330490405</v>
      </c>
      <c r="J186" s="60">
        <v>2275</v>
      </c>
      <c r="K186" s="106">
        <f>J186/J191</f>
        <v>0.013290103984110293</v>
      </c>
      <c r="L186" s="92"/>
      <c r="M186" s="99"/>
      <c r="N186" s="131"/>
    </row>
    <row r="187" spans="1:14" ht="15.75">
      <c r="A187" s="27"/>
      <c r="B187" s="61" t="s">
        <v>136</v>
      </c>
      <c r="C187" s="105"/>
      <c r="D187" s="61"/>
      <c r="E187" s="105"/>
      <c r="F187" s="28"/>
      <c r="G187" s="107"/>
      <c r="H187" s="61">
        <v>15</v>
      </c>
      <c r="I187" s="105">
        <f>H187/H191</f>
        <v>0.003997867803837953</v>
      </c>
      <c r="J187" s="60">
        <v>625</v>
      </c>
      <c r="K187" s="106">
        <f>J187/J191</f>
        <v>0.0036511274681621684</v>
      </c>
      <c r="L187" s="92"/>
      <c r="M187" s="99"/>
      <c r="N187" s="131"/>
    </row>
    <row r="188" spans="1:14" ht="15.75">
      <c r="A188" s="27"/>
      <c r="B188" s="61" t="s">
        <v>137</v>
      </c>
      <c r="C188" s="105"/>
      <c r="D188" s="61"/>
      <c r="E188" s="105"/>
      <c r="F188" s="28"/>
      <c r="G188" s="107"/>
      <c r="H188" s="61">
        <f>6+23</f>
        <v>29</v>
      </c>
      <c r="I188" s="105">
        <f>H188/H191</f>
        <v>0.007729211087420042</v>
      </c>
      <c r="J188" s="60">
        <f>344+811+9</f>
        <v>1164</v>
      </c>
      <c r="K188" s="106">
        <f>J188/J191</f>
        <v>0.006799859796705223</v>
      </c>
      <c r="L188" s="92"/>
      <c r="M188" s="99"/>
      <c r="N188" s="131"/>
    </row>
    <row r="189" spans="1:14" ht="15.75">
      <c r="A189" s="27"/>
      <c r="B189" s="30"/>
      <c r="C189" s="105"/>
      <c r="D189" s="61"/>
      <c r="E189" s="105"/>
      <c r="F189" s="28"/>
      <c r="G189" s="107"/>
      <c r="H189" s="61"/>
      <c r="I189" s="105"/>
      <c r="J189" s="60"/>
      <c r="K189" s="106"/>
      <c r="L189" s="92"/>
      <c r="M189" s="99"/>
      <c r="N189" s="131"/>
    </row>
    <row r="190" spans="1:14" ht="15.75">
      <c r="A190" s="27"/>
      <c r="B190" s="61" t="s">
        <v>138</v>
      </c>
      <c r="C190" s="108"/>
      <c r="D190" s="97"/>
      <c r="E190" s="108"/>
      <c r="F190" s="28"/>
      <c r="G190" s="108"/>
      <c r="H190" s="97"/>
      <c r="I190" s="108"/>
      <c r="J190" s="60"/>
      <c r="K190" s="106"/>
      <c r="L190" s="92"/>
      <c r="M190" s="99"/>
      <c r="N190" s="131"/>
    </row>
    <row r="191" spans="1:14" ht="15.75">
      <c r="A191" s="27"/>
      <c r="B191" s="28"/>
      <c r="C191" s="28"/>
      <c r="D191" s="28"/>
      <c r="E191" s="28"/>
      <c r="F191" s="28"/>
      <c r="G191" s="28"/>
      <c r="H191" s="38">
        <f>SUM(H185:H189)</f>
        <v>3752</v>
      </c>
      <c r="I191" s="109">
        <f>SUM(I185:I190)</f>
        <v>1</v>
      </c>
      <c r="J191" s="60">
        <f>SUM(J185:J190)</f>
        <v>171180</v>
      </c>
      <c r="K191" s="127">
        <f>SUM(K185:K190)</f>
        <v>1</v>
      </c>
      <c r="L191" s="28"/>
      <c r="M191" s="28"/>
      <c r="N191" s="131"/>
    </row>
    <row r="192" spans="1:14" ht="15.75">
      <c r="A192" s="27"/>
      <c r="B192" s="28"/>
      <c r="C192" s="28"/>
      <c r="D192" s="28"/>
      <c r="E192" s="28"/>
      <c r="F192" s="28"/>
      <c r="G192" s="28"/>
      <c r="H192" s="38"/>
      <c r="I192" s="109"/>
      <c r="J192" s="60"/>
      <c r="K192" s="127"/>
      <c r="L192" s="28"/>
      <c r="M192" s="28"/>
      <c r="N192" s="131"/>
    </row>
    <row r="193" spans="1:14" ht="15.75">
      <c r="A193" s="27"/>
      <c r="B193" s="28"/>
      <c r="C193" s="28"/>
      <c r="D193" s="28"/>
      <c r="E193" s="28"/>
      <c r="F193" s="28"/>
      <c r="G193" s="28"/>
      <c r="H193" s="38"/>
      <c r="I193" s="109"/>
      <c r="J193" s="60"/>
      <c r="K193" s="127"/>
      <c r="L193" s="28"/>
      <c r="M193" s="28"/>
      <c r="N193" s="131"/>
    </row>
    <row r="194" spans="1:14" ht="15.75">
      <c r="A194" s="114"/>
      <c r="B194" s="17" t="s">
        <v>139</v>
      </c>
      <c r="C194" s="115"/>
      <c r="D194" s="20" t="s">
        <v>148</v>
      </c>
      <c r="E194" s="18"/>
      <c r="F194" s="17" t="s">
        <v>161</v>
      </c>
      <c r="G194" s="116"/>
      <c r="H194" s="116"/>
      <c r="I194" s="15"/>
      <c r="J194" s="15"/>
      <c r="K194" s="15"/>
      <c r="L194" s="15"/>
      <c r="M194" s="15"/>
      <c r="N194" s="131"/>
    </row>
    <row r="195" spans="1:14" ht="15.75">
      <c r="A195" s="114"/>
      <c r="B195" s="15"/>
      <c r="C195" s="15"/>
      <c r="D195" s="10"/>
      <c r="E195" s="10"/>
      <c r="F195" s="10"/>
      <c r="G195" s="15"/>
      <c r="H195" s="15"/>
      <c r="I195" s="15"/>
      <c r="J195" s="15"/>
      <c r="K195" s="15"/>
      <c r="L195" s="15"/>
      <c r="M195" s="15"/>
      <c r="N195" s="131"/>
    </row>
    <row r="196" spans="1:14" ht="15.75">
      <c r="A196" s="114"/>
      <c r="B196" s="16" t="s">
        <v>140</v>
      </c>
      <c r="C196" s="117"/>
      <c r="D196" s="118" t="s">
        <v>149</v>
      </c>
      <c r="E196" s="16"/>
      <c r="F196" s="16" t="s">
        <v>162</v>
      </c>
      <c r="G196" s="117"/>
      <c r="H196" s="117"/>
      <c r="I196" s="15"/>
      <c r="J196" s="15"/>
      <c r="K196" s="15"/>
      <c r="L196" s="15"/>
      <c r="M196" s="15"/>
      <c r="N196" s="131"/>
    </row>
    <row r="197" spans="1:14" ht="15.75">
      <c r="A197" s="114"/>
      <c r="B197" s="16" t="s">
        <v>141</v>
      </c>
      <c r="C197" s="117"/>
      <c r="D197" s="118" t="s">
        <v>197</v>
      </c>
      <c r="E197" s="16"/>
      <c r="F197" s="16" t="s">
        <v>163</v>
      </c>
      <c r="G197" s="117"/>
      <c r="H197" s="117"/>
      <c r="I197" s="15"/>
      <c r="J197" s="15"/>
      <c r="K197" s="15"/>
      <c r="L197" s="15"/>
      <c r="M197" s="15"/>
      <c r="N197" s="131"/>
    </row>
    <row r="198" spans="1:14" ht="15.75">
      <c r="A198" s="114"/>
      <c r="B198" s="16"/>
      <c r="C198" s="117"/>
      <c r="D198" s="118"/>
      <c r="E198" s="16"/>
      <c r="F198" s="16"/>
      <c r="G198" s="117"/>
      <c r="H198" s="117"/>
      <c r="I198" s="15"/>
      <c r="J198" s="15"/>
      <c r="K198" s="15"/>
      <c r="L198" s="15"/>
      <c r="M198" s="15"/>
      <c r="N198" s="131"/>
    </row>
    <row r="199" spans="1:14" ht="15.75">
      <c r="A199" s="114"/>
      <c r="B199" s="16"/>
      <c r="C199" s="117"/>
      <c r="D199" s="118"/>
      <c r="E199" s="16"/>
      <c r="F199" s="16"/>
      <c r="G199" s="117"/>
      <c r="H199" s="117"/>
      <c r="I199" s="15"/>
      <c r="J199" s="15"/>
      <c r="K199" s="15"/>
      <c r="L199" s="15"/>
      <c r="M199" s="15"/>
      <c r="N199" s="131"/>
    </row>
    <row r="200" spans="1:14" ht="18.75">
      <c r="A200" s="114"/>
      <c r="B200" s="55" t="s">
        <v>198</v>
      </c>
      <c r="C200" s="117"/>
      <c r="D200" s="118"/>
      <c r="E200" s="16"/>
      <c r="F200" s="16"/>
      <c r="G200" s="117"/>
      <c r="H200" s="117"/>
      <c r="I200" s="15"/>
      <c r="J200" s="15"/>
      <c r="K200" s="15"/>
      <c r="L200" s="15"/>
      <c r="M200" s="15"/>
      <c r="N200" s="131"/>
    </row>
    <row r="201" spans="1:13" ht="15">
      <c r="A201" s="130"/>
      <c r="B201" s="130"/>
      <c r="C201" s="130"/>
      <c r="D201" s="130"/>
      <c r="E201" s="130"/>
      <c r="F201" s="130"/>
      <c r="G201" s="130"/>
      <c r="H201" s="130"/>
      <c r="I201" s="130"/>
      <c r="J201" s="130"/>
      <c r="K201" s="130"/>
      <c r="L201" s="130"/>
      <c r="M201" s="130"/>
    </row>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5" manualBreakCount="5">
    <brk id="49" min="103" max="154" man="1"/>
    <brk id="49" max="13" man="1"/>
    <brk id="103" max="13" man="1"/>
    <brk id="154" max="13" man="1"/>
    <brk id="201" max="0" man="1"/>
  </rowBreaks>
  <drawing r:id="rId1"/>
</worksheet>
</file>

<file path=xl/worksheets/sheet6.xml><?xml version="1.0" encoding="utf-8"?>
<worksheet xmlns="http://schemas.openxmlformats.org/spreadsheetml/2006/main" xmlns:r="http://schemas.openxmlformats.org/officeDocument/2006/relationships">
  <dimension ref="A1:N203"/>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31.3359375" style="1" customWidth="1"/>
    <col min="14" max="16384" width="9.6640625" style="1" customWidth="1"/>
  </cols>
  <sheetData>
    <row r="1" spans="1:14" ht="20.25">
      <c r="A1" s="2"/>
      <c r="B1" s="3" t="s">
        <v>0</v>
      </c>
      <c r="C1" s="4"/>
      <c r="D1" s="5"/>
      <c r="E1" s="5"/>
      <c r="F1" s="5"/>
      <c r="G1" s="5"/>
      <c r="H1" s="5"/>
      <c r="I1" s="5"/>
      <c r="J1" s="5"/>
      <c r="K1" s="5"/>
      <c r="L1" s="5"/>
      <c r="M1" s="5"/>
      <c r="N1" s="131"/>
    </row>
    <row r="2" spans="1:14" ht="15.75">
      <c r="A2" s="8"/>
      <c r="B2" s="9"/>
      <c r="C2" s="9"/>
      <c r="D2" s="10"/>
      <c r="E2" s="10"/>
      <c r="F2" s="10"/>
      <c r="G2" s="10"/>
      <c r="H2" s="10"/>
      <c r="I2" s="10"/>
      <c r="J2" s="10"/>
      <c r="K2" s="10"/>
      <c r="L2" s="10"/>
      <c r="M2" s="10"/>
      <c r="N2" s="131"/>
    </row>
    <row r="3" spans="1:14" ht="15.75">
      <c r="A3" s="11"/>
      <c r="B3" s="154" t="s">
        <v>1</v>
      </c>
      <c r="C3" s="10"/>
      <c r="D3" s="10"/>
      <c r="E3" s="10"/>
      <c r="F3" s="10"/>
      <c r="G3" s="10"/>
      <c r="H3" s="10"/>
      <c r="I3" s="10"/>
      <c r="J3" s="10"/>
      <c r="K3" s="10"/>
      <c r="L3" s="10"/>
      <c r="M3" s="10"/>
      <c r="N3" s="131"/>
    </row>
    <row r="4" spans="1:14" ht="15.75">
      <c r="A4" s="8"/>
      <c r="B4" s="9"/>
      <c r="C4" s="9"/>
      <c r="D4" s="10"/>
      <c r="E4" s="10"/>
      <c r="F4" s="10"/>
      <c r="G4" s="10"/>
      <c r="H4" s="10"/>
      <c r="I4" s="10"/>
      <c r="J4" s="10"/>
      <c r="K4" s="10"/>
      <c r="L4" s="10"/>
      <c r="M4" s="10"/>
      <c r="N4" s="131"/>
    </row>
    <row r="5" spans="1:14" ht="12" customHeight="1">
      <c r="A5" s="8"/>
      <c r="B5" s="13" t="s">
        <v>2</v>
      </c>
      <c r="C5" s="14"/>
      <c r="D5" s="10"/>
      <c r="E5" s="10"/>
      <c r="F5" s="10"/>
      <c r="G5" s="10"/>
      <c r="H5" s="10"/>
      <c r="I5" s="10"/>
      <c r="J5" s="10"/>
      <c r="K5" s="10"/>
      <c r="L5" s="10"/>
      <c r="M5" s="10"/>
      <c r="N5" s="131"/>
    </row>
    <row r="6" spans="1:14" ht="12" customHeight="1">
      <c r="A6" s="8"/>
      <c r="B6" s="13" t="s">
        <v>3</v>
      </c>
      <c r="C6" s="14"/>
      <c r="D6" s="10"/>
      <c r="E6" s="10"/>
      <c r="F6" s="10"/>
      <c r="G6" s="10"/>
      <c r="H6" s="10"/>
      <c r="I6" s="10"/>
      <c r="J6" s="10"/>
      <c r="K6" s="10"/>
      <c r="L6" s="10"/>
      <c r="M6" s="10"/>
      <c r="N6" s="131"/>
    </row>
    <row r="7" spans="1:14" ht="12" customHeight="1">
      <c r="A7" s="8"/>
      <c r="B7" s="13" t="s">
        <v>4</v>
      </c>
      <c r="C7" s="14"/>
      <c r="D7" s="10"/>
      <c r="E7" s="10"/>
      <c r="F7" s="10"/>
      <c r="G7" s="10"/>
      <c r="H7" s="10"/>
      <c r="I7" s="10"/>
      <c r="J7" s="10"/>
      <c r="K7" s="10"/>
      <c r="L7" s="10"/>
      <c r="M7" s="10"/>
      <c r="N7" s="131"/>
    </row>
    <row r="8" spans="1:14" ht="12" customHeight="1">
      <c r="A8" s="8"/>
      <c r="B8" s="13" t="s">
        <v>5</v>
      </c>
      <c r="C8" s="14"/>
      <c r="D8" s="10"/>
      <c r="E8" s="10"/>
      <c r="F8" s="10"/>
      <c r="G8" s="10"/>
      <c r="H8" s="10"/>
      <c r="I8" s="10"/>
      <c r="J8" s="10"/>
      <c r="K8" s="10"/>
      <c r="L8" s="10"/>
      <c r="M8" s="10"/>
      <c r="N8" s="131"/>
    </row>
    <row r="9" spans="1:14" ht="12" customHeight="1">
      <c r="A9" s="8"/>
      <c r="B9" s="15"/>
      <c r="C9" s="14"/>
      <c r="D9" s="10"/>
      <c r="E9" s="10"/>
      <c r="F9" s="10"/>
      <c r="G9" s="10"/>
      <c r="H9" s="10"/>
      <c r="I9" s="10"/>
      <c r="J9" s="10"/>
      <c r="K9" s="10"/>
      <c r="L9" s="10"/>
      <c r="M9" s="10"/>
      <c r="N9" s="131"/>
    </row>
    <row r="10" spans="1:14" ht="15.75">
      <c r="A10" s="8"/>
      <c r="B10" s="13"/>
      <c r="C10" s="14"/>
      <c r="D10" s="16"/>
      <c r="E10" s="16"/>
      <c r="F10" s="10"/>
      <c r="G10" s="10"/>
      <c r="H10" s="10"/>
      <c r="I10" s="10"/>
      <c r="J10" s="10"/>
      <c r="K10" s="10"/>
      <c r="L10" s="10"/>
      <c r="M10" s="10"/>
      <c r="N10" s="131"/>
    </row>
    <row r="11" spans="1:14" ht="15.75">
      <c r="A11" s="8"/>
      <c r="B11" s="16" t="s">
        <v>6</v>
      </c>
      <c r="C11" s="16"/>
      <c r="D11" s="10"/>
      <c r="E11" s="10"/>
      <c r="F11" s="10"/>
      <c r="G11" s="10"/>
      <c r="H11" s="10"/>
      <c r="I11" s="10"/>
      <c r="J11" s="10"/>
      <c r="K11" s="10"/>
      <c r="L11" s="10"/>
      <c r="M11" s="10"/>
      <c r="N11" s="131"/>
    </row>
    <row r="12" spans="1:14" ht="15.75">
      <c r="A12" s="8"/>
      <c r="B12" s="16"/>
      <c r="C12" s="16"/>
      <c r="D12" s="10"/>
      <c r="E12" s="10"/>
      <c r="F12" s="10"/>
      <c r="G12" s="10"/>
      <c r="H12" s="10"/>
      <c r="I12" s="10"/>
      <c r="J12" s="10"/>
      <c r="K12" s="10"/>
      <c r="L12" s="10"/>
      <c r="M12" s="10"/>
      <c r="N12" s="131"/>
    </row>
    <row r="13" spans="1:14" ht="15.75">
      <c r="A13" s="2"/>
      <c r="B13" s="5"/>
      <c r="C13" s="5"/>
      <c r="D13" s="5"/>
      <c r="E13" s="5"/>
      <c r="F13" s="5"/>
      <c r="G13" s="5"/>
      <c r="H13" s="5"/>
      <c r="I13" s="5"/>
      <c r="J13" s="5"/>
      <c r="K13" s="5"/>
      <c r="L13" s="5"/>
      <c r="M13" s="5"/>
      <c r="N13" s="131"/>
    </row>
    <row r="14" spans="1:14" ht="15.75">
      <c r="A14" s="8"/>
      <c r="B14" s="17" t="s">
        <v>7</v>
      </c>
      <c r="C14" s="17"/>
      <c r="D14" s="18"/>
      <c r="E14" s="18"/>
      <c r="F14" s="18"/>
      <c r="G14" s="18"/>
      <c r="H14" s="18"/>
      <c r="I14" s="18"/>
      <c r="J14" s="18"/>
      <c r="K14" s="18"/>
      <c r="L14" s="19" t="s">
        <v>185</v>
      </c>
      <c r="M14" s="18"/>
      <c r="N14" s="131"/>
    </row>
    <row r="15" spans="1:14" ht="15.75">
      <c r="A15" s="8"/>
      <c r="B15" s="17" t="s">
        <v>199</v>
      </c>
      <c r="C15" s="17"/>
      <c r="D15" s="18"/>
      <c r="E15" s="18"/>
      <c r="F15" s="18"/>
      <c r="G15" s="18"/>
      <c r="H15" s="20"/>
      <c r="I15" s="135"/>
      <c r="J15" s="20" t="s">
        <v>202</v>
      </c>
      <c r="K15" s="135">
        <v>1</v>
      </c>
      <c r="L15" s="19"/>
      <c r="M15" s="18"/>
      <c r="N15" s="131"/>
    </row>
    <row r="16" spans="1:14" ht="15.75">
      <c r="A16" s="8"/>
      <c r="B16" s="17" t="s">
        <v>200</v>
      </c>
      <c r="C16" s="17"/>
      <c r="D16" s="18"/>
      <c r="E16" s="18"/>
      <c r="F16" s="18"/>
      <c r="G16" s="18"/>
      <c r="H16" s="20"/>
      <c r="I16" s="135"/>
      <c r="J16" s="20" t="s">
        <v>202</v>
      </c>
      <c r="K16" s="135">
        <v>1</v>
      </c>
      <c r="L16" s="19"/>
      <c r="M16" s="18"/>
      <c r="N16" s="131"/>
    </row>
    <row r="17" spans="1:14" ht="15.75">
      <c r="A17" s="8"/>
      <c r="B17" s="17" t="s">
        <v>8</v>
      </c>
      <c r="C17" s="17"/>
      <c r="D17" s="18"/>
      <c r="E17" s="18"/>
      <c r="F17" s="18"/>
      <c r="G17" s="18"/>
      <c r="H17" s="18"/>
      <c r="I17" s="18"/>
      <c r="J17" s="18"/>
      <c r="K17" s="18"/>
      <c r="L17" s="20" t="s">
        <v>186</v>
      </c>
      <c r="M17" s="18"/>
      <c r="N17" s="131"/>
    </row>
    <row r="18" spans="1:14" ht="15.75">
      <c r="A18" s="8"/>
      <c r="B18" s="17" t="s">
        <v>9</v>
      </c>
      <c r="C18" s="17"/>
      <c r="D18" s="18"/>
      <c r="E18" s="18"/>
      <c r="F18" s="18"/>
      <c r="G18" s="18"/>
      <c r="H18" s="18"/>
      <c r="I18" s="18"/>
      <c r="J18" s="18"/>
      <c r="K18" s="18"/>
      <c r="L18" s="21">
        <v>36907</v>
      </c>
      <c r="M18" s="18"/>
      <c r="N18" s="131"/>
    </row>
    <row r="19" spans="1:14" ht="15.75">
      <c r="A19" s="8"/>
      <c r="B19" s="10"/>
      <c r="C19" s="10"/>
      <c r="D19" s="10"/>
      <c r="E19" s="10"/>
      <c r="F19" s="10"/>
      <c r="G19" s="10"/>
      <c r="H19" s="10"/>
      <c r="I19" s="10"/>
      <c r="J19" s="10"/>
      <c r="K19" s="10"/>
      <c r="L19" s="22"/>
      <c r="M19" s="10"/>
      <c r="N19" s="131"/>
    </row>
    <row r="20" spans="1:14" ht="15.75">
      <c r="A20" s="8"/>
      <c r="B20" s="23" t="s">
        <v>10</v>
      </c>
      <c r="C20" s="10"/>
      <c r="D20" s="10"/>
      <c r="E20" s="10"/>
      <c r="F20" s="10"/>
      <c r="G20" s="10"/>
      <c r="H20" s="10"/>
      <c r="I20" s="10"/>
      <c r="J20" s="22" t="s">
        <v>174</v>
      </c>
      <c r="K20" s="10"/>
      <c r="L20" s="15"/>
      <c r="M20" s="10"/>
      <c r="N20" s="131"/>
    </row>
    <row r="21" spans="1:14" ht="15.75">
      <c r="A21" s="8"/>
      <c r="B21" s="10"/>
      <c r="C21" s="10"/>
      <c r="D21" s="10"/>
      <c r="E21" s="10"/>
      <c r="F21" s="10"/>
      <c r="G21" s="10"/>
      <c r="H21" s="10"/>
      <c r="I21" s="10"/>
      <c r="J21" s="10"/>
      <c r="K21" s="10"/>
      <c r="L21" s="24"/>
      <c r="M21" s="10"/>
      <c r="N21" s="131"/>
    </row>
    <row r="22" spans="1:14" ht="15.75">
      <c r="A22" s="8"/>
      <c r="B22" s="10"/>
      <c r="C22" s="155" t="s">
        <v>143</v>
      </c>
      <c r="D22" s="25"/>
      <c r="E22" s="25"/>
      <c r="F22" s="157" t="s">
        <v>151</v>
      </c>
      <c r="G22" s="157"/>
      <c r="H22" s="157" t="s">
        <v>164</v>
      </c>
      <c r="I22" s="25"/>
      <c r="J22" s="25"/>
      <c r="K22" s="15"/>
      <c r="L22" s="15"/>
      <c r="M22" s="10"/>
      <c r="N22" s="131"/>
    </row>
    <row r="23" spans="1:14" ht="15.75">
      <c r="A23" s="27"/>
      <c r="B23" s="28" t="s">
        <v>11</v>
      </c>
      <c r="C23" s="156" t="s">
        <v>144</v>
      </c>
      <c r="D23" s="29"/>
      <c r="E23" s="29"/>
      <c r="F23" s="29" t="s">
        <v>152</v>
      </c>
      <c r="G23" s="29"/>
      <c r="H23" s="29" t="s">
        <v>165</v>
      </c>
      <c r="I23" s="29"/>
      <c r="J23" s="29"/>
      <c r="K23" s="30"/>
      <c r="L23" s="30"/>
      <c r="M23" s="28"/>
      <c r="N23" s="131"/>
    </row>
    <row r="24" spans="1:14" ht="15.75">
      <c r="A24" s="27"/>
      <c r="B24" s="28" t="s">
        <v>12</v>
      </c>
      <c r="C24" s="31"/>
      <c r="D24" s="29"/>
      <c r="E24" s="29"/>
      <c r="F24" s="29" t="s">
        <v>153</v>
      </c>
      <c r="G24" s="29"/>
      <c r="H24" s="29" t="s">
        <v>166</v>
      </c>
      <c r="I24" s="29"/>
      <c r="J24" s="29"/>
      <c r="K24" s="30"/>
      <c r="L24" s="30"/>
      <c r="M24" s="28"/>
      <c r="N24" s="131"/>
    </row>
    <row r="25" spans="1:14" ht="15.75">
      <c r="A25" s="32"/>
      <c r="B25" s="33" t="s">
        <v>13</v>
      </c>
      <c r="C25" s="33"/>
      <c r="D25" s="34"/>
      <c r="E25" s="34"/>
      <c r="F25" s="34" t="s">
        <v>152</v>
      </c>
      <c r="G25" s="34"/>
      <c r="H25" s="34" t="s">
        <v>165</v>
      </c>
      <c r="I25" s="29"/>
      <c r="J25" s="29"/>
      <c r="K25" s="30"/>
      <c r="L25" s="30"/>
      <c r="M25" s="28"/>
      <c r="N25" s="131"/>
    </row>
    <row r="26" spans="1:14" ht="15.75">
      <c r="A26" s="32"/>
      <c r="B26" s="33" t="s">
        <v>14</v>
      </c>
      <c r="C26" s="33"/>
      <c r="D26" s="34"/>
      <c r="E26" s="34"/>
      <c r="F26" s="34" t="s">
        <v>153</v>
      </c>
      <c r="G26" s="34"/>
      <c r="H26" s="34" t="s">
        <v>166</v>
      </c>
      <c r="I26" s="29"/>
      <c r="J26" s="29"/>
      <c r="K26" s="30"/>
      <c r="L26" s="30"/>
      <c r="M26" s="28"/>
      <c r="N26" s="131"/>
    </row>
    <row r="27" spans="1:14" ht="15.75">
      <c r="A27" s="27"/>
      <c r="B27" s="28" t="s">
        <v>15</v>
      </c>
      <c r="C27" s="28"/>
      <c r="D27" s="31"/>
      <c r="E27" s="29"/>
      <c r="F27" s="31" t="s">
        <v>154</v>
      </c>
      <c r="G27" s="29"/>
      <c r="H27" s="31" t="s">
        <v>167</v>
      </c>
      <c r="I27" s="29"/>
      <c r="J27" s="31"/>
      <c r="K27" s="30"/>
      <c r="L27" s="30"/>
      <c r="M27" s="28"/>
      <c r="N27" s="131"/>
    </row>
    <row r="28" spans="1:14" ht="15.75">
      <c r="A28" s="27"/>
      <c r="B28" s="28"/>
      <c r="C28" s="28"/>
      <c r="D28" s="28"/>
      <c r="E28" s="29"/>
      <c r="F28" s="29"/>
      <c r="G28" s="29"/>
      <c r="H28" s="29"/>
      <c r="I28" s="29"/>
      <c r="J28" s="29"/>
      <c r="K28" s="30"/>
      <c r="L28" s="30"/>
      <c r="M28" s="28"/>
      <c r="N28" s="131"/>
    </row>
    <row r="29" spans="1:14" ht="15.75">
      <c r="A29" s="27"/>
      <c r="B29" s="28" t="s">
        <v>16</v>
      </c>
      <c r="C29" s="28"/>
      <c r="D29" s="35"/>
      <c r="E29" s="36"/>
      <c r="F29" s="35">
        <v>168000</v>
      </c>
      <c r="G29" s="35"/>
      <c r="H29" s="35">
        <v>17000</v>
      </c>
      <c r="I29" s="35"/>
      <c r="J29" s="35"/>
      <c r="K29" s="37"/>
      <c r="L29" s="35">
        <f>H29+F29</f>
        <v>185000</v>
      </c>
      <c r="M29" s="38"/>
      <c r="N29" s="131"/>
    </row>
    <row r="30" spans="1:14" ht="15.75">
      <c r="A30" s="27"/>
      <c r="B30" s="28" t="s">
        <v>17</v>
      </c>
      <c r="C30" s="126">
        <v>0.917741</v>
      </c>
      <c r="D30" s="35"/>
      <c r="E30" s="36"/>
      <c r="F30" s="35">
        <f>168000*C30</f>
        <v>154180.488</v>
      </c>
      <c r="G30" s="35"/>
      <c r="H30" s="35">
        <v>17000</v>
      </c>
      <c r="I30" s="35"/>
      <c r="J30" s="35"/>
      <c r="K30" s="37"/>
      <c r="L30" s="35">
        <f>H30+F30</f>
        <v>171180.488</v>
      </c>
      <c r="M30" s="38"/>
      <c r="N30" s="131"/>
    </row>
    <row r="31" spans="1:14" ht="13.5" customHeight="1">
      <c r="A31" s="32"/>
      <c r="B31" s="33" t="s">
        <v>18</v>
      </c>
      <c r="C31" s="40">
        <v>0.901117</v>
      </c>
      <c r="D31" s="41"/>
      <c r="E31" s="42"/>
      <c r="F31" s="41">
        <f>168000*C31</f>
        <v>151387.656</v>
      </c>
      <c r="G31" s="41"/>
      <c r="H31" s="41">
        <v>17000</v>
      </c>
      <c r="I31" s="41"/>
      <c r="J31" s="41"/>
      <c r="K31" s="43"/>
      <c r="L31" s="41">
        <f>H31+F31+D31</f>
        <v>168387.656</v>
      </c>
      <c r="M31" s="38"/>
      <c r="N31" s="131"/>
    </row>
    <row r="32" spans="1:14" ht="15.75">
      <c r="A32" s="27"/>
      <c r="B32" s="28" t="s">
        <v>19</v>
      </c>
      <c r="C32" s="44"/>
      <c r="D32" s="31"/>
      <c r="E32" s="28"/>
      <c r="F32" s="31" t="s">
        <v>155</v>
      </c>
      <c r="G32" s="31"/>
      <c r="H32" s="31" t="s">
        <v>168</v>
      </c>
      <c r="I32" s="31"/>
      <c r="J32" s="31"/>
      <c r="K32" s="30"/>
      <c r="L32" s="30"/>
      <c r="M32" s="28"/>
      <c r="N32" s="131"/>
    </row>
    <row r="33" spans="1:14" ht="15.75">
      <c r="A33" s="27"/>
      <c r="B33" s="28" t="s">
        <v>20</v>
      </c>
      <c r="C33" s="28"/>
      <c r="D33" s="45"/>
      <c r="E33" s="28"/>
      <c r="F33" s="45">
        <v>0.06445</v>
      </c>
      <c r="G33" s="46"/>
      <c r="H33" s="45">
        <v>0.06965</v>
      </c>
      <c r="I33" s="46"/>
      <c r="J33" s="45"/>
      <c r="K33" s="30"/>
      <c r="L33" s="46">
        <f>SUMPRODUCT(F33:H33,F30:H30)/L30</f>
        <v>0.06496641399690366</v>
      </c>
      <c r="M33" s="28"/>
      <c r="N33" s="131"/>
    </row>
    <row r="34" spans="1:14" ht="15.75">
      <c r="A34" s="27"/>
      <c r="B34" s="28" t="s">
        <v>21</v>
      </c>
      <c r="C34" s="28"/>
      <c r="D34" s="45"/>
      <c r="E34" s="28"/>
      <c r="F34" s="45">
        <v>0.0646</v>
      </c>
      <c r="G34" s="46"/>
      <c r="H34" s="45">
        <v>0.0698</v>
      </c>
      <c r="I34" s="46"/>
      <c r="J34" s="45"/>
      <c r="K34" s="30"/>
      <c r="L34" s="30"/>
      <c r="M34" s="28"/>
      <c r="N34" s="131"/>
    </row>
    <row r="35" spans="1:14" ht="15.75">
      <c r="A35" s="27"/>
      <c r="B35" s="28" t="s">
        <v>22</v>
      </c>
      <c r="C35" s="28"/>
      <c r="D35" s="31"/>
      <c r="E35" s="28"/>
      <c r="F35" s="31" t="s">
        <v>157</v>
      </c>
      <c r="G35" s="31"/>
      <c r="H35" s="31" t="s">
        <v>157</v>
      </c>
      <c r="I35" s="31"/>
      <c r="J35" s="31"/>
      <c r="K35" s="30"/>
      <c r="L35" s="30"/>
      <c r="M35" s="28"/>
      <c r="N35" s="131"/>
    </row>
    <row r="36" spans="1:14" ht="15.75">
      <c r="A36" s="27"/>
      <c r="B36" s="28" t="s">
        <v>23</v>
      </c>
      <c r="C36" s="28"/>
      <c r="D36" s="31"/>
      <c r="E36" s="28"/>
      <c r="F36" s="31" t="s">
        <v>158</v>
      </c>
      <c r="G36" s="31"/>
      <c r="H36" s="31" t="s">
        <v>158</v>
      </c>
      <c r="I36" s="31"/>
      <c r="J36" s="31"/>
      <c r="K36" s="30"/>
      <c r="L36" s="30"/>
      <c r="M36" s="28"/>
      <c r="N36" s="131"/>
    </row>
    <row r="37" spans="1:14" ht="15.75">
      <c r="A37" s="27"/>
      <c r="B37" s="28" t="s">
        <v>24</v>
      </c>
      <c r="C37" s="28"/>
      <c r="D37" s="31"/>
      <c r="E37" s="28"/>
      <c r="F37" s="31" t="s">
        <v>159</v>
      </c>
      <c r="G37" s="31"/>
      <c r="H37" s="31" t="s">
        <v>169</v>
      </c>
      <c r="I37" s="31"/>
      <c r="J37" s="31"/>
      <c r="K37" s="30"/>
      <c r="L37" s="30"/>
      <c r="M37" s="28"/>
      <c r="N37" s="131"/>
    </row>
    <row r="38" spans="1:14" ht="15.75">
      <c r="A38" s="27"/>
      <c r="B38" s="28"/>
      <c r="C38" s="28"/>
      <c r="D38" s="47"/>
      <c r="E38" s="47"/>
      <c r="F38" s="28"/>
      <c r="G38" s="47"/>
      <c r="H38" s="47"/>
      <c r="I38" s="47"/>
      <c r="J38" s="47"/>
      <c r="K38" s="47"/>
      <c r="L38" s="47"/>
      <c r="M38" s="28"/>
      <c r="N38" s="131"/>
    </row>
    <row r="39" spans="1:14" ht="15.75">
      <c r="A39" s="27"/>
      <c r="B39" s="28" t="s">
        <v>25</v>
      </c>
      <c r="C39" s="28"/>
      <c r="D39" s="28"/>
      <c r="E39" s="28"/>
      <c r="F39" s="28"/>
      <c r="G39" s="28"/>
      <c r="H39" s="28"/>
      <c r="I39" s="28"/>
      <c r="J39" s="28"/>
      <c r="K39" s="28"/>
      <c r="L39" s="46">
        <f>H29/F29</f>
        <v>0.10119047619047619</v>
      </c>
      <c r="M39" s="28"/>
      <c r="N39" s="131"/>
    </row>
    <row r="40" spans="1:14" ht="15.75">
      <c r="A40" s="27"/>
      <c r="B40" s="28" t="s">
        <v>26</v>
      </c>
      <c r="C40" s="28"/>
      <c r="D40" s="28"/>
      <c r="E40" s="28"/>
      <c r="F40" s="28"/>
      <c r="G40" s="28"/>
      <c r="H40" s="28"/>
      <c r="I40" s="28"/>
      <c r="J40" s="28"/>
      <c r="K40" s="28"/>
      <c r="L40" s="46">
        <f>H31/F31</f>
        <v>0.11229449249151464</v>
      </c>
      <c r="M40" s="28"/>
      <c r="N40" s="131"/>
    </row>
    <row r="41" spans="1:14" ht="15.75">
      <c r="A41" s="27"/>
      <c r="B41" s="28" t="s">
        <v>27</v>
      </c>
      <c r="C41" s="28"/>
      <c r="D41" s="28"/>
      <c r="E41" s="28"/>
      <c r="F41" s="28"/>
      <c r="G41" s="28"/>
      <c r="H41" s="28"/>
      <c r="I41" s="28"/>
      <c r="J41" s="31" t="s">
        <v>151</v>
      </c>
      <c r="K41" s="31" t="s">
        <v>183</v>
      </c>
      <c r="L41" s="35">
        <v>75500</v>
      </c>
      <c r="M41" s="28"/>
      <c r="N41" s="131"/>
    </row>
    <row r="42" spans="1:14" ht="15.75">
      <c r="A42" s="27"/>
      <c r="B42" s="28"/>
      <c r="C42" s="28"/>
      <c r="D42" s="28"/>
      <c r="E42" s="28"/>
      <c r="F42" s="28"/>
      <c r="G42" s="28"/>
      <c r="H42" s="28"/>
      <c r="I42" s="28"/>
      <c r="J42" s="28" t="s">
        <v>175</v>
      </c>
      <c r="K42" s="28"/>
      <c r="L42" s="48"/>
      <c r="M42" s="28"/>
      <c r="N42" s="131"/>
    </row>
    <row r="43" spans="1:14" ht="15.75">
      <c r="A43" s="27"/>
      <c r="B43" s="28" t="s">
        <v>28</v>
      </c>
      <c r="C43" s="28"/>
      <c r="D43" s="28"/>
      <c r="E43" s="28"/>
      <c r="F43" s="28"/>
      <c r="G43" s="28"/>
      <c r="H43" s="28"/>
      <c r="I43" s="28"/>
      <c r="J43" s="31"/>
      <c r="K43" s="31"/>
      <c r="L43" s="31" t="s">
        <v>187</v>
      </c>
      <c r="M43" s="28"/>
      <c r="N43" s="131"/>
    </row>
    <row r="44" spans="1:14" ht="15.75">
      <c r="A44" s="32"/>
      <c r="B44" s="33" t="s">
        <v>29</v>
      </c>
      <c r="C44" s="33"/>
      <c r="D44" s="33"/>
      <c r="E44" s="33"/>
      <c r="F44" s="33"/>
      <c r="G44" s="33"/>
      <c r="H44" s="33"/>
      <c r="I44" s="33"/>
      <c r="J44" s="49"/>
      <c r="K44" s="49"/>
      <c r="L44" s="50">
        <v>36906</v>
      </c>
      <c r="M44" s="33"/>
      <c r="N44" s="131"/>
    </row>
    <row r="45" spans="1:14" ht="15.75">
      <c r="A45" s="27"/>
      <c r="B45" s="28" t="s">
        <v>30</v>
      </c>
      <c r="C45" s="28"/>
      <c r="D45" s="28"/>
      <c r="E45" s="28"/>
      <c r="F45" s="28"/>
      <c r="G45" s="28"/>
      <c r="H45" s="28"/>
      <c r="I45" s="28">
        <f>L45-J45+1</f>
        <v>91</v>
      </c>
      <c r="J45" s="51">
        <v>36724</v>
      </c>
      <c r="K45" s="52"/>
      <c r="L45" s="51">
        <v>36814</v>
      </c>
      <c r="M45" s="28"/>
      <c r="N45" s="131"/>
    </row>
    <row r="46" spans="1:14" ht="15.75">
      <c r="A46" s="27"/>
      <c r="B46" s="28" t="s">
        <v>31</v>
      </c>
      <c r="C46" s="28"/>
      <c r="D46" s="28"/>
      <c r="E46" s="28"/>
      <c r="F46" s="28"/>
      <c r="G46" s="28"/>
      <c r="H46" s="28"/>
      <c r="I46" s="28">
        <f>L46-J46+1</f>
        <v>91</v>
      </c>
      <c r="J46" s="51">
        <v>36815</v>
      </c>
      <c r="K46" s="52"/>
      <c r="L46" s="51">
        <v>36905</v>
      </c>
      <c r="M46" s="28"/>
      <c r="N46" s="131"/>
    </row>
    <row r="47" spans="1:14" ht="15.75">
      <c r="A47" s="27"/>
      <c r="B47" s="28" t="s">
        <v>32</v>
      </c>
      <c r="C47" s="28"/>
      <c r="D47" s="28"/>
      <c r="E47" s="28"/>
      <c r="F47" s="28"/>
      <c r="G47" s="28"/>
      <c r="H47" s="28"/>
      <c r="I47" s="28"/>
      <c r="J47" s="51"/>
      <c r="K47" s="52"/>
      <c r="L47" s="51" t="s">
        <v>188</v>
      </c>
      <c r="M47" s="28"/>
      <c r="N47" s="131"/>
    </row>
    <row r="48" spans="1:14" ht="15.75">
      <c r="A48" s="27"/>
      <c r="B48" s="28" t="s">
        <v>33</v>
      </c>
      <c r="C48" s="28"/>
      <c r="D48" s="28"/>
      <c r="E48" s="28"/>
      <c r="F48" s="28"/>
      <c r="G48" s="28"/>
      <c r="H48" s="28"/>
      <c r="I48" s="28"/>
      <c r="J48" s="51"/>
      <c r="K48" s="52"/>
      <c r="L48" s="51">
        <v>36899</v>
      </c>
      <c r="M48" s="28"/>
      <c r="N48" s="131"/>
    </row>
    <row r="49" spans="1:14" ht="15.75">
      <c r="A49" s="27"/>
      <c r="B49" s="28"/>
      <c r="C49" s="28"/>
      <c r="D49" s="28"/>
      <c r="E49" s="28"/>
      <c r="F49" s="28"/>
      <c r="G49" s="28"/>
      <c r="H49" s="28"/>
      <c r="I49" s="28"/>
      <c r="J49" s="51"/>
      <c r="K49" s="52"/>
      <c r="L49" s="51"/>
      <c r="M49" s="28"/>
      <c r="N49" s="131"/>
    </row>
    <row r="50" spans="1:14" ht="15.75">
      <c r="A50" s="8"/>
      <c r="B50" s="10"/>
      <c r="C50" s="10"/>
      <c r="D50" s="10"/>
      <c r="E50" s="10"/>
      <c r="F50" s="10"/>
      <c r="G50" s="10"/>
      <c r="H50" s="10"/>
      <c r="I50" s="10"/>
      <c r="J50" s="53"/>
      <c r="K50" s="54"/>
      <c r="L50" s="53"/>
      <c r="M50" s="10"/>
      <c r="N50" s="131"/>
    </row>
    <row r="51" spans="1:14" ht="19.5" thickBot="1">
      <c r="A51" s="138"/>
      <c r="B51" s="139" t="s">
        <v>201</v>
      </c>
      <c r="C51" s="140"/>
      <c r="D51" s="140"/>
      <c r="E51" s="140"/>
      <c r="F51" s="140"/>
      <c r="G51" s="140"/>
      <c r="H51" s="140"/>
      <c r="I51" s="140"/>
      <c r="J51" s="140"/>
      <c r="K51" s="140"/>
      <c r="L51" s="141"/>
      <c r="M51" s="142"/>
      <c r="N51" s="131"/>
    </row>
    <row r="52" spans="1:14" ht="15.75">
      <c r="A52" s="2"/>
      <c r="B52" s="5"/>
      <c r="C52" s="5"/>
      <c r="D52" s="5"/>
      <c r="E52" s="5"/>
      <c r="F52" s="5"/>
      <c r="G52" s="5"/>
      <c r="H52" s="5"/>
      <c r="I52" s="5"/>
      <c r="J52" s="5"/>
      <c r="K52" s="5"/>
      <c r="L52" s="57"/>
      <c r="M52" s="5"/>
      <c r="N52" s="131"/>
    </row>
    <row r="53" spans="1:14" ht="15.75">
      <c r="A53" s="8"/>
      <c r="B53" s="58" t="s">
        <v>35</v>
      </c>
      <c r="C53" s="16"/>
      <c r="D53" s="10"/>
      <c r="E53" s="10"/>
      <c r="F53" s="10"/>
      <c r="G53" s="10"/>
      <c r="H53" s="10"/>
      <c r="I53" s="10"/>
      <c r="J53" s="10"/>
      <c r="K53" s="10"/>
      <c r="L53" s="59"/>
      <c r="M53" s="10"/>
      <c r="N53" s="131"/>
    </row>
    <row r="54" spans="1:14" ht="15.75">
      <c r="A54" s="8"/>
      <c r="B54" s="16"/>
      <c r="C54" s="16"/>
      <c r="D54" s="10"/>
      <c r="E54" s="10"/>
      <c r="F54" s="10"/>
      <c r="G54" s="10"/>
      <c r="H54" s="10"/>
      <c r="I54" s="10"/>
      <c r="J54" s="10"/>
      <c r="K54" s="10"/>
      <c r="L54" s="59"/>
      <c r="M54" s="10"/>
      <c r="N54" s="131"/>
    </row>
    <row r="55" spans="1:14" s="165" customFormat="1" ht="63">
      <c r="A55" s="159"/>
      <c r="B55" s="160" t="s">
        <v>36</v>
      </c>
      <c r="C55" s="161" t="s">
        <v>145</v>
      </c>
      <c r="D55" s="161" t="s">
        <v>147</v>
      </c>
      <c r="E55" s="161"/>
      <c r="F55" s="161" t="s">
        <v>160</v>
      </c>
      <c r="G55" s="161"/>
      <c r="H55" s="161" t="s">
        <v>170</v>
      </c>
      <c r="I55" s="161"/>
      <c r="J55" s="161" t="s">
        <v>176</v>
      </c>
      <c r="K55" s="161"/>
      <c r="L55" s="162" t="s">
        <v>189</v>
      </c>
      <c r="M55" s="163"/>
      <c r="N55" s="171"/>
    </row>
    <row r="56" spans="1:14" ht="15.75">
      <c r="A56" s="27"/>
      <c r="B56" s="28" t="s">
        <v>37</v>
      </c>
      <c r="C56" s="38">
        <v>162582</v>
      </c>
      <c r="D56" s="60">
        <v>171181</v>
      </c>
      <c r="E56" s="38"/>
      <c r="F56" s="38">
        <v>4330</v>
      </c>
      <c r="G56" s="38"/>
      <c r="H56" s="38">
        <v>1537</v>
      </c>
      <c r="I56" s="38"/>
      <c r="J56" s="38">
        <v>0</v>
      </c>
      <c r="K56" s="38"/>
      <c r="L56" s="60">
        <f>D56-F56+H56-J56</f>
        <v>168388</v>
      </c>
      <c r="M56" s="28"/>
      <c r="N56" s="131"/>
    </row>
    <row r="57" spans="1:14" ht="15.75">
      <c r="A57" s="27"/>
      <c r="B57" s="28" t="s">
        <v>38</v>
      </c>
      <c r="C57" s="38">
        <v>66</v>
      </c>
      <c r="D57" s="60">
        <v>0</v>
      </c>
      <c r="E57" s="38"/>
      <c r="F57" s="38">
        <v>0</v>
      </c>
      <c r="G57" s="38"/>
      <c r="H57" s="38">
        <v>0</v>
      </c>
      <c r="I57" s="38"/>
      <c r="J57" s="38">
        <v>0</v>
      </c>
      <c r="K57" s="38"/>
      <c r="L57" s="60">
        <f>D57-F57</f>
        <v>0</v>
      </c>
      <c r="M57" s="28"/>
      <c r="N57" s="131"/>
    </row>
    <row r="58" spans="1:14" ht="15.75">
      <c r="A58" s="27"/>
      <c r="B58" s="28"/>
      <c r="C58" s="38"/>
      <c r="D58" s="60"/>
      <c r="E58" s="38"/>
      <c r="F58" s="38"/>
      <c r="G58" s="38"/>
      <c r="H58" s="38"/>
      <c r="I58" s="38"/>
      <c r="J58" s="38"/>
      <c r="K58" s="38"/>
      <c r="L58" s="60"/>
      <c r="M58" s="28"/>
      <c r="N58" s="131"/>
    </row>
    <row r="59" spans="1:14" ht="15.75">
      <c r="A59" s="27"/>
      <c r="B59" s="28" t="s">
        <v>39</v>
      </c>
      <c r="C59" s="38">
        <f>SUM(C56:C58)</f>
        <v>162648</v>
      </c>
      <c r="D59" s="61">
        <v>171181</v>
      </c>
      <c r="E59" s="38"/>
      <c r="F59" s="38">
        <f>SUM(F56:F58)</f>
        <v>4330</v>
      </c>
      <c r="G59" s="38"/>
      <c r="H59" s="38">
        <f>SUM(H56:H58)</f>
        <v>1537</v>
      </c>
      <c r="I59" s="38"/>
      <c r="J59" s="38">
        <f>SUM(J56:J58)</f>
        <v>0</v>
      </c>
      <c r="K59" s="38"/>
      <c r="L59" s="61">
        <f>SUM(L56:L58)</f>
        <v>168388</v>
      </c>
      <c r="M59" s="28"/>
      <c r="N59" s="131"/>
    </row>
    <row r="60" spans="1:14" ht="15.75">
      <c r="A60" s="27"/>
      <c r="B60" s="28"/>
      <c r="C60" s="38"/>
      <c r="D60" s="38"/>
      <c r="E60" s="38"/>
      <c r="F60" s="38"/>
      <c r="G60" s="38"/>
      <c r="H60" s="38"/>
      <c r="I60" s="38"/>
      <c r="J60" s="38"/>
      <c r="K60" s="38"/>
      <c r="L60" s="61"/>
      <c r="M60" s="28"/>
      <c r="N60" s="131"/>
    </row>
    <row r="61" spans="1:14" ht="15.75">
      <c r="A61" s="8"/>
      <c r="B61" s="154" t="s">
        <v>40</v>
      </c>
      <c r="C61" s="62"/>
      <c r="D61" s="62"/>
      <c r="E61" s="62"/>
      <c r="F61" s="62"/>
      <c r="G61" s="62"/>
      <c r="H61" s="62"/>
      <c r="I61" s="62"/>
      <c r="J61" s="62"/>
      <c r="K61" s="62"/>
      <c r="L61" s="63"/>
      <c r="M61" s="10"/>
      <c r="N61" s="131"/>
    </row>
    <row r="62" spans="1:14" ht="15.75">
      <c r="A62" s="8"/>
      <c r="B62" s="10"/>
      <c r="C62" s="62"/>
      <c r="D62" s="62"/>
      <c r="E62" s="62"/>
      <c r="F62" s="62"/>
      <c r="G62" s="62"/>
      <c r="H62" s="62"/>
      <c r="I62" s="62"/>
      <c r="J62" s="62"/>
      <c r="K62" s="62"/>
      <c r="L62" s="63"/>
      <c r="M62" s="10"/>
      <c r="N62" s="131"/>
    </row>
    <row r="63" spans="1:14" ht="15.75">
      <c r="A63" s="27"/>
      <c r="B63" s="28" t="s">
        <v>37</v>
      </c>
      <c r="C63" s="38"/>
      <c r="D63" s="38"/>
      <c r="E63" s="38"/>
      <c r="F63" s="38"/>
      <c r="G63" s="38"/>
      <c r="H63" s="38"/>
      <c r="I63" s="38"/>
      <c r="J63" s="38"/>
      <c r="K63" s="38"/>
      <c r="L63" s="61"/>
      <c r="M63" s="28"/>
      <c r="N63" s="131"/>
    </row>
    <row r="64" spans="1:14" ht="15.75">
      <c r="A64" s="27"/>
      <c r="B64" s="28" t="s">
        <v>38</v>
      </c>
      <c r="C64" s="38"/>
      <c r="D64" s="38"/>
      <c r="E64" s="38"/>
      <c r="F64" s="38"/>
      <c r="G64" s="38"/>
      <c r="H64" s="38"/>
      <c r="I64" s="38"/>
      <c r="J64" s="38"/>
      <c r="K64" s="38"/>
      <c r="L64" s="61"/>
      <c r="M64" s="28"/>
      <c r="N64" s="131"/>
    </row>
    <row r="65" spans="1:14" ht="15.75">
      <c r="A65" s="27"/>
      <c r="B65" s="28"/>
      <c r="C65" s="38"/>
      <c r="D65" s="38"/>
      <c r="E65" s="38"/>
      <c r="F65" s="38"/>
      <c r="G65" s="38"/>
      <c r="H65" s="38"/>
      <c r="I65" s="38"/>
      <c r="J65" s="38"/>
      <c r="K65" s="38"/>
      <c r="L65" s="61"/>
      <c r="M65" s="28"/>
      <c r="N65" s="131"/>
    </row>
    <row r="66" spans="1:14" ht="15.75">
      <c r="A66" s="27"/>
      <c r="B66" s="28" t="s">
        <v>39</v>
      </c>
      <c r="C66" s="38"/>
      <c r="D66" s="38"/>
      <c r="E66" s="38"/>
      <c r="F66" s="38"/>
      <c r="G66" s="38"/>
      <c r="H66" s="38"/>
      <c r="I66" s="38"/>
      <c r="J66" s="38"/>
      <c r="K66" s="38"/>
      <c r="L66" s="38"/>
      <c r="M66" s="28"/>
      <c r="N66" s="131"/>
    </row>
    <row r="67" spans="1:14" ht="15.75">
      <c r="A67" s="27"/>
      <c r="B67" s="28"/>
      <c r="C67" s="38"/>
      <c r="D67" s="38"/>
      <c r="E67" s="38"/>
      <c r="F67" s="38"/>
      <c r="G67" s="38"/>
      <c r="H67" s="38"/>
      <c r="I67" s="38"/>
      <c r="J67" s="38"/>
      <c r="K67" s="38"/>
      <c r="L67" s="38"/>
      <c r="M67" s="28"/>
      <c r="N67" s="131"/>
    </row>
    <row r="68" spans="1:14" ht="15.75">
      <c r="A68" s="27"/>
      <c r="B68" s="28" t="s">
        <v>41</v>
      </c>
      <c r="C68" s="38">
        <v>0</v>
      </c>
      <c r="D68" s="38">
        <v>0</v>
      </c>
      <c r="E68" s="38"/>
      <c r="F68" s="38"/>
      <c r="G68" s="38"/>
      <c r="H68" s="38"/>
      <c r="I68" s="38"/>
      <c r="J68" s="38"/>
      <c r="K68" s="38"/>
      <c r="L68" s="60">
        <f>D68-F68+H68-J68</f>
        <v>0</v>
      </c>
      <c r="M68" s="28"/>
      <c r="N68" s="131"/>
    </row>
    <row r="69" spans="1:14" ht="15.75">
      <c r="A69" s="27"/>
      <c r="B69" s="28" t="s">
        <v>42</v>
      </c>
      <c r="C69" s="38">
        <v>22352</v>
      </c>
      <c r="D69" s="38">
        <v>0</v>
      </c>
      <c r="E69" s="38"/>
      <c r="F69" s="38"/>
      <c r="G69" s="38"/>
      <c r="H69" s="38"/>
      <c r="I69" s="38"/>
      <c r="J69" s="38"/>
      <c r="K69" s="38"/>
      <c r="L69" s="61">
        <v>0</v>
      </c>
      <c r="M69" s="28"/>
      <c r="N69" s="131"/>
    </row>
    <row r="70" spans="1:14" ht="15.75">
      <c r="A70" s="27"/>
      <c r="B70" s="28" t="s">
        <v>43</v>
      </c>
      <c r="C70" s="38">
        <v>0</v>
      </c>
      <c r="D70" s="38">
        <f>L127</f>
        <v>0</v>
      </c>
      <c r="E70" s="38"/>
      <c r="F70" s="38"/>
      <c r="G70" s="38"/>
      <c r="H70" s="38"/>
      <c r="I70" s="38"/>
      <c r="J70" s="38"/>
      <c r="K70" s="38"/>
      <c r="L70" s="61">
        <f>SUM(C70:K70)</f>
        <v>0</v>
      </c>
      <c r="M70" s="28"/>
      <c r="N70" s="131"/>
    </row>
    <row r="71" spans="1:14" ht="15.75">
      <c r="A71" s="27"/>
      <c r="B71" s="28" t="s">
        <v>44</v>
      </c>
      <c r="C71" s="61">
        <f>SUM(C59:C70)</f>
        <v>185000</v>
      </c>
      <c r="D71" s="61">
        <f>SUM(D59:D70)</f>
        <v>171181</v>
      </c>
      <c r="E71" s="38"/>
      <c r="F71" s="61"/>
      <c r="G71" s="38"/>
      <c r="H71" s="61"/>
      <c r="I71" s="38"/>
      <c r="J71" s="61"/>
      <c r="K71" s="38"/>
      <c r="L71" s="61">
        <f>SUM(L59:L70)</f>
        <v>168388</v>
      </c>
      <c r="M71" s="28"/>
      <c r="N71" s="131"/>
    </row>
    <row r="72" spans="1:14" ht="15.75">
      <c r="A72" s="27"/>
      <c r="B72" s="28"/>
      <c r="C72" s="38"/>
      <c r="D72" s="38"/>
      <c r="E72" s="38"/>
      <c r="F72" s="38"/>
      <c r="G72" s="38"/>
      <c r="H72" s="38"/>
      <c r="I72" s="38"/>
      <c r="J72" s="38"/>
      <c r="K72" s="38"/>
      <c r="L72" s="61"/>
      <c r="M72" s="28"/>
      <c r="N72" s="131"/>
    </row>
    <row r="73" spans="1:14" ht="15.75">
      <c r="A73" s="8"/>
      <c r="B73" s="10"/>
      <c r="C73" s="10"/>
      <c r="D73" s="10"/>
      <c r="E73" s="10"/>
      <c r="F73" s="10"/>
      <c r="G73" s="10"/>
      <c r="H73" s="10"/>
      <c r="I73" s="10"/>
      <c r="J73" s="10"/>
      <c r="K73" s="10"/>
      <c r="L73" s="10"/>
      <c r="M73" s="10"/>
      <c r="N73" s="131"/>
    </row>
    <row r="74" spans="1:14" ht="15.75">
      <c r="A74" s="8"/>
      <c r="B74" s="58" t="s">
        <v>45</v>
      </c>
      <c r="C74" s="17"/>
      <c r="D74" s="17"/>
      <c r="E74" s="17"/>
      <c r="F74" s="17"/>
      <c r="G74" s="17"/>
      <c r="H74" s="17"/>
      <c r="I74" s="20"/>
      <c r="J74" s="20" t="s">
        <v>177</v>
      </c>
      <c r="K74" s="20"/>
      <c r="L74" s="20" t="s">
        <v>190</v>
      </c>
      <c r="M74" s="10"/>
      <c r="N74" s="131"/>
    </row>
    <row r="75" spans="1:14" ht="15.75">
      <c r="A75" s="27"/>
      <c r="B75" s="28" t="s">
        <v>46</v>
      </c>
      <c r="C75" s="28"/>
      <c r="D75" s="28"/>
      <c r="E75" s="28"/>
      <c r="F75" s="28"/>
      <c r="G75" s="28"/>
      <c r="H75" s="28"/>
      <c r="I75" s="28"/>
      <c r="J75" s="38">
        <v>0</v>
      </c>
      <c r="K75" s="28"/>
      <c r="L75" s="60">
        <v>0</v>
      </c>
      <c r="M75" s="28"/>
      <c r="N75" s="131"/>
    </row>
    <row r="76" spans="1:14" ht="15.75">
      <c r="A76" s="27"/>
      <c r="B76" s="28" t="s">
        <v>47</v>
      </c>
      <c r="C76" s="47" t="s">
        <v>146</v>
      </c>
      <c r="D76" s="65">
        <v>36891</v>
      </c>
      <c r="E76" s="28"/>
      <c r="F76" s="28"/>
      <c r="G76" s="28"/>
      <c r="H76" s="28"/>
      <c r="I76" s="28"/>
      <c r="J76" s="38">
        <v>4330</v>
      </c>
      <c r="K76" s="28"/>
      <c r="L76" s="60"/>
      <c r="M76" s="28"/>
      <c r="N76" s="131"/>
    </row>
    <row r="77" spans="1:14" ht="15.75">
      <c r="A77" s="27"/>
      <c r="B77" s="28" t="s">
        <v>48</v>
      </c>
      <c r="C77" s="28"/>
      <c r="D77" s="28"/>
      <c r="E77" s="28"/>
      <c r="F77" s="28"/>
      <c r="G77" s="28"/>
      <c r="H77" s="28"/>
      <c r="I77" s="28"/>
      <c r="J77" s="38"/>
      <c r="K77" s="28"/>
      <c r="L77" s="60">
        <v>3498</v>
      </c>
      <c r="M77" s="28"/>
      <c r="N77" s="131"/>
    </row>
    <row r="78" spans="1:14" ht="15.75">
      <c r="A78" s="27"/>
      <c r="B78" s="28" t="s">
        <v>49</v>
      </c>
      <c r="C78" s="28"/>
      <c r="D78" s="28"/>
      <c r="E78" s="28"/>
      <c r="F78" s="28"/>
      <c r="G78" s="28"/>
      <c r="H78" s="28"/>
      <c r="I78" s="28"/>
      <c r="J78" s="38"/>
      <c r="K78" s="28"/>
      <c r="L78" s="60">
        <v>0</v>
      </c>
      <c r="M78" s="28"/>
      <c r="N78" s="131"/>
    </row>
    <row r="79" spans="1:14" ht="15.75">
      <c r="A79" s="27"/>
      <c r="B79" s="28" t="s">
        <v>50</v>
      </c>
      <c r="C79" s="28"/>
      <c r="D79" s="28"/>
      <c r="E79" s="28"/>
      <c r="F79" s="28"/>
      <c r="G79" s="28"/>
      <c r="H79" s="28"/>
      <c r="I79" s="28"/>
      <c r="J79" s="38">
        <f>SUM(J75:J78)</f>
        <v>4330</v>
      </c>
      <c r="K79" s="28"/>
      <c r="L79" s="61">
        <f>SUM(L75:L78)</f>
        <v>3498</v>
      </c>
      <c r="M79" s="28"/>
      <c r="N79" s="131"/>
    </row>
    <row r="80" spans="1:14" ht="15.75">
      <c r="A80" s="27"/>
      <c r="B80" s="28" t="s">
        <v>51</v>
      </c>
      <c r="C80" s="28"/>
      <c r="D80" s="28"/>
      <c r="E80" s="28"/>
      <c r="F80" s="28"/>
      <c r="G80" s="28"/>
      <c r="H80" s="28"/>
      <c r="I80" s="28"/>
      <c r="J80" s="38">
        <v>0</v>
      </c>
      <c r="K80" s="28"/>
      <c r="L80" s="60">
        <v>0</v>
      </c>
      <c r="M80" s="28"/>
      <c r="N80" s="131"/>
    </row>
    <row r="81" spans="1:14" ht="15.75">
      <c r="A81" s="27"/>
      <c r="B81" s="28" t="s">
        <v>52</v>
      </c>
      <c r="C81" s="28"/>
      <c r="D81" s="28"/>
      <c r="E81" s="28"/>
      <c r="F81" s="28"/>
      <c r="G81" s="28"/>
      <c r="H81" s="28"/>
      <c r="I81" s="28"/>
      <c r="J81" s="38">
        <f>J79+J80</f>
        <v>4330</v>
      </c>
      <c r="K81" s="28"/>
      <c r="L81" s="61">
        <f>L79+L80</f>
        <v>3498</v>
      </c>
      <c r="M81" s="28"/>
      <c r="N81" s="131"/>
    </row>
    <row r="82" spans="1:14" ht="15.75">
      <c r="A82" s="27"/>
      <c r="B82" s="166" t="s">
        <v>53</v>
      </c>
      <c r="C82" s="66"/>
      <c r="D82" s="28"/>
      <c r="E82" s="28"/>
      <c r="F82" s="28"/>
      <c r="G82" s="28"/>
      <c r="H82" s="28"/>
      <c r="I82" s="28"/>
      <c r="J82" s="38"/>
      <c r="K82" s="28"/>
      <c r="L82" s="60"/>
      <c r="M82" s="28"/>
      <c r="N82" s="131"/>
    </row>
    <row r="83" spans="1:14" ht="15.75">
      <c r="A83" s="27">
        <v>1</v>
      </c>
      <c r="B83" s="28" t="s">
        <v>54</v>
      </c>
      <c r="C83" s="28"/>
      <c r="D83" s="28"/>
      <c r="E83" s="28"/>
      <c r="F83" s="28"/>
      <c r="G83" s="28"/>
      <c r="H83" s="28"/>
      <c r="I83" s="28"/>
      <c r="J83" s="28"/>
      <c r="K83" s="28"/>
      <c r="L83" s="60">
        <v>0</v>
      </c>
      <c r="M83" s="28"/>
      <c r="N83" s="131"/>
    </row>
    <row r="84" spans="1:14" ht="15.75">
      <c r="A84" s="27">
        <v>2</v>
      </c>
      <c r="B84" s="28" t="s">
        <v>55</v>
      </c>
      <c r="C84" s="28"/>
      <c r="D84" s="28"/>
      <c r="E84" s="28"/>
      <c r="F84" s="28"/>
      <c r="G84" s="28"/>
      <c r="H84" s="28"/>
      <c r="I84" s="28"/>
      <c r="J84" s="28"/>
      <c r="K84" s="28"/>
      <c r="L84" s="60">
        <v>-3</v>
      </c>
      <c r="M84" s="28"/>
      <c r="N84" s="131"/>
    </row>
    <row r="85" spans="1:14" ht="15.75">
      <c r="A85" s="27">
        <v>3</v>
      </c>
      <c r="B85" s="28" t="s">
        <v>56</v>
      </c>
      <c r="C85" s="28"/>
      <c r="D85" s="28"/>
      <c r="E85" s="28"/>
      <c r="F85" s="28"/>
      <c r="G85" s="28"/>
      <c r="H85" s="28"/>
      <c r="I85" s="28"/>
      <c r="J85" s="28"/>
      <c r="K85" s="28"/>
      <c r="L85" s="60">
        <v>-132</v>
      </c>
      <c r="M85" s="28"/>
      <c r="N85" s="131"/>
    </row>
    <row r="86" spans="1:14" ht="15.75">
      <c r="A86" s="27">
        <v>4</v>
      </c>
      <c r="B86" s="28" t="s">
        <v>57</v>
      </c>
      <c r="C86" s="28"/>
      <c r="D86" s="28"/>
      <c r="E86" s="28"/>
      <c r="F86" s="28"/>
      <c r="G86" s="28"/>
      <c r="H86" s="28"/>
      <c r="I86" s="28"/>
      <c r="J86" s="28"/>
      <c r="K86" s="28"/>
      <c r="L86" s="60">
        <v>107</v>
      </c>
      <c r="M86" s="28"/>
      <c r="N86" s="131"/>
    </row>
    <row r="87" spans="1:14" ht="15.75">
      <c r="A87" s="27">
        <v>5</v>
      </c>
      <c r="B87" s="28" t="s">
        <v>58</v>
      </c>
      <c r="C87" s="28"/>
      <c r="D87" s="28"/>
      <c r="E87" s="28"/>
      <c r="F87" s="28"/>
      <c r="G87" s="28"/>
      <c r="H87" s="28"/>
      <c r="I87" s="28"/>
      <c r="J87" s="28"/>
      <c r="K87" s="28"/>
      <c r="L87" s="60">
        <v>-2477</v>
      </c>
      <c r="M87" s="28"/>
      <c r="N87" s="131"/>
    </row>
    <row r="88" spans="1:14" ht="15.75">
      <c r="A88" s="27">
        <v>6</v>
      </c>
      <c r="B88" s="28" t="s">
        <v>59</v>
      </c>
      <c r="C88" s="28"/>
      <c r="D88" s="28"/>
      <c r="E88" s="28"/>
      <c r="F88" s="28"/>
      <c r="G88" s="28"/>
      <c r="H88" s="28"/>
      <c r="I88" s="28"/>
      <c r="J88" s="28"/>
      <c r="K88" s="28"/>
      <c r="L88" s="60">
        <v>-295</v>
      </c>
      <c r="M88" s="28"/>
      <c r="N88" s="131"/>
    </row>
    <row r="89" spans="1:14" ht="15.75">
      <c r="A89" s="27">
        <v>7</v>
      </c>
      <c r="B89" s="28" t="s">
        <v>60</v>
      </c>
      <c r="C89" s="28"/>
      <c r="D89" s="28"/>
      <c r="E89" s="28"/>
      <c r="F89" s="28"/>
      <c r="G89" s="28"/>
      <c r="H89" s="28"/>
      <c r="I89" s="28"/>
      <c r="J89" s="28"/>
      <c r="K89" s="28"/>
      <c r="L89" s="60">
        <v>-3</v>
      </c>
      <c r="M89" s="28"/>
      <c r="N89" s="131"/>
    </row>
    <row r="90" spans="1:14" ht="15.75">
      <c r="A90" s="27">
        <v>8</v>
      </c>
      <c r="B90" s="28" t="s">
        <v>61</v>
      </c>
      <c r="C90" s="28"/>
      <c r="D90" s="28"/>
      <c r="E90" s="28"/>
      <c r="F90" s="28"/>
      <c r="G90" s="28"/>
      <c r="H90" s="28"/>
      <c r="I90" s="28"/>
      <c r="J90" s="28"/>
      <c r="K90" s="28"/>
      <c r="L90" s="60">
        <v>0</v>
      </c>
      <c r="M90" s="28"/>
      <c r="N90" s="131"/>
    </row>
    <row r="91" spans="1:14" ht="15.75">
      <c r="A91" s="27">
        <v>9</v>
      </c>
      <c r="B91" s="28" t="s">
        <v>62</v>
      </c>
      <c r="C91" s="28"/>
      <c r="D91" s="28"/>
      <c r="E91" s="28"/>
      <c r="F91" s="28"/>
      <c r="G91" s="28"/>
      <c r="H91" s="28"/>
      <c r="I91" s="28"/>
      <c r="J91" s="28"/>
      <c r="K91" s="28"/>
      <c r="L91" s="60">
        <v>0</v>
      </c>
      <c r="M91" s="28"/>
      <c r="N91" s="131"/>
    </row>
    <row r="92" spans="1:14" ht="15.75">
      <c r="A92" s="27">
        <v>10</v>
      </c>
      <c r="B92" s="28" t="s">
        <v>63</v>
      </c>
      <c r="C92" s="28"/>
      <c r="D92" s="28"/>
      <c r="E92" s="28"/>
      <c r="F92" s="28"/>
      <c r="G92" s="28"/>
      <c r="H92" s="28"/>
      <c r="I92" s="28"/>
      <c r="J92" s="28"/>
      <c r="K92" s="28"/>
      <c r="L92" s="60">
        <v>0</v>
      </c>
      <c r="M92" s="28"/>
      <c r="N92" s="131"/>
    </row>
    <row r="93" spans="1:14" ht="15.75">
      <c r="A93" s="27">
        <v>11</v>
      </c>
      <c r="B93" s="28" t="s">
        <v>64</v>
      </c>
      <c r="C93" s="28"/>
      <c r="D93" s="28"/>
      <c r="E93" s="28"/>
      <c r="F93" s="28"/>
      <c r="G93" s="28"/>
      <c r="H93" s="28"/>
      <c r="I93" s="28"/>
      <c r="J93" s="28"/>
      <c r="K93" s="28"/>
      <c r="L93" s="60">
        <v>0</v>
      </c>
      <c r="M93" s="28"/>
      <c r="N93" s="131"/>
    </row>
    <row r="94" spans="1:14" ht="15.75">
      <c r="A94" s="27">
        <v>12</v>
      </c>
      <c r="B94" s="28" t="s">
        <v>65</v>
      </c>
      <c r="C94" s="28"/>
      <c r="D94" s="28"/>
      <c r="E94" s="28"/>
      <c r="F94" s="28"/>
      <c r="G94" s="28"/>
      <c r="H94" s="28"/>
      <c r="I94" s="28"/>
      <c r="J94" s="28"/>
      <c r="K94" s="28"/>
      <c r="L94" s="60">
        <v>-145</v>
      </c>
      <c r="M94" s="28"/>
      <c r="N94" s="131"/>
    </row>
    <row r="95" spans="1:14" ht="15.75">
      <c r="A95" s="27">
        <v>13</v>
      </c>
      <c r="B95" s="28" t="s">
        <v>66</v>
      </c>
      <c r="C95" s="28"/>
      <c r="D95" s="28"/>
      <c r="E95" s="28"/>
      <c r="F95" s="28"/>
      <c r="G95" s="28"/>
      <c r="H95" s="28"/>
      <c r="I95" s="28"/>
      <c r="J95" s="28"/>
      <c r="K95" s="28"/>
      <c r="L95" s="60">
        <f>-SUM(L81:L94)</f>
        <v>-550</v>
      </c>
      <c r="M95" s="28"/>
      <c r="N95" s="131"/>
    </row>
    <row r="96" spans="1:14" ht="15.75">
      <c r="A96" s="27"/>
      <c r="B96" s="166" t="s">
        <v>67</v>
      </c>
      <c r="C96" s="66"/>
      <c r="D96" s="28"/>
      <c r="E96" s="28"/>
      <c r="F96" s="28"/>
      <c r="G96" s="28"/>
      <c r="H96" s="28"/>
      <c r="I96" s="28"/>
      <c r="J96" s="28"/>
      <c r="K96" s="28"/>
      <c r="L96" s="67"/>
      <c r="M96" s="28"/>
      <c r="N96" s="131"/>
    </row>
    <row r="97" spans="1:14" ht="15.75">
      <c r="A97" s="27"/>
      <c r="B97" s="28" t="s">
        <v>68</v>
      </c>
      <c r="C97" s="66"/>
      <c r="D97" s="28"/>
      <c r="E97" s="28"/>
      <c r="F97" s="28"/>
      <c r="G97" s="28"/>
      <c r="H97" s="28"/>
      <c r="I97" s="28"/>
      <c r="J97" s="38">
        <f>-J143</f>
        <v>-10</v>
      </c>
      <c r="K97" s="38"/>
      <c r="L97" s="60"/>
      <c r="M97" s="28"/>
      <c r="N97" s="131"/>
    </row>
    <row r="98" spans="1:14" ht="15.75">
      <c r="A98" s="27"/>
      <c r="B98" s="28" t="s">
        <v>69</v>
      </c>
      <c r="C98" s="28"/>
      <c r="D98" s="28"/>
      <c r="E98" s="28"/>
      <c r="F98" s="28"/>
      <c r="G98" s="28"/>
      <c r="H98" s="28"/>
      <c r="I98" s="28"/>
      <c r="J98" s="38">
        <f>-H143</f>
        <v>-1527</v>
      </c>
      <c r="K98" s="38"/>
      <c r="L98" s="60"/>
      <c r="M98" s="28"/>
      <c r="N98" s="131"/>
    </row>
    <row r="99" spans="1:14" ht="15.75">
      <c r="A99" s="27"/>
      <c r="B99" s="28" t="s">
        <v>70</v>
      </c>
      <c r="C99" s="28"/>
      <c r="D99" s="28"/>
      <c r="E99" s="28"/>
      <c r="F99" s="28"/>
      <c r="G99" s="28"/>
      <c r="H99" s="28"/>
      <c r="I99" s="28"/>
      <c r="J99" s="38">
        <v>-2793</v>
      </c>
      <c r="K99" s="38"/>
      <c r="L99" s="60"/>
      <c r="M99" s="28"/>
      <c r="N99" s="131"/>
    </row>
    <row r="100" spans="1:14" ht="15.75">
      <c r="A100" s="27"/>
      <c r="B100" s="28" t="s">
        <v>71</v>
      </c>
      <c r="C100" s="28"/>
      <c r="D100" s="28"/>
      <c r="E100" s="28"/>
      <c r="F100" s="28"/>
      <c r="G100" s="28"/>
      <c r="H100" s="28"/>
      <c r="I100" s="28"/>
      <c r="J100" s="38">
        <v>0</v>
      </c>
      <c r="K100" s="38"/>
      <c r="L100" s="60"/>
      <c r="M100" s="28"/>
      <c r="N100" s="131"/>
    </row>
    <row r="101" spans="1:14" ht="15.75">
      <c r="A101" s="27"/>
      <c r="B101" s="28" t="s">
        <v>72</v>
      </c>
      <c r="C101" s="28"/>
      <c r="D101" s="28"/>
      <c r="E101" s="28"/>
      <c r="F101" s="28"/>
      <c r="G101" s="28"/>
      <c r="H101" s="28"/>
      <c r="I101" s="28"/>
      <c r="J101" s="38">
        <f>SUM(J82:J100)</f>
        <v>-4330</v>
      </c>
      <c r="K101" s="38"/>
      <c r="L101" s="38">
        <f>SUM(L82:L100)</f>
        <v>-3498</v>
      </c>
      <c r="M101" s="28"/>
      <c r="N101" s="131"/>
    </row>
    <row r="102" spans="1:14" ht="15.75">
      <c r="A102" s="27"/>
      <c r="B102" s="28" t="s">
        <v>73</v>
      </c>
      <c r="C102" s="28"/>
      <c r="D102" s="28"/>
      <c r="E102" s="28"/>
      <c r="F102" s="28"/>
      <c r="G102" s="28"/>
      <c r="H102" s="28"/>
      <c r="I102" s="28"/>
      <c r="J102" s="38">
        <f>J81+J101</f>
        <v>0</v>
      </c>
      <c r="K102" s="38"/>
      <c r="L102" s="38">
        <f>L81+L101</f>
        <v>0</v>
      </c>
      <c r="M102" s="28"/>
      <c r="N102" s="131"/>
    </row>
    <row r="103" spans="1:14" ht="15.75">
      <c r="A103" s="27"/>
      <c r="B103" s="28"/>
      <c r="C103" s="28"/>
      <c r="D103" s="28"/>
      <c r="E103" s="28"/>
      <c r="F103" s="28"/>
      <c r="G103" s="28"/>
      <c r="H103" s="28"/>
      <c r="I103" s="28"/>
      <c r="J103" s="38"/>
      <c r="K103" s="38"/>
      <c r="L103" s="38"/>
      <c r="M103" s="28"/>
      <c r="N103" s="131"/>
    </row>
    <row r="104" spans="1:14" ht="15.75">
      <c r="A104" s="8"/>
      <c r="B104" s="10"/>
      <c r="C104" s="10"/>
      <c r="D104" s="10"/>
      <c r="E104" s="10"/>
      <c r="F104" s="10"/>
      <c r="G104" s="10"/>
      <c r="H104" s="10"/>
      <c r="I104" s="10"/>
      <c r="J104" s="62"/>
      <c r="K104" s="62"/>
      <c r="L104" s="62"/>
      <c r="M104" s="10"/>
      <c r="N104" s="131"/>
    </row>
    <row r="105" spans="1:14" ht="19.5" thickBot="1">
      <c r="A105" s="138"/>
      <c r="B105" s="139" t="s">
        <v>201</v>
      </c>
      <c r="C105" s="140"/>
      <c r="D105" s="140"/>
      <c r="E105" s="140"/>
      <c r="F105" s="140"/>
      <c r="G105" s="140"/>
      <c r="H105" s="140"/>
      <c r="I105" s="140"/>
      <c r="J105" s="143"/>
      <c r="K105" s="143"/>
      <c r="L105" s="143"/>
      <c r="M105" s="142"/>
      <c r="N105" s="131"/>
    </row>
    <row r="106" spans="1:14" ht="12" customHeight="1">
      <c r="A106" s="2"/>
      <c r="B106" s="5"/>
      <c r="C106" s="5"/>
      <c r="D106" s="5"/>
      <c r="E106" s="5"/>
      <c r="F106" s="5"/>
      <c r="G106" s="5"/>
      <c r="H106" s="5"/>
      <c r="I106" s="5"/>
      <c r="J106" s="5"/>
      <c r="K106" s="5"/>
      <c r="L106" s="57"/>
      <c r="M106" s="5"/>
      <c r="N106" s="131"/>
    </row>
    <row r="107" spans="1:14" ht="12" customHeight="1">
      <c r="A107" s="8"/>
      <c r="B107" s="10"/>
      <c r="C107" s="10"/>
      <c r="D107" s="10"/>
      <c r="E107" s="10"/>
      <c r="F107" s="10"/>
      <c r="G107" s="10"/>
      <c r="H107" s="10"/>
      <c r="I107" s="10"/>
      <c r="J107" s="10"/>
      <c r="K107" s="10"/>
      <c r="L107" s="59"/>
      <c r="M107" s="10"/>
      <c r="N107" s="131"/>
    </row>
    <row r="108" spans="1:14" ht="15.75">
      <c r="A108" s="8"/>
      <c r="B108" s="58" t="s">
        <v>74</v>
      </c>
      <c r="C108" s="16"/>
      <c r="D108" s="10"/>
      <c r="E108" s="10"/>
      <c r="F108" s="10"/>
      <c r="G108" s="10"/>
      <c r="H108" s="10"/>
      <c r="I108" s="10"/>
      <c r="J108" s="10"/>
      <c r="K108" s="10"/>
      <c r="L108" s="59"/>
      <c r="M108" s="10"/>
      <c r="N108" s="131"/>
    </row>
    <row r="109" spans="1:14" ht="15.75">
      <c r="A109" s="8"/>
      <c r="B109" s="23"/>
      <c r="C109" s="16"/>
      <c r="D109" s="10"/>
      <c r="E109" s="10"/>
      <c r="F109" s="10"/>
      <c r="G109" s="10"/>
      <c r="H109" s="10"/>
      <c r="I109" s="10"/>
      <c r="J109" s="10"/>
      <c r="K109" s="10"/>
      <c r="L109" s="59"/>
      <c r="M109" s="10"/>
      <c r="N109" s="131"/>
    </row>
    <row r="110" spans="1:14" ht="15.75">
      <c r="A110" s="8"/>
      <c r="B110" s="167" t="s">
        <v>75</v>
      </c>
      <c r="C110" s="16"/>
      <c r="D110" s="10"/>
      <c r="E110" s="10"/>
      <c r="F110" s="10"/>
      <c r="G110" s="10"/>
      <c r="H110" s="10"/>
      <c r="I110" s="10"/>
      <c r="J110" s="10"/>
      <c r="K110" s="10"/>
      <c r="L110" s="59"/>
      <c r="M110" s="10"/>
      <c r="N110" s="131"/>
    </row>
    <row r="111" spans="1:14" ht="15.75">
      <c r="A111" s="27"/>
      <c r="B111" s="28" t="s">
        <v>76</v>
      </c>
      <c r="C111" s="28"/>
      <c r="D111" s="28"/>
      <c r="E111" s="28"/>
      <c r="F111" s="28"/>
      <c r="G111" s="28"/>
      <c r="H111" s="28"/>
      <c r="I111" s="28"/>
      <c r="J111" s="28"/>
      <c r="K111" s="28"/>
      <c r="L111" s="60">
        <v>4625</v>
      </c>
      <c r="M111" s="28"/>
      <c r="N111" s="131"/>
    </row>
    <row r="112" spans="1:14" ht="15.75">
      <c r="A112" s="27"/>
      <c r="B112" s="28" t="s">
        <v>77</v>
      </c>
      <c r="C112" s="28"/>
      <c r="D112" s="28"/>
      <c r="E112" s="28"/>
      <c r="F112" s="28"/>
      <c r="G112" s="28"/>
      <c r="H112" s="28"/>
      <c r="I112" s="28"/>
      <c r="J112" s="28"/>
      <c r="K112" s="28"/>
      <c r="L112" s="60">
        <v>4625</v>
      </c>
      <c r="M112" s="28"/>
      <c r="N112" s="131"/>
    </row>
    <row r="113" spans="1:14" ht="15.75">
      <c r="A113" s="27"/>
      <c r="B113" s="28" t="s">
        <v>78</v>
      </c>
      <c r="C113" s="28"/>
      <c r="D113" s="28"/>
      <c r="E113" s="28"/>
      <c r="F113" s="28"/>
      <c r="G113" s="28"/>
      <c r="H113" s="28"/>
      <c r="I113" s="28"/>
      <c r="J113" s="28"/>
      <c r="K113" s="28"/>
      <c r="L113" s="60">
        <v>0</v>
      </c>
      <c r="M113" s="28"/>
      <c r="N113" s="131"/>
    </row>
    <row r="114" spans="1:14" ht="15.75">
      <c r="A114" s="27"/>
      <c r="B114" s="28" t="s">
        <v>79</v>
      </c>
      <c r="C114" s="28"/>
      <c r="D114" s="28"/>
      <c r="E114" s="28"/>
      <c r="F114" s="28"/>
      <c r="G114" s="28"/>
      <c r="H114" s="28"/>
      <c r="I114" s="28"/>
      <c r="J114" s="28"/>
      <c r="K114" s="28"/>
      <c r="L114" s="60">
        <v>0</v>
      </c>
      <c r="M114" s="28"/>
      <c r="N114" s="131"/>
    </row>
    <row r="115" spans="1:14" ht="15.75">
      <c r="A115" s="27"/>
      <c r="B115" s="28" t="s">
        <v>80</v>
      </c>
      <c r="C115" s="28"/>
      <c r="D115" s="28"/>
      <c r="E115" s="28"/>
      <c r="F115" s="28"/>
      <c r="G115" s="28"/>
      <c r="H115" s="28"/>
      <c r="I115" s="28"/>
      <c r="J115" s="28"/>
      <c r="K115" s="28"/>
      <c r="L115" s="60">
        <v>0</v>
      </c>
      <c r="M115" s="28"/>
      <c r="N115" s="131"/>
    </row>
    <row r="116" spans="1:14" ht="15.75">
      <c r="A116" s="27"/>
      <c r="B116" s="28" t="s">
        <v>58</v>
      </c>
      <c r="C116" s="28"/>
      <c r="D116" s="28"/>
      <c r="E116" s="28"/>
      <c r="F116" s="28"/>
      <c r="G116" s="28"/>
      <c r="H116" s="28"/>
      <c r="I116" s="28"/>
      <c r="J116" s="28"/>
      <c r="K116" s="28"/>
      <c r="L116" s="60">
        <v>0</v>
      </c>
      <c r="M116" s="28"/>
      <c r="N116" s="131"/>
    </row>
    <row r="117" spans="1:14" ht="15.75">
      <c r="A117" s="27"/>
      <c r="B117" s="28" t="s">
        <v>59</v>
      </c>
      <c r="C117" s="28"/>
      <c r="D117" s="28"/>
      <c r="E117" s="28"/>
      <c r="F117" s="28"/>
      <c r="G117" s="28"/>
      <c r="H117" s="28"/>
      <c r="I117" s="28"/>
      <c r="J117" s="28"/>
      <c r="K117" s="28"/>
      <c r="L117" s="60">
        <v>0</v>
      </c>
      <c r="M117" s="28"/>
      <c r="N117" s="131"/>
    </row>
    <row r="118" spans="1:14" ht="15.75">
      <c r="A118" s="27"/>
      <c r="B118" s="28" t="s">
        <v>81</v>
      </c>
      <c r="C118" s="28"/>
      <c r="D118" s="28"/>
      <c r="E118" s="28"/>
      <c r="F118" s="28"/>
      <c r="G118" s="28"/>
      <c r="H118" s="28"/>
      <c r="I118" s="28"/>
      <c r="J118" s="28"/>
      <c r="K118" s="28"/>
      <c r="L118" s="60">
        <f>SUM(L112:L116)</f>
        <v>4625</v>
      </c>
      <c r="M118" s="28"/>
      <c r="N118" s="131"/>
    </row>
    <row r="119" spans="1:14" ht="15.75">
      <c r="A119" s="27"/>
      <c r="B119" s="28"/>
      <c r="C119" s="28"/>
      <c r="D119" s="28"/>
      <c r="E119" s="28"/>
      <c r="F119" s="28"/>
      <c r="G119" s="28"/>
      <c r="H119" s="28"/>
      <c r="I119" s="28"/>
      <c r="J119" s="28"/>
      <c r="K119" s="28"/>
      <c r="L119" s="68"/>
      <c r="M119" s="28"/>
      <c r="N119" s="131"/>
    </row>
    <row r="120" spans="1:14" ht="15.75">
      <c r="A120" s="8"/>
      <c r="B120" s="167" t="s">
        <v>82</v>
      </c>
      <c r="C120" s="10"/>
      <c r="D120" s="10"/>
      <c r="E120" s="10"/>
      <c r="F120" s="10"/>
      <c r="G120" s="10"/>
      <c r="H120" s="10"/>
      <c r="I120" s="10"/>
      <c r="J120" s="10"/>
      <c r="K120" s="10"/>
      <c r="L120" s="59"/>
      <c r="M120" s="10"/>
      <c r="N120" s="131"/>
    </row>
    <row r="121" spans="1:14" ht="15.75">
      <c r="A121" s="27"/>
      <c r="B121" s="28" t="s">
        <v>83</v>
      </c>
      <c r="C121" s="28"/>
      <c r="D121" s="69"/>
      <c r="E121" s="28"/>
      <c r="F121" s="28"/>
      <c r="G121" s="28"/>
      <c r="H121" s="28"/>
      <c r="I121" s="28"/>
      <c r="J121" s="28"/>
      <c r="K121" s="28"/>
      <c r="L121" s="70" t="s">
        <v>156</v>
      </c>
      <c r="M121" s="28"/>
      <c r="N121" s="131"/>
    </row>
    <row r="122" spans="1:14" ht="15.75">
      <c r="A122" s="27"/>
      <c r="B122" s="28" t="s">
        <v>84</v>
      </c>
      <c r="C122" s="30"/>
      <c r="D122" s="30"/>
      <c r="E122" s="30"/>
      <c r="F122" s="30"/>
      <c r="G122" s="30"/>
      <c r="H122" s="30"/>
      <c r="I122" s="30"/>
      <c r="J122" s="30"/>
      <c r="K122" s="30"/>
      <c r="L122" s="70" t="s">
        <v>156</v>
      </c>
      <c r="M122" s="28"/>
      <c r="N122" s="131"/>
    </row>
    <row r="123" spans="1:14" ht="15.75">
      <c r="A123" s="27"/>
      <c r="B123" s="28" t="s">
        <v>85</v>
      </c>
      <c r="C123" s="28"/>
      <c r="D123" s="28"/>
      <c r="E123" s="28"/>
      <c r="F123" s="28"/>
      <c r="G123" s="28"/>
      <c r="H123" s="28"/>
      <c r="I123" s="28"/>
      <c r="J123" s="28"/>
      <c r="K123" s="28"/>
      <c r="L123" s="70" t="s">
        <v>156</v>
      </c>
      <c r="M123" s="28"/>
      <c r="N123" s="131"/>
    </row>
    <row r="124" spans="1:14" ht="15.75">
      <c r="A124" s="27"/>
      <c r="B124" s="28" t="s">
        <v>86</v>
      </c>
      <c r="C124" s="28"/>
      <c r="D124" s="28"/>
      <c r="E124" s="28"/>
      <c r="F124" s="28"/>
      <c r="G124" s="28"/>
      <c r="H124" s="28"/>
      <c r="I124" s="28"/>
      <c r="J124" s="28"/>
      <c r="K124" s="28"/>
      <c r="L124" s="70" t="s">
        <v>156</v>
      </c>
      <c r="M124" s="28"/>
      <c r="N124" s="131"/>
    </row>
    <row r="125" spans="1:14" ht="15.75">
      <c r="A125" s="27"/>
      <c r="B125" s="28"/>
      <c r="C125" s="28"/>
      <c r="D125" s="28"/>
      <c r="E125" s="28"/>
      <c r="F125" s="28"/>
      <c r="G125" s="28"/>
      <c r="H125" s="28"/>
      <c r="I125" s="28"/>
      <c r="J125" s="28"/>
      <c r="K125" s="28"/>
      <c r="L125" s="68"/>
      <c r="M125" s="28"/>
      <c r="N125" s="131"/>
    </row>
    <row r="126" spans="1:14" ht="15.75">
      <c r="A126" s="8"/>
      <c r="B126" s="167" t="s">
        <v>87</v>
      </c>
      <c r="C126" s="16"/>
      <c r="D126" s="10"/>
      <c r="E126" s="10"/>
      <c r="F126" s="10"/>
      <c r="G126" s="10"/>
      <c r="H126" s="10"/>
      <c r="I126" s="10"/>
      <c r="J126" s="10"/>
      <c r="K126" s="10"/>
      <c r="L126" s="71"/>
      <c r="M126" s="10"/>
      <c r="N126" s="131"/>
    </row>
    <row r="127" spans="1:14" ht="15.75">
      <c r="A127" s="27"/>
      <c r="B127" s="28" t="s">
        <v>88</v>
      </c>
      <c r="C127" s="28"/>
      <c r="D127" s="28"/>
      <c r="E127" s="28"/>
      <c r="F127" s="28"/>
      <c r="G127" s="28"/>
      <c r="H127" s="28"/>
      <c r="I127" s="28"/>
      <c r="J127" s="28"/>
      <c r="K127" s="28"/>
      <c r="L127" s="60">
        <v>0</v>
      </c>
      <c r="M127" s="28"/>
      <c r="N127" s="131"/>
    </row>
    <row r="128" spans="1:14" ht="15.75">
      <c r="A128" s="27"/>
      <c r="B128" s="28" t="s">
        <v>89</v>
      </c>
      <c r="C128" s="28"/>
      <c r="D128" s="28"/>
      <c r="E128" s="28"/>
      <c r="F128" s="28"/>
      <c r="G128" s="28"/>
      <c r="H128" s="28"/>
      <c r="I128" s="28"/>
      <c r="J128" s="28"/>
      <c r="K128" s="28"/>
      <c r="L128" s="60">
        <v>0</v>
      </c>
      <c r="M128" s="28"/>
      <c r="N128" s="131"/>
    </row>
    <row r="129" spans="1:14" ht="15.75">
      <c r="A129" s="27"/>
      <c r="B129" s="28" t="s">
        <v>90</v>
      </c>
      <c r="C129" s="28"/>
      <c r="D129" s="28"/>
      <c r="E129" s="28"/>
      <c r="F129" s="28"/>
      <c r="G129" s="28"/>
      <c r="H129" s="28"/>
      <c r="I129" s="28"/>
      <c r="J129" s="28"/>
      <c r="K129" s="28"/>
      <c r="L129" s="60">
        <f>L128+L127</f>
        <v>0</v>
      </c>
      <c r="M129" s="28"/>
      <c r="N129" s="131"/>
    </row>
    <row r="130" spans="1:14" ht="15.75">
      <c r="A130" s="27"/>
      <c r="B130" s="28" t="s">
        <v>91</v>
      </c>
      <c r="C130" s="28"/>
      <c r="D130" s="28"/>
      <c r="E130" s="28"/>
      <c r="F130" s="28"/>
      <c r="G130" s="28"/>
      <c r="H130" s="72"/>
      <c r="I130" s="28"/>
      <c r="J130" s="28"/>
      <c r="K130" s="28"/>
      <c r="L130" s="60">
        <v>0</v>
      </c>
      <c r="M130" s="28"/>
      <c r="N130" s="131"/>
    </row>
    <row r="131" spans="1:14" ht="15.75">
      <c r="A131" s="27"/>
      <c r="B131" s="28" t="s">
        <v>92</v>
      </c>
      <c r="C131" s="28"/>
      <c r="D131" s="28"/>
      <c r="E131" s="28"/>
      <c r="F131" s="28"/>
      <c r="G131" s="28"/>
      <c r="H131" s="28"/>
      <c r="I131" s="28"/>
      <c r="J131" s="28"/>
      <c r="K131" s="28"/>
      <c r="L131" s="60">
        <f>L129+L130</f>
        <v>0</v>
      </c>
      <c r="M131" s="28"/>
      <c r="N131" s="131"/>
    </row>
    <row r="132" spans="1:14" ht="7.5" customHeight="1">
      <c r="A132" s="27"/>
      <c r="B132" s="28"/>
      <c r="C132" s="28"/>
      <c r="D132" s="28"/>
      <c r="E132" s="28"/>
      <c r="F132" s="28"/>
      <c r="G132" s="28"/>
      <c r="H132" s="28"/>
      <c r="I132" s="28"/>
      <c r="J132" s="28"/>
      <c r="K132" s="28"/>
      <c r="L132" s="68"/>
      <c r="M132" s="28"/>
      <c r="N132" s="131"/>
    </row>
    <row r="133" spans="1:14" ht="6" customHeight="1">
      <c r="A133" s="2"/>
      <c r="B133" s="5"/>
      <c r="C133" s="5"/>
      <c r="D133" s="5"/>
      <c r="E133" s="5"/>
      <c r="F133" s="5"/>
      <c r="G133" s="5"/>
      <c r="H133" s="5"/>
      <c r="I133" s="5"/>
      <c r="J133" s="5"/>
      <c r="K133" s="5"/>
      <c r="L133" s="57"/>
      <c r="M133" s="5"/>
      <c r="N133" s="131"/>
    </row>
    <row r="134" spans="1:14" ht="15.75">
      <c r="A134" s="8"/>
      <c r="B134" s="167" t="s">
        <v>93</v>
      </c>
      <c r="C134" s="16"/>
      <c r="D134" s="10"/>
      <c r="E134" s="10"/>
      <c r="F134" s="10"/>
      <c r="G134" s="10"/>
      <c r="H134" s="10"/>
      <c r="I134" s="10"/>
      <c r="J134" s="10"/>
      <c r="K134" s="10"/>
      <c r="L134" s="59"/>
      <c r="M134" s="10"/>
      <c r="N134" s="131"/>
    </row>
    <row r="135" spans="1:14" ht="15.75">
      <c r="A135" s="8"/>
      <c r="B135" s="23"/>
      <c r="C135" s="16"/>
      <c r="D135" s="10"/>
      <c r="E135" s="10"/>
      <c r="F135" s="10"/>
      <c r="G135" s="10"/>
      <c r="H135" s="10"/>
      <c r="I135" s="10"/>
      <c r="J135" s="10"/>
      <c r="K135" s="10"/>
      <c r="L135" s="59"/>
      <c r="M135" s="10"/>
      <c r="N135" s="131"/>
    </row>
    <row r="136" spans="1:14" ht="15.75">
      <c r="A136" s="27"/>
      <c r="B136" s="28" t="s">
        <v>94</v>
      </c>
      <c r="C136" s="73"/>
      <c r="D136" s="28"/>
      <c r="E136" s="28"/>
      <c r="F136" s="28"/>
      <c r="G136" s="28"/>
      <c r="H136" s="28"/>
      <c r="I136" s="28"/>
      <c r="J136" s="28"/>
      <c r="K136" s="28"/>
      <c r="L136" s="60">
        <f>L59</f>
        <v>168388</v>
      </c>
      <c r="M136" s="28"/>
      <c r="N136" s="131"/>
    </row>
    <row r="137" spans="1:14" ht="15.75">
      <c r="A137" s="27"/>
      <c r="B137" s="28" t="s">
        <v>95</v>
      </c>
      <c r="C137" s="73"/>
      <c r="D137" s="28"/>
      <c r="E137" s="28"/>
      <c r="F137" s="28"/>
      <c r="G137" s="28"/>
      <c r="H137" s="28"/>
      <c r="I137" s="28"/>
      <c r="J137" s="28"/>
      <c r="K137" s="28"/>
      <c r="L137" s="60">
        <f>L71</f>
        <v>168388</v>
      </c>
      <c r="M137" s="28"/>
      <c r="N137" s="131"/>
    </row>
    <row r="138" spans="1:14" ht="7.5" customHeight="1">
      <c r="A138" s="27"/>
      <c r="B138" s="28"/>
      <c r="C138" s="28"/>
      <c r="D138" s="28"/>
      <c r="E138" s="28"/>
      <c r="F138" s="28"/>
      <c r="G138" s="28"/>
      <c r="H138" s="28"/>
      <c r="I138" s="28"/>
      <c r="J138" s="28"/>
      <c r="K138" s="28"/>
      <c r="L138" s="68"/>
      <c r="M138" s="28"/>
      <c r="N138" s="131"/>
    </row>
    <row r="139" spans="1:14" ht="15.75">
      <c r="A139" s="2"/>
      <c r="B139" s="5"/>
      <c r="C139" s="5"/>
      <c r="D139" s="5"/>
      <c r="E139" s="5"/>
      <c r="F139" s="5"/>
      <c r="G139" s="5"/>
      <c r="H139" s="5"/>
      <c r="I139" s="5"/>
      <c r="J139" s="5"/>
      <c r="K139" s="5"/>
      <c r="L139" s="57"/>
      <c r="M139" s="5"/>
      <c r="N139" s="131"/>
    </row>
    <row r="140" spans="1:14" ht="15.75">
      <c r="A140" s="132"/>
      <c r="B140" s="167" t="s">
        <v>96</v>
      </c>
      <c r="C140" s="154"/>
      <c r="D140" s="154"/>
      <c r="E140" s="154"/>
      <c r="F140" s="154"/>
      <c r="G140" s="154"/>
      <c r="H140" s="168" t="s">
        <v>171</v>
      </c>
      <c r="I140" s="168"/>
      <c r="J140" s="168" t="s">
        <v>178</v>
      </c>
      <c r="K140" s="154"/>
      <c r="L140" s="169" t="s">
        <v>191</v>
      </c>
      <c r="M140" s="12"/>
      <c r="N140" s="131"/>
    </row>
    <row r="141" spans="1:14" ht="15.75">
      <c r="A141" s="27"/>
      <c r="B141" s="28" t="s">
        <v>97</v>
      </c>
      <c r="C141" s="28"/>
      <c r="D141" s="28"/>
      <c r="E141" s="28"/>
      <c r="F141" s="28"/>
      <c r="G141" s="28"/>
      <c r="H141" s="60">
        <v>20000</v>
      </c>
      <c r="I141" s="28"/>
      <c r="J141" s="47"/>
      <c r="K141" s="28"/>
      <c r="L141" s="60"/>
      <c r="M141" s="28"/>
      <c r="N141" s="131"/>
    </row>
    <row r="142" spans="1:14" ht="15.75">
      <c r="A142" s="27"/>
      <c r="B142" s="28" t="s">
        <v>98</v>
      </c>
      <c r="C142" s="28"/>
      <c r="D142" s="28"/>
      <c r="E142" s="28"/>
      <c r="F142" s="28"/>
      <c r="G142" s="28"/>
      <c r="H142" s="60">
        <v>5952</v>
      </c>
      <c r="I142" s="28"/>
      <c r="J142" s="28">
        <v>496</v>
      </c>
      <c r="K142" s="28"/>
      <c r="L142" s="60">
        <f>J142+H142</f>
        <v>6448</v>
      </c>
      <c r="M142" s="28"/>
      <c r="N142" s="131"/>
    </row>
    <row r="143" spans="1:14" ht="15.75">
      <c r="A143" s="27"/>
      <c r="B143" s="28" t="s">
        <v>99</v>
      </c>
      <c r="C143" s="28"/>
      <c r="D143" s="28"/>
      <c r="E143" s="28"/>
      <c r="F143" s="28"/>
      <c r="G143" s="28"/>
      <c r="H143" s="38">
        <v>1527</v>
      </c>
      <c r="I143" s="28"/>
      <c r="J143" s="28">
        <v>10</v>
      </c>
      <c r="K143" s="28"/>
      <c r="L143" s="60">
        <f>J143+H143</f>
        <v>1537</v>
      </c>
      <c r="M143" s="28"/>
      <c r="N143" s="131"/>
    </row>
    <row r="144" spans="1:14" ht="15.75">
      <c r="A144" s="27"/>
      <c r="B144" s="28" t="s">
        <v>100</v>
      </c>
      <c r="C144" s="28"/>
      <c r="D144" s="28"/>
      <c r="E144" s="28"/>
      <c r="F144" s="28"/>
      <c r="G144" s="28"/>
      <c r="H144" s="60">
        <f>H142+H143</f>
        <v>7479</v>
      </c>
      <c r="I144" s="28"/>
      <c r="J144" s="60">
        <f>J143+J142</f>
        <v>506</v>
      </c>
      <c r="K144" s="28"/>
      <c r="L144" s="60">
        <f>J144+H144</f>
        <v>7985</v>
      </c>
      <c r="M144" s="28"/>
      <c r="N144" s="131"/>
    </row>
    <row r="145" spans="1:14" ht="15.75">
      <c r="A145" s="27"/>
      <c r="B145" s="28" t="s">
        <v>101</v>
      </c>
      <c r="C145" s="28"/>
      <c r="D145" s="28"/>
      <c r="E145" s="28"/>
      <c r="F145" s="28"/>
      <c r="G145" s="28"/>
      <c r="H145" s="60">
        <f>H141-H144</f>
        <v>12521</v>
      </c>
      <c r="I145" s="28"/>
      <c r="J145" s="47"/>
      <c r="K145" s="28"/>
      <c r="L145" s="60"/>
      <c r="M145" s="28"/>
      <c r="N145" s="131"/>
    </row>
    <row r="146" spans="1:14" ht="7.5" customHeight="1">
      <c r="A146" s="27"/>
      <c r="B146" s="28"/>
      <c r="C146" s="28"/>
      <c r="D146" s="28"/>
      <c r="E146" s="28"/>
      <c r="F146" s="28"/>
      <c r="G146" s="28"/>
      <c r="H146" s="28"/>
      <c r="I146" s="28"/>
      <c r="J146" s="28"/>
      <c r="K146" s="28"/>
      <c r="L146" s="68"/>
      <c r="M146" s="28"/>
      <c r="N146" s="131"/>
    </row>
    <row r="147" spans="1:14" ht="9" customHeight="1">
      <c r="A147" s="2"/>
      <c r="B147" s="5"/>
      <c r="C147" s="5"/>
      <c r="D147" s="5"/>
      <c r="E147" s="5"/>
      <c r="F147" s="5"/>
      <c r="G147" s="5"/>
      <c r="H147" s="5"/>
      <c r="I147" s="5"/>
      <c r="J147" s="5"/>
      <c r="K147" s="5"/>
      <c r="L147" s="57"/>
      <c r="M147" s="5"/>
      <c r="N147" s="131"/>
    </row>
    <row r="148" spans="1:14" ht="15.75">
      <c r="A148" s="8"/>
      <c r="B148" s="167" t="s">
        <v>102</v>
      </c>
      <c r="C148" s="16"/>
      <c r="D148" s="10"/>
      <c r="E148" s="10"/>
      <c r="F148" s="10"/>
      <c r="G148" s="10"/>
      <c r="H148" s="10"/>
      <c r="I148" s="10"/>
      <c r="J148" s="10"/>
      <c r="K148" s="10"/>
      <c r="L148" s="74"/>
      <c r="M148" s="10"/>
      <c r="N148" s="131"/>
    </row>
    <row r="149" spans="1:14" ht="15.75">
      <c r="A149" s="27"/>
      <c r="B149" s="28" t="s">
        <v>103</v>
      </c>
      <c r="C149" s="28"/>
      <c r="D149" s="28"/>
      <c r="E149" s="28"/>
      <c r="F149" s="28"/>
      <c r="G149" s="28"/>
      <c r="H149" s="28"/>
      <c r="I149" s="28"/>
      <c r="J149" s="28"/>
      <c r="K149" s="28"/>
      <c r="L149" s="67">
        <f>(L81+L83+L84+L85+L86)/-L87</f>
        <v>1.4008881711748082</v>
      </c>
      <c r="M149" s="28" t="s">
        <v>192</v>
      </c>
      <c r="N149" s="131"/>
    </row>
    <row r="150" spans="1:14" ht="15.75">
      <c r="A150" s="27"/>
      <c r="B150" s="28" t="s">
        <v>104</v>
      </c>
      <c r="C150" s="28"/>
      <c r="D150" s="28"/>
      <c r="E150" s="28"/>
      <c r="F150" s="28"/>
      <c r="G150" s="28"/>
      <c r="H150" s="28"/>
      <c r="I150" s="28"/>
      <c r="J150" s="28"/>
      <c r="K150" s="28"/>
      <c r="L150" s="67">
        <v>1.32</v>
      </c>
      <c r="M150" s="28" t="s">
        <v>192</v>
      </c>
      <c r="N150" s="131"/>
    </row>
    <row r="151" spans="1:14" ht="15.75">
      <c r="A151" s="27"/>
      <c r="B151" s="28" t="s">
        <v>105</v>
      </c>
      <c r="C151" s="28"/>
      <c r="D151" s="28"/>
      <c r="E151" s="28"/>
      <c r="F151" s="28"/>
      <c r="G151" s="28"/>
      <c r="H151" s="28"/>
      <c r="I151" s="28"/>
      <c r="J151" s="28"/>
      <c r="K151" s="28"/>
      <c r="L151" s="67">
        <f>(L81+SUM(L83:L87))/-L88</f>
        <v>3.3661016949152542</v>
      </c>
      <c r="M151" s="28" t="s">
        <v>192</v>
      </c>
      <c r="N151" s="131"/>
    </row>
    <row r="152" spans="1:14" ht="15.75">
      <c r="A152" s="27"/>
      <c r="B152" s="28" t="s">
        <v>106</v>
      </c>
      <c r="C152" s="28"/>
      <c r="D152" s="28"/>
      <c r="E152" s="28"/>
      <c r="F152" s="28"/>
      <c r="G152" s="28"/>
      <c r="H152" s="28"/>
      <c r="I152" s="28"/>
      <c r="J152" s="28"/>
      <c r="K152" s="28"/>
      <c r="L152" s="75">
        <v>2.83</v>
      </c>
      <c r="M152" s="28" t="s">
        <v>192</v>
      </c>
      <c r="N152" s="131"/>
    </row>
    <row r="153" spans="1:14" ht="7.5" customHeight="1">
      <c r="A153" s="27"/>
      <c r="B153" s="28"/>
      <c r="C153" s="28"/>
      <c r="D153" s="28"/>
      <c r="E153" s="28"/>
      <c r="F153" s="28"/>
      <c r="G153" s="28"/>
      <c r="H153" s="28"/>
      <c r="I153" s="28"/>
      <c r="J153" s="28"/>
      <c r="K153" s="28"/>
      <c r="L153" s="28"/>
      <c r="M153" s="28"/>
      <c r="N153" s="131"/>
    </row>
    <row r="154" spans="1:14" ht="15.75">
      <c r="A154" s="8"/>
      <c r="B154" s="15"/>
      <c r="C154" s="15"/>
      <c r="D154" s="15"/>
      <c r="E154" s="15"/>
      <c r="F154" s="15"/>
      <c r="G154" s="15"/>
      <c r="H154" s="15"/>
      <c r="I154" s="15"/>
      <c r="J154" s="15"/>
      <c r="K154" s="15"/>
      <c r="L154" s="15"/>
      <c r="M154" s="15"/>
      <c r="N154" s="131"/>
    </row>
    <row r="155" spans="1:14" ht="15.75">
      <c r="A155" s="8"/>
      <c r="B155" s="15"/>
      <c r="C155" s="15"/>
      <c r="D155" s="15"/>
      <c r="E155" s="15"/>
      <c r="F155" s="15"/>
      <c r="G155" s="15"/>
      <c r="H155" s="15"/>
      <c r="I155" s="15"/>
      <c r="J155" s="15"/>
      <c r="K155" s="15"/>
      <c r="L155" s="15"/>
      <c r="M155" s="15"/>
      <c r="N155" s="131"/>
    </row>
    <row r="156" spans="1:14" ht="19.5" thickBot="1">
      <c r="A156" s="138"/>
      <c r="B156" s="139" t="s">
        <v>201</v>
      </c>
      <c r="C156" s="144"/>
      <c r="D156" s="144"/>
      <c r="E156" s="144"/>
      <c r="F156" s="144"/>
      <c r="G156" s="144"/>
      <c r="H156" s="144"/>
      <c r="I156" s="144"/>
      <c r="J156" s="144"/>
      <c r="K156" s="144"/>
      <c r="L156" s="144"/>
      <c r="M156" s="145"/>
      <c r="N156" s="131"/>
    </row>
    <row r="157" spans="1:14" ht="15.75">
      <c r="A157" s="133"/>
      <c r="B157" s="77" t="s">
        <v>107</v>
      </c>
      <c r="C157" s="78"/>
      <c r="D157" s="78"/>
      <c r="E157" s="78"/>
      <c r="F157" s="78"/>
      <c r="G157" s="79"/>
      <c r="H157" s="79"/>
      <c r="I157" s="79"/>
      <c r="J157" s="79">
        <v>36891</v>
      </c>
      <c r="K157" s="80"/>
      <c r="L157" s="5"/>
      <c r="M157" s="5"/>
      <c r="N157" s="131"/>
    </row>
    <row r="158" spans="1:14" ht="15.75">
      <c r="A158" s="82"/>
      <c r="B158" s="83"/>
      <c r="C158" s="84"/>
      <c r="D158" s="84"/>
      <c r="E158" s="84"/>
      <c r="F158" s="84"/>
      <c r="G158" s="85"/>
      <c r="H158" s="85"/>
      <c r="I158" s="85"/>
      <c r="J158" s="85"/>
      <c r="K158" s="10"/>
      <c r="L158" s="10"/>
      <c r="M158" s="10"/>
      <c r="N158" s="131"/>
    </row>
    <row r="159" spans="1:14" ht="15.75">
      <c r="A159" s="86"/>
      <c r="B159" s="87" t="s">
        <v>108</v>
      </c>
      <c r="C159" s="88"/>
      <c r="D159" s="88"/>
      <c r="E159" s="88"/>
      <c r="F159" s="88"/>
      <c r="G159" s="72"/>
      <c r="H159" s="72"/>
      <c r="I159" s="72"/>
      <c r="J159" s="89">
        <v>0.0714</v>
      </c>
      <c r="K159" s="28"/>
      <c r="L159" s="28"/>
      <c r="M159" s="28"/>
      <c r="N159" s="131"/>
    </row>
    <row r="160" spans="1:14" ht="15.75">
      <c r="A160" s="86"/>
      <c r="B160" s="87" t="s">
        <v>109</v>
      </c>
      <c r="C160" s="88"/>
      <c r="D160" s="88"/>
      <c r="E160" s="88"/>
      <c r="F160" s="88"/>
      <c r="G160" s="72"/>
      <c r="H160" s="72"/>
      <c r="I160" s="72"/>
      <c r="J160" s="46">
        <v>0.0553</v>
      </c>
      <c r="K160" s="28"/>
      <c r="L160" s="28"/>
      <c r="M160" s="28"/>
      <c r="N160" s="131"/>
    </row>
    <row r="161" spans="1:14" ht="15.75">
      <c r="A161" s="86"/>
      <c r="B161" s="87" t="s">
        <v>110</v>
      </c>
      <c r="C161" s="88"/>
      <c r="D161" s="88"/>
      <c r="E161" s="88"/>
      <c r="F161" s="88"/>
      <c r="G161" s="72"/>
      <c r="H161" s="72"/>
      <c r="I161" s="72"/>
      <c r="J161" s="89">
        <f>J159-J160</f>
        <v>0.016100000000000003</v>
      </c>
      <c r="K161" s="28"/>
      <c r="L161" s="28"/>
      <c r="M161" s="28"/>
      <c r="N161" s="131"/>
    </row>
    <row r="162" spans="1:14" ht="15.75">
      <c r="A162" s="86"/>
      <c r="B162" s="87" t="s">
        <v>111</v>
      </c>
      <c r="C162" s="88"/>
      <c r="D162" s="88"/>
      <c r="E162" s="88"/>
      <c r="F162" s="88"/>
      <c r="G162" s="72"/>
      <c r="H162" s="72"/>
      <c r="I162" s="72"/>
      <c r="J162" s="89">
        <v>0.07564</v>
      </c>
      <c r="K162" s="28"/>
      <c r="L162" s="28"/>
      <c r="M162" s="28"/>
      <c r="N162" s="131"/>
    </row>
    <row r="163" spans="1:14" ht="15.75">
      <c r="A163" s="86"/>
      <c r="B163" s="87" t="s">
        <v>112</v>
      </c>
      <c r="C163" s="88"/>
      <c r="D163" s="88"/>
      <c r="E163" s="88"/>
      <c r="F163" s="88"/>
      <c r="G163" s="72"/>
      <c r="H163" s="72"/>
      <c r="I163" s="72"/>
      <c r="J163" s="89">
        <f>L33</f>
        <v>0.06496641399690366</v>
      </c>
      <c r="K163" s="28"/>
      <c r="L163" s="28"/>
      <c r="M163" s="28"/>
      <c r="N163" s="131"/>
    </row>
    <row r="164" spans="1:14" ht="15.75">
      <c r="A164" s="86"/>
      <c r="B164" s="87" t="s">
        <v>113</v>
      </c>
      <c r="C164" s="88"/>
      <c r="D164" s="88"/>
      <c r="E164" s="88"/>
      <c r="F164" s="88"/>
      <c r="G164" s="72"/>
      <c r="H164" s="72"/>
      <c r="I164" s="72"/>
      <c r="J164" s="89">
        <f>J162-J163</f>
        <v>0.010673586003096341</v>
      </c>
      <c r="K164" s="28"/>
      <c r="L164" s="28"/>
      <c r="M164" s="28"/>
      <c r="N164" s="131"/>
    </row>
    <row r="165" spans="1:14" ht="15.75">
      <c r="A165" s="86"/>
      <c r="B165" s="87" t="s">
        <v>114</v>
      </c>
      <c r="C165" s="88"/>
      <c r="D165" s="88"/>
      <c r="E165" s="88"/>
      <c r="F165" s="88"/>
      <c r="G165" s="72"/>
      <c r="H165" s="72"/>
      <c r="I165" s="72"/>
      <c r="J165" s="90" t="s">
        <v>179</v>
      </c>
      <c r="K165" s="28"/>
      <c r="L165" s="28"/>
      <c r="M165" s="28"/>
      <c r="N165" s="131"/>
    </row>
    <row r="166" spans="1:14" ht="15.75">
      <c r="A166" s="86"/>
      <c r="B166" s="87" t="s">
        <v>115</v>
      </c>
      <c r="C166" s="88"/>
      <c r="D166" s="88"/>
      <c r="E166" s="88"/>
      <c r="F166" s="88"/>
      <c r="G166" s="72"/>
      <c r="H166" s="72"/>
      <c r="I166" s="72"/>
      <c r="J166" s="90" t="s">
        <v>180</v>
      </c>
      <c r="K166" s="28"/>
      <c r="L166" s="28"/>
      <c r="M166" s="28"/>
      <c r="N166" s="131"/>
    </row>
    <row r="167" spans="1:14" ht="15.75">
      <c r="A167" s="86"/>
      <c r="B167" s="87" t="s">
        <v>116</v>
      </c>
      <c r="C167" s="88"/>
      <c r="D167" s="88"/>
      <c r="E167" s="88"/>
      <c r="F167" s="88"/>
      <c r="G167" s="72"/>
      <c r="H167" s="72"/>
      <c r="I167" s="72"/>
      <c r="J167" s="91">
        <v>18.53</v>
      </c>
      <c r="K167" s="28" t="s">
        <v>184</v>
      </c>
      <c r="L167" s="28"/>
      <c r="M167" s="28"/>
      <c r="N167" s="131"/>
    </row>
    <row r="168" spans="1:14" ht="15.75">
      <c r="A168" s="86"/>
      <c r="B168" s="87" t="s">
        <v>117</v>
      </c>
      <c r="C168" s="88"/>
      <c r="D168" s="88"/>
      <c r="E168" s="88"/>
      <c r="F168" s="88"/>
      <c r="G168" s="72"/>
      <c r="H168" s="72"/>
      <c r="I168" s="72"/>
      <c r="J168" s="91">
        <v>17.254</v>
      </c>
      <c r="K168" s="28" t="s">
        <v>184</v>
      </c>
      <c r="L168" s="28"/>
      <c r="M168" s="28"/>
      <c r="N168" s="131"/>
    </row>
    <row r="169" spans="1:14" ht="15.75">
      <c r="A169" s="86"/>
      <c r="B169" s="87" t="s">
        <v>118</v>
      </c>
      <c r="C169" s="88"/>
      <c r="D169" s="88"/>
      <c r="E169" s="88"/>
      <c r="F169" s="88"/>
      <c r="G169" s="72"/>
      <c r="H169" s="72"/>
      <c r="I169" s="72"/>
      <c r="J169" s="89">
        <f>F56/'Sept 00'!L54</f>
        <v>0.025295011099427504</v>
      </c>
      <c r="K169" s="28"/>
      <c r="L169" s="28"/>
      <c r="M169" s="28"/>
      <c r="N169" s="131"/>
    </row>
    <row r="170" spans="1:14" ht="15.75">
      <c r="A170" s="86"/>
      <c r="B170" s="87" t="s">
        <v>119</v>
      </c>
      <c r="C170" s="88"/>
      <c r="D170" s="88"/>
      <c r="E170" s="88"/>
      <c r="F170" s="88"/>
      <c r="G170" s="72"/>
      <c r="H170" s="72"/>
      <c r="I170" s="72"/>
      <c r="J170" s="89">
        <v>0.0891</v>
      </c>
      <c r="K170" s="28"/>
      <c r="L170" s="28"/>
      <c r="M170" s="28"/>
      <c r="N170" s="131"/>
    </row>
    <row r="171" spans="1:14" ht="15.75">
      <c r="A171" s="86"/>
      <c r="B171" s="87"/>
      <c r="C171" s="87"/>
      <c r="D171" s="87"/>
      <c r="E171" s="87"/>
      <c r="F171" s="87"/>
      <c r="G171" s="28"/>
      <c r="H171" s="28"/>
      <c r="I171" s="28"/>
      <c r="J171" s="68"/>
      <c r="K171" s="28"/>
      <c r="L171" s="92"/>
      <c r="M171" s="28"/>
      <c r="N171" s="131"/>
    </row>
    <row r="172" spans="1:14" ht="15.75">
      <c r="A172" s="93"/>
      <c r="B172" s="17" t="s">
        <v>120</v>
      </c>
      <c r="C172" s="20"/>
      <c r="D172" s="94"/>
      <c r="E172" s="20"/>
      <c r="F172" s="94"/>
      <c r="G172" s="20"/>
      <c r="H172" s="94"/>
      <c r="I172" s="20" t="s">
        <v>172</v>
      </c>
      <c r="J172" s="94" t="s">
        <v>181</v>
      </c>
      <c r="K172" s="18"/>
      <c r="L172" s="18"/>
      <c r="M172" s="10"/>
      <c r="N172" s="131"/>
    </row>
    <row r="173" spans="1:14" ht="15.75">
      <c r="A173" s="95"/>
      <c r="B173" s="87" t="s">
        <v>121</v>
      </c>
      <c r="C173" s="61"/>
      <c r="D173" s="61"/>
      <c r="E173" s="61"/>
      <c r="F173" s="28"/>
      <c r="G173" s="28"/>
      <c r="H173" s="28"/>
      <c r="I173" s="31">
        <v>25</v>
      </c>
      <c r="J173" s="96">
        <v>1167</v>
      </c>
      <c r="K173" s="28"/>
      <c r="L173" s="92"/>
      <c r="M173" s="97"/>
      <c r="N173" s="131"/>
    </row>
    <row r="174" spans="1:14" ht="15.75">
      <c r="A174" s="95"/>
      <c r="B174" s="87" t="s">
        <v>122</v>
      </c>
      <c r="C174" s="61"/>
      <c r="D174" s="61"/>
      <c r="E174" s="61"/>
      <c r="F174" s="28"/>
      <c r="G174" s="28"/>
      <c r="H174" s="28"/>
      <c r="I174" s="31">
        <v>0</v>
      </c>
      <c r="J174" s="96">
        <v>0</v>
      </c>
      <c r="K174" s="28"/>
      <c r="L174" s="92"/>
      <c r="M174" s="97"/>
      <c r="N174" s="131"/>
    </row>
    <row r="175" spans="1:14" ht="15.75">
      <c r="A175" s="95"/>
      <c r="B175" s="170" t="s">
        <v>123</v>
      </c>
      <c r="C175" s="61"/>
      <c r="D175" s="61"/>
      <c r="E175" s="61"/>
      <c r="F175" s="28"/>
      <c r="G175" s="28"/>
      <c r="H175" s="28"/>
      <c r="I175" s="28"/>
      <c r="J175" s="96">
        <v>0</v>
      </c>
      <c r="K175" s="28"/>
      <c r="L175" s="92"/>
      <c r="M175" s="97"/>
      <c r="N175" s="131"/>
    </row>
    <row r="176" spans="1:14" ht="15.75">
      <c r="A176" s="95"/>
      <c r="B176" s="170" t="s">
        <v>124</v>
      </c>
      <c r="C176" s="61"/>
      <c r="D176" s="61"/>
      <c r="E176" s="61"/>
      <c r="F176" s="28"/>
      <c r="G176" s="28"/>
      <c r="H176" s="28"/>
      <c r="I176" s="28"/>
      <c r="J176" s="96">
        <v>22352</v>
      </c>
      <c r="K176" s="28"/>
      <c r="L176" s="92"/>
      <c r="M176" s="97"/>
      <c r="N176" s="131"/>
    </row>
    <row r="177" spans="1:14" ht="15.75">
      <c r="A177" s="98"/>
      <c r="B177" s="170" t="s">
        <v>125</v>
      </c>
      <c r="C177" s="61"/>
      <c r="D177" s="87"/>
      <c r="E177" s="87"/>
      <c r="F177" s="87"/>
      <c r="G177" s="28"/>
      <c r="H177" s="28"/>
      <c r="I177" s="28"/>
      <c r="J177" s="96">
        <v>0</v>
      </c>
      <c r="K177" s="28"/>
      <c r="L177" s="92"/>
      <c r="M177" s="99"/>
      <c r="N177" s="131"/>
    </row>
    <row r="178" spans="1:14" ht="15.75">
      <c r="A178" s="95"/>
      <c r="B178" s="87" t="s">
        <v>126</v>
      </c>
      <c r="C178" s="61"/>
      <c r="D178" s="61"/>
      <c r="E178" s="61"/>
      <c r="F178" s="61"/>
      <c r="G178" s="28"/>
      <c r="H178" s="28"/>
      <c r="I178" s="28"/>
      <c r="J178" s="96">
        <v>0</v>
      </c>
      <c r="K178" s="28"/>
      <c r="L178" s="92"/>
      <c r="M178" s="99"/>
      <c r="N178" s="131"/>
    </row>
    <row r="179" spans="1:14" ht="15.75">
      <c r="A179" s="95"/>
      <c r="B179" s="87" t="s">
        <v>127</v>
      </c>
      <c r="C179" s="61"/>
      <c r="D179" s="61"/>
      <c r="E179" s="61"/>
      <c r="F179" s="61"/>
      <c r="G179" s="28"/>
      <c r="H179" s="28"/>
      <c r="I179" s="28"/>
      <c r="J179" s="96">
        <v>0</v>
      </c>
      <c r="K179" s="28"/>
      <c r="L179" s="92"/>
      <c r="M179" s="99"/>
      <c r="N179" s="131"/>
    </row>
    <row r="180" spans="1:14" ht="15.75">
      <c r="A180" s="98"/>
      <c r="B180" s="170" t="s">
        <v>128</v>
      </c>
      <c r="C180" s="61"/>
      <c r="D180" s="87"/>
      <c r="E180" s="87"/>
      <c r="F180" s="87"/>
      <c r="G180" s="28"/>
      <c r="H180" s="28"/>
      <c r="I180" s="28"/>
      <c r="J180" s="96"/>
      <c r="K180" s="28"/>
      <c r="L180" s="92"/>
      <c r="M180" s="99"/>
      <c r="N180" s="131"/>
    </row>
    <row r="181" spans="1:14" ht="15.75">
      <c r="A181" s="98"/>
      <c r="B181" s="87" t="s">
        <v>129</v>
      </c>
      <c r="C181" s="61"/>
      <c r="D181" s="87"/>
      <c r="E181" s="87"/>
      <c r="F181" s="87"/>
      <c r="G181" s="28"/>
      <c r="H181" s="28"/>
      <c r="I181" s="28"/>
      <c r="J181" s="96">
        <v>0</v>
      </c>
      <c r="K181" s="28"/>
      <c r="L181" s="92"/>
      <c r="M181" s="99"/>
      <c r="N181" s="131"/>
    </row>
    <row r="182" spans="1:14" ht="15.75">
      <c r="A182" s="95"/>
      <c r="B182" s="87" t="s">
        <v>130</v>
      </c>
      <c r="C182" s="61"/>
      <c r="D182" s="100"/>
      <c r="E182" s="100"/>
      <c r="F182" s="101"/>
      <c r="G182" s="28"/>
      <c r="H182" s="28"/>
      <c r="I182" s="28"/>
      <c r="J182" s="96">
        <v>0</v>
      </c>
      <c r="K182" s="28"/>
      <c r="L182" s="92"/>
      <c r="M182" s="99"/>
      <c r="N182" s="131"/>
    </row>
    <row r="183" spans="1:14" ht="15.75">
      <c r="A183" s="95"/>
      <c r="B183" s="87" t="s">
        <v>131</v>
      </c>
      <c r="C183" s="61"/>
      <c r="D183" s="100"/>
      <c r="E183" s="100"/>
      <c r="F183" s="101"/>
      <c r="G183" s="28"/>
      <c r="H183" s="28"/>
      <c r="I183" s="28"/>
      <c r="J183" s="96">
        <v>0</v>
      </c>
      <c r="K183" s="28"/>
      <c r="L183" s="92"/>
      <c r="M183" s="99"/>
      <c r="N183" s="131"/>
    </row>
    <row r="184" spans="1:14" ht="15.75">
      <c r="A184" s="95"/>
      <c r="B184" s="87" t="s">
        <v>132</v>
      </c>
      <c r="C184" s="61"/>
      <c r="D184" s="102"/>
      <c r="E184" s="100"/>
      <c r="F184" s="101"/>
      <c r="G184" s="28"/>
      <c r="H184" s="28"/>
      <c r="I184" s="28"/>
      <c r="J184" s="103">
        <v>0</v>
      </c>
      <c r="K184" s="28"/>
      <c r="L184" s="92"/>
      <c r="M184" s="99"/>
      <c r="N184" s="131"/>
    </row>
    <row r="185" spans="1:14" ht="15.75">
      <c r="A185" s="95"/>
      <c r="B185" s="87"/>
      <c r="C185" s="61"/>
      <c r="D185" s="102"/>
      <c r="E185" s="100"/>
      <c r="F185" s="101"/>
      <c r="G185" s="28"/>
      <c r="H185" s="28"/>
      <c r="I185" s="28"/>
      <c r="J185" s="103"/>
      <c r="K185" s="28"/>
      <c r="L185" s="92"/>
      <c r="M185" s="99"/>
      <c r="N185" s="131"/>
    </row>
    <row r="186" spans="1:14" ht="15.75">
      <c r="A186" s="8"/>
      <c r="B186" s="17" t="s">
        <v>133</v>
      </c>
      <c r="C186" s="20"/>
      <c r="D186" s="94"/>
      <c r="E186" s="20"/>
      <c r="F186" s="94"/>
      <c r="G186" s="20"/>
      <c r="H186" s="94" t="s">
        <v>172</v>
      </c>
      <c r="I186" s="20" t="s">
        <v>173</v>
      </c>
      <c r="J186" s="94" t="s">
        <v>182</v>
      </c>
      <c r="K186" s="20" t="s">
        <v>173</v>
      </c>
      <c r="L186" s="18"/>
      <c r="M186" s="104"/>
      <c r="N186" s="131"/>
    </row>
    <row r="187" spans="1:14" ht="15.75">
      <c r="A187" s="27"/>
      <c r="B187" s="61" t="s">
        <v>134</v>
      </c>
      <c r="C187" s="105"/>
      <c r="D187" s="61"/>
      <c r="E187" s="105"/>
      <c r="F187" s="28"/>
      <c r="G187" s="105"/>
      <c r="H187" s="61">
        <v>3606</v>
      </c>
      <c r="I187" s="105">
        <f>H187/H193</f>
        <v>0.9698762775685853</v>
      </c>
      <c r="J187" s="60">
        <v>163203</v>
      </c>
      <c r="K187" s="106">
        <f>J187/J193</f>
        <v>0.9692080195738414</v>
      </c>
      <c r="L187" s="92"/>
      <c r="M187" s="99"/>
      <c r="N187" s="131"/>
    </row>
    <row r="188" spans="1:14" ht="15.75">
      <c r="A188" s="27"/>
      <c r="B188" s="61" t="s">
        <v>135</v>
      </c>
      <c r="C188" s="105"/>
      <c r="D188" s="61"/>
      <c r="E188" s="105"/>
      <c r="F188" s="28"/>
      <c r="G188" s="107"/>
      <c r="H188" s="61">
        <v>59</v>
      </c>
      <c r="I188" s="105">
        <f>H188/$H193</f>
        <v>0.015868746637977407</v>
      </c>
      <c r="J188" s="60">
        <v>3146</v>
      </c>
      <c r="K188" s="106">
        <f>J188/J193</f>
        <v>0.01868304154690358</v>
      </c>
      <c r="L188" s="92"/>
      <c r="M188" s="99"/>
      <c r="N188" s="131"/>
    </row>
    <row r="189" spans="1:14" ht="15.75">
      <c r="A189" s="27"/>
      <c r="B189" s="61" t="s">
        <v>136</v>
      </c>
      <c r="C189" s="105"/>
      <c r="D189" s="61"/>
      <c r="E189" s="105"/>
      <c r="F189" s="28"/>
      <c r="G189" s="107"/>
      <c r="H189" s="61">
        <v>17</v>
      </c>
      <c r="I189" s="105">
        <f>H189/H193</f>
        <v>0.00457235072619688</v>
      </c>
      <c r="J189" s="60">
        <v>753</v>
      </c>
      <c r="K189" s="106">
        <f>J189/J193</f>
        <v>0.004471815093712141</v>
      </c>
      <c r="L189" s="92"/>
      <c r="M189" s="99"/>
      <c r="N189" s="131"/>
    </row>
    <row r="190" spans="1:14" ht="15.75">
      <c r="A190" s="27"/>
      <c r="B190" s="61" t="s">
        <v>137</v>
      </c>
      <c r="C190" s="105"/>
      <c r="D190" s="61"/>
      <c r="E190" s="105"/>
      <c r="F190" s="28"/>
      <c r="G190" s="107"/>
      <c r="H190" s="61">
        <f>10+26</f>
        <v>36</v>
      </c>
      <c r="I190" s="105">
        <f>H190/H193</f>
        <v>0.009682625067240451</v>
      </c>
      <c r="J190" s="60">
        <f>365+912+9</f>
        <v>1286</v>
      </c>
      <c r="K190" s="106">
        <f>J190/J193</f>
        <v>0.007637123785542913</v>
      </c>
      <c r="L190" s="92"/>
      <c r="M190" s="99"/>
      <c r="N190" s="131"/>
    </row>
    <row r="191" spans="1:14" ht="15.75">
      <c r="A191" s="27"/>
      <c r="B191" s="30"/>
      <c r="C191" s="105"/>
      <c r="D191" s="61"/>
      <c r="E191" s="105"/>
      <c r="F191" s="28"/>
      <c r="G191" s="107"/>
      <c r="H191" s="61"/>
      <c r="I191" s="105"/>
      <c r="J191" s="60"/>
      <c r="K191" s="106"/>
      <c r="L191" s="92"/>
      <c r="M191" s="99"/>
      <c r="N191" s="131"/>
    </row>
    <row r="192" spans="1:14" ht="15.75">
      <c r="A192" s="27"/>
      <c r="B192" s="61" t="s">
        <v>138</v>
      </c>
      <c r="C192" s="108"/>
      <c r="D192" s="97"/>
      <c r="E192" s="108"/>
      <c r="F192" s="28"/>
      <c r="G192" s="108"/>
      <c r="H192" s="97"/>
      <c r="I192" s="108"/>
      <c r="J192" s="60"/>
      <c r="K192" s="106"/>
      <c r="L192" s="92"/>
      <c r="M192" s="99"/>
      <c r="N192" s="131"/>
    </row>
    <row r="193" spans="1:14" ht="15.75">
      <c r="A193" s="27"/>
      <c r="B193" s="28"/>
      <c r="C193" s="28"/>
      <c r="D193" s="28"/>
      <c r="E193" s="28"/>
      <c r="F193" s="28"/>
      <c r="G193" s="28"/>
      <c r="H193" s="38">
        <f>SUM(H187:H191)</f>
        <v>3718</v>
      </c>
      <c r="I193" s="109">
        <f>SUM(I187:I192)</f>
        <v>1</v>
      </c>
      <c r="J193" s="60">
        <f>SUM(J187:J192)</f>
        <v>168388</v>
      </c>
      <c r="K193" s="127">
        <f>SUM(K187:K192)</f>
        <v>1</v>
      </c>
      <c r="L193" s="28"/>
      <c r="M193" s="28"/>
      <c r="N193" s="131"/>
    </row>
    <row r="194" spans="1:14" ht="15.75">
      <c r="A194" s="27"/>
      <c r="B194" s="28"/>
      <c r="C194" s="28"/>
      <c r="D194" s="28"/>
      <c r="E194" s="28"/>
      <c r="F194" s="28"/>
      <c r="G194" s="28"/>
      <c r="H194" s="38"/>
      <c r="I194" s="109"/>
      <c r="J194" s="60"/>
      <c r="K194" s="127"/>
      <c r="L194" s="28"/>
      <c r="M194" s="28"/>
      <c r="N194" s="131"/>
    </row>
    <row r="195" spans="1:14" ht="15.75">
      <c r="A195" s="27"/>
      <c r="B195" s="28"/>
      <c r="C195" s="28"/>
      <c r="D195" s="28"/>
      <c r="E195" s="28"/>
      <c r="F195" s="28"/>
      <c r="G195" s="28"/>
      <c r="H195" s="38"/>
      <c r="I195" s="109"/>
      <c r="J195" s="60"/>
      <c r="K195" s="127"/>
      <c r="L195" s="28"/>
      <c r="M195" s="28"/>
      <c r="N195" s="131"/>
    </row>
    <row r="196" spans="1:14" ht="15.75">
      <c r="A196" s="114"/>
      <c r="B196" s="17" t="s">
        <v>139</v>
      </c>
      <c r="C196" s="115"/>
      <c r="D196" s="20" t="s">
        <v>148</v>
      </c>
      <c r="E196" s="18"/>
      <c r="F196" s="17" t="s">
        <v>161</v>
      </c>
      <c r="G196" s="116"/>
      <c r="H196" s="116"/>
      <c r="I196" s="15"/>
      <c r="J196" s="15"/>
      <c r="K196" s="15"/>
      <c r="L196" s="15"/>
      <c r="M196" s="15"/>
      <c r="N196" s="131"/>
    </row>
    <row r="197" spans="1:14" ht="15.75">
      <c r="A197" s="114"/>
      <c r="B197" s="15"/>
      <c r="C197" s="15"/>
      <c r="D197" s="10"/>
      <c r="E197" s="10"/>
      <c r="F197" s="10"/>
      <c r="G197" s="15"/>
      <c r="H197" s="15"/>
      <c r="I197" s="15"/>
      <c r="J197" s="15"/>
      <c r="K197" s="15"/>
      <c r="L197" s="15"/>
      <c r="M197" s="15"/>
      <c r="N197" s="131"/>
    </row>
    <row r="198" spans="1:14" ht="15.75">
      <c r="A198" s="114"/>
      <c r="B198" s="16" t="s">
        <v>140</v>
      </c>
      <c r="C198" s="117"/>
      <c r="D198" s="118" t="s">
        <v>149</v>
      </c>
      <c r="E198" s="16"/>
      <c r="F198" s="16" t="s">
        <v>162</v>
      </c>
      <c r="G198" s="117"/>
      <c r="H198" s="117"/>
      <c r="I198" s="15"/>
      <c r="J198" s="15"/>
      <c r="K198" s="15"/>
      <c r="L198" s="15"/>
      <c r="M198" s="15"/>
      <c r="N198" s="131"/>
    </row>
    <row r="199" spans="1:14" ht="15.75">
      <c r="A199" s="114"/>
      <c r="B199" s="16" t="s">
        <v>141</v>
      </c>
      <c r="C199" s="117"/>
      <c r="D199" s="118" t="s">
        <v>150</v>
      </c>
      <c r="E199" s="16"/>
      <c r="F199" s="16" t="s">
        <v>163</v>
      </c>
      <c r="G199" s="117"/>
      <c r="H199" s="117"/>
      <c r="I199" s="15"/>
      <c r="J199" s="15"/>
      <c r="K199" s="15"/>
      <c r="L199" s="15"/>
      <c r="M199" s="15"/>
      <c r="N199" s="131"/>
    </row>
    <row r="200" spans="1:14" ht="15.75">
      <c r="A200" s="114"/>
      <c r="B200" s="16"/>
      <c r="C200" s="117"/>
      <c r="D200" s="118"/>
      <c r="E200" s="16"/>
      <c r="F200" s="16"/>
      <c r="G200" s="117"/>
      <c r="H200" s="117"/>
      <c r="I200" s="15"/>
      <c r="J200" s="15"/>
      <c r="K200" s="15"/>
      <c r="L200" s="15"/>
      <c r="M200" s="15"/>
      <c r="N200" s="131"/>
    </row>
    <row r="201" spans="1:14" ht="15.75">
      <c r="A201" s="114"/>
      <c r="B201" s="16"/>
      <c r="C201" s="117"/>
      <c r="D201" s="118"/>
      <c r="E201" s="16"/>
      <c r="F201" s="16"/>
      <c r="G201" s="117"/>
      <c r="H201" s="117"/>
      <c r="I201" s="15"/>
      <c r="J201" s="15"/>
      <c r="K201" s="15"/>
      <c r="L201" s="15"/>
      <c r="M201" s="15"/>
      <c r="N201" s="131"/>
    </row>
    <row r="202" spans="1:14" ht="18.75">
      <c r="A202" s="114"/>
      <c r="B202" s="55" t="s">
        <v>201</v>
      </c>
      <c r="C202" s="117"/>
      <c r="D202" s="118"/>
      <c r="E202" s="16"/>
      <c r="F202" s="16"/>
      <c r="G202" s="117"/>
      <c r="H202" s="117"/>
      <c r="I202" s="15"/>
      <c r="J202" s="15"/>
      <c r="K202" s="15"/>
      <c r="L202" s="15"/>
      <c r="M202" s="15"/>
      <c r="N202" s="131"/>
    </row>
    <row r="203" spans="1:13" ht="15">
      <c r="A203" s="130"/>
      <c r="B203" s="130"/>
      <c r="C203" s="130"/>
      <c r="D203" s="130"/>
      <c r="E203" s="130"/>
      <c r="F203" s="130"/>
      <c r="G203" s="130"/>
      <c r="H203" s="130"/>
      <c r="I203" s="130"/>
      <c r="J203" s="130"/>
      <c r="K203" s="130"/>
      <c r="L203" s="130"/>
      <c r="M203" s="130"/>
    </row>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5" manualBreakCount="5">
    <brk id="51" min="105" max="156" man="1"/>
    <brk id="51" max="13" man="1"/>
    <brk id="105" max="13" man="1"/>
    <brk id="156" max="13" man="1"/>
    <brk id="203" max="0" man="1"/>
  </rowBreaks>
  <colBreaks count="1" manualBreakCount="1">
    <brk id="15" max="202" man="1"/>
  </colBreaks>
  <drawing r:id="rId1"/>
</worksheet>
</file>

<file path=xl/worksheets/sheet7.xml><?xml version="1.0" encoding="utf-8"?>
<worksheet xmlns="http://schemas.openxmlformats.org/spreadsheetml/2006/main" xmlns:r="http://schemas.openxmlformats.org/officeDocument/2006/relationships">
  <dimension ref="A1:N204"/>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31.21484375" style="1" customWidth="1"/>
    <col min="14" max="14" width="9.3359375" style="1" customWidth="1"/>
    <col min="15" max="16384" width="9.6640625" style="1" customWidth="1"/>
  </cols>
  <sheetData>
    <row r="1" spans="1:14" ht="20.25">
      <c r="A1" s="2"/>
      <c r="B1" s="3" t="s">
        <v>0</v>
      </c>
      <c r="C1" s="4"/>
      <c r="D1" s="5"/>
      <c r="E1" s="5"/>
      <c r="F1" s="5"/>
      <c r="G1" s="5"/>
      <c r="H1" s="5"/>
      <c r="I1" s="5"/>
      <c r="J1" s="5"/>
      <c r="K1" s="5"/>
      <c r="L1" s="5"/>
      <c r="M1" s="5"/>
      <c r="N1" s="131"/>
    </row>
    <row r="2" spans="1:14" ht="15.75">
      <c r="A2" s="8"/>
      <c r="B2" s="9"/>
      <c r="C2" s="9"/>
      <c r="D2" s="10"/>
      <c r="E2" s="10"/>
      <c r="F2" s="10"/>
      <c r="G2" s="10"/>
      <c r="H2" s="10"/>
      <c r="I2" s="10"/>
      <c r="J2" s="10"/>
      <c r="K2" s="10"/>
      <c r="L2" s="10"/>
      <c r="M2" s="10"/>
      <c r="N2" s="131"/>
    </row>
    <row r="3" spans="1:14" ht="15.75">
      <c r="A3" s="11"/>
      <c r="B3" s="154" t="s">
        <v>1</v>
      </c>
      <c r="C3" s="10"/>
      <c r="D3" s="10"/>
      <c r="E3" s="10"/>
      <c r="F3" s="10"/>
      <c r="G3" s="10"/>
      <c r="H3" s="10"/>
      <c r="I3" s="10"/>
      <c r="J3" s="10"/>
      <c r="K3" s="10"/>
      <c r="L3" s="10"/>
      <c r="M3" s="10"/>
      <c r="N3" s="131"/>
    </row>
    <row r="4" spans="1:14" ht="15.75">
      <c r="A4" s="8"/>
      <c r="B4" s="9"/>
      <c r="C4" s="9"/>
      <c r="D4" s="10"/>
      <c r="E4" s="10"/>
      <c r="F4" s="10"/>
      <c r="G4" s="10"/>
      <c r="H4" s="10"/>
      <c r="I4" s="10"/>
      <c r="J4" s="10"/>
      <c r="K4" s="10"/>
      <c r="L4" s="10"/>
      <c r="M4" s="10"/>
      <c r="N4" s="131"/>
    </row>
    <row r="5" spans="1:14" ht="12" customHeight="1">
      <c r="A5" s="8"/>
      <c r="B5" s="13" t="s">
        <v>2</v>
      </c>
      <c r="C5" s="14"/>
      <c r="D5" s="10"/>
      <c r="E5" s="10"/>
      <c r="F5" s="10"/>
      <c r="G5" s="10"/>
      <c r="H5" s="10"/>
      <c r="I5" s="10"/>
      <c r="J5" s="10"/>
      <c r="K5" s="10"/>
      <c r="L5" s="10"/>
      <c r="M5" s="10"/>
      <c r="N5" s="131"/>
    </row>
    <row r="6" spans="1:14" ht="12" customHeight="1">
      <c r="A6" s="8"/>
      <c r="B6" s="13" t="s">
        <v>3</v>
      </c>
      <c r="C6" s="14"/>
      <c r="D6" s="10"/>
      <c r="E6" s="10"/>
      <c r="F6" s="10"/>
      <c r="G6" s="10"/>
      <c r="H6" s="10"/>
      <c r="I6" s="10"/>
      <c r="J6" s="10"/>
      <c r="K6" s="10"/>
      <c r="L6" s="10"/>
      <c r="M6" s="10"/>
      <c r="N6" s="131"/>
    </row>
    <row r="7" spans="1:14" ht="12" customHeight="1">
      <c r="A7" s="8"/>
      <c r="B7" s="13" t="s">
        <v>4</v>
      </c>
      <c r="C7" s="14"/>
      <c r="D7" s="10"/>
      <c r="E7" s="10"/>
      <c r="F7" s="10"/>
      <c r="G7" s="10"/>
      <c r="H7" s="10"/>
      <c r="I7" s="10"/>
      <c r="J7" s="10"/>
      <c r="K7" s="10"/>
      <c r="L7" s="10"/>
      <c r="M7" s="10"/>
      <c r="N7" s="131"/>
    </row>
    <row r="8" spans="1:14" ht="12" customHeight="1">
      <c r="A8" s="8"/>
      <c r="B8" s="13" t="s">
        <v>5</v>
      </c>
      <c r="C8" s="14"/>
      <c r="D8" s="10"/>
      <c r="E8" s="10"/>
      <c r="F8" s="10"/>
      <c r="G8" s="10"/>
      <c r="H8" s="10"/>
      <c r="I8" s="10"/>
      <c r="J8" s="10"/>
      <c r="K8" s="10"/>
      <c r="L8" s="10"/>
      <c r="M8" s="10"/>
      <c r="N8" s="131"/>
    </row>
    <row r="9" spans="1:14" ht="12" customHeight="1">
      <c r="A9" s="8"/>
      <c r="B9" s="15"/>
      <c r="C9" s="14"/>
      <c r="D9" s="10"/>
      <c r="E9" s="10"/>
      <c r="F9" s="10"/>
      <c r="G9" s="10"/>
      <c r="H9" s="10"/>
      <c r="I9" s="10"/>
      <c r="J9" s="10"/>
      <c r="K9" s="10"/>
      <c r="L9" s="10"/>
      <c r="M9" s="10"/>
      <c r="N9" s="131"/>
    </row>
    <row r="10" spans="1:14" ht="15.75">
      <c r="A10" s="8"/>
      <c r="B10" s="13"/>
      <c r="C10" s="14"/>
      <c r="D10" s="16"/>
      <c r="E10" s="16"/>
      <c r="F10" s="10"/>
      <c r="G10" s="10"/>
      <c r="H10" s="10"/>
      <c r="I10" s="10"/>
      <c r="J10" s="10"/>
      <c r="K10" s="10"/>
      <c r="L10" s="10"/>
      <c r="M10" s="10"/>
      <c r="N10" s="131"/>
    </row>
    <row r="11" spans="1:14" ht="15.75">
      <c r="A11" s="8"/>
      <c r="B11" s="16" t="s">
        <v>6</v>
      </c>
      <c r="C11" s="16"/>
      <c r="D11" s="10"/>
      <c r="E11" s="10"/>
      <c r="F11" s="10"/>
      <c r="G11" s="10"/>
      <c r="H11" s="10"/>
      <c r="I11" s="10"/>
      <c r="J11" s="10"/>
      <c r="K11" s="10"/>
      <c r="L11" s="10"/>
      <c r="M11" s="10"/>
      <c r="N11" s="131"/>
    </row>
    <row r="12" spans="1:14" ht="15.75">
      <c r="A12" s="8"/>
      <c r="B12" s="16"/>
      <c r="C12" s="16"/>
      <c r="D12" s="10"/>
      <c r="E12" s="10"/>
      <c r="F12" s="10"/>
      <c r="G12" s="10"/>
      <c r="H12" s="10"/>
      <c r="I12" s="10"/>
      <c r="J12" s="10"/>
      <c r="K12" s="10"/>
      <c r="L12" s="10"/>
      <c r="M12" s="10"/>
      <c r="N12" s="131"/>
    </row>
    <row r="13" spans="1:14" ht="15.75">
      <c r="A13" s="2"/>
      <c r="B13" s="5"/>
      <c r="C13" s="5"/>
      <c r="D13" s="5"/>
      <c r="E13" s="5"/>
      <c r="F13" s="5"/>
      <c r="G13" s="5"/>
      <c r="H13" s="5"/>
      <c r="I13" s="5"/>
      <c r="J13" s="5"/>
      <c r="K13" s="5"/>
      <c r="L13" s="5"/>
      <c r="M13" s="5"/>
      <c r="N13" s="131"/>
    </row>
    <row r="14" spans="1:14" ht="15.75">
      <c r="A14" s="8"/>
      <c r="B14" s="17" t="s">
        <v>7</v>
      </c>
      <c r="C14" s="17"/>
      <c r="D14" s="18"/>
      <c r="E14" s="18"/>
      <c r="F14" s="18"/>
      <c r="G14" s="18"/>
      <c r="H14" s="18"/>
      <c r="I14" s="18"/>
      <c r="J14" s="18"/>
      <c r="K14" s="18"/>
      <c r="L14" s="19" t="s">
        <v>185</v>
      </c>
      <c r="M14" s="18"/>
      <c r="N14" s="131"/>
    </row>
    <row r="15" spans="1:14" ht="15.75">
      <c r="A15" s="8"/>
      <c r="B15" s="17" t="s">
        <v>199</v>
      </c>
      <c r="C15" s="17"/>
      <c r="D15" s="18"/>
      <c r="E15" s="18"/>
      <c r="F15" s="18"/>
      <c r="G15" s="18"/>
      <c r="H15" s="20"/>
      <c r="I15" s="135"/>
      <c r="J15" s="20" t="s">
        <v>202</v>
      </c>
      <c r="K15" s="135">
        <v>1</v>
      </c>
      <c r="L15" s="19"/>
      <c r="M15" s="18"/>
      <c r="N15" s="131"/>
    </row>
    <row r="16" spans="1:14" ht="15.75">
      <c r="A16" s="8"/>
      <c r="B16" s="17" t="s">
        <v>200</v>
      </c>
      <c r="C16" s="17"/>
      <c r="D16" s="18"/>
      <c r="E16" s="18"/>
      <c r="F16" s="18"/>
      <c r="G16" s="18"/>
      <c r="H16" s="20"/>
      <c r="I16" s="135"/>
      <c r="J16" s="20" t="s">
        <v>202</v>
      </c>
      <c r="K16" s="135">
        <v>1</v>
      </c>
      <c r="L16" s="19"/>
      <c r="M16" s="18"/>
      <c r="N16" s="131"/>
    </row>
    <row r="17" spans="1:14" ht="15.75">
      <c r="A17" s="8"/>
      <c r="B17" s="17" t="s">
        <v>8</v>
      </c>
      <c r="C17" s="17"/>
      <c r="D17" s="18"/>
      <c r="E17" s="18"/>
      <c r="F17" s="18"/>
      <c r="G17" s="18"/>
      <c r="H17" s="18"/>
      <c r="I17" s="18"/>
      <c r="J17" s="18"/>
      <c r="K17" s="18"/>
      <c r="L17" s="20" t="s">
        <v>186</v>
      </c>
      <c r="M17" s="18"/>
      <c r="N17" s="131"/>
    </row>
    <row r="18" spans="1:14" ht="15.75">
      <c r="A18" s="8"/>
      <c r="B18" s="17" t="s">
        <v>9</v>
      </c>
      <c r="C18" s="17"/>
      <c r="D18" s="18"/>
      <c r="E18" s="18"/>
      <c r="F18" s="18"/>
      <c r="G18" s="18"/>
      <c r="H18" s="18"/>
      <c r="I18" s="18"/>
      <c r="J18" s="18"/>
      <c r="K18" s="18"/>
      <c r="L18" s="21">
        <v>37001</v>
      </c>
      <c r="M18" s="18"/>
      <c r="N18" s="131"/>
    </row>
    <row r="19" spans="1:14" ht="15.75">
      <c r="A19" s="8"/>
      <c r="B19" s="10"/>
      <c r="C19" s="10"/>
      <c r="D19" s="10"/>
      <c r="E19" s="10"/>
      <c r="F19" s="10"/>
      <c r="G19" s="10"/>
      <c r="H19" s="10"/>
      <c r="I19" s="10"/>
      <c r="J19" s="10"/>
      <c r="K19" s="10"/>
      <c r="L19" s="22"/>
      <c r="M19" s="10"/>
      <c r="N19" s="131"/>
    </row>
    <row r="20" spans="1:14" ht="15.75">
      <c r="A20" s="8"/>
      <c r="B20" s="23" t="s">
        <v>10</v>
      </c>
      <c r="C20" s="10"/>
      <c r="D20" s="10"/>
      <c r="E20" s="10"/>
      <c r="F20" s="10"/>
      <c r="G20" s="10"/>
      <c r="H20" s="10"/>
      <c r="I20" s="10"/>
      <c r="J20" s="22" t="s">
        <v>174</v>
      </c>
      <c r="K20" s="10"/>
      <c r="L20" s="15"/>
      <c r="M20" s="10"/>
      <c r="N20" s="131"/>
    </row>
    <row r="21" spans="1:14" ht="15.75">
      <c r="A21" s="8"/>
      <c r="B21" s="10"/>
      <c r="C21" s="10"/>
      <c r="D21" s="10"/>
      <c r="E21" s="10"/>
      <c r="F21" s="10"/>
      <c r="G21" s="10"/>
      <c r="H21" s="10"/>
      <c r="I21" s="10"/>
      <c r="J21" s="10"/>
      <c r="K21" s="10"/>
      <c r="L21" s="24"/>
      <c r="M21" s="10"/>
      <c r="N21" s="131"/>
    </row>
    <row r="22" spans="1:14" ht="15.75">
      <c r="A22" s="8"/>
      <c r="B22" s="10"/>
      <c r="C22" s="155" t="s">
        <v>143</v>
      </c>
      <c r="D22" s="25"/>
      <c r="E22" s="25"/>
      <c r="F22" s="157" t="s">
        <v>151</v>
      </c>
      <c r="G22" s="157"/>
      <c r="H22" s="157" t="s">
        <v>164</v>
      </c>
      <c r="I22" s="25"/>
      <c r="J22" s="25"/>
      <c r="K22" s="15"/>
      <c r="L22" s="15"/>
      <c r="M22" s="10"/>
      <c r="N22" s="131"/>
    </row>
    <row r="23" spans="1:14" ht="15.75">
      <c r="A23" s="27"/>
      <c r="B23" s="28" t="s">
        <v>11</v>
      </c>
      <c r="C23" s="156" t="s">
        <v>144</v>
      </c>
      <c r="D23" s="29"/>
      <c r="E23" s="29"/>
      <c r="F23" s="29" t="s">
        <v>152</v>
      </c>
      <c r="G23" s="29"/>
      <c r="H23" s="29" t="s">
        <v>165</v>
      </c>
      <c r="I23" s="29"/>
      <c r="J23" s="29"/>
      <c r="K23" s="30"/>
      <c r="L23" s="30"/>
      <c r="M23" s="28"/>
      <c r="N23" s="131"/>
    </row>
    <row r="24" spans="1:14" ht="15.75">
      <c r="A24" s="27"/>
      <c r="B24" s="28" t="s">
        <v>12</v>
      </c>
      <c r="C24" s="31"/>
      <c r="D24" s="29"/>
      <c r="E24" s="29"/>
      <c r="F24" s="29" t="s">
        <v>153</v>
      </c>
      <c r="G24" s="29"/>
      <c r="H24" s="29" t="s">
        <v>166</v>
      </c>
      <c r="I24" s="29"/>
      <c r="J24" s="29"/>
      <c r="K24" s="30"/>
      <c r="L24" s="30"/>
      <c r="M24" s="28"/>
      <c r="N24" s="131"/>
    </row>
    <row r="25" spans="1:14" ht="15.75">
      <c r="A25" s="32"/>
      <c r="B25" s="33" t="s">
        <v>13</v>
      </c>
      <c r="C25" s="33"/>
      <c r="D25" s="34"/>
      <c r="E25" s="34"/>
      <c r="F25" s="34" t="s">
        <v>152</v>
      </c>
      <c r="G25" s="34"/>
      <c r="H25" s="34" t="s">
        <v>165</v>
      </c>
      <c r="I25" s="29"/>
      <c r="J25" s="29"/>
      <c r="K25" s="30"/>
      <c r="L25" s="30"/>
      <c r="M25" s="28"/>
      <c r="N25" s="131"/>
    </row>
    <row r="26" spans="1:14" ht="15.75">
      <c r="A26" s="32"/>
      <c r="B26" s="33" t="s">
        <v>14</v>
      </c>
      <c r="C26" s="33"/>
      <c r="D26" s="34"/>
      <c r="E26" s="34"/>
      <c r="F26" s="34" t="s">
        <v>153</v>
      </c>
      <c r="G26" s="34"/>
      <c r="H26" s="34" t="s">
        <v>166</v>
      </c>
      <c r="I26" s="29"/>
      <c r="J26" s="29"/>
      <c r="K26" s="30"/>
      <c r="L26" s="30"/>
      <c r="M26" s="28"/>
      <c r="N26" s="131"/>
    </row>
    <row r="27" spans="1:14" ht="15.75">
      <c r="A27" s="27"/>
      <c r="B27" s="28" t="s">
        <v>15</v>
      </c>
      <c r="C27" s="28"/>
      <c r="D27" s="31"/>
      <c r="E27" s="29"/>
      <c r="F27" s="31" t="s">
        <v>154</v>
      </c>
      <c r="G27" s="29"/>
      <c r="H27" s="31" t="s">
        <v>167</v>
      </c>
      <c r="I27" s="29"/>
      <c r="J27" s="31"/>
      <c r="K27" s="30"/>
      <c r="L27" s="30"/>
      <c r="M27" s="28"/>
      <c r="N27" s="131"/>
    </row>
    <row r="28" spans="1:14" ht="15.75">
      <c r="A28" s="27"/>
      <c r="B28" s="28"/>
      <c r="C28" s="28"/>
      <c r="D28" s="28"/>
      <c r="E28" s="29"/>
      <c r="F28" s="29"/>
      <c r="G28" s="29"/>
      <c r="H28" s="29"/>
      <c r="I28" s="29"/>
      <c r="J28" s="29"/>
      <c r="K28" s="30"/>
      <c r="L28" s="30"/>
      <c r="M28" s="28"/>
      <c r="N28" s="131"/>
    </row>
    <row r="29" spans="1:14" ht="15.75">
      <c r="A29" s="27"/>
      <c r="B29" s="28" t="s">
        <v>16</v>
      </c>
      <c r="C29" s="28"/>
      <c r="D29" s="35"/>
      <c r="E29" s="36"/>
      <c r="F29" s="35">
        <v>168000</v>
      </c>
      <c r="G29" s="35"/>
      <c r="H29" s="35">
        <v>17000</v>
      </c>
      <c r="I29" s="35"/>
      <c r="J29" s="35"/>
      <c r="K29" s="37"/>
      <c r="L29" s="35">
        <f>H29+F29</f>
        <v>185000</v>
      </c>
      <c r="M29" s="38"/>
      <c r="N29" s="131"/>
    </row>
    <row r="30" spans="1:14" ht="15.75">
      <c r="A30" s="27"/>
      <c r="B30" s="28" t="s">
        <v>17</v>
      </c>
      <c r="C30" s="126">
        <v>0.901117</v>
      </c>
      <c r="D30" s="35"/>
      <c r="E30" s="36"/>
      <c r="F30" s="35">
        <f>168000*C30</f>
        <v>151387.656</v>
      </c>
      <c r="G30" s="35"/>
      <c r="H30" s="35">
        <v>17000</v>
      </c>
      <c r="I30" s="35"/>
      <c r="J30" s="35"/>
      <c r="K30" s="37"/>
      <c r="L30" s="35">
        <f>H30+F30</f>
        <v>168387.656</v>
      </c>
      <c r="M30" s="38"/>
      <c r="N30" s="131"/>
    </row>
    <row r="31" spans="1:14" ht="13.5" customHeight="1">
      <c r="A31" s="32"/>
      <c r="B31" s="33" t="s">
        <v>18</v>
      </c>
      <c r="C31" s="40">
        <v>0.88595</v>
      </c>
      <c r="D31" s="41"/>
      <c r="E31" s="42"/>
      <c r="F31" s="41">
        <f>168000*C31</f>
        <v>148839.6</v>
      </c>
      <c r="G31" s="41"/>
      <c r="H31" s="41">
        <v>17000</v>
      </c>
      <c r="I31" s="41"/>
      <c r="J31" s="41"/>
      <c r="K31" s="43"/>
      <c r="L31" s="41">
        <f>H31+F31+D31</f>
        <v>165839.6</v>
      </c>
      <c r="M31" s="38"/>
      <c r="N31" s="131"/>
    </row>
    <row r="32" spans="1:14" ht="15.75">
      <c r="A32" s="27"/>
      <c r="B32" s="28" t="s">
        <v>19</v>
      </c>
      <c r="C32" s="44"/>
      <c r="D32" s="31"/>
      <c r="E32" s="28"/>
      <c r="F32" s="31" t="s">
        <v>155</v>
      </c>
      <c r="G32" s="31"/>
      <c r="H32" s="31" t="s">
        <v>168</v>
      </c>
      <c r="I32" s="31"/>
      <c r="J32" s="31"/>
      <c r="K32" s="30"/>
      <c r="L32" s="30"/>
      <c r="M32" s="28"/>
      <c r="N32" s="131"/>
    </row>
    <row r="33" spans="1:14" ht="15.75">
      <c r="A33" s="27"/>
      <c r="B33" s="28" t="s">
        <v>20</v>
      </c>
      <c r="C33" s="28"/>
      <c r="D33" s="45"/>
      <c r="E33" s="28"/>
      <c r="F33" s="45">
        <v>0.0615563</v>
      </c>
      <c r="G33" s="46"/>
      <c r="H33" s="45">
        <v>0.0667563</v>
      </c>
      <c r="I33" s="46"/>
      <c r="J33" s="45"/>
      <c r="K33" s="30"/>
      <c r="L33" s="46">
        <f>SUMPRODUCT(F33:H33,F30:H30)/L30</f>
        <v>0.062081279099418074</v>
      </c>
      <c r="M33" s="28"/>
      <c r="N33" s="131"/>
    </row>
    <row r="34" spans="1:14" ht="15.75">
      <c r="A34" s="27"/>
      <c r="B34" s="28" t="s">
        <v>21</v>
      </c>
      <c r="C34" s="28"/>
      <c r="D34" s="45"/>
      <c r="E34" s="28"/>
      <c r="F34" s="45">
        <v>0.06445</v>
      </c>
      <c r="G34" s="46"/>
      <c r="H34" s="45">
        <v>0.06965</v>
      </c>
      <c r="I34" s="46"/>
      <c r="J34" s="45"/>
      <c r="K34" s="30"/>
      <c r="L34" s="30"/>
      <c r="M34" s="28"/>
      <c r="N34" s="131"/>
    </row>
    <row r="35" spans="1:14" ht="15.75">
      <c r="A35" s="27"/>
      <c r="B35" s="28" t="s">
        <v>22</v>
      </c>
      <c r="C35" s="28"/>
      <c r="D35" s="31"/>
      <c r="E35" s="28"/>
      <c r="F35" s="31" t="s">
        <v>157</v>
      </c>
      <c r="G35" s="31"/>
      <c r="H35" s="31" t="s">
        <v>157</v>
      </c>
      <c r="I35" s="31"/>
      <c r="J35" s="31"/>
      <c r="K35" s="30"/>
      <c r="L35" s="30"/>
      <c r="M35" s="28"/>
      <c r="N35" s="131"/>
    </row>
    <row r="36" spans="1:14" ht="15.75">
      <c r="A36" s="27"/>
      <c r="B36" s="28" t="s">
        <v>23</v>
      </c>
      <c r="C36" s="28"/>
      <c r="D36" s="31"/>
      <c r="E36" s="28"/>
      <c r="F36" s="31" t="s">
        <v>158</v>
      </c>
      <c r="G36" s="31"/>
      <c r="H36" s="31" t="s">
        <v>158</v>
      </c>
      <c r="I36" s="31"/>
      <c r="J36" s="31"/>
      <c r="K36" s="30"/>
      <c r="L36" s="30"/>
      <c r="M36" s="28"/>
      <c r="N36" s="131"/>
    </row>
    <row r="37" spans="1:14" ht="15.75">
      <c r="A37" s="27"/>
      <c r="B37" s="28" t="s">
        <v>24</v>
      </c>
      <c r="C37" s="28"/>
      <c r="D37" s="31"/>
      <c r="E37" s="28"/>
      <c r="F37" s="31" t="s">
        <v>159</v>
      </c>
      <c r="G37" s="31"/>
      <c r="H37" s="31" t="s">
        <v>169</v>
      </c>
      <c r="I37" s="31"/>
      <c r="J37" s="31"/>
      <c r="K37" s="30"/>
      <c r="L37" s="30"/>
      <c r="M37" s="28"/>
      <c r="N37" s="131"/>
    </row>
    <row r="38" spans="1:14" ht="15.75">
      <c r="A38" s="27"/>
      <c r="B38" s="28"/>
      <c r="C38" s="28"/>
      <c r="D38" s="47"/>
      <c r="E38" s="47"/>
      <c r="F38" s="28"/>
      <c r="G38" s="47"/>
      <c r="H38" s="47"/>
      <c r="I38" s="47"/>
      <c r="J38" s="47"/>
      <c r="K38" s="47"/>
      <c r="L38" s="47"/>
      <c r="M38" s="28"/>
      <c r="N38" s="131"/>
    </row>
    <row r="39" spans="1:14" ht="15.75">
      <c r="A39" s="27"/>
      <c r="B39" s="28" t="s">
        <v>25</v>
      </c>
      <c r="C39" s="28"/>
      <c r="D39" s="28"/>
      <c r="E39" s="28"/>
      <c r="F39" s="28"/>
      <c r="G39" s="28"/>
      <c r="H39" s="28"/>
      <c r="I39" s="28"/>
      <c r="J39" s="28"/>
      <c r="K39" s="28"/>
      <c r="L39" s="46">
        <f>H29/F29</f>
        <v>0.10119047619047619</v>
      </c>
      <c r="M39" s="28"/>
      <c r="N39" s="131"/>
    </row>
    <row r="40" spans="1:14" ht="15.75">
      <c r="A40" s="27"/>
      <c r="B40" s="28" t="s">
        <v>26</v>
      </c>
      <c r="C40" s="28"/>
      <c r="D40" s="28"/>
      <c r="E40" s="28"/>
      <c r="F40" s="28"/>
      <c r="G40" s="28"/>
      <c r="H40" s="28"/>
      <c r="I40" s="28"/>
      <c r="J40" s="28"/>
      <c r="K40" s="28"/>
      <c r="L40" s="46">
        <f>H31/F31</f>
        <v>0.11421691539079654</v>
      </c>
      <c r="M40" s="28"/>
      <c r="N40" s="131"/>
    </row>
    <row r="41" spans="1:14" ht="15.75">
      <c r="A41" s="27"/>
      <c r="B41" s="28" t="s">
        <v>27</v>
      </c>
      <c r="C41" s="28"/>
      <c r="D41" s="28"/>
      <c r="E41" s="28"/>
      <c r="F41" s="28"/>
      <c r="G41" s="28"/>
      <c r="H41" s="28"/>
      <c r="I41" s="28"/>
      <c r="J41" s="31" t="s">
        <v>151</v>
      </c>
      <c r="K41" s="31" t="s">
        <v>183</v>
      </c>
      <c r="L41" s="35">
        <v>75500</v>
      </c>
      <c r="M41" s="28"/>
      <c r="N41" s="131"/>
    </row>
    <row r="42" spans="1:14" ht="15.75">
      <c r="A42" s="27"/>
      <c r="B42" s="28"/>
      <c r="C42" s="28"/>
      <c r="D42" s="28"/>
      <c r="E42" s="28"/>
      <c r="F42" s="28"/>
      <c r="G42" s="28"/>
      <c r="H42" s="28"/>
      <c r="I42" s="28"/>
      <c r="J42" s="28" t="s">
        <v>175</v>
      </c>
      <c r="K42" s="28"/>
      <c r="L42" s="48"/>
      <c r="M42" s="28"/>
      <c r="N42" s="131"/>
    </row>
    <row r="43" spans="1:14" ht="15.75">
      <c r="A43" s="27"/>
      <c r="B43" s="28" t="s">
        <v>28</v>
      </c>
      <c r="C43" s="28"/>
      <c r="D43" s="28"/>
      <c r="E43" s="28"/>
      <c r="F43" s="28"/>
      <c r="G43" s="28"/>
      <c r="H43" s="28"/>
      <c r="I43" s="28"/>
      <c r="J43" s="31"/>
      <c r="K43" s="31"/>
      <c r="L43" s="31" t="s">
        <v>187</v>
      </c>
      <c r="M43" s="28"/>
      <c r="N43" s="131"/>
    </row>
    <row r="44" spans="1:14" ht="15.75">
      <c r="A44" s="32"/>
      <c r="B44" s="33" t="s">
        <v>29</v>
      </c>
      <c r="C44" s="33"/>
      <c r="D44" s="33"/>
      <c r="E44" s="33"/>
      <c r="F44" s="33"/>
      <c r="G44" s="33"/>
      <c r="H44" s="33"/>
      <c r="I44" s="33"/>
      <c r="J44" s="49"/>
      <c r="K44" s="49"/>
      <c r="L44" s="50">
        <v>36998</v>
      </c>
      <c r="M44" s="33"/>
      <c r="N44" s="131"/>
    </row>
    <row r="45" spans="1:14" ht="15.75">
      <c r="A45" s="27"/>
      <c r="B45" s="28" t="s">
        <v>30</v>
      </c>
      <c r="C45" s="28"/>
      <c r="D45" s="28"/>
      <c r="E45" s="28"/>
      <c r="F45" s="28"/>
      <c r="G45" s="28"/>
      <c r="H45" s="28"/>
      <c r="I45" s="28">
        <f>L45-J45+1</f>
        <v>91</v>
      </c>
      <c r="J45" s="51">
        <v>36815</v>
      </c>
      <c r="K45" s="52"/>
      <c r="L45" s="51">
        <v>36905</v>
      </c>
      <c r="M45" s="28"/>
      <c r="N45" s="131"/>
    </row>
    <row r="46" spans="1:14" ht="15.75">
      <c r="A46" s="27"/>
      <c r="B46" s="28" t="s">
        <v>31</v>
      </c>
      <c r="C46" s="28"/>
      <c r="D46" s="28"/>
      <c r="E46" s="28"/>
      <c r="F46" s="28"/>
      <c r="G46" s="28"/>
      <c r="H46" s="28"/>
      <c r="I46" s="28">
        <f>L46-J46+1</f>
        <v>92</v>
      </c>
      <c r="J46" s="51">
        <v>36906</v>
      </c>
      <c r="K46" s="52"/>
      <c r="L46" s="51">
        <v>36997</v>
      </c>
      <c r="M46" s="28"/>
      <c r="N46" s="131"/>
    </row>
    <row r="47" spans="1:14" ht="15.75">
      <c r="A47" s="27"/>
      <c r="B47" s="28" t="s">
        <v>32</v>
      </c>
      <c r="C47" s="28"/>
      <c r="D47" s="28"/>
      <c r="E47" s="28"/>
      <c r="F47" s="28"/>
      <c r="G47" s="28"/>
      <c r="H47" s="28"/>
      <c r="I47" s="28"/>
      <c r="J47" s="51"/>
      <c r="K47" s="52"/>
      <c r="L47" s="51" t="s">
        <v>188</v>
      </c>
      <c r="M47" s="28"/>
      <c r="N47" s="131"/>
    </row>
    <row r="48" spans="1:14" ht="15.75">
      <c r="A48" s="27"/>
      <c r="B48" s="28" t="s">
        <v>33</v>
      </c>
      <c r="C48" s="28"/>
      <c r="D48" s="28"/>
      <c r="E48" s="28"/>
      <c r="F48" s="28"/>
      <c r="G48" s="28"/>
      <c r="H48" s="28"/>
      <c r="I48" s="28"/>
      <c r="J48" s="51"/>
      <c r="K48" s="52"/>
      <c r="L48" s="51">
        <v>36988</v>
      </c>
      <c r="M48" s="28"/>
      <c r="N48" s="131"/>
    </row>
    <row r="49" spans="1:14" ht="15.75">
      <c r="A49" s="27"/>
      <c r="B49" s="28"/>
      <c r="C49" s="28"/>
      <c r="D49" s="28"/>
      <c r="E49" s="28"/>
      <c r="F49" s="28"/>
      <c r="G49" s="28"/>
      <c r="H49" s="28"/>
      <c r="I49" s="28"/>
      <c r="J49" s="51"/>
      <c r="K49" s="52"/>
      <c r="L49" s="51"/>
      <c r="M49" s="28"/>
      <c r="N49" s="131"/>
    </row>
    <row r="50" spans="1:14" ht="15.75">
      <c r="A50" s="8"/>
      <c r="B50" s="10"/>
      <c r="C50" s="10"/>
      <c r="D50" s="10"/>
      <c r="E50" s="10"/>
      <c r="F50" s="10"/>
      <c r="G50" s="10"/>
      <c r="H50" s="10"/>
      <c r="I50" s="10"/>
      <c r="J50" s="53"/>
      <c r="K50" s="54"/>
      <c r="L50" s="53"/>
      <c r="M50" s="10"/>
      <c r="N50" s="131"/>
    </row>
    <row r="51" spans="1:14" ht="19.5" thickBot="1">
      <c r="A51" s="138"/>
      <c r="B51" s="139" t="s">
        <v>203</v>
      </c>
      <c r="C51" s="140"/>
      <c r="D51" s="140"/>
      <c r="E51" s="140"/>
      <c r="F51" s="140"/>
      <c r="G51" s="140"/>
      <c r="H51" s="140"/>
      <c r="I51" s="140"/>
      <c r="J51" s="140"/>
      <c r="K51" s="140"/>
      <c r="L51" s="141"/>
      <c r="M51" s="142"/>
      <c r="N51" s="131"/>
    </row>
    <row r="52" spans="1:14" ht="15.75">
      <c r="A52" s="2"/>
      <c r="B52" s="5"/>
      <c r="C52" s="5"/>
      <c r="D52" s="5"/>
      <c r="E52" s="5"/>
      <c r="F52" s="5"/>
      <c r="G52" s="5"/>
      <c r="H52" s="5"/>
      <c r="I52" s="5"/>
      <c r="J52" s="5"/>
      <c r="K52" s="5"/>
      <c r="L52" s="57"/>
      <c r="M52" s="5"/>
      <c r="N52" s="131"/>
    </row>
    <row r="53" spans="1:14" ht="15.75">
      <c r="A53" s="8"/>
      <c r="B53" s="58" t="s">
        <v>35</v>
      </c>
      <c r="C53" s="16"/>
      <c r="D53" s="10"/>
      <c r="E53" s="10"/>
      <c r="F53" s="10"/>
      <c r="G53" s="10"/>
      <c r="H53" s="10"/>
      <c r="I53" s="10"/>
      <c r="J53" s="10"/>
      <c r="K53" s="10"/>
      <c r="L53" s="59"/>
      <c r="M53" s="10"/>
      <c r="N53" s="131"/>
    </row>
    <row r="54" spans="1:14" ht="15.75">
      <c r="A54" s="8"/>
      <c r="B54" s="16"/>
      <c r="C54" s="16"/>
      <c r="D54" s="10"/>
      <c r="E54" s="10"/>
      <c r="F54" s="10"/>
      <c r="G54" s="10"/>
      <c r="H54" s="10"/>
      <c r="I54" s="10"/>
      <c r="J54" s="10"/>
      <c r="K54" s="10"/>
      <c r="L54" s="59"/>
      <c r="M54" s="10"/>
      <c r="N54" s="131"/>
    </row>
    <row r="55" spans="1:14" s="165" customFormat="1" ht="63">
      <c r="A55" s="159"/>
      <c r="B55" s="160" t="s">
        <v>36</v>
      </c>
      <c r="C55" s="161" t="s">
        <v>145</v>
      </c>
      <c r="D55" s="161" t="s">
        <v>147</v>
      </c>
      <c r="E55" s="161"/>
      <c r="F55" s="161" t="s">
        <v>160</v>
      </c>
      <c r="G55" s="161"/>
      <c r="H55" s="161" t="s">
        <v>170</v>
      </c>
      <c r="I55" s="161"/>
      <c r="J55" s="161" t="s">
        <v>176</v>
      </c>
      <c r="K55" s="161"/>
      <c r="L55" s="162" t="s">
        <v>189</v>
      </c>
      <c r="M55" s="163"/>
      <c r="N55" s="171"/>
    </row>
    <row r="56" spans="1:14" ht="15.75">
      <c r="A56" s="27"/>
      <c r="B56" s="28" t="s">
        <v>37</v>
      </c>
      <c r="C56" s="38">
        <v>162582</v>
      </c>
      <c r="D56" s="60">
        <v>168388</v>
      </c>
      <c r="E56" s="38"/>
      <c r="F56" s="38">
        <v>3831</v>
      </c>
      <c r="G56" s="38"/>
      <c r="H56" s="38">
        <v>1283</v>
      </c>
      <c r="I56" s="38"/>
      <c r="J56" s="38">
        <v>0</v>
      </c>
      <c r="K56" s="38"/>
      <c r="L56" s="60">
        <f>D56-F56+H56-J56</f>
        <v>165840</v>
      </c>
      <c r="M56" s="28"/>
      <c r="N56" s="131"/>
    </row>
    <row r="57" spans="1:14" ht="15.75">
      <c r="A57" s="27"/>
      <c r="B57" s="28" t="s">
        <v>38</v>
      </c>
      <c r="C57" s="38">
        <v>66</v>
      </c>
      <c r="D57" s="60">
        <v>0</v>
      </c>
      <c r="E57" s="38"/>
      <c r="F57" s="38">
        <v>0</v>
      </c>
      <c r="G57" s="38"/>
      <c r="H57" s="38">
        <v>0</v>
      </c>
      <c r="I57" s="38"/>
      <c r="J57" s="38">
        <v>0</v>
      </c>
      <c r="K57" s="38"/>
      <c r="L57" s="60">
        <f>D57-F57</f>
        <v>0</v>
      </c>
      <c r="M57" s="28"/>
      <c r="N57" s="131"/>
    </row>
    <row r="58" spans="1:14" ht="15.75">
      <c r="A58" s="27"/>
      <c r="B58" s="28"/>
      <c r="C58" s="38"/>
      <c r="D58" s="60"/>
      <c r="E58" s="38"/>
      <c r="F58" s="38"/>
      <c r="G58" s="38"/>
      <c r="H58" s="38"/>
      <c r="I58" s="38"/>
      <c r="J58" s="38"/>
      <c r="K58" s="38"/>
      <c r="L58" s="60"/>
      <c r="M58" s="28"/>
      <c r="N58" s="131"/>
    </row>
    <row r="59" spans="1:14" ht="15.75">
      <c r="A59" s="27"/>
      <c r="B59" s="28" t="s">
        <v>39</v>
      </c>
      <c r="C59" s="38">
        <f>SUM(C56:C58)</f>
        <v>162648</v>
      </c>
      <c r="D59" s="38">
        <f>SUM(D56:D58)</f>
        <v>168388</v>
      </c>
      <c r="E59" s="38"/>
      <c r="F59" s="38">
        <f>SUM(F56:F58)</f>
        <v>3831</v>
      </c>
      <c r="G59" s="38"/>
      <c r="H59" s="38">
        <f>SUM(H56:H58)</f>
        <v>1283</v>
      </c>
      <c r="I59" s="38"/>
      <c r="J59" s="38">
        <f>SUM(J56:J58)</f>
        <v>0</v>
      </c>
      <c r="K59" s="38"/>
      <c r="L59" s="61">
        <f>SUM(L56:L58)</f>
        <v>165840</v>
      </c>
      <c r="M59" s="28"/>
      <c r="N59" s="131"/>
    </row>
    <row r="60" spans="1:14" ht="15.75">
      <c r="A60" s="27"/>
      <c r="B60" s="28"/>
      <c r="C60" s="38"/>
      <c r="D60" s="38"/>
      <c r="E60" s="38"/>
      <c r="F60" s="38"/>
      <c r="G60" s="38"/>
      <c r="H60" s="38"/>
      <c r="I60" s="38"/>
      <c r="J60" s="38"/>
      <c r="K60" s="38"/>
      <c r="L60" s="61"/>
      <c r="M60" s="28"/>
      <c r="N60" s="131"/>
    </row>
    <row r="61" spans="1:14" ht="15.75">
      <c r="A61" s="8"/>
      <c r="B61" s="154" t="s">
        <v>40</v>
      </c>
      <c r="C61" s="62"/>
      <c r="D61" s="62"/>
      <c r="E61" s="62"/>
      <c r="F61" s="62"/>
      <c r="G61" s="62"/>
      <c r="H61" s="62"/>
      <c r="I61" s="62"/>
      <c r="J61" s="62"/>
      <c r="K61" s="62"/>
      <c r="L61" s="63"/>
      <c r="M61" s="10"/>
      <c r="N61" s="131"/>
    </row>
    <row r="62" spans="1:14" ht="15.75">
      <c r="A62" s="8"/>
      <c r="B62" s="10"/>
      <c r="C62" s="62"/>
      <c r="D62" s="62"/>
      <c r="E62" s="62"/>
      <c r="F62" s="62"/>
      <c r="G62" s="62"/>
      <c r="H62" s="62"/>
      <c r="I62" s="62"/>
      <c r="J62" s="62"/>
      <c r="K62" s="62"/>
      <c r="L62" s="63"/>
      <c r="M62" s="10"/>
      <c r="N62" s="131"/>
    </row>
    <row r="63" spans="1:14" ht="15.75">
      <c r="A63" s="27"/>
      <c r="B63" s="28" t="s">
        <v>37</v>
      </c>
      <c r="C63" s="38"/>
      <c r="D63" s="38"/>
      <c r="E63" s="38"/>
      <c r="F63" s="38"/>
      <c r="G63" s="38"/>
      <c r="H63" s="38"/>
      <c r="I63" s="38"/>
      <c r="J63" s="38"/>
      <c r="K63" s="38"/>
      <c r="L63" s="61"/>
      <c r="M63" s="28"/>
      <c r="N63" s="131"/>
    </row>
    <row r="64" spans="1:14" ht="15.75">
      <c r="A64" s="27"/>
      <c r="B64" s="28" t="s">
        <v>38</v>
      </c>
      <c r="C64" s="38"/>
      <c r="D64" s="38"/>
      <c r="E64" s="38"/>
      <c r="F64" s="38"/>
      <c r="G64" s="38"/>
      <c r="H64" s="38"/>
      <c r="I64" s="38"/>
      <c r="J64" s="38"/>
      <c r="K64" s="38"/>
      <c r="L64" s="61"/>
      <c r="M64" s="28"/>
      <c r="N64" s="131"/>
    </row>
    <row r="65" spans="1:14" ht="15.75">
      <c r="A65" s="27"/>
      <c r="B65" s="28"/>
      <c r="C65" s="38"/>
      <c r="D65" s="38"/>
      <c r="E65" s="38"/>
      <c r="F65" s="38"/>
      <c r="G65" s="38"/>
      <c r="H65" s="38"/>
      <c r="I65" s="38"/>
      <c r="J65" s="38"/>
      <c r="K65" s="38"/>
      <c r="L65" s="61"/>
      <c r="M65" s="28"/>
      <c r="N65" s="131"/>
    </row>
    <row r="66" spans="1:14" ht="15.75">
      <c r="A66" s="27"/>
      <c r="B66" s="28" t="s">
        <v>39</v>
      </c>
      <c r="C66" s="38"/>
      <c r="D66" s="38"/>
      <c r="E66" s="38"/>
      <c r="F66" s="38"/>
      <c r="G66" s="38"/>
      <c r="H66" s="38"/>
      <c r="I66" s="38"/>
      <c r="J66" s="38"/>
      <c r="K66" s="38"/>
      <c r="L66" s="38"/>
      <c r="M66" s="28"/>
      <c r="N66" s="131"/>
    </row>
    <row r="67" spans="1:14" ht="15.75">
      <c r="A67" s="27"/>
      <c r="B67" s="28"/>
      <c r="C67" s="38"/>
      <c r="D67" s="38"/>
      <c r="E67" s="38"/>
      <c r="F67" s="38"/>
      <c r="G67" s="38"/>
      <c r="H67" s="38"/>
      <c r="I67" s="38"/>
      <c r="J67" s="38"/>
      <c r="K67" s="38"/>
      <c r="L67" s="38"/>
      <c r="M67" s="28"/>
      <c r="N67" s="131"/>
    </row>
    <row r="68" spans="1:14" ht="15.75">
      <c r="A68" s="27"/>
      <c r="B68" s="28" t="s">
        <v>41</v>
      </c>
      <c r="C68" s="38">
        <v>0</v>
      </c>
      <c r="D68" s="38">
        <v>0</v>
      </c>
      <c r="E68" s="38"/>
      <c r="F68" s="38"/>
      <c r="G68" s="38"/>
      <c r="H68" s="38"/>
      <c r="I68" s="38"/>
      <c r="J68" s="38"/>
      <c r="K68" s="38"/>
      <c r="L68" s="60">
        <f>D68-F68+H68-J68</f>
        <v>0</v>
      </c>
      <c r="M68" s="28"/>
      <c r="N68" s="131"/>
    </row>
    <row r="69" spans="1:14" ht="15.75">
      <c r="A69" s="27"/>
      <c r="B69" s="28" t="s">
        <v>42</v>
      </c>
      <c r="C69" s="38">
        <v>22352</v>
      </c>
      <c r="D69" s="38">
        <v>0</v>
      </c>
      <c r="E69" s="38"/>
      <c r="F69" s="38"/>
      <c r="G69" s="38"/>
      <c r="H69" s="38"/>
      <c r="I69" s="38"/>
      <c r="J69" s="38"/>
      <c r="K69" s="38"/>
      <c r="L69" s="61">
        <v>0</v>
      </c>
      <c r="M69" s="28"/>
      <c r="N69" s="131"/>
    </row>
    <row r="70" spans="1:14" ht="15.75">
      <c r="A70" s="27"/>
      <c r="B70" s="28" t="s">
        <v>43</v>
      </c>
      <c r="C70" s="38">
        <v>0</v>
      </c>
      <c r="D70" s="38">
        <f>L127</f>
        <v>0</v>
      </c>
      <c r="E70" s="38"/>
      <c r="F70" s="38"/>
      <c r="G70" s="38"/>
      <c r="H70" s="38"/>
      <c r="I70" s="38"/>
      <c r="J70" s="38"/>
      <c r="K70" s="38"/>
      <c r="L70" s="61">
        <f>SUM(C70:K70)</f>
        <v>0</v>
      </c>
      <c r="M70" s="28"/>
      <c r="N70" s="131"/>
    </row>
    <row r="71" spans="1:14" ht="15.75">
      <c r="A71" s="27"/>
      <c r="B71" s="28" t="s">
        <v>44</v>
      </c>
      <c r="C71" s="61">
        <f>SUM(C59:C70)</f>
        <v>185000</v>
      </c>
      <c r="D71" s="61">
        <f>SUM(D59:D70)</f>
        <v>168388</v>
      </c>
      <c r="E71" s="38"/>
      <c r="F71" s="61"/>
      <c r="G71" s="38"/>
      <c r="H71" s="61"/>
      <c r="I71" s="38"/>
      <c r="J71" s="61"/>
      <c r="K71" s="38"/>
      <c r="L71" s="61">
        <f>SUM(L59:L70)</f>
        <v>165840</v>
      </c>
      <c r="M71" s="28"/>
      <c r="N71" s="131"/>
    </row>
    <row r="72" spans="1:14" ht="15.75">
      <c r="A72" s="27"/>
      <c r="B72" s="28"/>
      <c r="C72" s="38"/>
      <c r="D72" s="38"/>
      <c r="E72" s="38"/>
      <c r="F72" s="38"/>
      <c r="G72" s="38"/>
      <c r="H72" s="38"/>
      <c r="I72" s="38"/>
      <c r="J72" s="38"/>
      <c r="K72" s="38"/>
      <c r="L72" s="61"/>
      <c r="M72" s="28"/>
      <c r="N72" s="131"/>
    </row>
    <row r="73" spans="1:14" ht="15.75">
      <c r="A73" s="8"/>
      <c r="B73" s="10"/>
      <c r="C73" s="10"/>
      <c r="D73" s="10"/>
      <c r="E73" s="10"/>
      <c r="F73" s="10"/>
      <c r="G73" s="10"/>
      <c r="H73" s="10"/>
      <c r="I73" s="10"/>
      <c r="J73" s="10"/>
      <c r="K73" s="10"/>
      <c r="L73" s="10"/>
      <c r="M73" s="10"/>
      <c r="N73" s="131"/>
    </row>
    <row r="74" spans="1:14" ht="15.75">
      <c r="A74" s="8"/>
      <c r="B74" s="58" t="s">
        <v>45</v>
      </c>
      <c r="C74" s="17"/>
      <c r="D74" s="17"/>
      <c r="E74" s="17"/>
      <c r="F74" s="17"/>
      <c r="G74" s="17"/>
      <c r="H74" s="17"/>
      <c r="I74" s="20"/>
      <c r="J74" s="20" t="s">
        <v>177</v>
      </c>
      <c r="K74" s="20"/>
      <c r="L74" s="20" t="s">
        <v>190</v>
      </c>
      <c r="M74" s="10"/>
      <c r="N74" s="131"/>
    </row>
    <row r="75" spans="1:14" ht="15.75">
      <c r="A75" s="27"/>
      <c r="B75" s="28" t="s">
        <v>46</v>
      </c>
      <c r="C75" s="28"/>
      <c r="D75" s="28"/>
      <c r="E75" s="28"/>
      <c r="F75" s="28"/>
      <c r="G75" s="28"/>
      <c r="H75" s="28"/>
      <c r="I75" s="28"/>
      <c r="J75" s="38">
        <v>0</v>
      </c>
      <c r="K75" s="28"/>
      <c r="L75" s="60">
        <v>0</v>
      </c>
      <c r="M75" s="28"/>
      <c r="N75" s="131"/>
    </row>
    <row r="76" spans="1:14" ht="15.75">
      <c r="A76" s="27"/>
      <c r="B76" s="28" t="s">
        <v>47</v>
      </c>
      <c r="C76" s="47" t="s">
        <v>146</v>
      </c>
      <c r="D76" s="65">
        <v>36981</v>
      </c>
      <c r="E76" s="28"/>
      <c r="F76" s="28"/>
      <c r="G76" s="28"/>
      <c r="H76" s="28"/>
      <c r="I76" s="28"/>
      <c r="J76" s="38">
        <v>3831</v>
      </c>
      <c r="K76" s="28"/>
      <c r="L76" s="60"/>
      <c r="M76" s="28"/>
      <c r="N76" s="131"/>
    </row>
    <row r="77" spans="1:14" ht="15.75">
      <c r="A77" s="27"/>
      <c r="B77" s="28" t="s">
        <v>48</v>
      </c>
      <c r="C77" s="28"/>
      <c r="D77" s="28"/>
      <c r="E77" s="28"/>
      <c r="F77" s="28"/>
      <c r="G77" s="28"/>
      <c r="H77" s="28"/>
      <c r="I77" s="28"/>
      <c r="J77" s="38"/>
      <c r="K77" s="28"/>
      <c r="L77" s="60">
        <v>3357</v>
      </c>
      <c r="M77" s="28"/>
      <c r="N77" s="131"/>
    </row>
    <row r="78" spans="1:14" ht="15.75">
      <c r="A78" s="27"/>
      <c r="B78" s="28" t="s">
        <v>49</v>
      </c>
      <c r="C78" s="28"/>
      <c r="D78" s="28"/>
      <c r="E78" s="28"/>
      <c r="F78" s="28"/>
      <c r="G78" s="28"/>
      <c r="H78" s="28"/>
      <c r="I78" s="28"/>
      <c r="J78" s="38"/>
      <c r="K78" s="28"/>
      <c r="L78" s="60">
        <v>0</v>
      </c>
      <c r="M78" s="28"/>
      <c r="N78" s="131"/>
    </row>
    <row r="79" spans="1:14" ht="15.75">
      <c r="A79" s="27"/>
      <c r="B79" s="28" t="s">
        <v>50</v>
      </c>
      <c r="C79" s="28"/>
      <c r="D79" s="28"/>
      <c r="E79" s="28"/>
      <c r="F79" s="28"/>
      <c r="G79" s="28"/>
      <c r="H79" s="28"/>
      <c r="I79" s="28"/>
      <c r="J79" s="38">
        <f>SUM(J75:J78)</f>
        <v>3831</v>
      </c>
      <c r="K79" s="28"/>
      <c r="L79" s="61">
        <f>SUM(L75:L78)</f>
        <v>3357</v>
      </c>
      <c r="M79" s="28"/>
      <c r="N79" s="131"/>
    </row>
    <row r="80" spans="1:14" ht="15.75">
      <c r="A80" s="27"/>
      <c r="B80" s="28" t="s">
        <v>51</v>
      </c>
      <c r="C80" s="28"/>
      <c r="D80" s="28"/>
      <c r="E80" s="28"/>
      <c r="F80" s="28"/>
      <c r="G80" s="28"/>
      <c r="H80" s="28"/>
      <c r="I80" s="28"/>
      <c r="J80" s="38">
        <v>0</v>
      </c>
      <c r="K80" s="28"/>
      <c r="L80" s="60">
        <v>0</v>
      </c>
      <c r="M80" s="28"/>
      <c r="N80" s="131"/>
    </row>
    <row r="81" spans="1:14" ht="15.75">
      <c r="A81" s="27"/>
      <c r="B81" s="28" t="s">
        <v>52</v>
      </c>
      <c r="C81" s="28"/>
      <c r="D81" s="28"/>
      <c r="E81" s="28"/>
      <c r="F81" s="28"/>
      <c r="G81" s="28"/>
      <c r="H81" s="28"/>
      <c r="I81" s="28"/>
      <c r="J81" s="38">
        <f>J79+J80</f>
        <v>3831</v>
      </c>
      <c r="K81" s="28"/>
      <c r="L81" s="61">
        <f>L79+L80</f>
        <v>3357</v>
      </c>
      <c r="M81" s="28"/>
      <c r="N81" s="131"/>
    </row>
    <row r="82" spans="1:14" ht="15.75">
      <c r="A82" s="27"/>
      <c r="B82" s="166" t="s">
        <v>53</v>
      </c>
      <c r="C82" s="66"/>
      <c r="D82" s="28"/>
      <c r="E82" s="28"/>
      <c r="F82" s="28"/>
      <c r="G82" s="28"/>
      <c r="H82" s="28"/>
      <c r="I82" s="28"/>
      <c r="J82" s="38"/>
      <c r="K82" s="28"/>
      <c r="L82" s="60"/>
      <c r="M82" s="28"/>
      <c r="N82" s="131"/>
    </row>
    <row r="83" spans="1:14" ht="15.75">
      <c r="A83" s="27">
        <v>1</v>
      </c>
      <c r="B83" s="28" t="s">
        <v>54</v>
      </c>
      <c r="C83" s="28"/>
      <c r="D83" s="28"/>
      <c r="E83" s="28"/>
      <c r="F83" s="28"/>
      <c r="G83" s="28"/>
      <c r="H83" s="28"/>
      <c r="I83" s="28"/>
      <c r="J83" s="28"/>
      <c r="K83" s="28"/>
      <c r="L83" s="60">
        <v>0</v>
      </c>
      <c r="M83" s="28"/>
      <c r="N83" s="131"/>
    </row>
    <row r="84" spans="1:14" ht="15.75">
      <c r="A84" s="27">
        <v>2</v>
      </c>
      <c r="B84" s="28" t="s">
        <v>55</v>
      </c>
      <c r="C84" s="28"/>
      <c r="D84" s="28"/>
      <c r="E84" s="28"/>
      <c r="F84" s="28"/>
      <c r="G84" s="28"/>
      <c r="H84" s="28"/>
      <c r="I84" s="28"/>
      <c r="J84" s="28"/>
      <c r="K84" s="28"/>
      <c r="L84" s="60">
        <v>-3</v>
      </c>
      <c r="M84" s="28"/>
      <c r="N84" s="131"/>
    </row>
    <row r="85" spans="1:14" ht="15.75">
      <c r="A85" s="27">
        <v>3</v>
      </c>
      <c r="B85" s="28" t="s">
        <v>56</v>
      </c>
      <c r="C85" s="28"/>
      <c r="D85" s="28"/>
      <c r="E85" s="28"/>
      <c r="F85" s="28"/>
      <c r="G85" s="28"/>
      <c r="H85" s="28"/>
      <c r="I85" s="28"/>
      <c r="J85" s="28"/>
      <c r="K85" s="28"/>
      <c r="L85" s="60">
        <v>-131</v>
      </c>
      <c r="M85" s="28"/>
      <c r="N85" s="131"/>
    </row>
    <row r="86" spans="1:14" ht="15.75">
      <c r="A86" s="27">
        <v>4</v>
      </c>
      <c r="B86" s="28" t="s">
        <v>57</v>
      </c>
      <c r="C86" s="28"/>
      <c r="D86" s="28"/>
      <c r="E86" s="28"/>
      <c r="F86" s="28"/>
      <c r="G86" s="28"/>
      <c r="H86" s="28"/>
      <c r="I86" s="28"/>
      <c r="J86" s="28"/>
      <c r="K86" s="28"/>
      <c r="L86" s="60">
        <v>37</v>
      </c>
      <c r="M86" s="28"/>
      <c r="N86" s="131"/>
    </row>
    <row r="87" spans="1:14" ht="15.75">
      <c r="A87" s="27">
        <v>5</v>
      </c>
      <c r="B87" s="28" t="s">
        <v>58</v>
      </c>
      <c r="C87" s="28"/>
      <c r="D87" s="28"/>
      <c r="E87" s="28"/>
      <c r="F87" s="28"/>
      <c r="G87" s="28"/>
      <c r="H87" s="28"/>
      <c r="I87" s="28"/>
      <c r="J87" s="28"/>
      <c r="K87" s="28"/>
      <c r="L87" s="60">
        <v>-2349</v>
      </c>
      <c r="M87" s="28"/>
      <c r="N87" s="131"/>
    </row>
    <row r="88" spans="1:14" ht="15.75">
      <c r="A88" s="27">
        <v>6</v>
      </c>
      <c r="B88" s="28" t="s">
        <v>59</v>
      </c>
      <c r="C88" s="28"/>
      <c r="D88" s="28"/>
      <c r="E88" s="28"/>
      <c r="F88" s="28"/>
      <c r="G88" s="28"/>
      <c r="H88" s="28"/>
      <c r="I88" s="28"/>
      <c r="J88" s="28"/>
      <c r="K88" s="28"/>
      <c r="L88" s="60">
        <v>-286</v>
      </c>
      <c r="M88" s="28"/>
      <c r="N88" s="131"/>
    </row>
    <row r="89" spans="1:14" ht="15.75">
      <c r="A89" s="27">
        <v>7</v>
      </c>
      <c r="B89" s="28" t="s">
        <v>60</v>
      </c>
      <c r="C89" s="28"/>
      <c r="D89" s="28"/>
      <c r="E89" s="28"/>
      <c r="F89" s="28"/>
      <c r="G89" s="28"/>
      <c r="H89" s="28"/>
      <c r="I89" s="28"/>
      <c r="J89" s="28"/>
      <c r="K89" s="28"/>
      <c r="L89" s="60">
        <v>-3</v>
      </c>
      <c r="M89" s="28"/>
      <c r="N89" s="131"/>
    </row>
    <row r="90" spans="1:14" ht="15.75">
      <c r="A90" s="27">
        <v>8</v>
      </c>
      <c r="B90" s="28" t="s">
        <v>61</v>
      </c>
      <c r="C90" s="28"/>
      <c r="D90" s="28"/>
      <c r="E90" s="28"/>
      <c r="F90" s="28"/>
      <c r="G90" s="28"/>
      <c r="H90" s="28"/>
      <c r="I90" s="28"/>
      <c r="J90" s="28"/>
      <c r="K90" s="28"/>
      <c r="L90" s="60">
        <v>0</v>
      </c>
      <c r="M90" s="28"/>
      <c r="N90" s="131"/>
    </row>
    <row r="91" spans="1:14" ht="15.75">
      <c r="A91" s="27">
        <v>9</v>
      </c>
      <c r="B91" s="28" t="s">
        <v>62</v>
      </c>
      <c r="C91" s="28"/>
      <c r="D91" s="28"/>
      <c r="E91" s="28"/>
      <c r="F91" s="28"/>
      <c r="G91" s="28"/>
      <c r="H91" s="28"/>
      <c r="I91" s="28"/>
      <c r="J91" s="28"/>
      <c r="K91" s="28"/>
      <c r="L91" s="60">
        <v>0</v>
      </c>
      <c r="M91" s="28"/>
      <c r="N91" s="131"/>
    </row>
    <row r="92" spans="1:14" ht="15.75">
      <c r="A92" s="27">
        <v>10</v>
      </c>
      <c r="B92" s="28" t="s">
        <v>63</v>
      </c>
      <c r="C92" s="28"/>
      <c r="D92" s="28"/>
      <c r="E92" s="28"/>
      <c r="F92" s="28"/>
      <c r="G92" s="28"/>
      <c r="H92" s="28"/>
      <c r="I92" s="28"/>
      <c r="J92" s="28"/>
      <c r="K92" s="28"/>
      <c r="L92" s="60">
        <v>0</v>
      </c>
      <c r="M92" s="28"/>
      <c r="N92" s="131"/>
    </row>
    <row r="93" spans="1:14" ht="15.75">
      <c r="A93" s="27">
        <v>11</v>
      </c>
      <c r="B93" s="28" t="s">
        <v>64</v>
      </c>
      <c r="C93" s="28"/>
      <c r="D93" s="28"/>
      <c r="E93" s="28"/>
      <c r="F93" s="28"/>
      <c r="G93" s="28"/>
      <c r="H93" s="28"/>
      <c r="I93" s="28"/>
      <c r="J93" s="28"/>
      <c r="K93" s="28"/>
      <c r="L93" s="60">
        <v>0</v>
      </c>
      <c r="M93" s="28"/>
      <c r="N93" s="131"/>
    </row>
    <row r="94" spans="1:14" ht="15.75">
      <c r="A94" s="27">
        <v>12</v>
      </c>
      <c r="B94" s="28" t="s">
        <v>65</v>
      </c>
      <c r="C94" s="28"/>
      <c r="D94" s="28"/>
      <c r="E94" s="28"/>
      <c r="F94" s="28"/>
      <c r="G94" s="28"/>
      <c r="H94" s="28"/>
      <c r="I94" s="28"/>
      <c r="J94" s="28"/>
      <c r="K94" s="28"/>
      <c r="L94" s="60">
        <v>-141</v>
      </c>
      <c r="M94" s="28"/>
      <c r="N94" s="131"/>
    </row>
    <row r="95" spans="1:14" ht="15.75">
      <c r="A95" s="27">
        <v>13</v>
      </c>
      <c r="B95" s="28" t="s">
        <v>66</v>
      </c>
      <c r="C95" s="28"/>
      <c r="D95" s="28"/>
      <c r="E95" s="28"/>
      <c r="F95" s="28"/>
      <c r="G95" s="28"/>
      <c r="H95" s="28"/>
      <c r="I95" s="28"/>
      <c r="J95" s="28"/>
      <c r="K95" s="28"/>
      <c r="L95" s="60">
        <f>-SUM(L81:L94)</f>
        <v>-481</v>
      </c>
      <c r="M95" s="28"/>
      <c r="N95" s="131"/>
    </row>
    <row r="96" spans="1:14" ht="15.75">
      <c r="A96" s="27"/>
      <c r="B96" s="166" t="s">
        <v>67</v>
      </c>
      <c r="C96" s="66"/>
      <c r="D96" s="28"/>
      <c r="E96" s="28"/>
      <c r="F96" s="28"/>
      <c r="G96" s="28"/>
      <c r="H96" s="28"/>
      <c r="I96" s="28"/>
      <c r="J96" s="28"/>
      <c r="K96" s="28"/>
      <c r="L96" s="67"/>
      <c r="M96" s="28"/>
      <c r="N96" s="131"/>
    </row>
    <row r="97" spans="1:14" ht="15.75">
      <c r="A97" s="27"/>
      <c r="B97" s="28" t="s">
        <v>68</v>
      </c>
      <c r="C97" s="66"/>
      <c r="D97" s="28"/>
      <c r="E97" s="28"/>
      <c r="F97" s="28"/>
      <c r="G97" s="28"/>
      <c r="H97" s="28"/>
      <c r="I97" s="28"/>
      <c r="J97" s="38">
        <f>-J143</f>
        <v>-6</v>
      </c>
      <c r="K97" s="38"/>
      <c r="L97" s="60"/>
      <c r="M97" s="28"/>
      <c r="N97" s="131"/>
    </row>
    <row r="98" spans="1:14" ht="15.75">
      <c r="A98" s="27"/>
      <c r="B98" s="28" t="s">
        <v>69</v>
      </c>
      <c r="C98" s="28"/>
      <c r="D98" s="28"/>
      <c r="E98" s="28"/>
      <c r="F98" s="28"/>
      <c r="G98" s="28"/>
      <c r="H98" s="28"/>
      <c r="I98" s="28"/>
      <c r="J98" s="38">
        <f>-H143</f>
        <v>-1277</v>
      </c>
      <c r="K98" s="38"/>
      <c r="L98" s="60"/>
      <c r="M98" s="28"/>
      <c r="N98" s="131"/>
    </row>
    <row r="99" spans="1:14" ht="15.75">
      <c r="A99" s="27"/>
      <c r="B99" s="28" t="s">
        <v>70</v>
      </c>
      <c r="C99" s="28"/>
      <c r="D99" s="28"/>
      <c r="E99" s="28"/>
      <c r="F99" s="28"/>
      <c r="G99" s="28"/>
      <c r="H99" s="28"/>
      <c r="I99" s="28"/>
      <c r="J99" s="38">
        <v>-2548</v>
      </c>
      <c r="K99" s="38"/>
      <c r="L99" s="60"/>
      <c r="M99" s="28"/>
      <c r="N99" s="131"/>
    </row>
    <row r="100" spans="1:14" ht="15.75">
      <c r="A100" s="27"/>
      <c r="B100" s="28" t="s">
        <v>71</v>
      </c>
      <c r="C100" s="28"/>
      <c r="D100" s="28"/>
      <c r="E100" s="28"/>
      <c r="F100" s="28"/>
      <c r="G100" s="28"/>
      <c r="H100" s="28"/>
      <c r="I100" s="28"/>
      <c r="J100" s="38">
        <v>0</v>
      </c>
      <c r="K100" s="38"/>
      <c r="L100" s="60"/>
      <c r="M100" s="28"/>
      <c r="N100" s="131"/>
    </row>
    <row r="101" spans="1:14" ht="15.75">
      <c r="A101" s="27"/>
      <c r="B101" s="28" t="s">
        <v>72</v>
      </c>
      <c r="C101" s="28"/>
      <c r="D101" s="28"/>
      <c r="E101" s="28"/>
      <c r="F101" s="28"/>
      <c r="G101" s="28"/>
      <c r="H101" s="28"/>
      <c r="I101" s="28"/>
      <c r="J101" s="38">
        <f>SUM(J82:J100)</f>
        <v>-3831</v>
      </c>
      <c r="K101" s="38"/>
      <c r="L101" s="38">
        <f>SUM(L82:L100)</f>
        <v>-3357</v>
      </c>
      <c r="M101" s="28"/>
      <c r="N101" s="131"/>
    </row>
    <row r="102" spans="1:14" ht="15.75">
      <c r="A102" s="27"/>
      <c r="B102" s="28" t="s">
        <v>73</v>
      </c>
      <c r="C102" s="28"/>
      <c r="D102" s="28"/>
      <c r="E102" s="28"/>
      <c r="F102" s="28"/>
      <c r="G102" s="28"/>
      <c r="H102" s="28"/>
      <c r="I102" s="28"/>
      <c r="J102" s="38">
        <f>J81+J101</f>
        <v>0</v>
      </c>
      <c r="K102" s="38"/>
      <c r="L102" s="38">
        <f>L81+L101</f>
        <v>0</v>
      </c>
      <c r="M102" s="28"/>
      <c r="N102" s="131"/>
    </row>
    <row r="103" spans="1:14" ht="15.75">
      <c r="A103" s="27"/>
      <c r="B103" s="28"/>
      <c r="C103" s="28"/>
      <c r="D103" s="28"/>
      <c r="E103" s="28"/>
      <c r="F103" s="28"/>
      <c r="G103" s="28"/>
      <c r="H103" s="28"/>
      <c r="I103" s="28"/>
      <c r="J103" s="38"/>
      <c r="K103" s="38"/>
      <c r="L103" s="38"/>
      <c r="M103" s="28"/>
      <c r="N103" s="131"/>
    </row>
    <row r="104" spans="1:14" ht="15.75">
      <c r="A104" s="8"/>
      <c r="B104" s="10"/>
      <c r="C104" s="10"/>
      <c r="D104" s="10"/>
      <c r="E104" s="10"/>
      <c r="F104" s="10"/>
      <c r="G104" s="10"/>
      <c r="H104" s="10"/>
      <c r="I104" s="10"/>
      <c r="J104" s="62"/>
      <c r="K104" s="62"/>
      <c r="L104" s="62"/>
      <c r="M104" s="10"/>
      <c r="N104" s="131"/>
    </row>
    <row r="105" spans="1:14" ht="19.5" thickBot="1">
      <c r="A105" s="138"/>
      <c r="B105" s="139" t="s">
        <v>203</v>
      </c>
      <c r="C105" s="140"/>
      <c r="D105" s="140"/>
      <c r="E105" s="140"/>
      <c r="F105" s="140"/>
      <c r="G105" s="140"/>
      <c r="H105" s="140"/>
      <c r="I105" s="140"/>
      <c r="J105" s="143"/>
      <c r="K105" s="143"/>
      <c r="L105" s="143"/>
      <c r="M105" s="142"/>
      <c r="N105" s="131"/>
    </row>
    <row r="106" spans="1:14" ht="12" customHeight="1">
      <c r="A106" s="2"/>
      <c r="B106" s="5"/>
      <c r="C106" s="5"/>
      <c r="D106" s="5"/>
      <c r="E106" s="5"/>
      <c r="F106" s="5"/>
      <c r="G106" s="5"/>
      <c r="H106" s="5"/>
      <c r="I106" s="5"/>
      <c r="J106" s="5"/>
      <c r="K106" s="5"/>
      <c r="L106" s="57"/>
      <c r="M106" s="5"/>
      <c r="N106" s="131"/>
    </row>
    <row r="107" spans="1:14" ht="12" customHeight="1">
      <c r="A107" s="8"/>
      <c r="B107" s="10"/>
      <c r="C107" s="10"/>
      <c r="D107" s="10"/>
      <c r="E107" s="10"/>
      <c r="F107" s="10"/>
      <c r="G107" s="10"/>
      <c r="H107" s="10"/>
      <c r="I107" s="10"/>
      <c r="J107" s="10"/>
      <c r="K107" s="10"/>
      <c r="L107" s="59"/>
      <c r="M107" s="10"/>
      <c r="N107" s="131"/>
    </row>
    <row r="108" spans="1:14" ht="15.75">
      <c r="A108" s="8"/>
      <c r="B108" s="58" t="s">
        <v>74</v>
      </c>
      <c r="C108" s="16"/>
      <c r="D108" s="10"/>
      <c r="E108" s="10"/>
      <c r="F108" s="10"/>
      <c r="G108" s="10"/>
      <c r="H108" s="10"/>
      <c r="I108" s="10"/>
      <c r="J108" s="10"/>
      <c r="K108" s="10"/>
      <c r="L108" s="59"/>
      <c r="M108" s="10"/>
      <c r="N108" s="131"/>
    </row>
    <row r="109" spans="1:14" ht="15.75">
      <c r="A109" s="8"/>
      <c r="B109" s="23"/>
      <c r="C109" s="16"/>
      <c r="D109" s="10"/>
      <c r="E109" s="10"/>
      <c r="F109" s="10"/>
      <c r="G109" s="10"/>
      <c r="H109" s="10"/>
      <c r="I109" s="10"/>
      <c r="J109" s="10"/>
      <c r="K109" s="10"/>
      <c r="L109" s="59"/>
      <c r="M109" s="10"/>
      <c r="N109" s="131"/>
    </row>
    <row r="110" spans="1:14" ht="15.75">
      <c r="A110" s="8"/>
      <c r="B110" s="167" t="s">
        <v>75</v>
      </c>
      <c r="C110" s="16"/>
      <c r="D110" s="10"/>
      <c r="E110" s="10"/>
      <c r="F110" s="10"/>
      <c r="G110" s="10"/>
      <c r="H110" s="10"/>
      <c r="I110" s="10"/>
      <c r="J110" s="10"/>
      <c r="K110" s="10"/>
      <c r="L110" s="59"/>
      <c r="M110" s="10"/>
      <c r="N110" s="131"/>
    </row>
    <row r="111" spans="1:14" ht="15.75">
      <c r="A111" s="27"/>
      <c r="B111" s="28" t="s">
        <v>76</v>
      </c>
      <c r="C111" s="28"/>
      <c r="D111" s="28"/>
      <c r="E111" s="28"/>
      <c r="F111" s="28"/>
      <c r="G111" s="28"/>
      <c r="H111" s="28"/>
      <c r="I111" s="28"/>
      <c r="J111" s="28"/>
      <c r="K111" s="28"/>
      <c r="L111" s="60">
        <v>4625</v>
      </c>
      <c r="M111" s="28"/>
      <c r="N111" s="131"/>
    </row>
    <row r="112" spans="1:14" ht="15.75">
      <c r="A112" s="27"/>
      <c r="B112" s="28" t="s">
        <v>77</v>
      </c>
      <c r="C112" s="28"/>
      <c r="D112" s="28"/>
      <c r="E112" s="28"/>
      <c r="F112" s="28"/>
      <c r="G112" s="28"/>
      <c r="H112" s="28"/>
      <c r="I112" s="28"/>
      <c r="J112" s="28"/>
      <c r="K112" s="28"/>
      <c r="L112" s="60">
        <v>4625</v>
      </c>
      <c r="M112" s="28"/>
      <c r="N112" s="131"/>
    </row>
    <row r="113" spans="1:14" ht="15.75">
      <c r="A113" s="27"/>
      <c r="B113" s="28" t="s">
        <v>78</v>
      </c>
      <c r="C113" s="28"/>
      <c r="D113" s="28"/>
      <c r="E113" s="28"/>
      <c r="F113" s="28"/>
      <c r="G113" s="28"/>
      <c r="H113" s="28"/>
      <c r="I113" s="28"/>
      <c r="J113" s="28"/>
      <c r="K113" s="28"/>
      <c r="L113" s="60">
        <v>0</v>
      </c>
      <c r="M113" s="28"/>
      <c r="N113" s="131"/>
    </row>
    <row r="114" spans="1:14" ht="15.75">
      <c r="A114" s="27"/>
      <c r="B114" s="28" t="s">
        <v>79</v>
      </c>
      <c r="C114" s="28"/>
      <c r="D114" s="28"/>
      <c r="E114" s="28"/>
      <c r="F114" s="28"/>
      <c r="G114" s="28"/>
      <c r="H114" s="28"/>
      <c r="I114" s="28"/>
      <c r="J114" s="28"/>
      <c r="K114" s="28"/>
      <c r="L114" s="60">
        <v>0</v>
      </c>
      <c r="M114" s="28"/>
      <c r="N114" s="131"/>
    </row>
    <row r="115" spans="1:14" ht="15.75">
      <c r="A115" s="27"/>
      <c r="B115" s="28" t="s">
        <v>80</v>
      </c>
      <c r="C115" s="28"/>
      <c r="D115" s="28"/>
      <c r="E115" s="28"/>
      <c r="F115" s="28"/>
      <c r="G115" s="28"/>
      <c r="H115" s="28"/>
      <c r="I115" s="28"/>
      <c r="J115" s="28"/>
      <c r="K115" s="28"/>
      <c r="L115" s="60">
        <v>0</v>
      </c>
      <c r="M115" s="28"/>
      <c r="N115" s="131"/>
    </row>
    <row r="116" spans="1:14" ht="15.75">
      <c r="A116" s="27"/>
      <c r="B116" s="28" t="s">
        <v>58</v>
      </c>
      <c r="C116" s="28"/>
      <c r="D116" s="28"/>
      <c r="E116" s="28"/>
      <c r="F116" s="28"/>
      <c r="G116" s="28"/>
      <c r="H116" s="28"/>
      <c r="I116" s="28"/>
      <c r="J116" s="28"/>
      <c r="K116" s="28"/>
      <c r="L116" s="60">
        <v>0</v>
      </c>
      <c r="M116" s="28"/>
      <c r="N116" s="131"/>
    </row>
    <row r="117" spans="1:14" ht="15.75">
      <c r="A117" s="27"/>
      <c r="B117" s="28" t="s">
        <v>59</v>
      </c>
      <c r="C117" s="28"/>
      <c r="D117" s="28"/>
      <c r="E117" s="28"/>
      <c r="F117" s="28"/>
      <c r="G117" s="28"/>
      <c r="H117" s="28"/>
      <c r="I117" s="28"/>
      <c r="J117" s="28"/>
      <c r="K117" s="28"/>
      <c r="L117" s="60">
        <v>0</v>
      </c>
      <c r="M117" s="28"/>
      <c r="N117" s="131"/>
    </row>
    <row r="118" spans="1:14" ht="15.75">
      <c r="A118" s="27"/>
      <c r="B118" s="28" t="s">
        <v>81</v>
      </c>
      <c r="C118" s="28"/>
      <c r="D118" s="28"/>
      <c r="E118" s="28"/>
      <c r="F118" s="28"/>
      <c r="G118" s="28"/>
      <c r="H118" s="28"/>
      <c r="I118" s="28"/>
      <c r="J118" s="28"/>
      <c r="K118" s="28"/>
      <c r="L118" s="60">
        <f>SUM(L112:L116)</f>
        <v>4625</v>
      </c>
      <c r="M118" s="28"/>
      <c r="N118" s="131"/>
    </row>
    <row r="119" spans="1:14" ht="15.75">
      <c r="A119" s="27"/>
      <c r="B119" s="28"/>
      <c r="C119" s="28"/>
      <c r="D119" s="28"/>
      <c r="E119" s="28"/>
      <c r="F119" s="28"/>
      <c r="G119" s="28"/>
      <c r="H119" s="28"/>
      <c r="I119" s="28"/>
      <c r="J119" s="28"/>
      <c r="K119" s="28"/>
      <c r="L119" s="68"/>
      <c r="M119" s="28"/>
      <c r="N119" s="131"/>
    </row>
    <row r="120" spans="1:14" ht="15.75">
      <c r="A120" s="8"/>
      <c r="B120" s="167" t="s">
        <v>82</v>
      </c>
      <c r="C120" s="10"/>
      <c r="D120" s="10"/>
      <c r="E120" s="10"/>
      <c r="F120" s="10"/>
      <c r="G120" s="10"/>
      <c r="H120" s="10"/>
      <c r="I120" s="10"/>
      <c r="J120" s="10"/>
      <c r="K120" s="10"/>
      <c r="L120" s="59"/>
      <c r="M120" s="10"/>
      <c r="N120" s="131"/>
    </row>
    <row r="121" spans="1:14" ht="15.75">
      <c r="A121" s="27"/>
      <c r="B121" s="28" t="s">
        <v>83</v>
      </c>
      <c r="C121" s="28"/>
      <c r="D121" s="69"/>
      <c r="E121" s="28"/>
      <c r="F121" s="28"/>
      <c r="G121" s="28"/>
      <c r="H121" s="28"/>
      <c r="I121" s="28"/>
      <c r="J121" s="28"/>
      <c r="K121" s="28"/>
      <c r="L121" s="70" t="s">
        <v>156</v>
      </c>
      <c r="M121" s="28"/>
      <c r="N121" s="131"/>
    </row>
    <row r="122" spans="1:14" ht="15.75">
      <c r="A122" s="27"/>
      <c r="B122" s="28" t="s">
        <v>84</v>
      </c>
      <c r="C122" s="30"/>
      <c r="D122" s="30"/>
      <c r="E122" s="30"/>
      <c r="F122" s="30"/>
      <c r="G122" s="30"/>
      <c r="H122" s="30"/>
      <c r="I122" s="30"/>
      <c r="J122" s="30"/>
      <c r="K122" s="30"/>
      <c r="L122" s="70" t="s">
        <v>156</v>
      </c>
      <c r="M122" s="28"/>
      <c r="N122" s="131"/>
    </row>
    <row r="123" spans="1:14" ht="15.75">
      <c r="A123" s="27"/>
      <c r="B123" s="28" t="s">
        <v>85</v>
      </c>
      <c r="C123" s="28"/>
      <c r="D123" s="28"/>
      <c r="E123" s="28"/>
      <c r="F123" s="28"/>
      <c r="G123" s="28"/>
      <c r="H123" s="28"/>
      <c r="I123" s="28"/>
      <c r="J123" s="28"/>
      <c r="K123" s="28"/>
      <c r="L123" s="70" t="s">
        <v>156</v>
      </c>
      <c r="M123" s="28"/>
      <c r="N123" s="131"/>
    </row>
    <row r="124" spans="1:14" ht="15.75">
      <c r="A124" s="27"/>
      <c r="B124" s="28" t="s">
        <v>86</v>
      </c>
      <c r="C124" s="28"/>
      <c r="D124" s="28"/>
      <c r="E124" s="28"/>
      <c r="F124" s="28"/>
      <c r="G124" s="28"/>
      <c r="H124" s="28"/>
      <c r="I124" s="28"/>
      <c r="J124" s="28"/>
      <c r="K124" s="28"/>
      <c r="L124" s="70" t="s">
        <v>156</v>
      </c>
      <c r="M124" s="28"/>
      <c r="N124" s="131"/>
    </row>
    <row r="125" spans="1:14" ht="15.75">
      <c r="A125" s="27"/>
      <c r="B125" s="28"/>
      <c r="C125" s="28"/>
      <c r="D125" s="28"/>
      <c r="E125" s="28"/>
      <c r="F125" s="28"/>
      <c r="G125" s="28"/>
      <c r="H125" s="28"/>
      <c r="I125" s="28"/>
      <c r="J125" s="28"/>
      <c r="K125" s="28"/>
      <c r="L125" s="68"/>
      <c r="M125" s="28"/>
      <c r="N125" s="131"/>
    </row>
    <row r="126" spans="1:14" ht="15.75">
      <c r="A126" s="8"/>
      <c r="B126" s="167" t="s">
        <v>87</v>
      </c>
      <c r="C126" s="16"/>
      <c r="D126" s="10"/>
      <c r="E126" s="10"/>
      <c r="F126" s="10"/>
      <c r="G126" s="10"/>
      <c r="H126" s="10"/>
      <c r="I126" s="10"/>
      <c r="J126" s="10"/>
      <c r="K126" s="10"/>
      <c r="L126" s="71"/>
      <c r="M126" s="10"/>
      <c r="N126" s="131"/>
    </row>
    <row r="127" spans="1:14" ht="15.75">
      <c r="A127" s="27"/>
      <c r="B127" s="28" t="s">
        <v>88</v>
      </c>
      <c r="C127" s="28"/>
      <c r="D127" s="28"/>
      <c r="E127" s="28"/>
      <c r="F127" s="28"/>
      <c r="G127" s="28"/>
      <c r="H127" s="28"/>
      <c r="I127" s="28"/>
      <c r="J127" s="28"/>
      <c r="K127" s="28"/>
      <c r="L127" s="60">
        <v>0</v>
      </c>
      <c r="M127" s="28"/>
      <c r="N127" s="131"/>
    </row>
    <row r="128" spans="1:14" ht="15.75">
      <c r="A128" s="27"/>
      <c r="B128" s="28" t="s">
        <v>89</v>
      </c>
      <c r="C128" s="28"/>
      <c r="D128" s="28"/>
      <c r="E128" s="28"/>
      <c r="F128" s="28"/>
      <c r="G128" s="28"/>
      <c r="H128" s="28"/>
      <c r="I128" s="28"/>
      <c r="J128" s="28"/>
      <c r="K128" s="28"/>
      <c r="L128" s="60">
        <v>0</v>
      </c>
      <c r="M128" s="28"/>
      <c r="N128" s="131"/>
    </row>
    <row r="129" spans="1:14" ht="15.75">
      <c r="A129" s="27"/>
      <c r="B129" s="28" t="s">
        <v>90</v>
      </c>
      <c r="C129" s="28"/>
      <c r="D129" s="28"/>
      <c r="E129" s="28"/>
      <c r="F129" s="28"/>
      <c r="G129" s="28"/>
      <c r="H129" s="28"/>
      <c r="I129" s="28"/>
      <c r="J129" s="28"/>
      <c r="K129" s="28"/>
      <c r="L129" s="60">
        <f>L128+L127</f>
        <v>0</v>
      </c>
      <c r="M129" s="28"/>
      <c r="N129" s="131"/>
    </row>
    <row r="130" spans="1:14" ht="15.75">
      <c r="A130" s="27"/>
      <c r="B130" s="28" t="s">
        <v>91</v>
      </c>
      <c r="C130" s="28"/>
      <c r="D130" s="28"/>
      <c r="E130" s="28"/>
      <c r="F130" s="28"/>
      <c r="G130" s="28"/>
      <c r="H130" s="72"/>
      <c r="I130" s="28"/>
      <c r="J130" s="28"/>
      <c r="K130" s="28"/>
      <c r="L130" s="60">
        <v>0</v>
      </c>
      <c r="M130" s="28"/>
      <c r="N130" s="131"/>
    </row>
    <row r="131" spans="1:14" ht="15.75">
      <c r="A131" s="27"/>
      <c r="B131" s="28" t="s">
        <v>92</v>
      </c>
      <c r="C131" s="28"/>
      <c r="D131" s="28"/>
      <c r="E131" s="28"/>
      <c r="F131" s="28"/>
      <c r="G131" s="28"/>
      <c r="H131" s="28"/>
      <c r="I131" s="28"/>
      <c r="J131" s="28"/>
      <c r="K131" s="28"/>
      <c r="L131" s="60">
        <f>L129+L130</f>
        <v>0</v>
      </c>
      <c r="M131" s="28"/>
      <c r="N131" s="131"/>
    </row>
    <row r="132" spans="1:14" ht="7.5" customHeight="1">
      <c r="A132" s="27"/>
      <c r="B132" s="28"/>
      <c r="C132" s="28"/>
      <c r="D132" s="28"/>
      <c r="E132" s="28"/>
      <c r="F132" s="28"/>
      <c r="G132" s="28"/>
      <c r="H132" s="28"/>
      <c r="I132" s="28"/>
      <c r="J132" s="28"/>
      <c r="K132" s="28"/>
      <c r="L132" s="68"/>
      <c r="M132" s="28"/>
      <c r="N132" s="131"/>
    </row>
    <row r="133" spans="1:14" ht="6" customHeight="1">
      <c r="A133" s="2"/>
      <c r="B133" s="5"/>
      <c r="C133" s="5"/>
      <c r="D133" s="5"/>
      <c r="E133" s="5"/>
      <c r="F133" s="5"/>
      <c r="G133" s="5"/>
      <c r="H133" s="5"/>
      <c r="I133" s="5"/>
      <c r="J133" s="5"/>
      <c r="K133" s="5"/>
      <c r="L133" s="57"/>
      <c r="M133" s="5"/>
      <c r="N133" s="131"/>
    </row>
    <row r="134" spans="1:14" ht="15.75">
      <c r="A134" s="8"/>
      <c r="B134" s="167" t="s">
        <v>93</v>
      </c>
      <c r="C134" s="16"/>
      <c r="D134" s="10"/>
      <c r="E134" s="10"/>
      <c r="F134" s="10"/>
      <c r="G134" s="10"/>
      <c r="H134" s="10"/>
      <c r="I134" s="10"/>
      <c r="J134" s="10"/>
      <c r="K134" s="10"/>
      <c r="L134" s="59"/>
      <c r="M134" s="10"/>
      <c r="N134" s="131"/>
    </row>
    <row r="135" spans="1:14" ht="15.75">
      <c r="A135" s="8"/>
      <c r="B135" s="23"/>
      <c r="C135" s="16"/>
      <c r="D135" s="10"/>
      <c r="E135" s="10"/>
      <c r="F135" s="10"/>
      <c r="G135" s="10"/>
      <c r="H135" s="10"/>
      <c r="I135" s="10"/>
      <c r="J135" s="10"/>
      <c r="K135" s="10"/>
      <c r="L135" s="59"/>
      <c r="M135" s="10"/>
      <c r="N135" s="131"/>
    </row>
    <row r="136" spans="1:14" ht="15.75">
      <c r="A136" s="27"/>
      <c r="B136" s="28" t="s">
        <v>94</v>
      </c>
      <c r="C136" s="73"/>
      <c r="D136" s="28"/>
      <c r="E136" s="28"/>
      <c r="F136" s="28"/>
      <c r="G136" s="28"/>
      <c r="H136" s="28"/>
      <c r="I136" s="28"/>
      <c r="J136" s="28"/>
      <c r="K136" s="28"/>
      <c r="L136" s="60">
        <f>L59</f>
        <v>165840</v>
      </c>
      <c r="M136" s="28"/>
      <c r="N136" s="131"/>
    </row>
    <row r="137" spans="1:14" ht="15.75">
      <c r="A137" s="27"/>
      <c r="B137" s="28" t="s">
        <v>95</v>
      </c>
      <c r="C137" s="73"/>
      <c r="D137" s="28"/>
      <c r="E137" s="28"/>
      <c r="F137" s="28"/>
      <c r="G137" s="28"/>
      <c r="H137" s="28"/>
      <c r="I137" s="28"/>
      <c r="J137" s="28"/>
      <c r="K137" s="28"/>
      <c r="L137" s="60">
        <f>L71</f>
        <v>165840</v>
      </c>
      <c r="M137" s="28"/>
      <c r="N137" s="131"/>
    </row>
    <row r="138" spans="1:14" ht="7.5" customHeight="1">
      <c r="A138" s="27"/>
      <c r="B138" s="28"/>
      <c r="C138" s="28"/>
      <c r="D138" s="28"/>
      <c r="E138" s="28"/>
      <c r="F138" s="28"/>
      <c r="G138" s="28"/>
      <c r="H138" s="28"/>
      <c r="I138" s="28"/>
      <c r="J138" s="28"/>
      <c r="K138" s="28"/>
      <c r="L138" s="68"/>
      <c r="M138" s="28"/>
      <c r="N138" s="131"/>
    </row>
    <row r="139" spans="1:14" ht="15.75">
      <c r="A139" s="2"/>
      <c r="B139" s="5"/>
      <c r="C139" s="5"/>
      <c r="D139" s="5"/>
      <c r="E139" s="5"/>
      <c r="F139" s="5"/>
      <c r="G139" s="5"/>
      <c r="H139" s="5"/>
      <c r="I139" s="5"/>
      <c r="J139" s="5"/>
      <c r="K139" s="5"/>
      <c r="L139" s="57"/>
      <c r="M139" s="5"/>
      <c r="N139" s="131"/>
    </row>
    <row r="140" spans="1:14" ht="15.75">
      <c r="A140" s="132"/>
      <c r="B140" s="167" t="s">
        <v>96</v>
      </c>
      <c r="C140" s="154"/>
      <c r="D140" s="154"/>
      <c r="E140" s="154"/>
      <c r="F140" s="154"/>
      <c r="G140" s="154"/>
      <c r="H140" s="168" t="s">
        <v>171</v>
      </c>
      <c r="I140" s="168"/>
      <c r="J140" s="168" t="s">
        <v>178</v>
      </c>
      <c r="K140" s="154"/>
      <c r="L140" s="169" t="s">
        <v>191</v>
      </c>
      <c r="M140" s="12"/>
      <c r="N140" s="131"/>
    </row>
    <row r="141" spans="1:14" ht="15.75">
      <c r="A141" s="27"/>
      <c r="B141" s="28" t="s">
        <v>97</v>
      </c>
      <c r="C141" s="28"/>
      <c r="D141" s="28"/>
      <c r="E141" s="28"/>
      <c r="F141" s="28"/>
      <c r="G141" s="28"/>
      <c r="H141" s="60">
        <v>20000</v>
      </c>
      <c r="I141" s="28"/>
      <c r="J141" s="47"/>
      <c r="K141" s="28"/>
      <c r="L141" s="60"/>
      <c r="M141" s="28"/>
      <c r="N141" s="131"/>
    </row>
    <row r="142" spans="1:14" ht="15.75">
      <c r="A142" s="27"/>
      <c r="B142" s="28" t="s">
        <v>98</v>
      </c>
      <c r="C142" s="28"/>
      <c r="D142" s="28"/>
      <c r="E142" s="28"/>
      <c r="F142" s="28"/>
      <c r="G142" s="28"/>
      <c r="H142" s="60">
        <v>7479</v>
      </c>
      <c r="I142" s="28"/>
      <c r="J142" s="28">
        <v>506</v>
      </c>
      <c r="K142" s="28"/>
      <c r="L142" s="60">
        <f>J142+H142</f>
        <v>7985</v>
      </c>
      <c r="M142" s="28"/>
      <c r="N142" s="131"/>
    </row>
    <row r="143" spans="1:14" ht="15.75">
      <c r="A143" s="27"/>
      <c r="B143" s="28" t="s">
        <v>99</v>
      </c>
      <c r="C143" s="28"/>
      <c r="D143" s="28"/>
      <c r="E143" s="28"/>
      <c r="F143" s="28"/>
      <c r="G143" s="28"/>
      <c r="H143" s="38">
        <v>1277</v>
      </c>
      <c r="I143" s="28"/>
      <c r="J143" s="28">
        <v>6</v>
      </c>
      <c r="K143" s="28"/>
      <c r="L143" s="60">
        <f>J143+H143</f>
        <v>1283</v>
      </c>
      <c r="M143" s="28"/>
      <c r="N143" s="131"/>
    </row>
    <row r="144" spans="1:14" ht="15.75">
      <c r="A144" s="27"/>
      <c r="B144" s="28" t="s">
        <v>100</v>
      </c>
      <c r="C144" s="28"/>
      <c r="D144" s="28"/>
      <c r="E144" s="28"/>
      <c r="F144" s="28"/>
      <c r="G144" s="28"/>
      <c r="H144" s="60">
        <f>H142+H143</f>
        <v>8756</v>
      </c>
      <c r="I144" s="28"/>
      <c r="J144" s="60">
        <f>J143+J142</f>
        <v>512</v>
      </c>
      <c r="K144" s="28"/>
      <c r="L144" s="60">
        <f>J144+H144</f>
        <v>9268</v>
      </c>
      <c r="M144" s="28"/>
      <c r="N144" s="131"/>
    </row>
    <row r="145" spans="1:14" ht="15.75">
      <c r="A145" s="27"/>
      <c r="B145" s="28" t="s">
        <v>101</v>
      </c>
      <c r="C145" s="28"/>
      <c r="D145" s="28"/>
      <c r="E145" s="28"/>
      <c r="F145" s="28"/>
      <c r="G145" s="28"/>
      <c r="H145" s="60">
        <f>H141-H144</f>
        <v>11244</v>
      </c>
      <c r="I145" s="28"/>
      <c r="J145" s="47"/>
      <c r="K145" s="28"/>
      <c r="L145" s="60"/>
      <c r="M145" s="28"/>
      <c r="N145" s="131"/>
    </row>
    <row r="146" spans="1:14" ht="7.5" customHeight="1">
      <c r="A146" s="27"/>
      <c r="B146" s="28"/>
      <c r="C146" s="28"/>
      <c r="D146" s="28"/>
      <c r="E146" s="28"/>
      <c r="F146" s="28"/>
      <c r="G146" s="28"/>
      <c r="H146" s="28"/>
      <c r="I146" s="28"/>
      <c r="J146" s="28"/>
      <c r="K146" s="28"/>
      <c r="L146" s="68"/>
      <c r="M146" s="28"/>
      <c r="N146" s="131"/>
    </row>
    <row r="147" spans="1:14" ht="9" customHeight="1">
      <c r="A147" s="2"/>
      <c r="B147" s="5"/>
      <c r="C147" s="5"/>
      <c r="D147" s="5"/>
      <c r="E147" s="5"/>
      <c r="F147" s="5"/>
      <c r="G147" s="5"/>
      <c r="H147" s="5"/>
      <c r="I147" s="5"/>
      <c r="J147" s="5"/>
      <c r="K147" s="5"/>
      <c r="L147" s="57"/>
      <c r="M147" s="5"/>
      <c r="N147" s="131"/>
    </row>
    <row r="148" spans="1:14" ht="15.75">
      <c r="A148" s="8"/>
      <c r="B148" s="167" t="s">
        <v>102</v>
      </c>
      <c r="C148" s="16"/>
      <c r="D148" s="10"/>
      <c r="E148" s="10"/>
      <c r="F148" s="10"/>
      <c r="G148" s="10"/>
      <c r="H148" s="10"/>
      <c r="I148" s="10"/>
      <c r="J148" s="10"/>
      <c r="K148" s="10"/>
      <c r="L148" s="74"/>
      <c r="M148" s="10"/>
      <c r="N148" s="131"/>
    </row>
    <row r="149" spans="1:14" ht="15.75">
      <c r="A149" s="27"/>
      <c r="B149" s="28" t="s">
        <v>103</v>
      </c>
      <c r="C149" s="28"/>
      <c r="D149" s="28"/>
      <c r="E149" s="28"/>
      <c r="F149" s="28"/>
      <c r="G149" s="28"/>
      <c r="H149" s="28"/>
      <c r="I149" s="28"/>
      <c r="J149" s="28"/>
      <c r="K149" s="28"/>
      <c r="L149" s="67">
        <f>(L81+L83+L84+L85+L86)/-L87</f>
        <v>1.3878246062154107</v>
      </c>
      <c r="M149" s="28" t="s">
        <v>192</v>
      </c>
      <c r="N149" s="131"/>
    </row>
    <row r="150" spans="1:14" ht="15.75">
      <c r="A150" s="27"/>
      <c r="B150" s="28" t="s">
        <v>104</v>
      </c>
      <c r="C150" s="28"/>
      <c r="D150" s="28"/>
      <c r="E150" s="28"/>
      <c r="F150" s="28"/>
      <c r="G150" s="28"/>
      <c r="H150" s="28"/>
      <c r="I150" s="28"/>
      <c r="J150" s="28"/>
      <c r="K150" s="28"/>
      <c r="L150" s="67">
        <v>1.33</v>
      </c>
      <c r="M150" s="28" t="s">
        <v>192</v>
      </c>
      <c r="N150" s="131"/>
    </row>
    <row r="151" spans="1:14" ht="15.75">
      <c r="A151" s="27"/>
      <c r="B151" s="28" t="s">
        <v>105</v>
      </c>
      <c r="C151" s="28"/>
      <c r="D151" s="28"/>
      <c r="E151" s="28"/>
      <c r="F151" s="28"/>
      <c r="G151" s="28"/>
      <c r="H151" s="28"/>
      <c r="I151" s="28"/>
      <c r="J151" s="28"/>
      <c r="K151" s="28"/>
      <c r="L151" s="67">
        <f>(L81+SUM(L83:L87))/-L88</f>
        <v>3.1853146853146854</v>
      </c>
      <c r="M151" s="28" t="s">
        <v>192</v>
      </c>
      <c r="N151" s="131"/>
    </row>
    <row r="152" spans="1:14" ht="15.75">
      <c r="A152" s="27"/>
      <c r="B152" s="28" t="s">
        <v>106</v>
      </c>
      <c r="C152" s="28"/>
      <c r="D152" s="28"/>
      <c r="E152" s="28"/>
      <c r="F152" s="28"/>
      <c r="G152" s="28"/>
      <c r="H152" s="28"/>
      <c r="I152" s="28"/>
      <c r="J152" s="28"/>
      <c r="K152" s="28"/>
      <c r="L152" s="75">
        <v>2.88</v>
      </c>
      <c r="M152" s="28" t="s">
        <v>192</v>
      </c>
      <c r="N152" s="131"/>
    </row>
    <row r="153" spans="1:14" ht="7.5" customHeight="1">
      <c r="A153" s="27"/>
      <c r="B153" s="28"/>
      <c r="C153" s="28"/>
      <c r="D153" s="28"/>
      <c r="E153" s="28"/>
      <c r="F153" s="28"/>
      <c r="G153" s="28"/>
      <c r="H153" s="28"/>
      <c r="I153" s="28"/>
      <c r="J153" s="28"/>
      <c r="K153" s="28"/>
      <c r="L153" s="28"/>
      <c r="M153" s="28"/>
      <c r="N153" s="131"/>
    </row>
    <row r="154" spans="1:14" ht="15.75">
      <c r="A154" s="8"/>
      <c r="B154" s="15"/>
      <c r="C154" s="15"/>
      <c r="D154" s="15"/>
      <c r="E154" s="15"/>
      <c r="F154" s="15"/>
      <c r="G154" s="15"/>
      <c r="H154" s="15"/>
      <c r="I154" s="15"/>
      <c r="J154" s="15"/>
      <c r="K154" s="15"/>
      <c r="L154" s="15"/>
      <c r="M154" s="15"/>
      <c r="N154" s="131"/>
    </row>
    <row r="155" spans="1:14" ht="15.75">
      <c r="A155" s="8"/>
      <c r="B155" s="15"/>
      <c r="C155" s="15"/>
      <c r="D155" s="15"/>
      <c r="E155" s="15"/>
      <c r="F155" s="15"/>
      <c r="G155" s="15"/>
      <c r="H155" s="15"/>
      <c r="I155" s="15"/>
      <c r="J155" s="15"/>
      <c r="K155" s="15"/>
      <c r="L155" s="15"/>
      <c r="M155" s="15"/>
      <c r="N155" s="131"/>
    </row>
    <row r="156" spans="1:14" ht="19.5" thickBot="1">
      <c r="A156" s="138"/>
      <c r="B156" s="139" t="s">
        <v>203</v>
      </c>
      <c r="C156" s="144"/>
      <c r="D156" s="144"/>
      <c r="E156" s="144"/>
      <c r="F156" s="144"/>
      <c r="G156" s="144"/>
      <c r="H156" s="144"/>
      <c r="I156" s="144"/>
      <c r="J156" s="144"/>
      <c r="K156" s="144"/>
      <c r="L156" s="144"/>
      <c r="M156" s="145"/>
      <c r="N156" s="131"/>
    </row>
    <row r="157" spans="1:14" ht="15.75">
      <c r="A157" s="133"/>
      <c r="B157" s="77" t="s">
        <v>107</v>
      </c>
      <c r="C157" s="78"/>
      <c r="D157" s="78"/>
      <c r="E157" s="78"/>
      <c r="F157" s="78"/>
      <c r="G157" s="79"/>
      <c r="H157" s="79"/>
      <c r="I157" s="79"/>
      <c r="J157" s="79">
        <v>36981</v>
      </c>
      <c r="K157" s="80"/>
      <c r="L157" s="5"/>
      <c r="M157" s="5"/>
      <c r="N157" s="131"/>
    </row>
    <row r="158" spans="1:14" ht="15.75">
      <c r="A158" s="82"/>
      <c r="B158" s="83"/>
      <c r="C158" s="84"/>
      <c r="D158" s="84"/>
      <c r="E158" s="84"/>
      <c r="F158" s="84"/>
      <c r="G158" s="85"/>
      <c r="H158" s="85"/>
      <c r="I158" s="85"/>
      <c r="J158" s="85"/>
      <c r="K158" s="10"/>
      <c r="L158" s="10"/>
      <c r="M158" s="10"/>
      <c r="N158" s="131"/>
    </row>
    <row r="159" spans="1:14" ht="15.75">
      <c r="A159" s="86"/>
      <c r="B159" s="87" t="s">
        <v>108</v>
      </c>
      <c r="C159" s="88"/>
      <c r="D159" s="88"/>
      <c r="E159" s="88"/>
      <c r="F159" s="88"/>
      <c r="G159" s="72"/>
      <c r="H159" s="72"/>
      <c r="I159" s="72"/>
      <c r="J159" s="89">
        <v>0.0714</v>
      </c>
      <c r="K159" s="28"/>
      <c r="L159" s="28"/>
      <c r="M159" s="28"/>
      <c r="N159" s="131"/>
    </row>
    <row r="160" spans="1:14" ht="15.75">
      <c r="A160" s="86"/>
      <c r="B160" s="87" t="s">
        <v>109</v>
      </c>
      <c r="C160" s="88"/>
      <c r="D160" s="88"/>
      <c r="E160" s="88"/>
      <c r="F160" s="88"/>
      <c r="G160" s="72"/>
      <c r="H160" s="72"/>
      <c r="I160" s="72"/>
      <c r="J160" s="46">
        <v>0.0553</v>
      </c>
      <c r="K160" s="28"/>
      <c r="L160" s="28"/>
      <c r="M160" s="28"/>
      <c r="N160" s="131"/>
    </row>
    <row r="161" spans="1:14" ht="15.75">
      <c r="A161" s="86"/>
      <c r="B161" s="87" t="s">
        <v>110</v>
      </c>
      <c r="C161" s="88"/>
      <c r="D161" s="88"/>
      <c r="E161" s="88"/>
      <c r="F161" s="88"/>
      <c r="G161" s="72"/>
      <c r="H161" s="72"/>
      <c r="I161" s="72"/>
      <c r="J161" s="89">
        <f>J159-J160</f>
        <v>0.016100000000000003</v>
      </c>
      <c r="K161" s="28"/>
      <c r="L161" s="28"/>
      <c r="M161" s="28"/>
      <c r="N161" s="131"/>
    </row>
    <row r="162" spans="1:14" ht="15.75">
      <c r="A162" s="86"/>
      <c r="B162" s="87" t="s">
        <v>111</v>
      </c>
      <c r="C162" s="88"/>
      <c r="D162" s="88"/>
      <c r="E162" s="88"/>
      <c r="F162" s="88"/>
      <c r="G162" s="72"/>
      <c r="H162" s="72"/>
      <c r="I162" s="72"/>
      <c r="J162" s="89">
        <v>0.07448</v>
      </c>
      <c r="K162" s="28"/>
      <c r="L162" s="28"/>
      <c r="M162" s="28"/>
      <c r="N162" s="131"/>
    </row>
    <row r="163" spans="1:14" ht="15.75">
      <c r="A163" s="86"/>
      <c r="B163" s="87" t="s">
        <v>112</v>
      </c>
      <c r="C163" s="88"/>
      <c r="D163" s="88"/>
      <c r="E163" s="88"/>
      <c r="F163" s="88"/>
      <c r="G163" s="72"/>
      <c r="H163" s="72"/>
      <c r="I163" s="72"/>
      <c r="J163" s="89">
        <f>L33</f>
        <v>0.062081279099418074</v>
      </c>
      <c r="K163" s="28"/>
      <c r="L163" s="28"/>
      <c r="M163" s="28"/>
      <c r="N163" s="131"/>
    </row>
    <row r="164" spans="1:14" ht="15.75">
      <c r="A164" s="86"/>
      <c r="B164" s="87" t="s">
        <v>113</v>
      </c>
      <c r="C164" s="88"/>
      <c r="D164" s="88"/>
      <c r="E164" s="88"/>
      <c r="F164" s="88"/>
      <c r="G164" s="72"/>
      <c r="H164" s="72"/>
      <c r="I164" s="72"/>
      <c r="J164" s="89">
        <f>J162-J163</f>
        <v>0.01239872090058193</v>
      </c>
      <c r="K164" s="28"/>
      <c r="L164" s="28"/>
      <c r="M164" s="28"/>
      <c r="N164" s="131"/>
    </row>
    <row r="165" spans="1:14" ht="15.75">
      <c r="A165" s="86"/>
      <c r="B165" s="87" t="s">
        <v>114</v>
      </c>
      <c r="C165" s="88"/>
      <c r="D165" s="88"/>
      <c r="E165" s="88"/>
      <c r="F165" s="88"/>
      <c r="G165" s="72"/>
      <c r="H165" s="72"/>
      <c r="I165" s="72"/>
      <c r="J165" s="90" t="s">
        <v>179</v>
      </c>
      <c r="K165" s="28"/>
      <c r="L165" s="28"/>
      <c r="M165" s="28"/>
      <c r="N165" s="131"/>
    </row>
    <row r="166" spans="1:14" ht="15.75">
      <c r="A166" s="86"/>
      <c r="B166" s="87" t="s">
        <v>115</v>
      </c>
      <c r="C166" s="88"/>
      <c r="D166" s="88"/>
      <c r="E166" s="88"/>
      <c r="F166" s="88"/>
      <c r="G166" s="72"/>
      <c r="H166" s="72"/>
      <c r="I166" s="72"/>
      <c r="J166" s="90" t="s">
        <v>180</v>
      </c>
      <c r="K166" s="28"/>
      <c r="L166" s="28"/>
      <c r="M166" s="28"/>
      <c r="N166" s="131"/>
    </row>
    <row r="167" spans="1:14" ht="15.75">
      <c r="A167" s="86"/>
      <c r="B167" s="87" t="s">
        <v>116</v>
      </c>
      <c r="C167" s="88"/>
      <c r="D167" s="88"/>
      <c r="E167" s="88"/>
      <c r="F167" s="88"/>
      <c r="G167" s="72"/>
      <c r="H167" s="72"/>
      <c r="I167" s="72"/>
      <c r="J167" s="91">
        <v>18.53</v>
      </c>
      <c r="K167" s="28" t="s">
        <v>184</v>
      </c>
      <c r="L167" s="28"/>
      <c r="M167" s="28"/>
      <c r="N167" s="131"/>
    </row>
    <row r="168" spans="1:14" ht="15.75">
      <c r="A168" s="86"/>
      <c r="B168" s="87" t="s">
        <v>117</v>
      </c>
      <c r="C168" s="88"/>
      <c r="D168" s="88"/>
      <c r="E168" s="88"/>
      <c r="F168" s="88"/>
      <c r="G168" s="72"/>
      <c r="H168" s="72"/>
      <c r="I168" s="72"/>
      <c r="J168" s="91">
        <v>17.009</v>
      </c>
      <c r="K168" s="28" t="s">
        <v>184</v>
      </c>
      <c r="L168" s="28"/>
      <c r="M168" s="28"/>
      <c r="N168" s="131"/>
    </row>
    <row r="169" spans="1:14" ht="15.75">
      <c r="A169" s="86"/>
      <c r="B169" s="87" t="s">
        <v>118</v>
      </c>
      <c r="C169" s="88"/>
      <c r="D169" s="88"/>
      <c r="E169" s="88"/>
      <c r="F169" s="88"/>
      <c r="G169" s="72"/>
      <c r="H169" s="72"/>
      <c r="I169" s="72"/>
      <c r="J169" s="89">
        <f>F56/'Dec 00'!L56</f>
        <v>0.022751027389125114</v>
      </c>
      <c r="K169" s="28"/>
      <c r="L169" s="28"/>
      <c r="M169" s="28"/>
      <c r="N169" s="131"/>
    </row>
    <row r="170" spans="1:14" ht="15.75">
      <c r="A170" s="86"/>
      <c r="B170" s="87" t="s">
        <v>119</v>
      </c>
      <c r="C170" s="88"/>
      <c r="D170" s="88"/>
      <c r="E170" s="88"/>
      <c r="F170" s="88"/>
      <c r="G170" s="72"/>
      <c r="H170" s="72"/>
      <c r="I170" s="72"/>
      <c r="J170" s="89">
        <v>0.089</v>
      </c>
      <c r="K170" s="28"/>
      <c r="L170" s="28"/>
      <c r="M170" s="28"/>
      <c r="N170" s="131"/>
    </row>
    <row r="171" spans="1:14" ht="15.75">
      <c r="A171" s="86"/>
      <c r="B171" s="87"/>
      <c r="C171" s="87"/>
      <c r="D171" s="87"/>
      <c r="E171" s="87"/>
      <c r="F171" s="87"/>
      <c r="G171" s="28"/>
      <c r="H171" s="28"/>
      <c r="I171" s="28"/>
      <c r="J171" s="68"/>
      <c r="K171" s="28"/>
      <c r="L171" s="92"/>
      <c r="M171" s="28"/>
      <c r="N171" s="131"/>
    </row>
    <row r="172" spans="1:14" ht="15.75">
      <c r="A172" s="93"/>
      <c r="B172" s="17" t="s">
        <v>120</v>
      </c>
      <c r="C172" s="20"/>
      <c r="D172" s="94"/>
      <c r="E172" s="20"/>
      <c r="F172" s="94"/>
      <c r="G172" s="20"/>
      <c r="H172" s="94"/>
      <c r="I172" s="20" t="s">
        <v>172</v>
      </c>
      <c r="J172" s="94" t="s">
        <v>181</v>
      </c>
      <c r="K172" s="18"/>
      <c r="L172" s="18"/>
      <c r="M172" s="10"/>
      <c r="N172" s="131"/>
    </row>
    <row r="173" spans="1:14" ht="15.75">
      <c r="A173" s="95"/>
      <c r="B173" s="87" t="s">
        <v>121</v>
      </c>
      <c r="C173" s="61"/>
      <c r="D173" s="61"/>
      <c r="E173" s="61"/>
      <c r="F173" s="28"/>
      <c r="G173" s="28"/>
      <c r="H173" s="28"/>
      <c r="I173" s="31">
        <v>39</v>
      </c>
      <c r="J173" s="96">
        <v>1244</v>
      </c>
      <c r="K173" s="28"/>
      <c r="L173" s="92"/>
      <c r="M173" s="97"/>
      <c r="N173" s="131"/>
    </row>
    <row r="174" spans="1:14" ht="15.75">
      <c r="A174" s="95"/>
      <c r="B174" s="87" t="s">
        <v>122</v>
      </c>
      <c r="C174" s="61"/>
      <c r="D174" s="61"/>
      <c r="E174" s="61"/>
      <c r="F174" s="28"/>
      <c r="G174" s="28"/>
      <c r="H174" s="28"/>
      <c r="I174" s="31">
        <v>0</v>
      </c>
      <c r="J174" s="96">
        <v>0</v>
      </c>
      <c r="K174" s="28"/>
      <c r="L174" s="92"/>
      <c r="M174" s="97"/>
      <c r="N174" s="131"/>
    </row>
    <row r="175" spans="1:14" ht="15.75">
      <c r="A175" s="95"/>
      <c r="B175" s="170" t="s">
        <v>123</v>
      </c>
      <c r="C175" s="61"/>
      <c r="D175" s="61"/>
      <c r="E175" s="61"/>
      <c r="F175" s="28"/>
      <c r="G175" s="28"/>
      <c r="H175" s="28"/>
      <c r="I175" s="28"/>
      <c r="J175" s="96">
        <v>0</v>
      </c>
      <c r="K175" s="28"/>
      <c r="L175" s="92"/>
      <c r="M175" s="97"/>
      <c r="N175" s="131"/>
    </row>
    <row r="176" spans="1:14" ht="15.75">
      <c r="A176" s="95"/>
      <c r="B176" s="170" t="s">
        <v>124</v>
      </c>
      <c r="C176" s="61"/>
      <c r="D176" s="61"/>
      <c r="E176" s="61"/>
      <c r="F176" s="28"/>
      <c r="G176" s="28"/>
      <c r="H176" s="28"/>
      <c r="I176" s="28"/>
      <c r="J176" s="96">
        <v>22352</v>
      </c>
      <c r="K176" s="28"/>
      <c r="L176" s="92"/>
      <c r="M176" s="97"/>
      <c r="N176" s="131"/>
    </row>
    <row r="177" spans="1:14" ht="15.75">
      <c r="A177" s="98"/>
      <c r="B177" s="170" t="s">
        <v>125</v>
      </c>
      <c r="C177" s="61"/>
      <c r="D177" s="87"/>
      <c r="E177" s="87"/>
      <c r="F177" s="87"/>
      <c r="G177" s="28"/>
      <c r="H177" s="28"/>
      <c r="I177" s="28"/>
      <c r="J177" s="96">
        <v>0</v>
      </c>
      <c r="K177" s="28"/>
      <c r="L177" s="92"/>
      <c r="M177" s="99"/>
      <c r="N177" s="131"/>
    </row>
    <row r="178" spans="1:14" ht="15.75">
      <c r="A178" s="95"/>
      <c r="B178" s="87" t="s">
        <v>126</v>
      </c>
      <c r="C178" s="61"/>
      <c r="D178" s="61"/>
      <c r="E178" s="61"/>
      <c r="F178" s="61"/>
      <c r="G178" s="28"/>
      <c r="H178" s="28"/>
      <c r="I178" s="28"/>
      <c r="J178" s="96">
        <v>0</v>
      </c>
      <c r="K178" s="28"/>
      <c r="L178" s="92"/>
      <c r="M178" s="99"/>
      <c r="N178" s="131"/>
    </row>
    <row r="179" spans="1:14" ht="15.75">
      <c r="A179" s="95"/>
      <c r="B179" s="87" t="s">
        <v>127</v>
      </c>
      <c r="C179" s="61"/>
      <c r="D179" s="61"/>
      <c r="E179" s="61"/>
      <c r="F179" s="61"/>
      <c r="G179" s="28"/>
      <c r="H179" s="28"/>
      <c r="I179" s="28"/>
      <c r="J179" s="96">
        <v>0</v>
      </c>
      <c r="K179" s="28"/>
      <c r="L179" s="92"/>
      <c r="M179" s="99"/>
      <c r="N179" s="131"/>
    </row>
    <row r="180" spans="1:14" ht="15.75">
      <c r="A180" s="95"/>
      <c r="B180" s="87" t="s">
        <v>204</v>
      </c>
      <c r="C180" s="61"/>
      <c r="D180" s="61"/>
      <c r="E180" s="61"/>
      <c r="F180" s="61"/>
      <c r="G180" s="28"/>
      <c r="H180" s="28"/>
      <c r="I180" s="28"/>
      <c r="J180" s="96">
        <v>0</v>
      </c>
      <c r="K180" s="28"/>
      <c r="L180" s="92"/>
      <c r="M180" s="99"/>
      <c r="N180" s="131"/>
    </row>
    <row r="181" spans="1:14" ht="15.75">
      <c r="A181" s="98"/>
      <c r="B181" s="170" t="s">
        <v>128</v>
      </c>
      <c r="C181" s="61"/>
      <c r="D181" s="87"/>
      <c r="E181" s="87"/>
      <c r="F181" s="87"/>
      <c r="G181" s="28"/>
      <c r="H181" s="28"/>
      <c r="I181" s="28"/>
      <c r="J181" s="96"/>
      <c r="K181" s="28"/>
      <c r="L181" s="92"/>
      <c r="M181" s="99"/>
      <c r="N181" s="131"/>
    </row>
    <row r="182" spans="1:14" ht="15.75">
      <c r="A182" s="98"/>
      <c r="B182" s="87" t="s">
        <v>129</v>
      </c>
      <c r="C182" s="61"/>
      <c r="D182" s="87"/>
      <c r="E182" s="87"/>
      <c r="F182" s="87"/>
      <c r="G182" s="28"/>
      <c r="H182" s="28"/>
      <c r="I182" s="28"/>
      <c r="J182" s="96">
        <v>0</v>
      </c>
      <c r="K182" s="28"/>
      <c r="L182" s="92"/>
      <c r="M182" s="99"/>
      <c r="N182" s="131"/>
    </row>
    <row r="183" spans="1:14" ht="15.75">
      <c r="A183" s="95"/>
      <c r="B183" s="87" t="s">
        <v>130</v>
      </c>
      <c r="C183" s="61"/>
      <c r="D183" s="100"/>
      <c r="E183" s="100"/>
      <c r="F183" s="101"/>
      <c r="G183" s="28"/>
      <c r="H183" s="28"/>
      <c r="I183" s="28"/>
      <c r="J183" s="96">
        <v>0</v>
      </c>
      <c r="K183" s="28"/>
      <c r="L183" s="92"/>
      <c r="M183" s="99"/>
      <c r="N183" s="131"/>
    </row>
    <row r="184" spans="1:14" ht="15.75">
      <c r="A184" s="95"/>
      <c r="B184" s="87" t="s">
        <v>131</v>
      </c>
      <c r="C184" s="61"/>
      <c r="D184" s="100"/>
      <c r="E184" s="100"/>
      <c r="F184" s="101"/>
      <c r="G184" s="28"/>
      <c r="H184" s="28"/>
      <c r="I184" s="28"/>
      <c r="J184" s="96">
        <v>0</v>
      </c>
      <c r="K184" s="28"/>
      <c r="L184" s="92"/>
      <c r="M184" s="99"/>
      <c r="N184" s="131"/>
    </row>
    <row r="185" spans="1:14" ht="15.75">
      <c r="A185" s="95"/>
      <c r="B185" s="87" t="s">
        <v>132</v>
      </c>
      <c r="C185" s="61"/>
      <c r="D185" s="102"/>
      <c r="E185" s="100"/>
      <c r="F185" s="101"/>
      <c r="G185" s="28"/>
      <c r="H185" s="28"/>
      <c r="I185" s="28"/>
      <c r="J185" s="103">
        <v>0</v>
      </c>
      <c r="K185" s="28"/>
      <c r="L185" s="92"/>
      <c r="M185" s="99"/>
      <c r="N185" s="131"/>
    </row>
    <row r="186" spans="1:14" ht="15.75">
      <c r="A186" s="95"/>
      <c r="B186" s="87"/>
      <c r="C186" s="61"/>
      <c r="D186" s="102"/>
      <c r="E186" s="100"/>
      <c r="F186" s="101"/>
      <c r="G186" s="28"/>
      <c r="H186" s="28"/>
      <c r="I186" s="28"/>
      <c r="J186" s="103"/>
      <c r="K186" s="28"/>
      <c r="L186" s="92"/>
      <c r="M186" s="99"/>
      <c r="N186" s="131"/>
    </row>
    <row r="187" spans="1:14" ht="15.75">
      <c r="A187" s="8"/>
      <c r="B187" s="17" t="s">
        <v>133</v>
      </c>
      <c r="C187" s="20"/>
      <c r="D187" s="94"/>
      <c r="E187" s="20"/>
      <c r="F187" s="94"/>
      <c r="G187" s="20"/>
      <c r="H187" s="94" t="s">
        <v>172</v>
      </c>
      <c r="I187" s="20" t="s">
        <v>173</v>
      </c>
      <c r="J187" s="94" t="s">
        <v>182</v>
      </c>
      <c r="K187" s="20" t="s">
        <v>173</v>
      </c>
      <c r="L187" s="18"/>
      <c r="M187" s="104"/>
      <c r="N187" s="131"/>
    </row>
    <row r="188" spans="1:14" ht="15.75">
      <c r="A188" s="27"/>
      <c r="B188" s="61" t="s">
        <v>134</v>
      </c>
      <c r="C188" s="105"/>
      <c r="D188" s="61"/>
      <c r="E188" s="105"/>
      <c r="F188" s="28"/>
      <c r="G188" s="105"/>
      <c r="H188" s="61">
        <v>3567</v>
      </c>
      <c r="I188" s="105">
        <f>H188/H194</f>
        <v>0.9664047683554592</v>
      </c>
      <c r="J188" s="60">
        <v>160317</v>
      </c>
      <c r="K188" s="106">
        <f>J188/J194</f>
        <v>0.9666968162083936</v>
      </c>
      <c r="L188" s="92"/>
      <c r="M188" s="99"/>
      <c r="N188" s="131"/>
    </row>
    <row r="189" spans="1:14" ht="15.75">
      <c r="A189" s="27"/>
      <c r="B189" s="61" t="s">
        <v>135</v>
      </c>
      <c r="C189" s="105"/>
      <c r="D189" s="61"/>
      <c r="E189" s="105"/>
      <c r="F189" s="28"/>
      <c r="G189" s="107"/>
      <c r="H189" s="61">
        <v>44</v>
      </c>
      <c r="I189" s="105">
        <f>H189/$H194</f>
        <v>0.011920888648062856</v>
      </c>
      <c r="J189" s="60">
        <v>2577</v>
      </c>
      <c r="K189" s="106">
        <f>J189/J194</f>
        <v>0.015539073806078147</v>
      </c>
      <c r="L189" s="92"/>
      <c r="M189" s="99"/>
      <c r="N189" s="131"/>
    </row>
    <row r="190" spans="1:14" ht="15.75">
      <c r="A190" s="27"/>
      <c r="B190" s="61" t="s">
        <v>136</v>
      </c>
      <c r="C190" s="105"/>
      <c r="D190" s="61"/>
      <c r="E190" s="105"/>
      <c r="F190" s="28"/>
      <c r="G190" s="107"/>
      <c r="H190" s="61">
        <v>35</v>
      </c>
      <c r="I190" s="105">
        <f>H190/H194</f>
        <v>0.00948252506095909</v>
      </c>
      <c r="J190" s="60">
        <v>1274</v>
      </c>
      <c r="K190" s="106">
        <f>J190/J194</f>
        <v>0.007682103232030873</v>
      </c>
      <c r="L190" s="92"/>
      <c r="M190" s="99"/>
      <c r="N190" s="131"/>
    </row>
    <row r="191" spans="1:14" ht="15.75">
      <c r="A191" s="27"/>
      <c r="B191" s="61" t="s">
        <v>137</v>
      </c>
      <c r="C191" s="105"/>
      <c r="D191" s="61"/>
      <c r="E191" s="105"/>
      <c r="F191" s="28"/>
      <c r="G191" s="107"/>
      <c r="H191" s="61">
        <f>13+32</f>
        <v>45</v>
      </c>
      <c r="I191" s="105">
        <f>H191/H194</f>
        <v>0.01219181793551883</v>
      </c>
      <c r="J191" s="60">
        <f>468+1176+28</f>
        <v>1672</v>
      </c>
      <c r="K191" s="106">
        <f>J191/J194</f>
        <v>0.010082006753497347</v>
      </c>
      <c r="L191" s="92"/>
      <c r="M191" s="99"/>
      <c r="N191" s="131"/>
    </row>
    <row r="192" spans="1:14" ht="15.75">
      <c r="A192" s="27"/>
      <c r="B192" s="30"/>
      <c r="C192" s="105"/>
      <c r="D192" s="61"/>
      <c r="E192" s="105"/>
      <c r="F192" s="28"/>
      <c r="G192" s="107"/>
      <c r="H192" s="61"/>
      <c r="I192" s="105"/>
      <c r="J192" s="60"/>
      <c r="K192" s="106"/>
      <c r="L192" s="92"/>
      <c r="M192" s="99"/>
      <c r="N192" s="131"/>
    </row>
    <row r="193" spans="1:14" ht="15.75">
      <c r="A193" s="27"/>
      <c r="B193" s="61"/>
      <c r="C193" s="108"/>
      <c r="D193" s="97"/>
      <c r="E193" s="108"/>
      <c r="F193" s="28"/>
      <c r="G193" s="108"/>
      <c r="H193" s="97"/>
      <c r="I193" s="108"/>
      <c r="J193" s="60"/>
      <c r="K193" s="106"/>
      <c r="L193" s="92"/>
      <c r="M193" s="99"/>
      <c r="N193" s="131"/>
    </row>
    <row r="194" spans="1:14" ht="15.75">
      <c r="A194" s="27"/>
      <c r="B194" s="28"/>
      <c r="C194" s="28"/>
      <c r="D194" s="28"/>
      <c r="E194" s="28"/>
      <c r="F194" s="28"/>
      <c r="G194" s="28"/>
      <c r="H194" s="38">
        <f>SUM(H188:H192)</f>
        <v>3691</v>
      </c>
      <c r="I194" s="109">
        <f>SUM(I188:I193)</f>
        <v>0.9999999999999999</v>
      </c>
      <c r="J194" s="60">
        <f>SUM(J188:J193)</f>
        <v>165840</v>
      </c>
      <c r="K194" s="127">
        <f>SUM(K188:K193)</f>
        <v>1</v>
      </c>
      <c r="L194" s="28"/>
      <c r="M194" s="28"/>
      <c r="N194" s="131"/>
    </row>
    <row r="195" spans="1:14" ht="15.75">
      <c r="A195" s="27"/>
      <c r="B195" s="28"/>
      <c r="C195" s="28"/>
      <c r="D195" s="28"/>
      <c r="E195" s="28"/>
      <c r="F195" s="28"/>
      <c r="G195" s="28"/>
      <c r="H195" s="38"/>
      <c r="I195" s="109"/>
      <c r="J195" s="60"/>
      <c r="K195" s="127"/>
      <c r="L195" s="28"/>
      <c r="M195" s="28"/>
      <c r="N195" s="131"/>
    </row>
    <row r="196" spans="1:14" ht="15.75">
      <c r="A196" s="27"/>
      <c r="B196" s="28"/>
      <c r="C196" s="28"/>
      <c r="D196" s="28"/>
      <c r="E196" s="28"/>
      <c r="F196" s="28"/>
      <c r="G196" s="28"/>
      <c r="H196" s="38"/>
      <c r="I196" s="109"/>
      <c r="J196" s="60"/>
      <c r="K196" s="127"/>
      <c r="L196" s="28"/>
      <c r="M196" s="28"/>
      <c r="N196" s="131"/>
    </row>
    <row r="197" spans="1:14" ht="15.75">
      <c r="A197" s="114"/>
      <c r="B197" s="17" t="s">
        <v>139</v>
      </c>
      <c r="C197" s="115"/>
      <c r="D197" s="20" t="s">
        <v>148</v>
      </c>
      <c r="E197" s="18"/>
      <c r="F197" s="17" t="s">
        <v>161</v>
      </c>
      <c r="G197" s="116"/>
      <c r="H197" s="116"/>
      <c r="I197" s="15"/>
      <c r="J197" s="15"/>
      <c r="K197" s="15"/>
      <c r="L197" s="15"/>
      <c r="M197" s="15"/>
      <c r="N197" s="131"/>
    </row>
    <row r="198" spans="1:14" ht="15.75">
      <c r="A198" s="114"/>
      <c r="B198" s="15"/>
      <c r="C198" s="15"/>
      <c r="D198" s="10"/>
      <c r="E198" s="10"/>
      <c r="F198" s="10"/>
      <c r="G198" s="15"/>
      <c r="H198" s="15"/>
      <c r="I198" s="15"/>
      <c r="J198" s="15"/>
      <c r="K198" s="15"/>
      <c r="L198" s="15"/>
      <c r="M198" s="15"/>
      <c r="N198" s="131"/>
    </row>
    <row r="199" spans="1:14" ht="15.75">
      <c r="A199" s="114"/>
      <c r="B199" s="16" t="s">
        <v>140</v>
      </c>
      <c r="C199" s="117"/>
      <c r="D199" s="118" t="s">
        <v>149</v>
      </c>
      <c r="E199" s="16"/>
      <c r="F199" s="16" t="s">
        <v>162</v>
      </c>
      <c r="G199" s="117"/>
      <c r="H199" s="117"/>
      <c r="I199" s="15"/>
      <c r="J199" s="15"/>
      <c r="K199" s="15"/>
      <c r="L199" s="15"/>
      <c r="M199" s="15"/>
      <c r="N199" s="131"/>
    </row>
    <row r="200" spans="1:14" ht="15.75">
      <c r="A200" s="114"/>
      <c r="B200" s="16" t="s">
        <v>141</v>
      </c>
      <c r="C200" s="117"/>
      <c r="D200" s="118" t="s">
        <v>150</v>
      </c>
      <c r="E200" s="16"/>
      <c r="F200" s="16" t="s">
        <v>163</v>
      </c>
      <c r="G200" s="117"/>
      <c r="H200" s="117"/>
      <c r="I200" s="15"/>
      <c r="J200" s="15"/>
      <c r="K200" s="15"/>
      <c r="L200" s="15"/>
      <c r="M200" s="15"/>
      <c r="N200" s="131"/>
    </row>
    <row r="201" spans="1:14" ht="15.75">
      <c r="A201" s="114"/>
      <c r="B201" s="16"/>
      <c r="C201" s="117"/>
      <c r="D201" s="118"/>
      <c r="E201" s="16"/>
      <c r="F201" s="16"/>
      <c r="G201" s="117"/>
      <c r="H201" s="117"/>
      <c r="I201" s="15"/>
      <c r="J201" s="15"/>
      <c r="K201" s="15"/>
      <c r="L201" s="15"/>
      <c r="M201" s="15"/>
      <c r="N201" s="131"/>
    </row>
    <row r="202" spans="1:14" ht="15.75">
      <c r="A202" s="114"/>
      <c r="B202" s="16"/>
      <c r="C202" s="117"/>
      <c r="D202" s="118"/>
      <c r="E202" s="16"/>
      <c r="F202" s="16"/>
      <c r="G202" s="117"/>
      <c r="H202" s="117"/>
      <c r="I202" s="15"/>
      <c r="J202" s="15"/>
      <c r="K202" s="15"/>
      <c r="L202" s="15"/>
      <c r="M202" s="15"/>
      <c r="N202" s="131"/>
    </row>
    <row r="203" spans="1:14" ht="18.75">
      <c r="A203" s="114"/>
      <c r="B203" s="55" t="s">
        <v>203</v>
      </c>
      <c r="C203" s="117"/>
      <c r="D203" s="118"/>
      <c r="E203" s="16"/>
      <c r="F203" s="16"/>
      <c r="G203" s="117"/>
      <c r="H203" s="117"/>
      <c r="I203" s="15"/>
      <c r="J203" s="15"/>
      <c r="K203" s="15"/>
      <c r="L203" s="15"/>
      <c r="M203" s="15"/>
      <c r="N203" s="131"/>
    </row>
    <row r="204" spans="1:13" ht="15">
      <c r="A204" s="130"/>
      <c r="B204" s="130"/>
      <c r="C204" s="130"/>
      <c r="D204" s="130"/>
      <c r="E204" s="130"/>
      <c r="F204" s="130"/>
      <c r="G204" s="130"/>
      <c r="H204" s="130"/>
      <c r="I204" s="130"/>
      <c r="J204" s="130"/>
      <c r="K204" s="130"/>
      <c r="L204" s="130"/>
      <c r="M204" s="130"/>
    </row>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5" manualBreakCount="5">
    <brk id="51" min="105" max="156" man="1"/>
    <brk id="51" max="13" man="1"/>
    <brk id="105" max="13" man="1"/>
    <brk id="156" max="13" man="1"/>
    <brk id="204" max="0" man="1"/>
  </rowBreaks>
  <drawing r:id="rId1"/>
</worksheet>
</file>

<file path=xl/worksheets/sheet8.xml><?xml version="1.0" encoding="utf-8"?>
<worksheet xmlns="http://schemas.openxmlformats.org/spreadsheetml/2006/main" xmlns:r="http://schemas.openxmlformats.org/officeDocument/2006/relationships">
  <dimension ref="A1:N204"/>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29.4453125" style="1" customWidth="1"/>
    <col min="14" max="16384" width="9.6640625" style="1" customWidth="1"/>
  </cols>
  <sheetData>
    <row r="1" spans="1:14" ht="20.25">
      <c r="A1" s="2"/>
      <c r="B1" s="3" t="s">
        <v>0</v>
      </c>
      <c r="C1" s="4"/>
      <c r="D1" s="5"/>
      <c r="E1" s="5"/>
      <c r="F1" s="5"/>
      <c r="G1" s="5"/>
      <c r="H1" s="5"/>
      <c r="I1" s="5"/>
      <c r="J1" s="5"/>
      <c r="K1" s="5"/>
      <c r="L1" s="5"/>
      <c r="M1" s="5"/>
      <c r="N1" s="131"/>
    </row>
    <row r="2" spans="1:14" ht="15.75">
      <c r="A2" s="8"/>
      <c r="B2" s="9"/>
      <c r="C2" s="9"/>
      <c r="D2" s="10"/>
      <c r="E2" s="10"/>
      <c r="F2" s="10"/>
      <c r="G2" s="10"/>
      <c r="H2" s="10"/>
      <c r="I2" s="10"/>
      <c r="J2" s="10"/>
      <c r="K2" s="10"/>
      <c r="L2" s="10"/>
      <c r="M2" s="10"/>
      <c r="N2" s="131"/>
    </row>
    <row r="3" spans="1:14" ht="15.75">
      <c r="A3" s="11"/>
      <c r="B3" s="154" t="s">
        <v>1</v>
      </c>
      <c r="C3" s="10"/>
      <c r="D3" s="10"/>
      <c r="E3" s="10"/>
      <c r="F3" s="10"/>
      <c r="G3" s="10"/>
      <c r="H3" s="10"/>
      <c r="I3" s="10"/>
      <c r="J3" s="10"/>
      <c r="K3" s="10"/>
      <c r="L3" s="10"/>
      <c r="M3" s="10"/>
      <c r="N3" s="131"/>
    </row>
    <row r="4" spans="1:14" ht="15.75">
      <c r="A4" s="8"/>
      <c r="B4" s="9"/>
      <c r="C4" s="9"/>
      <c r="D4" s="10"/>
      <c r="E4" s="10"/>
      <c r="F4" s="10"/>
      <c r="G4" s="10"/>
      <c r="H4" s="10"/>
      <c r="I4" s="10"/>
      <c r="J4" s="10"/>
      <c r="K4" s="10"/>
      <c r="L4" s="10"/>
      <c r="M4" s="10"/>
      <c r="N4" s="131"/>
    </row>
    <row r="5" spans="1:14" ht="12" customHeight="1">
      <c r="A5" s="8"/>
      <c r="B5" s="13" t="s">
        <v>2</v>
      </c>
      <c r="C5" s="14"/>
      <c r="D5" s="10"/>
      <c r="E5" s="10"/>
      <c r="F5" s="10"/>
      <c r="G5" s="10"/>
      <c r="H5" s="10"/>
      <c r="I5" s="10"/>
      <c r="J5" s="10"/>
      <c r="K5" s="10"/>
      <c r="L5" s="10"/>
      <c r="M5" s="10"/>
      <c r="N5" s="131"/>
    </row>
    <row r="6" spans="1:14" ht="12" customHeight="1">
      <c r="A6" s="8"/>
      <c r="B6" s="13" t="s">
        <v>3</v>
      </c>
      <c r="C6" s="14"/>
      <c r="D6" s="10"/>
      <c r="E6" s="10"/>
      <c r="F6" s="10"/>
      <c r="G6" s="10"/>
      <c r="H6" s="10"/>
      <c r="I6" s="10"/>
      <c r="J6" s="10"/>
      <c r="K6" s="10"/>
      <c r="L6" s="10"/>
      <c r="M6" s="10"/>
      <c r="N6" s="131"/>
    </row>
    <row r="7" spans="1:14" ht="12" customHeight="1">
      <c r="A7" s="8"/>
      <c r="B7" s="13" t="s">
        <v>4</v>
      </c>
      <c r="C7" s="14"/>
      <c r="D7" s="10"/>
      <c r="E7" s="10"/>
      <c r="F7" s="10"/>
      <c r="G7" s="10"/>
      <c r="H7" s="10"/>
      <c r="I7" s="10"/>
      <c r="J7" s="10"/>
      <c r="K7" s="10"/>
      <c r="L7" s="10"/>
      <c r="M7" s="10"/>
      <c r="N7" s="131"/>
    </row>
    <row r="8" spans="1:14" ht="12" customHeight="1">
      <c r="A8" s="8"/>
      <c r="B8" s="13" t="s">
        <v>5</v>
      </c>
      <c r="C8" s="14"/>
      <c r="D8" s="10"/>
      <c r="E8" s="10"/>
      <c r="F8" s="10"/>
      <c r="G8" s="10"/>
      <c r="H8" s="10"/>
      <c r="I8" s="10"/>
      <c r="J8" s="10"/>
      <c r="K8" s="10"/>
      <c r="L8" s="10"/>
      <c r="M8" s="10"/>
      <c r="N8" s="131"/>
    </row>
    <row r="9" spans="1:14" ht="12" customHeight="1">
      <c r="A9" s="8"/>
      <c r="B9" s="15"/>
      <c r="C9" s="14"/>
      <c r="D9" s="10"/>
      <c r="E9" s="10"/>
      <c r="F9" s="10"/>
      <c r="G9" s="10"/>
      <c r="H9" s="10"/>
      <c r="I9" s="10"/>
      <c r="J9" s="10"/>
      <c r="K9" s="10"/>
      <c r="L9" s="10"/>
      <c r="M9" s="10"/>
      <c r="N9" s="131"/>
    </row>
    <row r="10" spans="1:14" ht="15.75">
      <c r="A10" s="8"/>
      <c r="B10" s="13"/>
      <c r="C10" s="14"/>
      <c r="D10" s="16"/>
      <c r="E10" s="16"/>
      <c r="F10" s="10"/>
      <c r="G10" s="10"/>
      <c r="H10" s="10"/>
      <c r="I10" s="10"/>
      <c r="J10" s="10"/>
      <c r="K10" s="10"/>
      <c r="L10" s="10"/>
      <c r="M10" s="10"/>
      <c r="N10" s="131"/>
    </row>
    <row r="11" spans="1:14" ht="15.75">
      <c r="A11" s="8"/>
      <c r="B11" s="16" t="s">
        <v>6</v>
      </c>
      <c r="C11" s="16"/>
      <c r="D11" s="10"/>
      <c r="E11" s="10"/>
      <c r="F11" s="10"/>
      <c r="G11" s="10"/>
      <c r="H11" s="10"/>
      <c r="I11" s="10"/>
      <c r="J11" s="10"/>
      <c r="K11" s="10"/>
      <c r="L11" s="10"/>
      <c r="M11" s="10"/>
      <c r="N11" s="131"/>
    </row>
    <row r="12" spans="1:14" ht="15.75">
      <c r="A12" s="8"/>
      <c r="B12" s="16"/>
      <c r="C12" s="16"/>
      <c r="D12" s="10"/>
      <c r="E12" s="10"/>
      <c r="F12" s="10"/>
      <c r="G12" s="10"/>
      <c r="H12" s="10"/>
      <c r="I12" s="10"/>
      <c r="J12" s="10"/>
      <c r="K12" s="10"/>
      <c r="L12" s="10"/>
      <c r="M12" s="10"/>
      <c r="N12" s="131"/>
    </row>
    <row r="13" spans="1:14" ht="15.75">
      <c r="A13" s="2"/>
      <c r="B13" s="5"/>
      <c r="C13" s="5"/>
      <c r="D13" s="5"/>
      <c r="E13" s="5"/>
      <c r="F13" s="5"/>
      <c r="G13" s="5"/>
      <c r="H13" s="5"/>
      <c r="I13" s="5"/>
      <c r="J13" s="5"/>
      <c r="K13" s="5"/>
      <c r="L13" s="5"/>
      <c r="M13" s="5"/>
      <c r="N13" s="131"/>
    </row>
    <row r="14" spans="1:14" ht="15.75">
      <c r="A14" s="8"/>
      <c r="B14" s="17" t="s">
        <v>7</v>
      </c>
      <c r="C14" s="17"/>
      <c r="D14" s="18"/>
      <c r="E14" s="18"/>
      <c r="F14" s="18"/>
      <c r="G14" s="18"/>
      <c r="H14" s="18"/>
      <c r="I14" s="18"/>
      <c r="J14" s="18"/>
      <c r="K14" s="18"/>
      <c r="L14" s="19" t="s">
        <v>185</v>
      </c>
      <c r="M14" s="18"/>
      <c r="N14" s="131"/>
    </row>
    <row r="15" spans="1:14" ht="15.75">
      <c r="A15" s="8"/>
      <c r="B15" s="17" t="s">
        <v>199</v>
      </c>
      <c r="C15" s="17"/>
      <c r="D15" s="18"/>
      <c r="E15" s="18"/>
      <c r="F15" s="18"/>
      <c r="G15" s="18"/>
      <c r="H15" s="20"/>
      <c r="I15" s="135"/>
      <c r="J15" s="20" t="s">
        <v>202</v>
      </c>
      <c r="K15" s="135">
        <v>1</v>
      </c>
      <c r="L15" s="19"/>
      <c r="M15" s="18"/>
      <c r="N15" s="131"/>
    </row>
    <row r="16" spans="1:14" ht="15.75">
      <c r="A16" s="8"/>
      <c r="B16" s="17" t="s">
        <v>200</v>
      </c>
      <c r="C16" s="17"/>
      <c r="D16" s="18"/>
      <c r="E16" s="18"/>
      <c r="F16" s="18"/>
      <c r="G16" s="18"/>
      <c r="H16" s="20"/>
      <c r="I16" s="135"/>
      <c r="J16" s="20" t="s">
        <v>202</v>
      </c>
      <c r="K16" s="135">
        <v>1</v>
      </c>
      <c r="L16" s="19"/>
      <c r="M16" s="18"/>
      <c r="N16" s="131"/>
    </row>
    <row r="17" spans="1:14" ht="15.75">
      <c r="A17" s="8"/>
      <c r="B17" s="17" t="s">
        <v>8</v>
      </c>
      <c r="C17" s="17"/>
      <c r="D17" s="18"/>
      <c r="E17" s="18"/>
      <c r="F17" s="18"/>
      <c r="G17" s="18"/>
      <c r="H17" s="18"/>
      <c r="I17" s="18"/>
      <c r="J17" s="18"/>
      <c r="K17" s="18"/>
      <c r="L17" s="20" t="s">
        <v>186</v>
      </c>
      <c r="M17" s="18"/>
      <c r="N17" s="131"/>
    </row>
    <row r="18" spans="1:14" ht="15.75">
      <c r="A18" s="8"/>
      <c r="B18" s="17" t="s">
        <v>9</v>
      </c>
      <c r="C18" s="17"/>
      <c r="D18" s="18"/>
      <c r="E18" s="18"/>
      <c r="F18" s="18"/>
      <c r="G18" s="18"/>
      <c r="H18" s="18"/>
      <c r="I18" s="18"/>
      <c r="J18" s="18"/>
      <c r="K18" s="18"/>
      <c r="L18" s="21">
        <v>37096</v>
      </c>
      <c r="M18" s="18"/>
      <c r="N18" s="131"/>
    </row>
    <row r="19" spans="1:14" ht="15.75">
      <c r="A19" s="8"/>
      <c r="B19" s="10"/>
      <c r="C19" s="10"/>
      <c r="D19" s="10"/>
      <c r="E19" s="10"/>
      <c r="F19" s="10"/>
      <c r="G19" s="10"/>
      <c r="H19" s="10"/>
      <c r="I19" s="10"/>
      <c r="J19" s="10"/>
      <c r="K19" s="10"/>
      <c r="L19" s="22"/>
      <c r="M19" s="10"/>
      <c r="N19" s="131"/>
    </row>
    <row r="20" spans="1:14" ht="15.75">
      <c r="A20" s="8"/>
      <c r="B20" s="23" t="s">
        <v>10</v>
      </c>
      <c r="C20" s="10"/>
      <c r="D20" s="10"/>
      <c r="E20" s="10"/>
      <c r="F20" s="10"/>
      <c r="G20" s="10"/>
      <c r="H20" s="10"/>
      <c r="I20" s="10"/>
      <c r="J20" s="22" t="s">
        <v>174</v>
      </c>
      <c r="K20" s="10"/>
      <c r="L20" s="15"/>
      <c r="M20" s="10"/>
      <c r="N20" s="131"/>
    </row>
    <row r="21" spans="1:14" ht="15.75">
      <c r="A21" s="8"/>
      <c r="B21" s="10"/>
      <c r="C21" s="10"/>
      <c r="D21" s="10"/>
      <c r="E21" s="10"/>
      <c r="F21" s="10"/>
      <c r="G21" s="10"/>
      <c r="H21" s="10"/>
      <c r="I21" s="10"/>
      <c r="J21" s="10"/>
      <c r="K21" s="10"/>
      <c r="L21" s="24"/>
      <c r="M21" s="10"/>
      <c r="N21" s="131"/>
    </row>
    <row r="22" spans="1:14" ht="15.75">
      <c r="A22" s="8"/>
      <c r="B22" s="10"/>
      <c r="C22" s="155" t="s">
        <v>143</v>
      </c>
      <c r="D22" s="25"/>
      <c r="E22" s="25"/>
      <c r="F22" s="157" t="s">
        <v>151</v>
      </c>
      <c r="G22" s="157"/>
      <c r="H22" s="157" t="s">
        <v>164</v>
      </c>
      <c r="I22" s="25"/>
      <c r="J22" s="25"/>
      <c r="K22" s="15"/>
      <c r="L22" s="15"/>
      <c r="M22" s="10"/>
      <c r="N22" s="131"/>
    </row>
    <row r="23" spans="1:14" ht="15.75">
      <c r="A23" s="27"/>
      <c r="B23" s="28" t="s">
        <v>11</v>
      </c>
      <c r="C23" s="156" t="s">
        <v>144</v>
      </c>
      <c r="D23" s="29"/>
      <c r="E23" s="29"/>
      <c r="F23" s="29" t="s">
        <v>152</v>
      </c>
      <c r="G23" s="29"/>
      <c r="H23" s="29" t="s">
        <v>165</v>
      </c>
      <c r="I23" s="29"/>
      <c r="J23" s="29"/>
      <c r="K23" s="30"/>
      <c r="L23" s="30"/>
      <c r="M23" s="28"/>
      <c r="N23" s="131"/>
    </row>
    <row r="24" spans="1:14" ht="15.75">
      <c r="A24" s="27"/>
      <c r="B24" s="28" t="s">
        <v>12</v>
      </c>
      <c r="C24" s="31"/>
      <c r="D24" s="29"/>
      <c r="E24" s="29"/>
      <c r="F24" s="29" t="s">
        <v>153</v>
      </c>
      <c r="G24" s="29"/>
      <c r="H24" s="29" t="s">
        <v>166</v>
      </c>
      <c r="I24" s="29"/>
      <c r="J24" s="29"/>
      <c r="K24" s="30"/>
      <c r="L24" s="30"/>
      <c r="M24" s="28"/>
      <c r="N24" s="131"/>
    </row>
    <row r="25" spans="1:14" ht="15.75">
      <c r="A25" s="32"/>
      <c r="B25" s="33" t="s">
        <v>13</v>
      </c>
      <c r="C25" s="33"/>
      <c r="D25" s="34"/>
      <c r="E25" s="34"/>
      <c r="F25" s="34" t="s">
        <v>152</v>
      </c>
      <c r="G25" s="34"/>
      <c r="H25" s="34" t="s">
        <v>165</v>
      </c>
      <c r="I25" s="29"/>
      <c r="J25" s="29"/>
      <c r="K25" s="30"/>
      <c r="L25" s="30"/>
      <c r="M25" s="28"/>
      <c r="N25" s="131"/>
    </row>
    <row r="26" spans="1:14" ht="15.75">
      <c r="A26" s="32"/>
      <c r="B26" s="33" t="s">
        <v>14</v>
      </c>
      <c r="C26" s="33"/>
      <c r="D26" s="34"/>
      <c r="E26" s="34"/>
      <c r="F26" s="34" t="s">
        <v>153</v>
      </c>
      <c r="G26" s="34"/>
      <c r="H26" s="34" t="s">
        <v>166</v>
      </c>
      <c r="I26" s="29"/>
      <c r="J26" s="29"/>
      <c r="K26" s="30"/>
      <c r="L26" s="30"/>
      <c r="M26" s="28"/>
      <c r="N26" s="131"/>
    </row>
    <row r="27" spans="1:14" ht="15.75">
      <c r="A27" s="27"/>
      <c r="B27" s="28" t="s">
        <v>15</v>
      </c>
      <c r="C27" s="28"/>
      <c r="D27" s="31"/>
      <c r="E27" s="29"/>
      <c r="F27" s="31" t="s">
        <v>154</v>
      </c>
      <c r="G27" s="29"/>
      <c r="H27" s="31" t="s">
        <v>167</v>
      </c>
      <c r="I27" s="29"/>
      <c r="J27" s="31"/>
      <c r="K27" s="30"/>
      <c r="L27" s="30"/>
      <c r="M27" s="28"/>
      <c r="N27" s="131"/>
    </row>
    <row r="28" spans="1:14" ht="15.75">
      <c r="A28" s="27"/>
      <c r="B28" s="28"/>
      <c r="C28" s="28"/>
      <c r="D28" s="28"/>
      <c r="E28" s="29"/>
      <c r="F28" s="29"/>
      <c r="G28" s="29"/>
      <c r="H28" s="29"/>
      <c r="I28" s="29"/>
      <c r="J28" s="29"/>
      <c r="K28" s="30"/>
      <c r="L28" s="30"/>
      <c r="M28" s="28"/>
      <c r="N28" s="131"/>
    </row>
    <row r="29" spans="1:14" ht="15.75">
      <c r="A29" s="27"/>
      <c r="B29" s="28" t="s">
        <v>16</v>
      </c>
      <c r="C29" s="28"/>
      <c r="D29" s="35"/>
      <c r="E29" s="36"/>
      <c r="F29" s="35">
        <v>168000</v>
      </c>
      <c r="G29" s="35"/>
      <c r="H29" s="35">
        <v>17000</v>
      </c>
      <c r="I29" s="35"/>
      <c r="J29" s="35"/>
      <c r="K29" s="37"/>
      <c r="L29" s="35">
        <f>H29+F29</f>
        <v>185000</v>
      </c>
      <c r="M29" s="38"/>
      <c r="N29" s="131"/>
    </row>
    <row r="30" spans="1:14" ht="15.75">
      <c r="A30" s="27"/>
      <c r="B30" s="28" t="s">
        <v>17</v>
      </c>
      <c r="C30" s="126">
        <v>0.88595</v>
      </c>
      <c r="D30" s="35"/>
      <c r="E30" s="36"/>
      <c r="F30" s="35">
        <f>168000*C30</f>
        <v>148839.6</v>
      </c>
      <c r="G30" s="35"/>
      <c r="H30" s="35">
        <v>17000</v>
      </c>
      <c r="I30" s="35"/>
      <c r="J30" s="35"/>
      <c r="K30" s="37"/>
      <c r="L30" s="35">
        <f>H30+F30</f>
        <v>165839.6</v>
      </c>
      <c r="M30" s="38"/>
      <c r="N30" s="131"/>
    </row>
    <row r="31" spans="1:14" ht="13.5" customHeight="1">
      <c r="A31" s="32"/>
      <c r="B31" s="33" t="s">
        <v>18</v>
      </c>
      <c r="C31" s="40">
        <v>0.863352</v>
      </c>
      <c r="D31" s="41"/>
      <c r="E31" s="42"/>
      <c r="F31" s="41">
        <f>168000*C31</f>
        <v>145043.136</v>
      </c>
      <c r="G31" s="41"/>
      <c r="H31" s="41">
        <v>17000</v>
      </c>
      <c r="I31" s="41"/>
      <c r="J31" s="41"/>
      <c r="K31" s="43"/>
      <c r="L31" s="41">
        <f>H31+F31+D31</f>
        <v>162043.136</v>
      </c>
      <c r="M31" s="38"/>
      <c r="N31" s="131"/>
    </row>
    <row r="32" spans="1:14" ht="15.75">
      <c r="A32" s="27"/>
      <c r="B32" s="28" t="s">
        <v>19</v>
      </c>
      <c r="C32" s="44"/>
      <c r="D32" s="31"/>
      <c r="E32" s="28"/>
      <c r="F32" s="31" t="s">
        <v>155</v>
      </c>
      <c r="G32" s="31"/>
      <c r="H32" s="31" t="s">
        <v>168</v>
      </c>
      <c r="I32" s="31"/>
      <c r="J32" s="31"/>
      <c r="K32" s="30"/>
      <c r="L32" s="30"/>
      <c r="M32" s="28"/>
      <c r="N32" s="131"/>
    </row>
    <row r="33" spans="1:14" ht="15.75">
      <c r="A33" s="27"/>
      <c r="B33" s="28" t="s">
        <v>20</v>
      </c>
      <c r="C33" s="28"/>
      <c r="D33" s="45"/>
      <c r="E33" s="28"/>
      <c r="F33" s="45">
        <v>0.0572563</v>
      </c>
      <c r="G33" s="46"/>
      <c r="H33" s="45">
        <v>0.0624563</v>
      </c>
      <c r="I33" s="46"/>
      <c r="J33" s="45"/>
      <c r="K33" s="30"/>
      <c r="L33" s="46">
        <f>SUMPRODUCT(F33:H33,F30:H30)/L30</f>
        <v>0.0577893451834182</v>
      </c>
      <c r="M33" s="28"/>
      <c r="N33" s="131"/>
    </row>
    <row r="34" spans="1:14" ht="15.75">
      <c r="A34" s="27"/>
      <c r="B34" s="28" t="s">
        <v>21</v>
      </c>
      <c r="C34" s="28"/>
      <c r="D34" s="45"/>
      <c r="E34" s="28"/>
      <c r="F34" s="45">
        <v>0.0615563</v>
      </c>
      <c r="G34" s="46"/>
      <c r="H34" s="45">
        <v>0.0667563</v>
      </c>
      <c r="I34" s="46"/>
      <c r="J34" s="45"/>
      <c r="K34" s="30"/>
      <c r="L34" s="30"/>
      <c r="M34" s="28"/>
      <c r="N34" s="131"/>
    </row>
    <row r="35" spans="1:14" ht="15.75">
      <c r="A35" s="27"/>
      <c r="B35" s="28" t="s">
        <v>22</v>
      </c>
      <c r="C35" s="28"/>
      <c r="D35" s="31"/>
      <c r="E35" s="28"/>
      <c r="F35" s="31" t="s">
        <v>157</v>
      </c>
      <c r="G35" s="31"/>
      <c r="H35" s="31" t="s">
        <v>157</v>
      </c>
      <c r="I35" s="31"/>
      <c r="J35" s="31"/>
      <c r="K35" s="30"/>
      <c r="L35" s="30"/>
      <c r="M35" s="28"/>
      <c r="N35" s="131"/>
    </row>
    <row r="36" spans="1:14" ht="15.75">
      <c r="A36" s="27"/>
      <c r="B36" s="28" t="s">
        <v>23</v>
      </c>
      <c r="C36" s="28"/>
      <c r="D36" s="31"/>
      <c r="E36" s="28"/>
      <c r="F36" s="31" t="s">
        <v>158</v>
      </c>
      <c r="G36" s="31"/>
      <c r="H36" s="31" t="s">
        <v>158</v>
      </c>
      <c r="I36" s="31"/>
      <c r="J36" s="31"/>
      <c r="K36" s="30"/>
      <c r="L36" s="30"/>
      <c r="M36" s="28"/>
      <c r="N36" s="131"/>
    </row>
    <row r="37" spans="1:14" ht="15.75">
      <c r="A37" s="27"/>
      <c r="B37" s="28" t="s">
        <v>24</v>
      </c>
      <c r="C37" s="28"/>
      <c r="D37" s="31"/>
      <c r="E37" s="28"/>
      <c r="F37" s="31" t="s">
        <v>159</v>
      </c>
      <c r="G37" s="31"/>
      <c r="H37" s="31" t="s">
        <v>169</v>
      </c>
      <c r="I37" s="31"/>
      <c r="J37" s="31"/>
      <c r="K37" s="30"/>
      <c r="L37" s="30"/>
      <c r="M37" s="28"/>
      <c r="N37" s="131"/>
    </row>
    <row r="38" spans="1:14" ht="15.75">
      <c r="A38" s="27"/>
      <c r="B38" s="28"/>
      <c r="C38" s="28"/>
      <c r="D38" s="47"/>
      <c r="E38" s="47"/>
      <c r="F38" s="28"/>
      <c r="G38" s="47"/>
      <c r="H38" s="47"/>
      <c r="I38" s="47"/>
      <c r="J38" s="47"/>
      <c r="K38" s="47"/>
      <c r="L38" s="47"/>
      <c r="M38" s="28"/>
      <c r="N38" s="131"/>
    </row>
    <row r="39" spans="1:14" ht="15.75">
      <c r="A39" s="27"/>
      <c r="B39" s="28" t="s">
        <v>25</v>
      </c>
      <c r="C39" s="28"/>
      <c r="D39" s="28"/>
      <c r="E39" s="28"/>
      <c r="F39" s="28"/>
      <c r="G39" s="28"/>
      <c r="H39" s="28"/>
      <c r="I39" s="28"/>
      <c r="J39" s="28"/>
      <c r="K39" s="28"/>
      <c r="L39" s="46">
        <f>H29/F29</f>
        <v>0.10119047619047619</v>
      </c>
      <c r="M39" s="28"/>
      <c r="N39" s="131"/>
    </row>
    <row r="40" spans="1:14" ht="15.75">
      <c r="A40" s="27"/>
      <c r="B40" s="28" t="s">
        <v>26</v>
      </c>
      <c r="C40" s="28"/>
      <c r="D40" s="28"/>
      <c r="E40" s="28"/>
      <c r="F40" s="28"/>
      <c r="G40" s="28"/>
      <c r="H40" s="28"/>
      <c r="I40" s="28"/>
      <c r="J40" s="28"/>
      <c r="K40" s="28"/>
      <c r="L40" s="46">
        <f>H31/F31</f>
        <v>0.11720651158562925</v>
      </c>
      <c r="M40" s="28"/>
      <c r="N40" s="131"/>
    </row>
    <row r="41" spans="1:14" ht="15.75">
      <c r="A41" s="27"/>
      <c r="B41" s="28" t="s">
        <v>27</v>
      </c>
      <c r="C41" s="28"/>
      <c r="D41" s="28"/>
      <c r="E41" s="28"/>
      <c r="F41" s="28"/>
      <c r="G41" s="28"/>
      <c r="H41" s="28"/>
      <c r="I41" s="28"/>
      <c r="J41" s="31" t="s">
        <v>151</v>
      </c>
      <c r="K41" s="31" t="s">
        <v>183</v>
      </c>
      <c r="L41" s="35">
        <v>75500</v>
      </c>
      <c r="M41" s="28"/>
      <c r="N41" s="131"/>
    </row>
    <row r="42" spans="1:14" ht="15.75">
      <c r="A42" s="27"/>
      <c r="B42" s="28"/>
      <c r="C42" s="28"/>
      <c r="D42" s="28"/>
      <c r="E42" s="28"/>
      <c r="F42" s="28"/>
      <c r="G42" s="28"/>
      <c r="H42" s="28"/>
      <c r="I42" s="28"/>
      <c r="J42" s="28" t="s">
        <v>175</v>
      </c>
      <c r="K42" s="28"/>
      <c r="L42" s="48"/>
      <c r="M42" s="28"/>
      <c r="N42" s="131"/>
    </row>
    <row r="43" spans="1:14" ht="15.75">
      <c r="A43" s="27"/>
      <c r="B43" s="28" t="s">
        <v>28</v>
      </c>
      <c r="C43" s="28"/>
      <c r="D43" s="28"/>
      <c r="E43" s="28"/>
      <c r="F43" s="28"/>
      <c r="G43" s="28"/>
      <c r="H43" s="28"/>
      <c r="I43" s="28"/>
      <c r="J43" s="31"/>
      <c r="K43" s="31"/>
      <c r="L43" s="31" t="s">
        <v>187</v>
      </c>
      <c r="M43" s="28"/>
      <c r="N43" s="131"/>
    </row>
    <row r="44" spans="1:14" ht="15.75">
      <c r="A44" s="32"/>
      <c r="B44" s="33" t="s">
        <v>29</v>
      </c>
      <c r="C44" s="33"/>
      <c r="D44" s="33"/>
      <c r="E44" s="33"/>
      <c r="F44" s="33"/>
      <c r="G44" s="33"/>
      <c r="H44" s="33"/>
      <c r="I44" s="33"/>
      <c r="J44" s="49"/>
      <c r="K44" s="49"/>
      <c r="L44" s="50">
        <v>37088</v>
      </c>
      <c r="M44" s="33"/>
      <c r="N44" s="131"/>
    </row>
    <row r="45" spans="1:14" ht="15.75">
      <c r="A45" s="27"/>
      <c r="B45" s="28" t="s">
        <v>30</v>
      </c>
      <c r="C45" s="28"/>
      <c r="D45" s="28"/>
      <c r="E45" s="28"/>
      <c r="F45" s="28"/>
      <c r="G45" s="28"/>
      <c r="H45" s="28"/>
      <c r="I45" s="28">
        <f>L45-J45+1</f>
        <v>92</v>
      </c>
      <c r="J45" s="51">
        <v>36906</v>
      </c>
      <c r="K45" s="52"/>
      <c r="L45" s="51">
        <v>36997</v>
      </c>
      <c r="M45" s="28"/>
      <c r="N45" s="131"/>
    </row>
    <row r="46" spans="1:14" ht="15.75">
      <c r="A46" s="27"/>
      <c r="B46" s="28" t="s">
        <v>31</v>
      </c>
      <c r="C46" s="28"/>
      <c r="D46" s="28"/>
      <c r="E46" s="28"/>
      <c r="F46" s="28"/>
      <c r="G46" s="28"/>
      <c r="H46" s="28"/>
      <c r="I46" s="28">
        <f>L46-J46+1</f>
        <v>90</v>
      </c>
      <c r="J46" s="51">
        <v>36998</v>
      </c>
      <c r="K46" s="52"/>
      <c r="L46" s="51">
        <v>37087</v>
      </c>
      <c r="M46" s="28"/>
      <c r="N46" s="131"/>
    </row>
    <row r="47" spans="1:14" ht="15.75">
      <c r="A47" s="27"/>
      <c r="B47" s="28" t="s">
        <v>32</v>
      </c>
      <c r="C47" s="28"/>
      <c r="D47" s="28"/>
      <c r="E47" s="28"/>
      <c r="F47" s="28"/>
      <c r="G47" s="28"/>
      <c r="H47" s="28"/>
      <c r="I47" s="28"/>
      <c r="J47" s="51"/>
      <c r="K47" s="52"/>
      <c r="L47" s="51" t="s">
        <v>188</v>
      </c>
      <c r="M47" s="28"/>
      <c r="N47" s="131"/>
    </row>
    <row r="48" spans="1:14" ht="15.75">
      <c r="A48" s="27"/>
      <c r="B48" s="28" t="s">
        <v>33</v>
      </c>
      <c r="C48" s="28"/>
      <c r="D48" s="28"/>
      <c r="E48" s="28"/>
      <c r="F48" s="28"/>
      <c r="G48" s="28"/>
      <c r="H48" s="28"/>
      <c r="I48" s="28"/>
      <c r="J48" s="51"/>
      <c r="K48" s="52"/>
      <c r="L48" s="51">
        <v>37078</v>
      </c>
      <c r="M48" s="28"/>
      <c r="N48" s="131"/>
    </row>
    <row r="49" spans="1:14" ht="15.75">
      <c r="A49" s="27"/>
      <c r="B49" s="28"/>
      <c r="C49" s="28"/>
      <c r="D49" s="28"/>
      <c r="E49" s="28"/>
      <c r="F49" s="28"/>
      <c r="G49" s="28"/>
      <c r="H49" s="28"/>
      <c r="I49" s="28"/>
      <c r="J49" s="51"/>
      <c r="K49" s="52"/>
      <c r="L49" s="51"/>
      <c r="M49" s="28"/>
      <c r="N49" s="131"/>
    </row>
    <row r="50" spans="1:14" ht="15.75">
      <c r="A50" s="8"/>
      <c r="B50" s="10"/>
      <c r="C50" s="10"/>
      <c r="D50" s="10"/>
      <c r="E50" s="10"/>
      <c r="F50" s="10"/>
      <c r="G50" s="10"/>
      <c r="H50" s="10"/>
      <c r="I50" s="10"/>
      <c r="J50" s="53"/>
      <c r="K50" s="54"/>
      <c r="L50" s="53"/>
      <c r="M50" s="10"/>
      <c r="N50" s="131"/>
    </row>
    <row r="51" spans="1:14" ht="19.5" thickBot="1">
      <c r="A51" s="138"/>
      <c r="B51" s="139" t="s">
        <v>205</v>
      </c>
      <c r="C51" s="140"/>
      <c r="D51" s="140"/>
      <c r="E51" s="140"/>
      <c r="F51" s="140"/>
      <c r="G51" s="140"/>
      <c r="H51" s="140"/>
      <c r="I51" s="140"/>
      <c r="J51" s="140"/>
      <c r="K51" s="140"/>
      <c r="L51" s="141"/>
      <c r="M51" s="142"/>
      <c r="N51" s="131"/>
    </row>
    <row r="52" spans="1:14" ht="15.75">
      <c r="A52" s="2"/>
      <c r="B52" s="5"/>
      <c r="C52" s="5"/>
      <c r="D52" s="5"/>
      <c r="E52" s="5"/>
      <c r="F52" s="5"/>
      <c r="G52" s="5"/>
      <c r="H52" s="5"/>
      <c r="I52" s="5"/>
      <c r="J52" s="5"/>
      <c r="K52" s="5"/>
      <c r="L52" s="57"/>
      <c r="M52" s="5"/>
      <c r="N52" s="131"/>
    </row>
    <row r="53" spans="1:14" ht="15.75">
      <c r="A53" s="8"/>
      <c r="B53" s="58" t="s">
        <v>35</v>
      </c>
      <c r="C53" s="16"/>
      <c r="D53" s="10"/>
      <c r="E53" s="10"/>
      <c r="F53" s="10"/>
      <c r="G53" s="10"/>
      <c r="H53" s="10"/>
      <c r="I53" s="10"/>
      <c r="J53" s="10"/>
      <c r="K53" s="10"/>
      <c r="L53" s="59"/>
      <c r="M53" s="10"/>
      <c r="N53" s="131"/>
    </row>
    <row r="54" spans="1:14" ht="15.75">
      <c r="A54" s="8"/>
      <c r="B54" s="16"/>
      <c r="C54" s="16"/>
      <c r="D54" s="10"/>
      <c r="E54" s="10"/>
      <c r="F54" s="10"/>
      <c r="G54" s="10"/>
      <c r="H54" s="10"/>
      <c r="I54" s="10"/>
      <c r="J54" s="10"/>
      <c r="K54" s="10"/>
      <c r="L54" s="59"/>
      <c r="M54" s="10"/>
      <c r="N54" s="131"/>
    </row>
    <row r="55" spans="1:14" s="165" customFormat="1" ht="63">
      <c r="A55" s="159"/>
      <c r="B55" s="160" t="s">
        <v>36</v>
      </c>
      <c r="C55" s="161" t="s">
        <v>145</v>
      </c>
      <c r="D55" s="161" t="s">
        <v>147</v>
      </c>
      <c r="E55" s="161"/>
      <c r="F55" s="161" t="s">
        <v>160</v>
      </c>
      <c r="G55" s="161"/>
      <c r="H55" s="161" t="s">
        <v>170</v>
      </c>
      <c r="I55" s="161"/>
      <c r="J55" s="161" t="s">
        <v>176</v>
      </c>
      <c r="K55" s="161"/>
      <c r="L55" s="162" t="s">
        <v>189</v>
      </c>
      <c r="M55" s="163"/>
      <c r="N55" s="171"/>
    </row>
    <row r="56" spans="1:14" ht="15.75">
      <c r="A56" s="27"/>
      <c r="B56" s="28" t="s">
        <v>37</v>
      </c>
      <c r="C56" s="38">
        <v>162582</v>
      </c>
      <c r="D56" s="60">
        <v>165840</v>
      </c>
      <c r="E56" s="38"/>
      <c r="F56" s="38">
        <v>5710</v>
      </c>
      <c r="G56" s="38"/>
      <c r="H56" s="38">
        <v>1913</v>
      </c>
      <c r="I56" s="38"/>
      <c r="J56" s="38">
        <v>0</v>
      </c>
      <c r="K56" s="38"/>
      <c r="L56" s="60">
        <f>D56-F56+H56-J56</f>
        <v>162043</v>
      </c>
      <c r="M56" s="28"/>
      <c r="N56" s="131"/>
    </row>
    <row r="57" spans="1:14" ht="15.75">
      <c r="A57" s="27"/>
      <c r="B57" s="28" t="s">
        <v>38</v>
      </c>
      <c r="C57" s="38">
        <v>66</v>
      </c>
      <c r="D57" s="60">
        <v>0</v>
      </c>
      <c r="E57" s="38"/>
      <c r="F57" s="38">
        <v>0</v>
      </c>
      <c r="G57" s="38"/>
      <c r="H57" s="38">
        <v>0</v>
      </c>
      <c r="I57" s="38"/>
      <c r="J57" s="38">
        <v>0</v>
      </c>
      <c r="K57" s="38"/>
      <c r="L57" s="60">
        <f>D57-F57</f>
        <v>0</v>
      </c>
      <c r="M57" s="28"/>
      <c r="N57" s="131"/>
    </row>
    <row r="58" spans="1:14" ht="15.75">
      <c r="A58" s="27"/>
      <c r="B58" s="28"/>
      <c r="C58" s="38"/>
      <c r="D58" s="60"/>
      <c r="E58" s="38"/>
      <c r="F58" s="38"/>
      <c r="G58" s="38"/>
      <c r="H58" s="38"/>
      <c r="I58" s="38"/>
      <c r="J58" s="38"/>
      <c r="K58" s="38"/>
      <c r="L58" s="60"/>
      <c r="M58" s="28"/>
      <c r="N58" s="131"/>
    </row>
    <row r="59" spans="1:14" ht="15.75">
      <c r="A59" s="27"/>
      <c r="B59" s="28" t="s">
        <v>39</v>
      </c>
      <c r="C59" s="38">
        <f>SUM(C56:C58)</f>
        <v>162648</v>
      </c>
      <c r="D59" s="38">
        <f>SUM(D56:D58)</f>
        <v>165840</v>
      </c>
      <c r="E59" s="38"/>
      <c r="F59" s="38">
        <f>SUM(F56:F58)</f>
        <v>5710</v>
      </c>
      <c r="G59" s="38"/>
      <c r="H59" s="38">
        <f>SUM(H56:H58)</f>
        <v>1913</v>
      </c>
      <c r="I59" s="38"/>
      <c r="J59" s="38">
        <f>SUM(J56:J58)</f>
        <v>0</v>
      </c>
      <c r="K59" s="38"/>
      <c r="L59" s="61">
        <f>SUM(L56:L58)</f>
        <v>162043</v>
      </c>
      <c r="M59" s="28"/>
      <c r="N59" s="131"/>
    </row>
    <row r="60" spans="1:14" ht="15.75">
      <c r="A60" s="27"/>
      <c r="B60" s="28"/>
      <c r="C60" s="38"/>
      <c r="D60" s="38"/>
      <c r="E60" s="38"/>
      <c r="F60" s="38"/>
      <c r="G60" s="38"/>
      <c r="H60" s="38"/>
      <c r="I60" s="38"/>
      <c r="J60" s="38"/>
      <c r="K60" s="38"/>
      <c r="L60" s="61"/>
      <c r="M60" s="28"/>
      <c r="N60" s="131"/>
    </row>
    <row r="61" spans="1:14" ht="15.75">
      <c r="A61" s="8"/>
      <c r="B61" s="154" t="s">
        <v>40</v>
      </c>
      <c r="C61" s="62"/>
      <c r="D61" s="62"/>
      <c r="E61" s="62"/>
      <c r="F61" s="62"/>
      <c r="G61" s="62"/>
      <c r="H61" s="62"/>
      <c r="I61" s="62"/>
      <c r="J61" s="62"/>
      <c r="K61" s="62"/>
      <c r="L61" s="63"/>
      <c r="M61" s="10"/>
      <c r="N61" s="131"/>
    </row>
    <row r="62" spans="1:14" ht="15.75">
      <c r="A62" s="8"/>
      <c r="B62" s="10"/>
      <c r="C62" s="62"/>
      <c r="D62" s="62"/>
      <c r="E62" s="62"/>
      <c r="F62" s="62"/>
      <c r="G62" s="62"/>
      <c r="H62" s="62"/>
      <c r="I62" s="62"/>
      <c r="J62" s="62"/>
      <c r="K62" s="62"/>
      <c r="L62" s="63"/>
      <c r="M62" s="10"/>
      <c r="N62" s="131"/>
    </row>
    <row r="63" spans="1:14" ht="15.75">
      <c r="A63" s="27"/>
      <c r="B63" s="28" t="s">
        <v>37</v>
      </c>
      <c r="C63" s="38"/>
      <c r="D63" s="38"/>
      <c r="E63" s="38"/>
      <c r="F63" s="38"/>
      <c r="G63" s="38"/>
      <c r="H63" s="38"/>
      <c r="I63" s="38"/>
      <c r="J63" s="38"/>
      <c r="K63" s="38"/>
      <c r="L63" s="61"/>
      <c r="M63" s="28"/>
      <c r="N63" s="131"/>
    </row>
    <row r="64" spans="1:14" ht="15.75">
      <c r="A64" s="27"/>
      <c r="B64" s="28" t="s">
        <v>38</v>
      </c>
      <c r="C64" s="38"/>
      <c r="D64" s="38"/>
      <c r="E64" s="38"/>
      <c r="F64" s="38"/>
      <c r="G64" s="38"/>
      <c r="H64" s="38"/>
      <c r="I64" s="38"/>
      <c r="J64" s="38"/>
      <c r="K64" s="38"/>
      <c r="L64" s="61"/>
      <c r="M64" s="28"/>
      <c r="N64" s="131"/>
    </row>
    <row r="65" spans="1:14" ht="15.75">
      <c r="A65" s="27"/>
      <c r="B65" s="28"/>
      <c r="C65" s="38"/>
      <c r="D65" s="38"/>
      <c r="E65" s="38"/>
      <c r="F65" s="38"/>
      <c r="G65" s="38"/>
      <c r="H65" s="38"/>
      <c r="I65" s="38"/>
      <c r="J65" s="38"/>
      <c r="K65" s="38"/>
      <c r="L65" s="61"/>
      <c r="M65" s="28"/>
      <c r="N65" s="131"/>
    </row>
    <row r="66" spans="1:14" ht="15.75">
      <c r="A66" s="27"/>
      <c r="B66" s="28" t="s">
        <v>39</v>
      </c>
      <c r="C66" s="38"/>
      <c r="D66" s="38"/>
      <c r="E66" s="38"/>
      <c r="F66" s="38"/>
      <c r="G66" s="38"/>
      <c r="H66" s="38"/>
      <c r="I66" s="38"/>
      <c r="J66" s="38"/>
      <c r="K66" s="38"/>
      <c r="L66" s="38"/>
      <c r="M66" s="28"/>
      <c r="N66" s="131"/>
    </row>
    <row r="67" spans="1:14" ht="15.75">
      <c r="A67" s="27"/>
      <c r="B67" s="28"/>
      <c r="C67" s="38"/>
      <c r="D67" s="38"/>
      <c r="E67" s="38"/>
      <c r="F67" s="38"/>
      <c r="G67" s="38"/>
      <c r="H67" s="38"/>
      <c r="I67" s="38"/>
      <c r="J67" s="38"/>
      <c r="K67" s="38"/>
      <c r="L67" s="38"/>
      <c r="M67" s="28"/>
      <c r="N67" s="131"/>
    </row>
    <row r="68" spans="1:14" ht="15.75">
      <c r="A68" s="27"/>
      <c r="B68" s="28" t="s">
        <v>41</v>
      </c>
      <c r="C68" s="38">
        <v>0</v>
      </c>
      <c r="D68" s="38">
        <v>0</v>
      </c>
      <c r="E68" s="38"/>
      <c r="F68" s="38"/>
      <c r="G68" s="38"/>
      <c r="H68" s="38"/>
      <c r="I68" s="38"/>
      <c r="J68" s="38"/>
      <c r="K68" s="38"/>
      <c r="L68" s="60">
        <f>D68-F68+H68-J68</f>
        <v>0</v>
      </c>
      <c r="M68" s="28"/>
      <c r="N68" s="131"/>
    </row>
    <row r="69" spans="1:14" ht="15.75">
      <c r="A69" s="27"/>
      <c r="B69" s="28" t="s">
        <v>42</v>
      </c>
      <c r="C69" s="38">
        <v>22352</v>
      </c>
      <c r="D69" s="38">
        <v>0</v>
      </c>
      <c r="E69" s="38"/>
      <c r="F69" s="38"/>
      <c r="G69" s="38"/>
      <c r="H69" s="38"/>
      <c r="I69" s="38"/>
      <c r="J69" s="38"/>
      <c r="K69" s="38"/>
      <c r="L69" s="61">
        <v>0</v>
      </c>
      <c r="M69" s="28"/>
      <c r="N69" s="131"/>
    </row>
    <row r="70" spans="1:14" ht="15.75">
      <c r="A70" s="27"/>
      <c r="B70" s="28" t="s">
        <v>43</v>
      </c>
      <c r="C70" s="38">
        <v>0</v>
      </c>
      <c r="D70" s="38">
        <f>L127</f>
        <v>0</v>
      </c>
      <c r="E70" s="38"/>
      <c r="F70" s="38"/>
      <c r="G70" s="38"/>
      <c r="H70" s="38"/>
      <c r="I70" s="38"/>
      <c r="J70" s="38"/>
      <c r="K70" s="38"/>
      <c r="L70" s="61">
        <f>SUM(C70:K70)</f>
        <v>0</v>
      </c>
      <c r="M70" s="28"/>
      <c r="N70" s="131"/>
    </row>
    <row r="71" spans="1:14" ht="15.75">
      <c r="A71" s="27"/>
      <c r="B71" s="28" t="s">
        <v>44</v>
      </c>
      <c r="C71" s="61">
        <f>SUM(C59:C70)</f>
        <v>185000</v>
      </c>
      <c r="D71" s="61">
        <f>SUM(D59:D70)</f>
        <v>165840</v>
      </c>
      <c r="E71" s="38"/>
      <c r="F71" s="61"/>
      <c r="G71" s="38"/>
      <c r="H71" s="61"/>
      <c r="I71" s="38"/>
      <c r="J71" s="61"/>
      <c r="K71" s="38"/>
      <c r="L71" s="61">
        <f>SUM(L59:L70)</f>
        <v>162043</v>
      </c>
      <c r="M71" s="28"/>
      <c r="N71" s="131"/>
    </row>
    <row r="72" spans="1:14" ht="15.75">
      <c r="A72" s="27"/>
      <c r="B72" s="28"/>
      <c r="C72" s="38"/>
      <c r="D72" s="38"/>
      <c r="E72" s="38"/>
      <c r="F72" s="38"/>
      <c r="G72" s="38"/>
      <c r="H72" s="38"/>
      <c r="I72" s="38"/>
      <c r="J72" s="38"/>
      <c r="K72" s="38"/>
      <c r="L72" s="61"/>
      <c r="M72" s="28"/>
      <c r="N72" s="131"/>
    </row>
    <row r="73" spans="1:14" ht="15.75">
      <c r="A73" s="8"/>
      <c r="B73" s="10"/>
      <c r="C73" s="10"/>
      <c r="D73" s="10"/>
      <c r="E73" s="10"/>
      <c r="F73" s="10"/>
      <c r="G73" s="10"/>
      <c r="H73" s="10"/>
      <c r="I73" s="10"/>
      <c r="J73" s="10"/>
      <c r="K73" s="10"/>
      <c r="L73" s="10"/>
      <c r="M73" s="10"/>
      <c r="N73" s="131"/>
    </row>
    <row r="74" spans="1:14" ht="15.75">
      <c r="A74" s="8"/>
      <c r="B74" s="58" t="s">
        <v>45</v>
      </c>
      <c r="C74" s="17"/>
      <c r="D74" s="17"/>
      <c r="E74" s="17"/>
      <c r="F74" s="17"/>
      <c r="G74" s="17"/>
      <c r="H74" s="17"/>
      <c r="I74" s="20"/>
      <c r="J74" s="20" t="s">
        <v>177</v>
      </c>
      <c r="K74" s="20"/>
      <c r="L74" s="20" t="s">
        <v>190</v>
      </c>
      <c r="M74" s="10"/>
      <c r="N74" s="131"/>
    </row>
    <row r="75" spans="1:14" ht="15.75">
      <c r="A75" s="27"/>
      <c r="B75" s="28" t="s">
        <v>46</v>
      </c>
      <c r="C75" s="28"/>
      <c r="D75" s="28"/>
      <c r="E75" s="28"/>
      <c r="F75" s="28"/>
      <c r="G75" s="28"/>
      <c r="H75" s="28"/>
      <c r="I75" s="28"/>
      <c r="J75" s="38">
        <v>0</v>
      </c>
      <c r="K75" s="28"/>
      <c r="L75" s="60">
        <v>0</v>
      </c>
      <c r="M75" s="28"/>
      <c r="N75" s="131"/>
    </row>
    <row r="76" spans="1:14" ht="15.75">
      <c r="A76" s="27"/>
      <c r="B76" s="28" t="s">
        <v>47</v>
      </c>
      <c r="C76" s="47" t="s">
        <v>146</v>
      </c>
      <c r="D76" s="65">
        <v>37072</v>
      </c>
      <c r="E76" s="28"/>
      <c r="F76" s="28"/>
      <c r="G76" s="28"/>
      <c r="H76" s="28"/>
      <c r="I76" s="28"/>
      <c r="J76" s="38">
        <v>5710</v>
      </c>
      <c r="K76" s="28"/>
      <c r="L76" s="60"/>
      <c r="M76" s="28"/>
      <c r="N76" s="131"/>
    </row>
    <row r="77" spans="1:14" ht="15.75">
      <c r="A77" s="27"/>
      <c r="B77" s="28" t="s">
        <v>48</v>
      </c>
      <c r="C77" s="28"/>
      <c r="D77" s="28"/>
      <c r="E77" s="28"/>
      <c r="F77" s="28"/>
      <c r="G77" s="28"/>
      <c r="H77" s="28"/>
      <c r="I77" s="28"/>
      <c r="J77" s="38"/>
      <c r="K77" s="28"/>
      <c r="L77" s="60">
        <f>2860+396-4</f>
        <v>3252</v>
      </c>
      <c r="M77" s="28"/>
      <c r="N77" s="131"/>
    </row>
    <row r="78" spans="1:14" ht="15.75">
      <c r="A78" s="27"/>
      <c r="B78" s="28" t="s">
        <v>49</v>
      </c>
      <c r="C78" s="28"/>
      <c r="D78" s="28"/>
      <c r="E78" s="28"/>
      <c r="F78" s="28"/>
      <c r="G78" s="28"/>
      <c r="H78" s="28"/>
      <c r="I78" s="28"/>
      <c r="J78" s="38"/>
      <c r="K78" s="28"/>
      <c r="L78" s="60">
        <v>0</v>
      </c>
      <c r="M78" s="28"/>
      <c r="N78" s="131"/>
    </row>
    <row r="79" spans="1:14" ht="15.75">
      <c r="A79" s="27"/>
      <c r="B79" s="28" t="s">
        <v>50</v>
      </c>
      <c r="C79" s="28"/>
      <c r="D79" s="28"/>
      <c r="E79" s="28"/>
      <c r="F79" s="28"/>
      <c r="G79" s="28"/>
      <c r="H79" s="28"/>
      <c r="I79" s="28"/>
      <c r="J79" s="38">
        <f>SUM(J75:J78)</f>
        <v>5710</v>
      </c>
      <c r="K79" s="28"/>
      <c r="L79" s="61">
        <f>SUM(L75:L78)</f>
        <v>3252</v>
      </c>
      <c r="M79" s="28"/>
      <c r="N79" s="131"/>
    </row>
    <row r="80" spans="1:14" ht="15.75">
      <c r="A80" s="27"/>
      <c r="B80" s="28" t="s">
        <v>51</v>
      </c>
      <c r="C80" s="28"/>
      <c r="D80" s="28"/>
      <c r="E80" s="28"/>
      <c r="F80" s="28"/>
      <c r="G80" s="28"/>
      <c r="H80" s="28"/>
      <c r="I80" s="28"/>
      <c r="J80" s="38">
        <v>0</v>
      </c>
      <c r="K80" s="28"/>
      <c r="L80" s="60">
        <v>0</v>
      </c>
      <c r="M80" s="28"/>
      <c r="N80" s="131"/>
    </row>
    <row r="81" spans="1:14" ht="15.75">
      <c r="A81" s="27"/>
      <c r="B81" s="28" t="s">
        <v>52</v>
      </c>
      <c r="C81" s="28"/>
      <c r="D81" s="28"/>
      <c r="E81" s="28"/>
      <c r="F81" s="28"/>
      <c r="G81" s="28"/>
      <c r="H81" s="28"/>
      <c r="I81" s="28"/>
      <c r="J81" s="38">
        <f>J79+J80</f>
        <v>5710</v>
      </c>
      <c r="K81" s="28"/>
      <c r="L81" s="61">
        <f>L79+L80</f>
        <v>3252</v>
      </c>
      <c r="M81" s="28"/>
      <c r="N81" s="131"/>
    </row>
    <row r="82" spans="1:14" ht="15.75">
      <c r="A82" s="27"/>
      <c r="B82" s="166" t="s">
        <v>53</v>
      </c>
      <c r="C82" s="66"/>
      <c r="D82" s="28"/>
      <c r="E82" s="28"/>
      <c r="F82" s="28"/>
      <c r="G82" s="28"/>
      <c r="H82" s="28"/>
      <c r="I82" s="28"/>
      <c r="J82" s="38"/>
      <c r="K82" s="28"/>
      <c r="L82" s="60"/>
      <c r="M82" s="28"/>
      <c r="N82" s="131"/>
    </row>
    <row r="83" spans="1:14" ht="15.75">
      <c r="A83" s="27">
        <v>1</v>
      </c>
      <c r="B83" s="28" t="s">
        <v>54</v>
      </c>
      <c r="C83" s="28"/>
      <c r="D83" s="28"/>
      <c r="E83" s="28"/>
      <c r="F83" s="28"/>
      <c r="G83" s="28"/>
      <c r="H83" s="28"/>
      <c r="I83" s="28"/>
      <c r="J83" s="28"/>
      <c r="K83" s="28"/>
      <c r="L83" s="60">
        <v>0</v>
      </c>
      <c r="M83" s="28"/>
      <c r="N83" s="131"/>
    </row>
    <row r="84" spans="1:14" ht="15.75">
      <c r="A84" s="27">
        <v>2</v>
      </c>
      <c r="B84" s="28" t="s">
        <v>55</v>
      </c>
      <c r="C84" s="28"/>
      <c r="D84" s="28"/>
      <c r="E84" s="28"/>
      <c r="F84" s="28"/>
      <c r="G84" s="28"/>
      <c r="H84" s="28"/>
      <c r="I84" s="28"/>
      <c r="J84" s="28"/>
      <c r="K84" s="28"/>
      <c r="L84" s="60">
        <v>-3</v>
      </c>
      <c r="M84" s="28"/>
      <c r="N84" s="131"/>
    </row>
    <row r="85" spans="1:14" ht="15.75">
      <c r="A85" s="27">
        <v>3</v>
      </c>
      <c r="B85" s="28" t="s">
        <v>56</v>
      </c>
      <c r="C85" s="28"/>
      <c r="D85" s="28"/>
      <c r="E85" s="28"/>
      <c r="F85" s="28"/>
      <c r="G85" s="28"/>
      <c r="H85" s="28"/>
      <c r="I85" s="28"/>
      <c r="J85" s="28"/>
      <c r="K85" s="28"/>
      <c r="L85" s="60">
        <v>-127</v>
      </c>
      <c r="M85" s="28"/>
      <c r="N85" s="131"/>
    </row>
    <row r="86" spans="1:14" ht="15.75">
      <c r="A86" s="27">
        <v>4</v>
      </c>
      <c r="B86" s="28" t="s">
        <v>57</v>
      </c>
      <c r="C86" s="28"/>
      <c r="D86" s="28"/>
      <c r="E86" s="28"/>
      <c r="F86" s="28"/>
      <c r="G86" s="28"/>
      <c r="H86" s="28"/>
      <c r="I86" s="28"/>
      <c r="J86" s="28"/>
      <c r="K86" s="28"/>
      <c r="L86" s="60">
        <v>-62</v>
      </c>
      <c r="M86" s="28"/>
      <c r="N86" s="131"/>
    </row>
    <row r="87" spans="1:14" ht="15.75">
      <c r="A87" s="27">
        <v>5</v>
      </c>
      <c r="B87" s="28" t="s">
        <v>58</v>
      </c>
      <c r="C87" s="28"/>
      <c r="D87" s="28"/>
      <c r="E87" s="28"/>
      <c r="F87" s="28"/>
      <c r="G87" s="28"/>
      <c r="H87" s="28"/>
      <c r="I87" s="28"/>
      <c r="J87" s="28"/>
      <c r="K87" s="28"/>
      <c r="L87" s="60">
        <v>-2101</v>
      </c>
      <c r="M87" s="28"/>
      <c r="N87" s="131"/>
    </row>
    <row r="88" spans="1:14" ht="15.75">
      <c r="A88" s="27">
        <v>6</v>
      </c>
      <c r="B88" s="28" t="s">
        <v>59</v>
      </c>
      <c r="C88" s="28"/>
      <c r="D88" s="28"/>
      <c r="E88" s="28"/>
      <c r="F88" s="28"/>
      <c r="G88" s="28"/>
      <c r="H88" s="28"/>
      <c r="I88" s="28"/>
      <c r="J88" s="28"/>
      <c r="K88" s="28"/>
      <c r="L88" s="60">
        <v>-262</v>
      </c>
      <c r="M88" s="28"/>
      <c r="N88" s="131"/>
    </row>
    <row r="89" spans="1:14" ht="15.75">
      <c r="A89" s="27">
        <v>7</v>
      </c>
      <c r="B89" s="28" t="s">
        <v>60</v>
      </c>
      <c r="C89" s="28"/>
      <c r="D89" s="28"/>
      <c r="E89" s="28"/>
      <c r="F89" s="28"/>
      <c r="G89" s="28"/>
      <c r="H89" s="28"/>
      <c r="I89" s="28"/>
      <c r="J89" s="28"/>
      <c r="K89" s="28"/>
      <c r="L89" s="60">
        <v>-3</v>
      </c>
      <c r="M89" s="28"/>
      <c r="N89" s="131"/>
    </row>
    <row r="90" spans="1:14" ht="15.75">
      <c r="A90" s="27">
        <v>8</v>
      </c>
      <c r="B90" s="28" t="s">
        <v>61</v>
      </c>
      <c r="C90" s="28"/>
      <c r="D90" s="28"/>
      <c r="E90" s="28"/>
      <c r="F90" s="28"/>
      <c r="G90" s="28"/>
      <c r="H90" s="28"/>
      <c r="I90" s="28"/>
      <c r="J90" s="28"/>
      <c r="K90" s="28"/>
      <c r="L90" s="60">
        <v>0</v>
      </c>
      <c r="M90" s="28"/>
      <c r="N90" s="131"/>
    </row>
    <row r="91" spans="1:14" ht="15.75">
      <c r="A91" s="27">
        <v>9</v>
      </c>
      <c r="B91" s="28" t="s">
        <v>62</v>
      </c>
      <c r="C91" s="28"/>
      <c r="D91" s="28"/>
      <c r="E91" s="28"/>
      <c r="F91" s="28"/>
      <c r="G91" s="28"/>
      <c r="H91" s="28"/>
      <c r="I91" s="28"/>
      <c r="J91" s="28"/>
      <c r="K91" s="28"/>
      <c r="L91" s="60">
        <v>0</v>
      </c>
      <c r="M91" s="28"/>
      <c r="N91" s="131"/>
    </row>
    <row r="92" spans="1:14" ht="15.75">
      <c r="A92" s="27">
        <v>10</v>
      </c>
      <c r="B92" s="28" t="s">
        <v>63</v>
      </c>
      <c r="C92" s="28"/>
      <c r="D92" s="28"/>
      <c r="E92" s="28"/>
      <c r="F92" s="28"/>
      <c r="G92" s="28"/>
      <c r="H92" s="28"/>
      <c r="I92" s="28"/>
      <c r="J92" s="28"/>
      <c r="K92" s="28"/>
      <c r="L92" s="60">
        <v>0</v>
      </c>
      <c r="M92" s="28"/>
      <c r="N92" s="131"/>
    </row>
    <row r="93" spans="1:14" ht="15.75">
      <c r="A93" s="27">
        <v>11</v>
      </c>
      <c r="B93" s="28" t="s">
        <v>64</v>
      </c>
      <c r="C93" s="28"/>
      <c r="D93" s="28"/>
      <c r="E93" s="28"/>
      <c r="F93" s="28"/>
      <c r="G93" s="28"/>
      <c r="H93" s="28"/>
      <c r="I93" s="28"/>
      <c r="J93" s="28"/>
      <c r="K93" s="28"/>
      <c r="L93" s="60">
        <v>0</v>
      </c>
      <c r="M93" s="28"/>
      <c r="N93" s="131"/>
    </row>
    <row r="94" spans="1:14" ht="15.75">
      <c r="A94" s="27">
        <v>12</v>
      </c>
      <c r="B94" s="28" t="s">
        <v>65</v>
      </c>
      <c r="C94" s="28"/>
      <c r="D94" s="28"/>
      <c r="E94" s="28"/>
      <c r="F94" s="28"/>
      <c r="G94" s="28"/>
      <c r="H94" s="28"/>
      <c r="I94" s="28"/>
      <c r="J94" s="28"/>
      <c r="K94" s="28"/>
      <c r="L94" s="60">
        <v>-137</v>
      </c>
      <c r="M94" s="28"/>
      <c r="N94" s="131"/>
    </row>
    <row r="95" spans="1:14" ht="15.75">
      <c r="A95" s="27">
        <v>13</v>
      </c>
      <c r="B95" s="28" t="s">
        <v>66</v>
      </c>
      <c r="C95" s="28"/>
      <c r="D95" s="28"/>
      <c r="E95" s="28"/>
      <c r="F95" s="28"/>
      <c r="G95" s="28"/>
      <c r="H95" s="28"/>
      <c r="I95" s="28"/>
      <c r="J95" s="28"/>
      <c r="K95" s="28"/>
      <c r="L95" s="60">
        <f>-SUM(L81:L94)</f>
        <v>-557</v>
      </c>
      <c r="M95" s="28"/>
      <c r="N95" s="131"/>
    </row>
    <row r="96" spans="1:14" ht="15.75">
      <c r="A96" s="27"/>
      <c r="B96" s="166" t="s">
        <v>67</v>
      </c>
      <c r="C96" s="66"/>
      <c r="D96" s="28"/>
      <c r="E96" s="28"/>
      <c r="F96" s="28"/>
      <c r="G96" s="28"/>
      <c r="H96" s="28"/>
      <c r="I96" s="28"/>
      <c r="J96" s="28"/>
      <c r="K96" s="28"/>
      <c r="L96" s="67"/>
      <c r="M96" s="28"/>
      <c r="N96" s="131"/>
    </row>
    <row r="97" spans="1:14" ht="15.75">
      <c r="A97" s="27"/>
      <c r="B97" s="28" t="s">
        <v>68</v>
      </c>
      <c r="C97" s="66"/>
      <c r="D97" s="28"/>
      <c r="E97" s="28"/>
      <c r="F97" s="28"/>
      <c r="G97" s="28"/>
      <c r="H97" s="28"/>
      <c r="I97" s="28"/>
      <c r="J97" s="38">
        <f>-J143</f>
        <v>-4</v>
      </c>
      <c r="K97" s="38"/>
      <c r="L97" s="60"/>
      <c r="M97" s="28"/>
      <c r="N97" s="131"/>
    </row>
    <row r="98" spans="1:14" ht="15.75">
      <c r="A98" s="27"/>
      <c r="B98" s="28" t="s">
        <v>69</v>
      </c>
      <c r="C98" s="28"/>
      <c r="D98" s="28"/>
      <c r="E98" s="28"/>
      <c r="F98" s="28"/>
      <c r="G98" s="28"/>
      <c r="H98" s="28"/>
      <c r="I98" s="28"/>
      <c r="J98" s="38">
        <f>-H143</f>
        <v>-1909</v>
      </c>
      <c r="K98" s="38"/>
      <c r="L98" s="60"/>
      <c r="M98" s="28"/>
      <c r="N98" s="131"/>
    </row>
    <row r="99" spans="1:14" ht="15.75">
      <c r="A99" s="27"/>
      <c r="B99" s="28" t="s">
        <v>70</v>
      </c>
      <c r="C99" s="28"/>
      <c r="D99" s="28"/>
      <c r="E99" s="28"/>
      <c r="F99" s="28"/>
      <c r="G99" s="28"/>
      <c r="H99" s="28"/>
      <c r="I99" s="28"/>
      <c r="J99" s="38">
        <v>-3797</v>
      </c>
      <c r="K99" s="38"/>
      <c r="L99" s="60"/>
      <c r="M99" s="28"/>
      <c r="N99" s="131"/>
    </row>
    <row r="100" spans="1:14" ht="15.75">
      <c r="A100" s="27"/>
      <c r="B100" s="28" t="s">
        <v>71</v>
      </c>
      <c r="C100" s="28"/>
      <c r="D100" s="28"/>
      <c r="E100" s="28"/>
      <c r="F100" s="28"/>
      <c r="G100" s="28"/>
      <c r="H100" s="28"/>
      <c r="I100" s="28"/>
      <c r="J100" s="38">
        <v>0</v>
      </c>
      <c r="K100" s="38"/>
      <c r="L100" s="60"/>
      <c r="M100" s="28"/>
      <c r="N100" s="131"/>
    </row>
    <row r="101" spans="1:14" ht="15.75">
      <c r="A101" s="27"/>
      <c r="B101" s="28" t="s">
        <v>72</v>
      </c>
      <c r="C101" s="28"/>
      <c r="D101" s="28"/>
      <c r="E101" s="28"/>
      <c r="F101" s="28"/>
      <c r="G101" s="28"/>
      <c r="H101" s="28"/>
      <c r="I101" s="28"/>
      <c r="J101" s="38">
        <f>SUM(J82:J100)</f>
        <v>-5710</v>
      </c>
      <c r="K101" s="38"/>
      <c r="L101" s="38">
        <f>SUM(L82:L100)</f>
        <v>-3252</v>
      </c>
      <c r="M101" s="28"/>
      <c r="N101" s="131"/>
    </row>
    <row r="102" spans="1:14" ht="15.75">
      <c r="A102" s="27"/>
      <c r="B102" s="28" t="s">
        <v>73</v>
      </c>
      <c r="C102" s="28"/>
      <c r="D102" s="28"/>
      <c r="E102" s="28"/>
      <c r="F102" s="28"/>
      <c r="G102" s="28"/>
      <c r="H102" s="28"/>
      <c r="I102" s="28"/>
      <c r="J102" s="38">
        <f>J81+J101</f>
        <v>0</v>
      </c>
      <c r="K102" s="38"/>
      <c r="L102" s="38">
        <f>L81+L101</f>
        <v>0</v>
      </c>
      <c r="M102" s="28"/>
      <c r="N102" s="131"/>
    </row>
    <row r="103" spans="1:14" ht="15.75">
      <c r="A103" s="27"/>
      <c r="B103" s="28"/>
      <c r="C103" s="28"/>
      <c r="D103" s="28"/>
      <c r="E103" s="28"/>
      <c r="F103" s="28"/>
      <c r="G103" s="28"/>
      <c r="H103" s="28"/>
      <c r="I103" s="28"/>
      <c r="J103" s="38"/>
      <c r="K103" s="38"/>
      <c r="L103" s="38"/>
      <c r="M103" s="28"/>
      <c r="N103" s="131"/>
    </row>
    <row r="104" spans="1:14" ht="15.75">
      <c r="A104" s="8"/>
      <c r="B104" s="10"/>
      <c r="C104" s="10"/>
      <c r="D104" s="10"/>
      <c r="E104" s="10"/>
      <c r="F104" s="10"/>
      <c r="G104" s="10"/>
      <c r="H104" s="10"/>
      <c r="I104" s="10"/>
      <c r="J104" s="62"/>
      <c r="K104" s="62"/>
      <c r="L104" s="62"/>
      <c r="M104" s="10"/>
      <c r="N104" s="131"/>
    </row>
    <row r="105" spans="1:14" ht="19.5" thickBot="1">
      <c r="A105" s="138"/>
      <c r="B105" s="139" t="s">
        <v>205</v>
      </c>
      <c r="C105" s="140"/>
      <c r="D105" s="140"/>
      <c r="E105" s="140"/>
      <c r="F105" s="140"/>
      <c r="G105" s="140"/>
      <c r="H105" s="140"/>
      <c r="I105" s="140"/>
      <c r="J105" s="143"/>
      <c r="K105" s="143"/>
      <c r="L105" s="143"/>
      <c r="M105" s="142"/>
      <c r="N105" s="131"/>
    </row>
    <row r="106" spans="1:14" ht="12" customHeight="1">
      <c r="A106" s="2"/>
      <c r="B106" s="5"/>
      <c r="C106" s="5"/>
      <c r="D106" s="5"/>
      <c r="E106" s="5"/>
      <c r="F106" s="5"/>
      <c r="G106" s="5"/>
      <c r="H106" s="5"/>
      <c r="I106" s="5"/>
      <c r="J106" s="5"/>
      <c r="K106" s="5"/>
      <c r="L106" s="57"/>
      <c r="M106" s="5"/>
      <c r="N106" s="131"/>
    </row>
    <row r="107" spans="1:14" ht="12" customHeight="1">
      <c r="A107" s="8"/>
      <c r="B107" s="10"/>
      <c r="C107" s="10"/>
      <c r="D107" s="10"/>
      <c r="E107" s="10"/>
      <c r="F107" s="10"/>
      <c r="G107" s="10"/>
      <c r="H107" s="10"/>
      <c r="I107" s="10"/>
      <c r="J107" s="10"/>
      <c r="K107" s="10"/>
      <c r="L107" s="59"/>
      <c r="M107" s="10"/>
      <c r="N107" s="131"/>
    </row>
    <row r="108" spans="1:14" ht="15.75">
      <c r="A108" s="8"/>
      <c r="B108" s="58" t="s">
        <v>74</v>
      </c>
      <c r="C108" s="16"/>
      <c r="D108" s="10"/>
      <c r="E108" s="10"/>
      <c r="F108" s="10"/>
      <c r="G108" s="10"/>
      <c r="H108" s="10"/>
      <c r="I108" s="10"/>
      <c r="J108" s="10"/>
      <c r="K108" s="10"/>
      <c r="L108" s="59"/>
      <c r="M108" s="10"/>
      <c r="N108" s="131"/>
    </row>
    <row r="109" spans="1:14" ht="15.75">
      <c r="A109" s="8"/>
      <c r="B109" s="23"/>
      <c r="C109" s="16"/>
      <c r="D109" s="10"/>
      <c r="E109" s="10"/>
      <c r="F109" s="10"/>
      <c r="G109" s="10"/>
      <c r="H109" s="10"/>
      <c r="I109" s="10"/>
      <c r="J109" s="10"/>
      <c r="K109" s="10"/>
      <c r="L109" s="59"/>
      <c r="M109" s="10"/>
      <c r="N109" s="131"/>
    </row>
    <row r="110" spans="1:14" ht="15.75">
      <c r="A110" s="8"/>
      <c r="B110" s="167" t="s">
        <v>75</v>
      </c>
      <c r="C110" s="16"/>
      <c r="D110" s="10"/>
      <c r="E110" s="10"/>
      <c r="F110" s="10"/>
      <c r="G110" s="10"/>
      <c r="H110" s="10"/>
      <c r="I110" s="10"/>
      <c r="J110" s="10"/>
      <c r="K110" s="10"/>
      <c r="L110" s="59"/>
      <c r="M110" s="10"/>
      <c r="N110" s="131"/>
    </row>
    <row r="111" spans="1:14" ht="15.75">
      <c r="A111" s="27"/>
      <c r="B111" s="28" t="s">
        <v>76</v>
      </c>
      <c r="C111" s="28"/>
      <c r="D111" s="28"/>
      <c r="E111" s="28"/>
      <c r="F111" s="28"/>
      <c r="G111" s="28"/>
      <c r="H111" s="28"/>
      <c r="I111" s="28"/>
      <c r="J111" s="28"/>
      <c r="K111" s="28"/>
      <c r="L111" s="60">
        <v>4625</v>
      </c>
      <c r="M111" s="28"/>
      <c r="N111" s="131"/>
    </row>
    <row r="112" spans="1:14" ht="15.75">
      <c r="A112" s="27"/>
      <c r="B112" s="28" t="s">
        <v>77</v>
      </c>
      <c r="C112" s="28"/>
      <c r="D112" s="28"/>
      <c r="E112" s="28"/>
      <c r="F112" s="28"/>
      <c r="G112" s="28"/>
      <c r="H112" s="28"/>
      <c r="I112" s="28"/>
      <c r="J112" s="28"/>
      <c r="K112" s="28"/>
      <c r="L112" s="60">
        <v>4625</v>
      </c>
      <c r="M112" s="28"/>
      <c r="N112" s="131"/>
    </row>
    <row r="113" spans="1:14" ht="15.75">
      <c r="A113" s="27"/>
      <c r="B113" s="28" t="s">
        <v>78</v>
      </c>
      <c r="C113" s="28"/>
      <c r="D113" s="28"/>
      <c r="E113" s="28"/>
      <c r="F113" s="28"/>
      <c r="G113" s="28"/>
      <c r="H113" s="28"/>
      <c r="I113" s="28"/>
      <c r="J113" s="28"/>
      <c r="K113" s="28"/>
      <c r="L113" s="60">
        <v>0</v>
      </c>
      <c r="M113" s="28"/>
      <c r="N113" s="131"/>
    </row>
    <row r="114" spans="1:14" ht="15.75">
      <c r="A114" s="27"/>
      <c r="B114" s="28" t="s">
        <v>79</v>
      </c>
      <c r="C114" s="28"/>
      <c r="D114" s="28"/>
      <c r="E114" s="28"/>
      <c r="F114" s="28"/>
      <c r="G114" s="28"/>
      <c r="H114" s="28"/>
      <c r="I114" s="28"/>
      <c r="J114" s="28"/>
      <c r="K114" s="28"/>
      <c r="L114" s="60">
        <v>0</v>
      </c>
      <c r="M114" s="28"/>
      <c r="N114" s="131"/>
    </row>
    <row r="115" spans="1:14" ht="15.75">
      <c r="A115" s="27"/>
      <c r="B115" s="28" t="s">
        <v>80</v>
      </c>
      <c r="C115" s="28"/>
      <c r="D115" s="28"/>
      <c r="E115" s="28"/>
      <c r="F115" s="28"/>
      <c r="G115" s="28"/>
      <c r="H115" s="28"/>
      <c r="I115" s="28"/>
      <c r="J115" s="28"/>
      <c r="K115" s="28"/>
      <c r="L115" s="60">
        <v>0</v>
      </c>
      <c r="M115" s="28"/>
      <c r="N115" s="131"/>
    </row>
    <row r="116" spans="1:14" ht="15.75">
      <c r="A116" s="27"/>
      <c r="B116" s="28" t="s">
        <v>58</v>
      </c>
      <c r="C116" s="28"/>
      <c r="D116" s="28"/>
      <c r="E116" s="28"/>
      <c r="F116" s="28"/>
      <c r="G116" s="28"/>
      <c r="H116" s="28"/>
      <c r="I116" s="28"/>
      <c r="J116" s="28"/>
      <c r="K116" s="28"/>
      <c r="L116" s="60">
        <v>0</v>
      </c>
      <c r="M116" s="28"/>
      <c r="N116" s="131"/>
    </row>
    <row r="117" spans="1:14" ht="15.75">
      <c r="A117" s="27"/>
      <c r="B117" s="28" t="s">
        <v>59</v>
      </c>
      <c r="C117" s="28"/>
      <c r="D117" s="28"/>
      <c r="E117" s="28"/>
      <c r="F117" s="28"/>
      <c r="G117" s="28"/>
      <c r="H117" s="28"/>
      <c r="I117" s="28"/>
      <c r="J117" s="28"/>
      <c r="K117" s="28"/>
      <c r="L117" s="60">
        <v>0</v>
      </c>
      <c r="M117" s="28"/>
      <c r="N117" s="131"/>
    </row>
    <row r="118" spans="1:14" ht="15.75">
      <c r="A118" s="27"/>
      <c r="B118" s="28" t="s">
        <v>81</v>
      </c>
      <c r="C118" s="28"/>
      <c r="D118" s="28"/>
      <c r="E118" s="28"/>
      <c r="F118" s="28"/>
      <c r="G118" s="28"/>
      <c r="H118" s="28"/>
      <c r="I118" s="28"/>
      <c r="J118" s="28"/>
      <c r="K118" s="28"/>
      <c r="L118" s="60">
        <f>SUM(L112:L116)</f>
        <v>4625</v>
      </c>
      <c r="M118" s="28"/>
      <c r="N118" s="131"/>
    </row>
    <row r="119" spans="1:14" ht="15.75">
      <c r="A119" s="27"/>
      <c r="B119" s="28"/>
      <c r="C119" s="28"/>
      <c r="D119" s="28"/>
      <c r="E119" s="28"/>
      <c r="F119" s="28"/>
      <c r="G119" s="28"/>
      <c r="H119" s="28"/>
      <c r="I119" s="28"/>
      <c r="J119" s="28"/>
      <c r="K119" s="28"/>
      <c r="L119" s="68"/>
      <c r="M119" s="28"/>
      <c r="N119" s="131"/>
    </row>
    <row r="120" spans="1:14" ht="15.75">
      <c r="A120" s="8"/>
      <c r="B120" s="167" t="s">
        <v>82</v>
      </c>
      <c r="C120" s="10"/>
      <c r="D120" s="10"/>
      <c r="E120" s="10"/>
      <c r="F120" s="10"/>
      <c r="G120" s="10"/>
      <c r="H120" s="10"/>
      <c r="I120" s="10"/>
      <c r="J120" s="10"/>
      <c r="K120" s="10"/>
      <c r="L120" s="59"/>
      <c r="M120" s="10"/>
      <c r="N120" s="131"/>
    </row>
    <row r="121" spans="1:14" ht="15.75">
      <c r="A121" s="27"/>
      <c r="B121" s="28" t="s">
        <v>83</v>
      </c>
      <c r="C121" s="28"/>
      <c r="D121" s="69"/>
      <c r="E121" s="28"/>
      <c r="F121" s="28"/>
      <c r="G121" s="28"/>
      <c r="H121" s="28"/>
      <c r="I121" s="28"/>
      <c r="J121" s="28"/>
      <c r="K121" s="28"/>
      <c r="L121" s="70" t="s">
        <v>156</v>
      </c>
      <c r="M121" s="28"/>
      <c r="N121" s="131"/>
    </row>
    <row r="122" spans="1:14" ht="15.75">
      <c r="A122" s="27"/>
      <c r="B122" s="28" t="s">
        <v>84</v>
      </c>
      <c r="C122" s="30"/>
      <c r="D122" s="30"/>
      <c r="E122" s="30"/>
      <c r="F122" s="30"/>
      <c r="G122" s="30"/>
      <c r="H122" s="30"/>
      <c r="I122" s="30"/>
      <c r="J122" s="30"/>
      <c r="K122" s="30"/>
      <c r="L122" s="70" t="s">
        <v>156</v>
      </c>
      <c r="M122" s="28"/>
      <c r="N122" s="131"/>
    </row>
    <row r="123" spans="1:14" ht="15.75">
      <c r="A123" s="27"/>
      <c r="B123" s="28" t="s">
        <v>85</v>
      </c>
      <c r="C123" s="28"/>
      <c r="D123" s="28"/>
      <c r="E123" s="28"/>
      <c r="F123" s="28"/>
      <c r="G123" s="28"/>
      <c r="H123" s="28"/>
      <c r="I123" s="28"/>
      <c r="J123" s="28"/>
      <c r="K123" s="28"/>
      <c r="L123" s="70" t="s">
        <v>156</v>
      </c>
      <c r="M123" s="28"/>
      <c r="N123" s="131"/>
    </row>
    <row r="124" spans="1:14" ht="15.75">
      <c r="A124" s="27"/>
      <c r="B124" s="28" t="s">
        <v>86</v>
      </c>
      <c r="C124" s="28"/>
      <c r="D124" s="28"/>
      <c r="E124" s="28"/>
      <c r="F124" s="28"/>
      <c r="G124" s="28"/>
      <c r="H124" s="28"/>
      <c r="I124" s="28"/>
      <c r="J124" s="28"/>
      <c r="K124" s="28"/>
      <c r="L124" s="70" t="s">
        <v>156</v>
      </c>
      <c r="M124" s="28"/>
      <c r="N124" s="131"/>
    </row>
    <row r="125" spans="1:14" ht="15.75">
      <c r="A125" s="27"/>
      <c r="B125" s="28"/>
      <c r="C125" s="28"/>
      <c r="D125" s="28"/>
      <c r="E125" s="28"/>
      <c r="F125" s="28"/>
      <c r="G125" s="28"/>
      <c r="H125" s="28"/>
      <c r="I125" s="28"/>
      <c r="J125" s="28"/>
      <c r="K125" s="28"/>
      <c r="L125" s="68"/>
      <c r="M125" s="28"/>
      <c r="N125" s="131"/>
    </row>
    <row r="126" spans="1:14" ht="15.75">
      <c r="A126" s="8"/>
      <c r="B126" s="167" t="s">
        <v>87</v>
      </c>
      <c r="C126" s="16"/>
      <c r="D126" s="10"/>
      <c r="E126" s="10"/>
      <c r="F126" s="10"/>
      <c r="G126" s="10"/>
      <c r="H126" s="10"/>
      <c r="I126" s="10"/>
      <c r="J126" s="10"/>
      <c r="K126" s="10"/>
      <c r="L126" s="71"/>
      <c r="M126" s="10"/>
      <c r="N126" s="131"/>
    </row>
    <row r="127" spans="1:14" ht="15.75">
      <c r="A127" s="27"/>
      <c r="B127" s="28" t="s">
        <v>88</v>
      </c>
      <c r="C127" s="28"/>
      <c r="D127" s="28"/>
      <c r="E127" s="28"/>
      <c r="F127" s="28"/>
      <c r="G127" s="28"/>
      <c r="H127" s="28"/>
      <c r="I127" s="28"/>
      <c r="J127" s="28"/>
      <c r="K127" s="28"/>
      <c r="L127" s="60">
        <v>0</v>
      </c>
      <c r="M127" s="28"/>
      <c r="N127" s="131"/>
    </row>
    <row r="128" spans="1:14" ht="15.75">
      <c r="A128" s="27"/>
      <c r="B128" s="28" t="s">
        <v>89</v>
      </c>
      <c r="C128" s="28"/>
      <c r="D128" s="28"/>
      <c r="E128" s="28"/>
      <c r="F128" s="28"/>
      <c r="G128" s="28"/>
      <c r="H128" s="28"/>
      <c r="I128" s="28"/>
      <c r="J128" s="28"/>
      <c r="K128" s="28"/>
      <c r="L128" s="60">
        <v>0</v>
      </c>
      <c r="M128" s="28"/>
      <c r="N128" s="131"/>
    </row>
    <row r="129" spans="1:14" ht="15.75">
      <c r="A129" s="27"/>
      <c r="B129" s="28" t="s">
        <v>90</v>
      </c>
      <c r="C129" s="28"/>
      <c r="D129" s="28"/>
      <c r="E129" s="28"/>
      <c r="F129" s="28"/>
      <c r="G129" s="28"/>
      <c r="H129" s="28"/>
      <c r="I129" s="28"/>
      <c r="J129" s="28"/>
      <c r="K129" s="28"/>
      <c r="L129" s="60">
        <f>L128+L127</f>
        <v>0</v>
      </c>
      <c r="M129" s="28"/>
      <c r="N129" s="131"/>
    </row>
    <row r="130" spans="1:14" ht="15.75">
      <c r="A130" s="27"/>
      <c r="B130" s="28" t="s">
        <v>91</v>
      </c>
      <c r="C130" s="28"/>
      <c r="D130" s="28"/>
      <c r="E130" s="28"/>
      <c r="F130" s="28"/>
      <c r="G130" s="28"/>
      <c r="H130" s="72"/>
      <c r="I130" s="28"/>
      <c r="J130" s="28"/>
      <c r="K130" s="28"/>
      <c r="L130" s="60">
        <v>0</v>
      </c>
      <c r="M130" s="28"/>
      <c r="N130" s="131"/>
    </row>
    <row r="131" spans="1:14" ht="15.75">
      <c r="A131" s="27"/>
      <c r="B131" s="28" t="s">
        <v>92</v>
      </c>
      <c r="C131" s="28"/>
      <c r="D131" s="28"/>
      <c r="E131" s="28"/>
      <c r="F131" s="28"/>
      <c r="G131" s="28"/>
      <c r="H131" s="28"/>
      <c r="I131" s="28"/>
      <c r="J131" s="28"/>
      <c r="K131" s="28"/>
      <c r="L131" s="60">
        <f>L129+L130</f>
        <v>0</v>
      </c>
      <c r="M131" s="28"/>
      <c r="N131" s="131"/>
    </row>
    <row r="132" spans="1:14" ht="7.5" customHeight="1">
      <c r="A132" s="27"/>
      <c r="B132" s="28"/>
      <c r="C132" s="28"/>
      <c r="D132" s="28"/>
      <c r="E132" s="28"/>
      <c r="F132" s="28"/>
      <c r="G132" s="28"/>
      <c r="H132" s="28"/>
      <c r="I132" s="28"/>
      <c r="J132" s="28"/>
      <c r="K132" s="28"/>
      <c r="L132" s="68"/>
      <c r="M132" s="28"/>
      <c r="N132" s="131"/>
    </row>
    <row r="133" spans="1:14" ht="6" customHeight="1">
      <c r="A133" s="2"/>
      <c r="B133" s="5"/>
      <c r="C133" s="5"/>
      <c r="D133" s="5"/>
      <c r="E133" s="5"/>
      <c r="F133" s="5"/>
      <c r="G133" s="5"/>
      <c r="H133" s="5"/>
      <c r="I133" s="5"/>
      <c r="J133" s="5"/>
      <c r="K133" s="5"/>
      <c r="L133" s="57"/>
      <c r="M133" s="5"/>
      <c r="N133" s="131"/>
    </row>
    <row r="134" spans="1:14" ht="15.75">
      <c r="A134" s="8"/>
      <c r="B134" s="167" t="s">
        <v>93</v>
      </c>
      <c r="C134" s="16"/>
      <c r="D134" s="10"/>
      <c r="E134" s="10"/>
      <c r="F134" s="10"/>
      <c r="G134" s="10"/>
      <c r="H134" s="10"/>
      <c r="I134" s="10"/>
      <c r="J134" s="10"/>
      <c r="K134" s="10"/>
      <c r="L134" s="59"/>
      <c r="M134" s="10"/>
      <c r="N134" s="131"/>
    </row>
    <row r="135" spans="1:14" ht="15.75">
      <c r="A135" s="8"/>
      <c r="B135" s="23"/>
      <c r="C135" s="16"/>
      <c r="D135" s="10"/>
      <c r="E135" s="10"/>
      <c r="F135" s="10"/>
      <c r="G135" s="10"/>
      <c r="H135" s="10"/>
      <c r="I135" s="10"/>
      <c r="J135" s="10"/>
      <c r="K135" s="10"/>
      <c r="L135" s="59"/>
      <c r="M135" s="10"/>
      <c r="N135" s="131"/>
    </row>
    <row r="136" spans="1:14" ht="15.75">
      <c r="A136" s="27"/>
      <c r="B136" s="28" t="s">
        <v>94</v>
      </c>
      <c r="C136" s="73"/>
      <c r="D136" s="28"/>
      <c r="E136" s="28"/>
      <c r="F136" s="28"/>
      <c r="G136" s="28"/>
      <c r="H136" s="28"/>
      <c r="I136" s="28"/>
      <c r="J136" s="28"/>
      <c r="K136" s="28"/>
      <c r="L136" s="60">
        <f>L59</f>
        <v>162043</v>
      </c>
      <c r="M136" s="28"/>
      <c r="N136" s="131"/>
    </row>
    <row r="137" spans="1:14" ht="15.75">
      <c r="A137" s="27"/>
      <c r="B137" s="28" t="s">
        <v>95</v>
      </c>
      <c r="C137" s="73"/>
      <c r="D137" s="28"/>
      <c r="E137" s="28"/>
      <c r="F137" s="28"/>
      <c r="G137" s="28"/>
      <c r="H137" s="28"/>
      <c r="I137" s="28"/>
      <c r="J137" s="28"/>
      <c r="K137" s="28"/>
      <c r="L137" s="60">
        <f>L71</f>
        <v>162043</v>
      </c>
      <c r="M137" s="28"/>
      <c r="N137" s="131"/>
    </row>
    <row r="138" spans="1:14" ht="7.5" customHeight="1">
      <c r="A138" s="27"/>
      <c r="B138" s="28"/>
      <c r="C138" s="28"/>
      <c r="D138" s="28"/>
      <c r="E138" s="28"/>
      <c r="F138" s="28"/>
      <c r="G138" s="28"/>
      <c r="H138" s="28"/>
      <c r="I138" s="28"/>
      <c r="J138" s="28"/>
      <c r="K138" s="28"/>
      <c r="L138" s="68"/>
      <c r="M138" s="28"/>
      <c r="N138" s="131"/>
    </row>
    <row r="139" spans="1:14" ht="15.75">
      <c r="A139" s="2"/>
      <c r="B139" s="5"/>
      <c r="C139" s="5"/>
      <c r="D139" s="5"/>
      <c r="E139" s="5"/>
      <c r="F139" s="5"/>
      <c r="G139" s="5"/>
      <c r="H139" s="5"/>
      <c r="I139" s="5"/>
      <c r="J139" s="5"/>
      <c r="K139" s="5"/>
      <c r="L139" s="57"/>
      <c r="M139" s="5"/>
      <c r="N139" s="131"/>
    </row>
    <row r="140" spans="1:14" ht="15.75">
      <c r="A140" s="132"/>
      <c r="B140" s="167" t="s">
        <v>96</v>
      </c>
      <c r="C140" s="154"/>
      <c r="D140" s="154"/>
      <c r="E140" s="154"/>
      <c r="F140" s="154"/>
      <c r="G140" s="154"/>
      <c r="H140" s="168" t="s">
        <v>171</v>
      </c>
      <c r="I140" s="168"/>
      <c r="J140" s="168" t="s">
        <v>178</v>
      </c>
      <c r="K140" s="154"/>
      <c r="L140" s="169" t="s">
        <v>191</v>
      </c>
      <c r="M140" s="12"/>
      <c r="N140" s="131"/>
    </row>
    <row r="141" spans="1:14" ht="15.75">
      <c r="A141" s="27"/>
      <c r="B141" s="28" t="s">
        <v>97</v>
      </c>
      <c r="C141" s="28"/>
      <c r="D141" s="28"/>
      <c r="E141" s="28"/>
      <c r="F141" s="28"/>
      <c r="G141" s="28"/>
      <c r="H141" s="60">
        <v>20000</v>
      </c>
      <c r="I141" s="28"/>
      <c r="J141" s="47"/>
      <c r="K141" s="28"/>
      <c r="L141" s="60"/>
      <c r="M141" s="28"/>
      <c r="N141" s="131"/>
    </row>
    <row r="142" spans="1:14" ht="15.75">
      <c r="A142" s="27"/>
      <c r="B142" s="28" t="s">
        <v>98</v>
      </c>
      <c r="C142" s="28"/>
      <c r="D142" s="28"/>
      <c r="E142" s="28"/>
      <c r="F142" s="28"/>
      <c r="G142" s="28"/>
      <c r="H142" s="60">
        <v>8756</v>
      </c>
      <c r="I142" s="28"/>
      <c r="J142" s="28">
        <v>512</v>
      </c>
      <c r="K142" s="28"/>
      <c r="L142" s="60">
        <f>J142+H142</f>
        <v>9268</v>
      </c>
      <c r="M142" s="28"/>
      <c r="N142" s="131"/>
    </row>
    <row r="143" spans="1:14" ht="15.75">
      <c r="A143" s="27"/>
      <c r="B143" s="28" t="s">
        <v>99</v>
      </c>
      <c r="C143" s="28"/>
      <c r="D143" s="28"/>
      <c r="E143" s="28"/>
      <c r="F143" s="28"/>
      <c r="G143" s="28"/>
      <c r="H143" s="38">
        <v>1909</v>
      </c>
      <c r="I143" s="28"/>
      <c r="J143" s="28">
        <v>4</v>
      </c>
      <c r="K143" s="28"/>
      <c r="L143" s="60">
        <f>J143+H143</f>
        <v>1913</v>
      </c>
      <c r="M143" s="28"/>
      <c r="N143" s="131"/>
    </row>
    <row r="144" spans="1:14" ht="15.75">
      <c r="A144" s="27"/>
      <c r="B144" s="28" t="s">
        <v>100</v>
      </c>
      <c r="C144" s="28"/>
      <c r="D144" s="28"/>
      <c r="E144" s="28"/>
      <c r="F144" s="28"/>
      <c r="G144" s="28"/>
      <c r="H144" s="60">
        <f>H142+H143</f>
        <v>10665</v>
      </c>
      <c r="I144" s="28"/>
      <c r="J144" s="60">
        <f>J143+J142</f>
        <v>516</v>
      </c>
      <c r="K144" s="28"/>
      <c r="L144" s="60">
        <f>J144+H144</f>
        <v>11181</v>
      </c>
      <c r="M144" s="28"/>
      <c r="N144" s="131"/>
    </row>
    <row r="145" spans="1:14" ht="15.75">
      <c r="A145" s="27"/>
      <c r="B145" s="28" t="s">
        <v>101</v>
      </c>
      <c r="C145" s="28"/>
      <c r="D145" s="28"/>
      <c r="E145" s="28"/>
      <c r="F145" s="28"/>
      <c r="G145" s="28"/>
      <c r="H145" s="60">
        <f>H141-H144</f>
        <v>9335</v>
      </c>
      <c r="I145" s="28"/>
      <c r="J145" s="47"/>
      <c r="K145" s="28"/>
      <c r="L145" s="60"/>
      <c r="M145" s="28"/>
      <c r="N145" s="131"/>
    </row>
    <row r="146" spans="1:14" ht="7.5" customHeight="1">
      <c r="A146" s="27"/>
      <c r="B146" s="28"/>
      <c r="C146" s="28"/>
      <c r="D146" s="28"/>
      <c r="E146" s="28"/>
      <c r="F146" s="28"/>
      <c r="G146" s="28"/>
      <c r="H146" s="28"/>
      <c r="I146" s="28"/>
      <c r="J146" s="28"/>
      <c r="K146" s="28"/>
      <c r="L146" s="68"/>
      <c r="M146" s="28"/>
      <c r="N146" s="131"/>
    </row>
    <row r="147" spans="1:14" ht="9" customHeight="1">
      <c r="A147" s="2"/>
      <c r="B147" s="5"/>
      <c r="C147" s="5"/>
      <c r="D147" s="5"/>
      <c r="E147" s="5"/>
      <c r="F147" s="5"/>
      <c r="G147" s="5"/>
      <c r="H147" s="5"/>
      <c r="I147" s="5"/>
      <c r="J147" s="5"/>
      <c r="K147" s="5"/>
      <c r="L147" s="57"/>
      <c r="M147" s="5"/>
      <c r="N147" s="131"/>
    </row>
    <row r="148" spans="1:14" ht="15.75">
      <c r="A148" s="8"/>
      <c r="B148" s="167" t="s">
        <v>102</v>
      </c>
      <c r="C148" s="16"/>
      <c r="D148" s="10"/>
      <c r="E148" s="10"/>
      <c r="F148" s="10"/>
      <c r="G148" s="10"/>
      <c r="H148" s="10"/>
      <c r="I148" s="10"/>
      <c r="J148" s="10"/>
      <c r="K148" s="10"/>
      <c r="L148" s="74"/>
      <c r="M148" s="10"/>
      <c r="N148" s="131"/>
    </row>
    <row r="149" spans="1:14" ht="15.75">
      <c r="A149" s="27"/>
      <c r="B149" s="28" t="s">
        <v>103</v>
      </c>
      <c r="C149" s="28"/>
      <c r="D149" s="28"/>
      <c r="E149" s="28"/>
      <c r="F149" s="28"/>
      <c r="G149" s="28"/>
      <c r="H149" s="28"/>
      <c r="I149" s="28"/>
      <c r="J149" s="28"/>
      <c r="K149" s="28"/>
      <c r="L149" s="67">
        <f>(L81+L83+L84+L85+L86)/-L87</f>
        <v>1.4564493098524511</v>
      </c>
      <c r="M149" s="28" t="s">
        <v>192</v>
      </c>
      <c r="N149" s="131"/>
    </row>
    <row r="150" spans="1:14" ht="15.75">
      <c r="A150" s="27"/>
      <c r="B150" s="28" t="s">
        <v>104</v>
      </c>
      <c r="C150" s="28"/>
      <c r="D150" s="28"/>
      <c r="E150" s="28"/>
      <c r="F150" s="28"/>
      <c r="G150" s="28"/>
      <c r="H150" s="28"/>
      <c r="I150" s="28"/>
      <c r="J150" s="28"/>
      <c r="K150" s="28"/>
      <c r="L150" s="67">
        <v>1.34</v>
      </c>
      <c r="M150" s="28" t="s">
        <v>192</v>
      </c>
      <c r="N150" s="131"/>
    </row>
    <row r="151" spans="1:14" ht="15.75">
      <c r="A151" s="27"/>
      <c r="B151" s="28" t="s">
        <v>105</v>
      </c>
      <c r="C151" s="28"/>
      <c r="D151" s="28"/>
      <c r="E151" s="28"/>
      <c r="F151" s="28"/>
      <c r="G151" s="28"/>
      <c r="H151" s="28"/>
      <c r="I151" s="28"/>
      <c r="J151" s="28"/>
      <c r="K151" s="28"/>
      <c r="L151" s="67">
        <f>(L81+SUM(L83:L87))/-L88</f>
        <v>3.6603053435114505</v>
      </c>
      <c r="M151" s="28" t="s">
        <v>192</v>
      </c>
      <c r="N151" s="131"/>
    </row>
    <row r="152" spans="1:14" ht="15.75">
      <c r="A152" s="27"/>
      <c r="B152" s="28" t="s">
        <v>106</v>
      </c>
      <c r="C152" s="28"/>
      <c r="D152" s="28"/>
      <c r="E152" s="28"/>
      <c r="F152" s="28"/>
      <c r="G152" s="28"/>
      <c r="H152" s="28"/>
      <c r="I152" s="28"/>
      <c r="J152" s="28"/>
      <c r="K152" s="28"/>
      <c r="L152" s="75">
        <v>2.96</v>
      </c>
      <c r="M152" s="28" t="s">
        <v>192</v>
      </c>
      <c r="N152" s="131"/>
    </row>
    <row r="153" spans="1:14" ht="7.5" customHeight="1">
      <c r="A153" s="27"/>
      <c r="B153" s="28"/>
      <c r="C153" s="28"/>
      <c r="D153" s="28"/>
      <c r="E153" s="28"/>
      <c r="F153" s="28"/>
      <c r="G153" s="28"/>
      <c r="H153" s="28"/>
      <c r="I153" s="28"/>
      <c r="J153" s="28"/>
      <c r="K153" s="28"/>
      <c r="L153" s="28"/>
      <c r="M153" s="28"/>
      <c r="N153" s="131"/>
    </row>
    <row r="154" spans="1:14" ht="15.75">
      <c r="A154" s="8"/>
      <c r="B154" s="15"/>
      <c r="C154" s="15"/>
      <c r="D154" s="15"/>
      <c r="E154" s="15"/>
      <c r="F154" s="15"/>
      <c r="G154" s="15"/>
      <c r="H154" s="15"/>
      <c r="I154" s="15"/>
      <c r="J154" s="15"/>
      <c r="K154" s="15"/>
      <c r="L154" s="15"/>
      <c r="M154" s="15"/>
      <c r="N154" s="131"/>
    </row>
    <row r="155" spans="1:14" ht="15.75">
      <c r="A155" s="8"/>
      <c r="B155" s="15"/>
      <c r="C155" s="15"/>
      <c r="D155" s="15"/>
      <c r="E155" s="15"/>
      <c r="F155" s="15"/>
      <c r="G155" s="15"/>
      <c r="H155" s="15"/>
      <c r="I155" s="15"/>
      <c r="J155" s="15"/>
      <c r="K155" s="15"/>
      <c r="L155" s="15"/>
      <c r="M155" s="15"/>
      <c r="N155" s="131"/>
    </row>
    <row r="156" spans="1:14" ht="19.5" thickBot="1">
      <c r="A156" s="138"/>
      <c r="B156" s="139" t="s">
        <v>205</v>
      </c>
      <c r="C156" s="144"/>
      <c r="D156" s="144"/>
      <c r="E156" s="144"/>
      <c r="F156" s="144"/>
      <c r="G156" s="144"/>
      <c r="H156" s="144"/>
      <c r="I156" s="144"/>
      <c r="J156" s="144"/>
      <c r="K156" s="144"/>
      <c r="L156" s="144"/>
      <c r="M156" s="145"/>
      <c r="N156" s="131"/>
    </row>
    <row r="157" spans="1:14" ht="15.75">
      <c r="A157" s="133"/>
      <c r="B157" s="77" t="s">
        <v>107</v>
      </c>
      <c r="C157" s="78"/>
      <c r="D157" s="78"/>
      <c r="E157" s="78"/>
      <c r="F157" s="78"/>
      <c r="G157" s="79"/>
      <c r="H157" s="79"/>
      <c r="I157" s="79"/>
      <c r="J157" s="79">
        <v>37072</v>
      </c>
      <c r="K157" s="80"/>
      <c r="L157" s="5"/>
      <c r="M157" s="5"/>
      <c r="N157" s="131"/>
    </row>
    <row r="158" spans="1:14" ht="15.75">
      <c r="A158" s="82"/>
      <c r="B158" s="83"/>
      <c r="C158" s="84"/>
      <c r="D158" s="84"/>
      <c r="E158" s="84"/>
      <c r="F158" s="84"/>
      <c r="G158" s="85"/>
      <c r="H158" s="85"/>
      <c r="I158" s="85"/>
      <c r="J158" s="85"/>
      <c r="K158" s="10"/>
      <c r="L158" s="10"/>
      <c r="M158" s="10"/>
      <c r="N158" s="131"/>
    </row>
    <row r="159" spans="1:14" ht="15.75">
      <c r="A159" s="86"/>
      <c r="B159" s="87" t="s">
        <v>108</v>
      </c>
      <c r="C159" s="88"/>
      <c r="D159" s="88"/>
      <c r="E159" s="88"/>
      <c r="F159" s="88"/>
      <c r="G159" s="72"/>
      <c r="H159" s="72"/>
      <c r="I159" s="72"/>
      <c r="J159" s="89">
        <v>0.0714</v>
      </c>
      <c r="K159" s="28"/>
      <c r="L159" s="28"/>
      <c r="M159" s="28"/>
      <c r="N159" s="131"/>
    </row>
    <row r="160" spans="1:14" ht="15.75">
      <c r="A160" s="86"/>
      <c r="B160" s="87" t="s">
        <v>109</v>
      </c>
      <c r="C160" s="88"/>
      <c r="D160" s="88"/>
      <c r="E160" s="88"/>
      <c r="F160" s="88"/>
      <c r="G160" s="72"/>
      <c r="H160" s="72"/>
      <c r="I160" s="72"/>
      <c r="J160" s="46">
        <v>0.0553</v>
      </c>
      <c r="K160" s="28"/>
      <c r="L160" s="28"/>
      <c r="M160" s="28"/>
      <c r="N160" s="131"/>
    </row>
    <row r="161" spans="1:14" ht="15.75">
      <c r="A161" s="86"/>
      <c r="B161" s="87" t="s">
        <v>110</v>
      </c>
      <c r="C161" s="88"/>
      <c r="D161" s="88"/>
      <c r="E161" s="88"/>
      <c r="F161" s="88"/>
      <c r="G161" s="72"/>
      <c r="H161" s="72"/>
      <c r="I161" s="72"/>
      <c r="J161" s="89">
        <f>J159-J160</f>
        <v>0.016100000000000003</v>
      </c>
      <c r="K161" s="28"/>
      <c r="L161" s="28"/>
      <c r="M161" s="28"/>
      <c r="N161" s="131"/>
    </row>
    <row r="162" spans="1:14" ht="15.75">
      <c r="A162" s="86"/>
      <c r="B162" s="87" t="s">
        <v>111</v>
      </c>
      <c r="C162" s="88"/>
      <c r="D162" s="88"/>
      <c r="E162" s="88"/>
      <c r="F162" s="88"/>
      <c r="G162" s="72"/>
      <c r="H162" s="72"/>
      <c r="I162" s="72"/>
      <c r="J162" s="89">
        <v>0.07234</v>
      </c>
      <c r="K162" s="28"/>
      <c r="L162" s="28"/>
      <c r="M162" s="28"/>
      <c r="N162" s="131"/>
    </row>
    <row r="163" spans="1:14" ht="15.75">
      <c r="A163" s="86"/>
      <c r="B163" s="87" t="s">
        <v>112</v>
      </c>
      <c r="C163" s="88"/>
      <c r="D163" s="88"/>
      <c r="E163" s="88"/>
      <c r="F163" s="88"/>
      <c r="G163" s="72"/>
      <c r="H163" s="72"/>
      <c r="I163" s="72"/>
      <c r="J163" s="89">
        <f>L33</f>
        <v>0.0577893451834182</v>
      </c>
      <c r="K163" s="28"/>
      <c r="L163" s="28"/>
      <c r="M163" s="28"/>
      <c r="N163" s="131"/>
    </row>
    <row r="164" spans="1:14" ht="15.75">
      <c r="A164" s="86"/>
      <c r="B164" s="87" t="s">
        <v>113</v>
      </c>
      <c r="C164" s="88"/>
      <c r="D164" s="88"/>
      <c r="E164" s="88"/>
      <c r="F164" s="88"/>
      <c r="G164" s="72"/>
      <c r="H164" s="72"/>
      <c r="I164" s="72"/>
      <c r="J164" s="89">
        <f>J162-J163</f>
        <v>0.014550654816581798</v>
      </c>
      <c r="K164" s="28"/>
      <c r="L164" s="28"/>
      <c r="M164" s="28"/>
      <c r="N164" s="131"/>
    </row>
    <row r="165" spans="1:14" ht="15.75">
      <c r="A165" s="86"/>
      <c r="B165" s="87" t="s">
        <v>114</v>
      </c>
      <c r="C165" s="88"/>
      <c r="D165" s="88"/>
      <c r="E165" s="88"/>
      <c r="F165" s="88"/>
      <c r="G165" s="72"/>
      <c r="H165" s="72"/>
      <c r="I165" s="72"/>
      <c r="J165" s="90" t="s">
        <v>179</v>
      </c>
      <c r="K165" s="28"/>
      <c r="L165" s="28"/>
      <c r="M165" s="28"/>
      <c r="N165" s="131"/>
    </row>
    <row r="166" spans="1:14" ht="15.75">
      <c r="A166" s="86"/>
      <c r="B166" s="87" t="s">
        <v>115</v>
      </c>
      <c r="C166" s="88"/>
      <c r="D166" s="88"/>
      <c r="E166" s="88"/>
      <c r="F166" s="88"/>
      <c r="G166" s="72"/>
      <c r="H166" s="72"/>
      <c r="I166" s="72"/>
      <c r="J166" s="90" t="s">
        <v>180</v>
      </c>
      <c r="K166" s="28"/>
      <c r="L166" s="28"/>
      <c r="M166" s="28"/>
      <c r="N166" s="131"/>
    </row>
    <row r="167" spans="1:14" ht="15.75">
      <c r="A167" s="86"/>
      <c r="B167" s="87" t="s">
        <v>116</v>
      </c>
      <c r="C167" s="88"/>
      <c r="D167" s="88"/>
      <c r="E167" s="88"/>
      <c r="F167" s="88"/>
      <c r="G167" s="72"/>
      <c r="H167" s="72"/>
      <c r="I167" s="72"/>
      <c r="J167" s="91">
        <v>18.53</v>
      </c>
      <c r="K167" s="28" t="s">
        <v>184</v>
      </c>
      <c r="L167" s="28"/>
      <c r="M167" s="28"/>
      <c r="N167" s="131"/>
    </row>
    <row r="168" spans="1:14" ht="15.75">
      <c r="A168" s="86"/>
      <c r="B168" s="87" t="s">
        <v>117</v>
      </c>
      <c r="C168" s="88"/>
      <c r="D168" s="88"/>
      <c r="E168" s="88"/>
      <c r="F168" s="88"/>
      <c r="G168" s="72"/>
      <c r="H168" s="72"/>
      <c r="I168" s="72"/>
      <c r="J168" s="91">
        <v>16.837</v>
      </c>
      <c r="K168" s="28" t="s">
        <v>184</v>
      </c>
      <c r="L168" s="28"/>
      <c r="M168" s="28"/>
      <c r="N168" s="131"/>
    </row>
    <row r="169" spans="1:14" ht="15.75">
      <c r="A169" s="86"/>
      <c r="B169" s="87" t="s">
        <v>118</v>
      </c>
      <c r="C169" s="88"/>
      <c r="D169" s="88"/>
      <c r="E169" s="88"/>
      <c r="F169" s="88"/>
      <c r="G169" s="72"/>
      <c r="H169" s="72"/>
      <c r="I169" s="72"/>
      <c r="J169" s="89">
        <f>F56/'March 01'!L56</f>
        <v>0.034430776652194885</v>
      </c>
      <c r="K169" s="28"/>
      <c r="L169" s="28"/>
      <c r="M169" s="28"/>
      <c r="N169" s="131"/>
    </row>
    <row r="170" spans="1:14" ht="15.75">
      <c r="A170" s="86"/>
      <c r="B170" s="87" t="s">
        <v>119</v>
      </c>
      <c r="C170" s="88"/>
      <c r="D170" s="88"/>
      <c r="E170" s="88"/>
      <c r="F170" s="88"/>
      <c r="G170" s="72"/>
      <c r="H170" s="72"/>
      <c r="I170" s="72"/>
      <c r="J170" s="89">
        <v>0.0943</v>
      </c>
      <c r="K170" s="28"/>
      <c r="L170" s="28"/>
      <c r="M170" s="28"/>
      <c r="N170" s="131"/>
    </row>
    <row r="171" spans="1:14" ht="15.75">
      <c r="A171" s="86"/>
      <c r="B171" s="87"/>
      <c r="C171" s="87"/>
      <c r="D171" s="87"/>
      <c r="E171" s="87"/>
      <c r="F171" s="87"/>
      <c r="G171" s="28"/>
      <c r="H171" s="28"/>
      <c r="I171" s="28"/>
      <c r="J171" s="68"/>
      <c r="K171" s="28"/>
      <c r="L171" s="92"/>
      <c r="M171" s="28"/>
      <c r="N171" s="131"/>
    </row>
    <row r="172" spans="1:14" ht="15.75">
      <c r="A172" s="93"/>
      <c r="B172" s="17" t="s">
        <v>120</v>
      </c>
      <c r="C172" s="20"/>
      <c r="D172" s="94"/>
      <c r="E172" s="20"/>
      <c r="F172" s="94"/>
      <c r="G172" s="20"/>
      <c r="H172" s="94"/>
      <c r="I172" s="20" t="s">
        <v>172</v>
      </c>
      <c r="J172" s="94" t="s">
        <v>181</v>
      </c>
      <c r="K172" s="18"/>
      <c r="L172" s="18"/>
      <c r="M172" s="10"/>
      <c r="N172" s="131"/>
    </row>
    <row r="173" spans="1:14" ht="15.75">
      <c r="A173" s="95"/>
      <c r="B173" s="87" t="s">
        <v>121</v>
      </c>
      <c r="C173" s="61"/>
      <c r="D173" s="61"/>
      <c r="E173" s="61"/>
      <c r="F173" s="28"/>
      <c r="G173" s="28"/>
      <c r="H173" s="28"/>
      <c r="I173" s="31">
        <v>44</v>
      </c>
      <c r="J173" s="96">
        <v>2005</v>
      </c>
      <c r="K173" s="28"/>
      <c r="L173" s="92"/>
      <c r="M173" s="97"/>
      <c r="N173" s="131"/>
    </row>
    <row r="174" spans="1:14" ht="15.75">
      <c r="A174" s="95"/>
      <c r="B174" s="87" t="s">
        <v>122</v>
      </c>
      <c r="C174" s="61"/>
      <c r="D174" s="61"/>
      <c r="E174" s="61"/>
      <c r="F174" s="28"/>
      <c r="G174" s="28"/>
      <c r="H174" s="28"/>
      <c r="I174" s="31">
        <v>0</v>
      </c>
      <c r="J174" s="96">
        <v>0</v>
      </c>
      <c r="K174" s="28"/>
      <c r="L174" s="92"/>
      <c r="M174" s="97"/>
      <c r="N174" s="131"/>
    </row>
    <row r="175" spans="1:14" ht="15.75">
      <c r="A175" s="95"/>
      <c r="B175" s="170" t="s">
        <v>123</v>
      </c>
      <c r="C175" s="61"/>
      <c r="D175" s="61"/>
      <c r="E175" s="61"/>
      <c r="F175" s="28"/>
      <c r="G175" s="28"/>
      <c r="H175" s="28"/>
      <c r="I175" s="28"/>
      <c r="J175" s="96">
        <v>0</v>
      </c>
      <c r="K175" s="28"/>
      <c r="L175" s="92"/>
      <c r="M175" s="97"/>
      <c r="N175" s="131"/>
    </row>
    <row r="176" spans="1:14" ht="15.75">
      <c r="A176" s="95"/>
      <c r="B176" s="170" t="s">
        <v>124</v>
      </c>
      <c r="C176" s="61"/>
      <c r="D176" s="61"/>
      <c r="E176" s="61"/>
      <c r="F176" s="28"/>
      <c r="G176" s="28"/>
      <c r="H176" s="28"/>
      <c r="I176" s="28"/>
      <c r="J176" s="96">
        <v>22352</v>
      </c>
      <c r="K176" s="28"/>
      <c r="L176" s="92"/>
      <c r="M176" s="97"/>
      <c r="N176" s="131"/>
    </row>
    <row r="177" spans="1:14" ht="15.75">
      <c r="A177" s="98"/>
      <c r="B177" s="170" t="s">
        <v>125</v>
      </c>
      <c r="C177" s="61"/>
      <c r="D177" s="87"/>
      <c r="E177" s="87"/>
      <c r="F177" s="87"/>
      <c r="G177" s="28"/>
      <c r="H177" s="28"/>
      <c r="I177" s="28"/>
      <c r="J177" s="96">
        <v>0</v>
      </c>
      <c r="K177" s="28"/>
      <c r="L177" s="92"/>
      <c r="M177" s="99"/>
      <c r="N177" s="131"/>
    </row>
    <row r="178" spans="1:14" ht="15.75">
      <c r="A178" s="95"/>
      <c r="B178" s="87" t="s">
        <v>126</v>
      </c>
      <c r="C178" s="61"/>
      <c r="D178" s="61"/>
      <c r="E178" s="61"/>
      <c r="F178" s="61"/>
      <c r="G178" s="28"/>
      <c r="H178" s="28"/>
      <c r="I178" s="28"/>
      <c r="J178" s="96">
        <v>0</v>
      </c>
      <c r="K178" s="28"/>
      <c r="L178" s="92"/>
      <c r="M178" s="99"/>
      <c r="N178" s="131"/>
    </row>
    <row r="179" spans="1:14" ht="15.75">
      <c r="A179" s="95"/>
      <c r="B179" s="87" t="s">
        <v>127</v>
      </c>
      <c r="C179" s="61"/>
      <c r="D179" s="61"/>
      <c r="E179" s="61"/>
      <c r="F179" s="61"/>
      <c r="G179" s="28"/>
      <c r="H179" s="28"/>
      <c r="I179" s="28"/>
      <c r="J179" s="96">
        <v>0</v>
      </c>
      <c r="K179" s="28"/>
      <c r="L179" s="92"/>
      <c r="M179" s="99"/>
      <c r="N179" s="131"/>
    </row>
    <row r="180" spans="1:14" ht="15.75">
      <c r="A180" s="95"/>
      <c r="B180" s="87" t="s">
        <v>204</v>
      </c>
      <c r="C180" s="61"/>
      <c r="D180" s="61"/>
      <c r="E180" s="61"/>
      <c r="F180" s="61"/>
      <c r="G180" s="28"/>
      <c r="H180" s="28"/>
      <c r="I180" s="28"/>
      <c r="J180" s="96">
        <v>0</v>
      </c>
      <c r="K180" s="28"/>
      <c r="L180" s="92"/>
      <c r="M180" s="99"/>
      <c r="N180" s="131"/>
    </row>
    <row r="181" spans="1:14" ht="15.75">
      <c r="A181" s="98"/>
      <c r="B181" s="170" t="s">
        <v>128</v>
      </c>
      <c r="C181" s="61"/>
      <c r="D181" s="87"/>
      <c r="E181" s="87"/>
      <c r="F181" s="87"/>
      <c r="G181" s="28"/>
      <c r="H181" s="28"/>
      <c r="I181" s="28"/>
      <c r="J181" s="96"/>
      <c r="K181" s="28"/>
      <c r="L181" s="92"/>
      <c r="M181" s="99"/>
      <c r="N181" s="131"/>
    </row>
    <row r="182" spans="1:14" ht="15.75">
      <c r="A182" s="98"/>
      <c r="B182" s="87" t="s">
        <v>129</v>
      </c>
      <c r="C182" s="61"/>
      <c r="D182" s="87"/>
      <c r="E182" s="87"/>
      <c r="F182" s="87"/>
      <c r="G182" s="28"/>
      <c r="H182" s="28"/>
      <c r="I182" s="28"/>
      <c r="J182" s="96">
        <v>0</v>
      </c>
      <c r="K182" s="28"/>
      <c r="L182" s="92"/>
      <c r="M182" s="99"/>
      <c r="N182" s="131"/>
    </row>
    <row r="183" spans="1:14" ht="15.75">
      <c r="A183" s="95"/>
      <c r="B183" s="87" t="s">
        <v>130</v>
      </c>
      <c r="C183" s="61"/>
      <c r="D183" s="100"/>
      <c r="E183" s="100"/>
      <c r="F183" s="101"/>
      <c r="G183" s="28"/>
      <c r="H183" s="28"/>
      <c r="I183" s="28"/>
      <c r="J183" s="96">
        <v>0</v>
      </c>
      <c r="K183" s="28"/>
      <c r="L183" s="92"/>
      <c r="M183" s="99"/>
      <c r="N183" s="131"/>
    </row>
    <row r="184" spans="1:14" ht="15.75">
      <c r="A184" s="95"/>
      <c r="B184" s="87" t="s">
        <v>131</v>
      </c>
      <c r="C184" s="61"/>
      <c r="D184" s="100"/>
      <c r="E184" s="100"/>
      <c r="F184" s="101"/>
      <c r="G184" s="28"/>
      <c r="H184" s="28"/>
      <c r="I184" s="28"/>
      <c r="J184" s="96">
        <v>0</v>
      </c>
      <c r="K184" s="28"/>
      <c r="L184" s="92"/>
      <c r="M184" s="99"/>
      <c r="N184" s="131"/>
    </row>
    <row r="185" spans="1:14" ht="15.75">
      <c r="A185" s="95"/>
      <c r="B185" s="87" t="s">
        <v>132</v>
      </c>
      <c r="C185" s="61"/>
      <c r="D185" s="102"/>
      <c r="E185" s="100"/>
      <c r="F185" s="101"/>
      <c r="G185" s="28"/>
      <c r="H185" s="28"/>
      <c r="I185" s="28"/>
      <c r="J185" s="103">
        <v>0</v>
      </c>
      <c r="K185" s="28"/>
      <c r="L185" s="92"/>
      <c r="M185" s="99"/>
      <c r="N185" s="131"/>
    </row>
    <row r="186" spans="1:14" ht="15.75">
      <c r="A186" s="95"/>
      <c r="B186" s="87"/>
      <c r="C186" s="61"/>
      <c r="D186" s="102"/>
      <c r="E186" s="100"/>
      <c r="F186" s="101"/>
      <c r="G186" s="28"/>
      <c r="H186" s="28"/>
      <c r="I186" s="28"/>
      <c r="J186" s="103"/>
      <c r="K186" s="28"/>
      <c r="L186" s="92"/>
      <c r="M186" s="99"/>
      <c r="N186" s="131"/>
    </row>
    <row r="187" spans="1:14" ht="15.75">
      <c r="A187" s="8"/>
      <c r="B187" s="17" t="s">
        <v>133</v>
      </c>
      <c r="C187" s="20"/>
      <c r="D187" s="94"/>
      <c r="E187" s="20"/>
      <c r="F187" s="94"/>
      <c r="G187" s="20"/>
      <c r="H187" s="94" t="s">
        <v>172</v>
      </c>
      <c r="I187" s="20" t="s">
        <v>173</v>
      </c>
      <c r="J187" s="94" t="s">
        <v>182</v>
      </c>
      <c r="K187" s="20" t="s">
        <v>173</v>
      </c>
      <c r="L187" s="18"/>
      <c r="M187" s="104"/>
      <c r="N187" s="131"/>
    </row>
    <row r="188" spans="1:14" ht="15.75">
      <c r="A188" s="27"/>
      <c r="B188" s="61" t="s">
        <v>134</v>
      </c>
      <c r="C188" s="105"/>
      <c r="D188" s="61"/>
      <c r="E188" s="105"/>
      <c r="F188" s="28"/>
      <c r="G188" s="105"/>
      <c r="H188" s="61">
        <v>3609</v>
      </c>
      <c r="I188" s="105">
        <f>H188/H194</f>
        <v>0.9696399785061794</v>
      </c>
      <c r="J188" s="60">
        <v>157557</v>
      </c>
      <c r="K188" s="106">
        <f>J188/J194</f>
        <v>0.972315990200132</v>
      </c>
      <c r="L188" s="92"/>
      <c r="M188" s="99"/>
      <c r="N188" s="131"/>
    </row>
    <row r="189" spans="1:14" ht="15.75">
      <c r="A189" s="27"/>
      <c r="B189" s="61" t="s">
        <v>135</v>
      </c>
      <c r="C189" s="105"/>
      <c r="D189" s="61"/>
      <c r="E189" s="105"/>
      <c r="F189" s="28"/>
      <c r="G189" s="107"/>
      <c r="H189" s="61">
        <v>49</v>
      </c>
      <c r="I189" s="105">
        <f>H189/$H194</f>
        <v>0.013164965072541644</v>
      </c>
      <c r="J189" s="60">
        <v>1441</v>
      </c>
      <c r="K189" s="106">
        <f>J189/J194</f>
        <v>0.008892701320019994</v>
      </c>
      <c r="L189" s="92"/>
      <c r="M189" s="99"/>
      <c r="N189" s="131"/>
    </row>
    <row r="190" spans="1:14" ht="15.75">
      <c r="A190" s="27"/>
      <c r="B190" s="61" t="s">
        <v>136</v>
      </c>
      <c r="C190" s="105"/>
      <c r="D190" s="61"/>
      <c r="E190" s="105"/>
      <c r="F190" s="28"/>
      <c r="G190" s="107"/>
      <c r="H190" s="61">
        <v>20</v>
      </c>
      <c r="I190" s="105">
        <f>H190/H194</f>
        <v>0.0053734551316496505</v>
      </c>
      <c r="J190" s="60">
        <v>895</v>
      </c>
      <c r="K190" s="106">
        <f>J190/J194</f>
        <v>0.005523225316736916</v>
      </c>
      <c r="L190" s="92"/>
      <c r="M190" s="99"/>
      <c r="N190" s="131"/>
    </row>
    <row r="191" spans="1:14" ht="15.75">
      <c r="A191" s="27"/>
      <c r="B191" s="61" t="s">
        <v>137</v>
      </c>
      <c r="C191" s="105"/>
      <c r="D191" s="61"/>
      <c r="E191" s="105"/>
      <c r="F191" s="28"/>
      <c r="G191" s="107"/>
      <c r="H191" s="61">
        <f>18+12+6+8</f>
        <v>44</v>
      </c>
      <c r="I191" s="105">
        <f>H191/H194</f>
        <v>0.011821601289629231</v>
      </c>
      <c r="J191" s="60">
        <f>1187+426+205+332</f>
        <v>2150</v>
      </c>
      <c r="K191" s="106">
        <f>J191/J194</f>
        <v>0.013268083163111026</v>
      </c>
      <c r="L191" s="92"/>
      <c r="M191" s="99"/>
      <c r="N191" s="131"/>
    </row>
    <row r="192" spans="1:14" ht="15.75">
      <c r="A192" s="27"/>
      <c r="B192" s="30"/>
      <c r="C192" s="105"/>
      <c r="D192" s="61"/>
      <c r="E192" s="105"/>
      <c r="F192" s="28"/>
      <c r="G192" s="107"/>
      <c r="H192" s="61"/>
      <c r="I192" s="105"/>
      <c r="J192" s="60"/>
      <c r="K192" s="106"/>
      <c r="L192" s="92"/>
      <c r="M192" s="99"/>
      <c r="N192" s="131"/>
    </row>
    <row r="193" spans="1:14" ht="15.75">
      <c r="A193" s="27"/>
      <c r="B193" s="61"/>
      <c r="C193" s="108"/>
      <c r="D193" s="97"/>
      <c r="E193" s="108"/>
      <c r="F193" s="28"/>
      <c r="G193" s="108"/>
      <c r="H193" s="97"/>
      <c r="I193" s="108"/>
      <c r="J193" s="60"/>
      <c r="K193" s="106"/>
      <c r="L193" s="92"/>
      <c r="M193" s="99"/>
      <c r="N193" s="131"/>
    </row>
    <row r="194" spans="1:14" ht="15.75">
      <c r="A194" s="27"/>
      <c r="B194" s="28"/>
      <c r="C194" s="28"/>
      <c r="D194" s="28"/>
      <c r="E194" s="28"/>
      <c r="F194" s="28"/>
      <c r="G194" s="28"/>
      <c r="H194" s="38">
        <f>SUM(H188:H192)</f>
        <v>3722</v>
      </c>
      <c r="I194" s="109">
        <f>SUM(I188:I193)</f>
        <v>1</v>
      </c>
      <c r="J194" s="60">
        <f>SUM(J188:J193)</f>
        <v>162043</v>
      </c>
      <c r="K194" s="127">
        <f>SUM(K188:K193)</f>
        <v>0.9999999999999999</v>
      </c>
      <c r="L194" s="28"/>
      <c r="M194" s="28"/>
      <c r="N194" s="131"/>
    </row>
    <row r="195" spans="1:14" ht="15.75">
      <c r="A195" s="27"/>
      <c r="B195" s="28"/>
      <c r="C195" s="28"/>
      <c r="D195" s="28"/>
      <c r="E195" s="28"/>
      <c r="F195" s="28"/>
      <c r="G195" s="28"/>
      <c r="H195" s="38"/>
      <c r="I195" s="109"/>
      <c r="J195" s="60"/>
      <c r="K195" s="127"/>
      <c r="L195" s="28"/>
      <c r="M195" s="28"/>
      <c r="N195" s="131"/>
    </row>
    <row r="196" spans="1:14" ht="15.75">
      <c r="A196" s="27"/>
      <c r="B196" s="28"/>
      <c r="C196" s="28"/>
      <c r="D196" s="28"/>
      <c r="E196" s="28"/>
      <c r="F196" s="28"/>
      <c r="G196" s="28"/>
      <c r="H196" s="38"/>
      <c r="I196" s="109"/>
      <c r="J196" s="60"/>
      <c r="K196" s="127"/>
      <c r="L196" s="28"/>
      <c r="M196" s="28"/>
      <c r="N196" s="131"/>
    </row>
    <row r="197" spans="1:14" ht="15.75">
      <c r="A197" s="114"/>
      <c r="B197" s="17" t="s">
        <v>139</v>
      </c>
      <c r="C197" s="115"/>
      <c r="D197" s="20" t="s">
        <v>148</v>
      </c>
      <c r="E197" s="18"/>
      <c r="F197" s="17" t="s">
        <v>161</v>
      </c>
      <c r="G197" s="116"/>
      <c r="H197" s="116"/>
      <c r="I197" s="15"/>
      <c r="J197" s="15"/>
      <c r="K197" s="15"/>
      <c r="L197" s="15"/>
      <c r="M197" s="15"/>
      <c r="N197" s="131"/>
    </row>
    <row r="198" spans="1:14" ht="15.75">
      <c r="A198" s="114"/>
      <c r="B198" s="15"/>
      <c r="C198" s="15"/>
      <c r="D198" s="10"/>
      <c r="E198" s="10"/>
      <c r="F198" s="10"/>
      <c r="G198" s="15"/>
      <c r="H198" s="15"/>
      <c r="I198" s="15"/>
      <c r="J198" s="15"/>
      <c r="K198" s="15"/>
      <c r="L198" s="15"/>
      <c r="M198" s="15"/>
      <c r="N198" s="131"/>
    </row>
    <row r="199" spans="1:14" ht="15.75">
      <c r="A199" s="114"/>
      <c r="B199" s="16" t="s">
        <v>140</v>
      </c>
      <c r="C199" s="117"/>
      <c r="D199" s="118" t="s">
        <v>149</v>
      </c>
      <c r="E199" s="16"/>
      <c r="F199" s="16" t="s">
        <v>162</v>
      </c>
      <c r="G199" s="117"/>
      <c r="H199" s="117"/>
      <c r="I199" s="15"/>
      <c r="J199" s="15"/>
      <c r="K199" s="15"/>
      <c r="L199" s="15"/>
      <c r="M199" s="15"/>
      <c r="N199" s="131"/>
    </row>
    <row r="200" spans="1:14" ht="15.75">
      <c r="A200" s="114"/>
      <c r="B200" s="16" t="s">
        <v>141</v>
      </c>
      <c r="C200" s="117"/>
      <c r="D200" s="118" t="s">
        <v>150</v>
      </c>
      <c r="E200" s="16"/>
      <c r="F200" s="16" t="s">
        <v>163</v>
      </c>
      <c r="G200" s="117"/>
      <c r="H200" s="117"/>
      <c r="I200" s="15"/>
      <c r="J200" s="15"/>
      <c r="K200" s="15"/>
      <c r="L200" s="15"/>
      <c r="M200" s="15"/>
      <c r="N200" s="131"/>
    </row>
    <row r="201" spans="1:14" ht="15.75">
      <c r="A201" s="114"/>
      <c r="B201" s="16"/>
      <c r="C201" s="117"/>
      <c r="D201" s="118"/>
      <c r="E201" s="16"/>
      <c r="F201" s="16"/>
      <c r="G201" s="117"/>
      <c r="H201" s="117"/>
      <c r="I201" s="15"/>
      <c r="J201" s="15"/>
      <c r="K201" s="15"/>
      <c r="L201" s="15"/>
      <c r="M201" s="15"/>
      <c r="N201" s="131"/>
    </row>
    <row r="202" spans="1:14" ht="15.75">
      <c r="A202" s="114"/>
      <c r="B202" s="16"/>
      <c r="C202" s="117"/>
      <c r="D202" s="118"/>
      <c r="E202" s="16"/>
      <c r="F202" s="16"/>
      <c r="G202" s="117"/>
      <c r="H202" s="117"/>
      <c r="I202" s="15"/>
      <c r="J202" s="15"/>
      <c r="K202" s="15"/>
      <c r="L202" s="15"/>
      <c r="M202" s="15"/>
      <c r="N202" s="131"/>
    </row>
    <row r="203" spans="1:14" ht="18.75">
      <c r="A203" s="114"/>
      <c r="B203" s="55" t="s">
        <v>205</v>
      </c>
      <c r="C203" s="117"/>
      <c r="D203" s="118"/>
      <c r="E203" s="16"/>
      <c r="F203" s="16"/>
      <c r="G203" s="117"/>
      <c r="H203" s="117"/>
      <c r="I203" s="15"/>
      <c r="J203" s="15"/>
      <c r="K203" s="15"/>
      <c r="L203" s="15"/>
      <c r="M203" s="15"/>
      <c r="N203" s="131"/>
    </row>
    <row r="204" spans="1:13" ht="15">
      <c r="A204" s="130"/>
      <c r="B204" s="130"/>
      <c r="C204" s="130"/>
      <c r="D204" s="130"/>
      <c r="E204" s="130"/>
      <c r="F204" s="130"/>
      <c r="G204" s="130"/>
      <c r="H204" s="130"/>
      <c r="I204" s="130"/>
      <c r="J204" s="130"/>
      <c r="K204" s="130"/>
      <c r="L204" s="130"/>
      <c r="M204" s="130"/>
    </row>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5" manualBreakCount="5">
    <brk id="51" min="105" max="156" man="1"/>
    <brk id="51" max="13" man="1"/>
    <brk id="105" max="13" man="1"/>
    <brk id="156" max="13" man="1"/>
    <brk id="204" max="0" man="1"/>
  </rowBreaks>
  <drawing r:id="rId1"/>
</worksheet>
</file>

<file path=xl/worksheets/sheet9.xml><?xml version="1.0" encoding="utf-8"?>
<worksheet xmlns="http://schemas.openxmlformats.org/spreadsheetml/2006/main" xmlns:r="http://schemas.openxmlformats.org/officeDocument/2006/relationships">
  <dimension ref="A1:N204"/>
  <sheetViews>
    <sheetView showOutlineSymbols="0" zoomScale="70" zoomScaleNormal="70" workbookViewId="0" topLeftCell="A1">
      <selection activeCell="A1" sqref="A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33.88671875" style="1" customWidth="1"/>
    <col min="14" max="16384" width="9.6640625" style="1" customWidth="1"/>
  </cols>
  <sheetData>
    <row r="1" spans="1:14" ht="20.25">
      <c r="A1" s="2"/>
      <c r="B1" s="3" t="s">
        <v>0</v>
      </c>
      <c r="C1" s="4"/>
      <c r="D1" s="5"/>
      <c r="E1" s="5"/>
      <c r="F1" s="5"/>
      <c r="G1" s="5"/>
      <c r="H1" s="5"/>
      <c r="I1" s="5"/>
      <c r="J1" s="5"/>
      <c r="K1" s="5"/>
      <c r="L1" s="5"/>
      <c r="M1" s="5"/>
      <c r="N1" s="131"/>
    </row>
    <row r="2" spans="1:14" ht="15.75">
      <c r="A2" s="8"/>
      <c r="B2" s="9"/>
      <c r="C2" s="9"/>
      <c r="D2" s="10"/>
      <c r="E2" s="10"/>
      <c r="F2" s="10"/>
      <c r="G2" s="10"/>
      <c r="H2" s="10"/>
      <c r="I2" s="10"/>
      <c r="J2" s="10"/>
      <c r="K2" s="10"/>
      <c r="L2" s="10"/>
      <c r="M2" s="10"/>
      <c r="N2" s="131"/>
    </row>
    <row r="3" spans="1:14" ht="15.75">
      <c r="A3" s="11"/>
      <c r="B3" s="154" t="s">
        <v>1</v>
      </c>
      <c r="C3" s="10"/>
      <c r="D3" s="10"/>
      <c r="E3" s="10"/>
      <c r="F3" s="10"/>
      <c r="G3" s="10"/>
      <c r="H3" s="10"/>
      <c r="I3" s="10"/>
      <c r="J3" s="10"/>
      <c r="K3" s="10"/>
      <c r="L3" s="10"/>
      <c r="M3" s="10"/>
      <c r="N3" s="131"/>
    </row>
    <row r="4" spans="1:14" ht="15.75">
      <c r="A4" s="8"/>
      <c r="B4" s="9"/>
      <c r="C4" s="9"/>
      <c r="D4" s="10"/>
      <c r="E4" s="10"/>
      <c r="F4" s="10"/>
      <c r="G4" s="10"/>
      <c r="H4" s="10"/>
      <c r="I4" s="10"/>
      <c r="J4" s="10"/>
      <c r="K4" s="10"/>
      <c r="L4" s="10"/>
      <c r="M4" s="10"/>
      <c r="N4" s="131"/>
    </row>
    <row r="5" spans="1:14" ht="12" customHeight="1">
      <c r="A5" s="8"/>
      <c r="B5" s="13" t="s">
        <v>2</v>
      </c>
      <c r="C5" s="14"/>
      <c r="D5" s="10"/>
      <c r="E5" s="10"/>
      <c r="F5" s="10"/>
      <c r="G5" s="10"/>
      <c r="H5" s="10"/>
      <c r="I5" s="10"/>
      <c r="J5" s="10"/>
      <c r="K5" s="10"/>
      <c r="L5" s="10"/>
      <c r="M5" s="10"/>
      <c r="N5" s="131"/>
    </row>
    <row r="6" spans="1:14" ht="12" customHeight="1">
      <c r="A6" s="8"/>
      <c r="B6" s="13" t="s">
        <v>3</v>
      </c>
      <c r="C6" s="14"/>
      <c r="D6" s="10"/>
      <c r="E6" s="10"/>
      <c r="F6" s="10"/>
      <c r="G6" s="10"/>
      <c r="H6" s="10"/>
      <c r="I6" s="10"/>
      <c r="J6" s="10"/>
      <c r="K6" s="10"/>
      <c r="L6" s="10"/>
      <c r="M6" s="10"/>
      <c r="N6" s="131"/>
    </row>
    <row r="7" spans="1:14" ht="12" customHeight="1">
      <c r="A7" s="8"/>
      <c r="B7" s="13" t="s">
        <v>4</v>
      </c>
      <c r="C7" s="14"/>
      <c r="D7" s="10"/>
      <c r="E7" s="10"/>
      <c r="F7" s="10"/>
      <c r="G7" s="10"/>
      <c r="H7" s="10"/>
      <c r="I7" s="10"/>
      <c r="J7" s="10"/>
      <c r="K7" s="10"/>
      <c r="L7" s="10"/>
      <c r="M7" s="10"/>
      <c r="N7" s="131"/>
    </row>
    <row r="8" spans="1:14" ht="12" customHeight="1">
      <c r="A8" s="8"/>
      <c r="B8" s="13" t="s">
        <v>5</v>
      </c>
      <c r="C8" s="14"/>
      <c r="D8" s="10"/>
      <c r="E8" s="10"/>
      <c r="F8" s="10"/>
      <c r="G8" s="10"/>
      <c r="H8" s="10"/>
      <c r="I8" s="10"/>
      <c r="J8" s="10"/>
      <c r="K8" s="10"/>
      <c r="L8" s="10"/>
      <c r="M8" s="10"/>
      <c r="N8" s="131"/>
    </row>
    <row r="9" spans="1:14" ht="12" customHeight="1">
      <c r="A9" s="8"/>
      <c r="B9" s="15"/>
      <c r="C9" s="14"/>
      <c r="D9" s="10"/>
      <c r="E9" s="10"/>
      <c r="F9" s="10"/>
      <c r="G9" s="10"/>
      <c r="H9" s="10"/>
      <c r="I9" s="10"/>
      <c r="J9" s="10"/>
      <c r="K9" s="10"/>
      <c r="L9" s="10"/>
      <c r="M9" s="10"/>
      <c r="N9" s="131"/>
    </row>
    <row r="10" spans="1:14" ht="15.75">
      <c r="A10" s="8"/>
      <c r="B10" s="13"/>
      <c r="C10" s="14"/>
      <c r="D10" s="16"/>
      <c r="E10" s="16"/>
      <c r="F10" s="10"/>
      <c r="G10" s="10"/>
      <c r="H10" s="10"/>
      <c r="I10" s="10"/>
      <c r="J10" s="10"/>
      <c r="K10" s="10"/>
      <c r="L10" s="10"/>
      <c r="M10" s="10"/>
      <c r="N10" s="131"/>
    </row>
    <row r="11" spans="1:14" ht="15.75">
      <c r="A11" s="8"/>
      <c r="B11" s="16" t="s">
        <v>6</v>
      </c>
      <c r="C11" s="16"/>
      <c r="D11" s="10"/>
      <c r="E11" s="10"/>
      <c r="F11" s="10"/>
      <c r="G11" s="10"/>
      <c r="H11" s="10"/>
      <c r="I11" s="10"/>
      <c r="J11" s="10"/>
      <c r="K11" s="10"/>
      <c r="L11" s="10"/>
      <c r="M11" s="10"/>
      <c r="N11" s="131"/>
    </row>
    <row r="12" spans="1:14" ht="15.75">
      <c r="A12" s="8"/>
      <c r="B12" s="16"/>
      <c r="C12" s="16"/>
      <c r="D12" s="10"/>
      <c r="E12" s="10"/>
      <c r="F12" s="10"/>
      <c r="G12" s="10"/>
      <c r="H12" s="10"/>
      <c r="I12" s="10"/>
      <c r="J12" s="10"/>
      <c r="K12" s="10"/>
      <c r="L12" s="10"/>
      <c r="M12" s="10"/>
      <c r="N12" s="131"/>
    </row>
    <row r="13" spans="1:14" ht="15.75">
      <c r="A13" s="2"/>
      <c r="B13" s="5"/>
      <c r="C13" s="5"/>
      <c r="D13" s="5"/>
      <c r="E13" s="5"/>
      <c r="F13" s="5"/>
      <c r="G13" s="5"/>
      <c r="H13" s="5"/>
      <c r="I13" s="5"/>
      <c r="J13" s="5"/>
      <c r="K13" s="5"/>
      <c r="L13" s="5"/>
      <c r="M13" s="5"/>
      <c r="N13" s="131"/>
    </row>
    <row r="14" spans="1:14" ht="15.75">
      <c r="A14" s="8"/>
      <c r="B14" s="17" t="s">
        <v>7</v>
      </c>
      <c r="C14" s="17"/>
      <c r="D14" s="18"/>
      <c r="E14" s="18"/>
      <c r="F14" s="18"/>
      <c r="G14" s="18"/>
      <c r="H14" s="18"/>
      <c r="I14" s="18"/>
      <c r="J14" s="18"/>
      <c r="K14" s="18"/>
      <c r="L14" s="19" t="s">
        <v>185</v>
      </c>
      <c r="M14" s="18"/>
      <c r="N14" s="131"/>
    </row>
    <row r="15" spans="1:14" ht="15.75">
      <c r="A15" s="8"/>
      <c r="B15" s="17" t="s">
        <v>199</v>
      </c>
      <c r="C15" s="17"/>
      <c r="D15" s="18"/>
      <c r="E15" s="18"/>
      <c r="F15" s="18"/>
      <c r="G15" s="18"/>
      <c r="H15" s="20"/>
      <c r="I15" s="135"/>
      <c r="J15" s="20" t="s">
        <v>202</v>
      </c>
      <c r="K15" s="135">
        <v>1</v>
      </c>
      <c r="L15" s="19"/>
      <c r="M15" s="18"/>
      <c r="N15" s="131"/>
    </row>
    <row r="16" spans="1:14" ht="15.75">
      <c r="A16" s="8"/>
      <c r="B16" s="17" t="s">
        <v>200</v>
      </c>
      <c r="C16" s="17"/>
      <c r="D16" s="18"/>
      <c r="E16" s="18"/>
      <c r="F16" s="18"/>
      <c r="G16" s="18"/>
      <c r="H16" s="20"/>
      <c r="I16" s="135"/>
      <c r="J16" s="20" t="s">
        <v>202</v>
      </c>
      <c r="K16" s="135">
        <v>1</v>
      </c>
      <c r="L16" s="19"/>
      <c r="M16" s="18"/>
      <c r="N16" s="131"/>
    </row>
    <row r="17" spans="1:14" ht="15.75">
      <c r="A17" s="8"/>
      <c r="B17" s="17" t="s">
        <v>8</v>
      </c>
      <c r="C17" s="17"/>
      <c r="D17" s="18"/>
      <c r="E17" s="18"/>
      <c r="F17" s="18"/>
      <c r="G17" s="18"/>
      <c r="H17" s="18"/>
      <c r="I17" s="18"/>
      <c r="J17" s="18"/>
      <c r="K17" s="18"/>
      <c r="L17" s="20" t="s">
        <v>186</v>
      </c>
      <c r="M17" s="18"/>
      <c r="N17" s="131"/>
    </row>
    <row r="18" spans="1:14" ht="15.75">
      <c r="A18" s="8"/>
      <c r="B18" s="17" t="s">
        <v>9</v>
      </c>
      <c r="C18" s="17"/>
      <c r="D18" s="18"/>
      <c r="E18" s="18"/>
      <c r="F18" s="18"/>
      <c r="G18" s="18"/>
      <c r="H18" s="18"/>
      <c r="I18" s="18"/>
      <c r="J18" s="18"/>
      <c r="K18" s="18"/>
      <c r="L18" s="21">
        <v>37190</v>
      </c>
      <c r="M18" s="18"/>
      <c r="N18" s="131"/>
    </row>
    <row r="19" spans="1:14" ht="15.75">
      <c r="A19" s="8"/>
      <c r="B19" s="10"/>
      <c r="C19" s="10"/>
      <c r="D19" s="10"/>
      <c r="E19" s="10"/>
      <c r="F19" s="10"/>
      <c r="G19" s="10"/>
      <c r="H19" s="10"/>
      <c r="I19" s="10"/>
      <c r="J19" s="10"/>
      <c r="K19" s="10"/>
      <c r="L19" s="22"/>
      <c r="M19" s="10"/>
      <c r="N19" s="131"/>
    </row>
    <row r="20" spans="1:14" ht="15.75">
      <c r="A20" s="8"/>
      <c r="B20" s="23" t="s">
        <v>10</v>
      </c>
      <c r="C20" s="10"/>
      <c r="D20" s="10"/>
      <c r="E20" s="10"/>
      <c r="F20" s="10"/>
      <c r="G20" s="10"/>
      <c r="H20" s="10"/>
      <c r="I20" s="10"/>
      <c r="J20" s="22" t="s">
        <v>174</v>
      </c>
      <c r="K20" s="10"/>
      <c r="L20" s="15"/>
      <c r="M20" s="10"/>
      <c r="N20" s="131"/>
    </row>
    <row r="21" spans="1:14" ht="15.75">
      <c r="A21" s="8"/>
      <c r="B21" s="10"/>
      <c r="C21" s="10"/>
      <c r="D21" s="10"/>
      <c r="E21" s="10"/>
      <c r="F21" s="10"/>
      <c r="G21" s="10"/>
      <c r="H21" s="10"/>
      <c r="I21" s="10"/>
      <c r="J21" s="10"/>
      <c r="K21" s="10"/>
      <c r="L21" s="24"/>
      <c r="M21" s="10"/>
      <c r="N21" s="131"/>
    </row>
    <row r="22" spans="1:14" ht="15.75">
      <c r="A22" s="8"/>
      <c r="B22" s="10"/>
      <c r="C22" s="155" t="s">
        <v>143</v>
      </c>
      <c r="D22" s="25"/>
      <c r="E22" s="25"/>
      <c r="F22" s="157" t="s">
        <v>151</v>
      </c>
      <c r="G22" s="157"/>
      <c r="H22" s="157" t="s">
        <v>164</v>
      </c>
      <c r="I22" s="158"/>
      <c r="J22" s="25"/>
      <c r="K22" s="15"/>
      <c r="L22" s="15"/>
      <c r="M22" s="10"/>
      <c r="N22" s="131"/>
    </row>
    <row r="23" spans="1:14" ht="15.75">
      <c r="A23" s="27"/>
      <c r="B23" s="28" t="s">
        <v>11</v>
      </c>
      <c r="C23" s="156" t="s">
        <v>144</v>
      </c>
      <c r="D23" s="29"/>
      <c r="E23" s="29"/>
      <c r="F23" s="29" t="s">
        <v>152</v>
      </c>
      <c r="G23" s="29"/>
      <c r="H23" s="29" t="s">
        <v>165</v>
      </c>
      <c r="I23" s="29"/>
      <c r="J23" s="29"/>
      <c r="K23" s="30"/>
      <c r="L23" s="30"/>
      <c r="M23" s="28"/>
      <c r="N23" s="131"/>
    </row>
    <row r="24" spans="1:14" ht="15.75">
      <c r="A24" s="27"/>
      <c r="B24" s="28" t="s">
        <v>12</v>
      </c>
      <c r="C24" s="172"/>
      <c r="D24" s="29"/>
      <c r="E24" s="29"/>
      <c r="F24" s="29" t="s">
        <v>153</v>
      </c>
      <c r="G24" s="29"/>
      <c r="H24" s="29" t="s">
        <v>166</v>
      </c>
      <c r="I24" s="29"/>
      <c r="J24" s="29"/>
      <c r="K24" s="30"/>
      <c r="L24" s="30"/>
      <c r="M24" s="28"/>
      <c r="N24" s="131"/>
    </row>
    <row r="25" spans="1:14" ht="15.75">
      <c r="A25" s="32"/>
      <c r="B25" s="33" t="s">
        <v>13</v>
      </c>
      <c r="C25" s="33"/>
      <c r="D25" s="34"/>
      <c r="E25" s="34"/>
      <c r="F25" s="34" t="s">
        <v>152</v>
      </c>
      <c r="G25" s="34"/>
      <c r="H25" s="34" t="s">
        <v>207</v>
      </c>
      <c r="I25" s="29"/>
      <c r="J25" s="29"/>
      <c r="K25" s="30"/>
      <c r="L25" s="30"/>
      <c r="M25" s="28"/>
      <c r="N25" s="131"/>
    </row>
    <row r="26" spans="1:14" ht="15.75">
      <c r="A26" s="32"/>
      <c r="B26" s="33" t="s">
        <v>14</v>
      </c>
      <c r="C26" s="33"/>
      <c r="D26" s="34"/>
      <c r="E26" s="34"/>
      <c r="F26" s="34" t="s">
        <v>153</v>
      </c>
      <c r="G26" s="34"/>
      <c r="H26" s="34" t="s">
        <v>208</v>
      </c>
      <c r="I26" s="29"/>
      <c r="J26" s="29"/>
      <c r="K26" s="30"/>
      <c r="L26" s="30"/>
      <c r="M26" s="28"/>
      <c r="N26" s="131"/>
    </row>
    <row r="27" spans="1:14" ht="15.75">
      <c r="A27" s="27"/>
      <c r="B27" s="28" t="s">
        <v>15</v>
      </c>
      <c r="C27" s="28"/>
      <c r="D27" s="31"/>
      <c r="E27" s="29"/>
      <c r="F27" s="31" t="s">
        <v>154</v>
      </c>
      <c r="G27" s="29"/>
      <c r="H27" s="31" t="s">
        <v>167</v>
      </c>
      <c r="I27" s="29"/>
      <c r="J27" s="31"/>
      <c r="K27" s="30"/>
      <c r="L27" s="30"/>
      <c r="M27" s="28"/>
      <c r="N27" s="131"/>
    </row>
    <row r="28" spans="1:14" ht="15.75">
      <c r="A28" s="27"/>
      <c r="B28" s="28"/>
      <c r="C28" s="28"/>
      <c r="D28" s="28"/>
      <c r="E28" s="29"/>
      <c r="F28" s="29"/>
      <c r="G28" s="29"/>
      <c r="H28" s="29"/>
      <c r="I28" s="29"/>
      <c r="J28" s="29"/>
      <c r="K28" s="30"/>
      <c r="L28" s="30"/>
      <c r="M28" s="28"/>
      <c r="N28" s="131"/>
    </row>
    <row r="29" spans="1:14" ht="15.75">
      <c r="A29" s="27"/>
      <c r="B29" s="28" t="s">
        <v>16</v>
      </c>
      <c r="C29" s="28"/>
      <c r="D29" s="35"/>
      <c r="E29" s="36"/>
      <c r="F29" s="35">
        <v>168000</v>
      </c>
      <c r="G29" s="35"/>
      <c r="H29" s="35">
        <v>17000</v>
      </c>
      <c r="I29" s="35"/>
      <c r="J29" s="35"/>
      <c r="K29" s="37"/>
      <c r="L29" s="35">
        <f>H29+F29</f>
        <v>185000</v>
      </c>
      <c r="M29" s="38"/>
      <c r="N29" s="131"/>
    </row>
    <row r="30" spans="1:14" ht="15.75">
      <c r="A30" s="27"/>
      <c r="B30" s="28" t="s">
        <v>17</v>
      </c>
      <c r="C30" s="126">
        <v>0.863352</v>
      </c>
      <c r="D30" s="35"/>
      <c r="E30" s="36"/>
      <c r="F30" s="35">
        <f>168000*C30</f>
        <v>145043.136</v>
      </c>
      <c r="G30" s="35"/>
      <c r="H30" s="35">
        <v>17000</v>
      </c>
      <c r="I30" s="35"/>
      <c r="J30" s="35"/>
      <c r="K30" s="37"/>
      <c r="L30" s="35">
        <f>H30+F30</f>
        <v>162043.136</v>
      </c>
      <c r="M30" s="38"/>
      <c r="N30" s="131"/>
    </row>
    <row r="31" spans="1:14" ht="13.5" customHeight="1">
      <c r="A31" s="32"/>
      <c r="B31" s="33" t="s">
        <v>18</v>
      </c>
      <c r="C31" s="40">
        <v>0.844776</v>
      </c>
      <c r="D31" s="41"/>
      <c r="E31" s="42"/>
      <c r="F31" s="41">
        <f>168000*C31</f>
        <v>141922.368</v>
      </c>
      <c r="G31" s="41"/>
      <c r="H31" s="41">
        <v>17000</v>
      </c>
      <c r="I31" s="41"/>
      <c r="J31" s="41"/>
      <c r="K31" s="43"/>
      <c r="L31" s="41">
        <f>H31+F31+D31</f>
        <v>158922.368</v>
      </c>
      <c r="M31" s="38"/>
      <c r="N31" s="131"/>
    </row>
    <row r="32" spans="1:14" ht="15.75">
      <c r="A32" s="27"/>
      <c r="B32" s="28" t="s">
        <v>19</v>
      </c>
      <c r="C32" s="44"/>
      <c r="D32" s="31"/>
      <c r="E32" s="28"/>
      <c r="F32" s="31" t="s">
        <v>155</v>
      </c>
      <c r="G32" s="31"/>
      <c r="H32" s="31" t="s">
        <v>168</v>
      </c>
      <c r="I32" s="31"/>
      <c r="J32" s="31"/>
      <c r="K32" s="30"/>
      <c r="L32" s="30"/>
      <c r="M32" s="28"/>
      <c r="N32" s="131"/>
    </row>
    <row r="33" spans="1:14" ht="15.75">
      <c r="A33" s="27"/>
      <c r="B33" s="28" t="s">
        <v>20</v>
      </c>
      <c r="C33" s="28"/>
      <c r="D33" s="45"/>
      <c r="E33" s="28"/>
      <c r="F33" s="45">
        <v>0.0553125</v>
      </c>
      <c r="G33" s="46"/>
      <c r="H33" s="45">
        <v>0.0605125</v>
      </c>
      <c r="I33" s="46"/>
      <c r="J33" s="45"/>
      <c r="K33" s="30"/>
      <c r="L33" s="46">
        <f>SUMPRODUCT(F33:H33,F30:H30)/L30</f>
        <v>0.05585803375219793</v>
      </c>
      <c r="M33" s="28"/>
      <c r="N33" s="131"/>
    </row>
    <row r="34" spans="1:14" ht="15.75">
      <c r="A34" s="27"/>
      <c r="B34" s="28" t="s">
        <v>21</v>
      </c>
      <c r="C34" s="28"/>
      <c r="D34" s="45"/>
      <c r="E34" s="28"/>
      <c r="F34" s="45">
        <v>0.0572563</v>
      </c>
      <c r="G34" s="46"/>
      <c r="H34" s="45">
        <v>0.0624563</v>
      </c>
      <c r="I34" s="46"/>
      <c r="J34" s="45"/>
      <c r="K34" s="30"/>
      <c r="L34" s="30"/>
      <c r="M34" s="28"/>
      <c r="N34" s="131"/>
    </row>
    <row r="35" spans="1:14" ht="15.75">
      <c r="A35" s="27"/>
      <c r="B35" s="28" t="s">
        <v>22</v>
      </c>
      <c r="C35" s="28"/>
      <c r="D35" s="31"/>
      <c r="E35" s="28"/>
      <c r="F35" s="31" t="s">
        <v>157</v>
      </c>
      <c r="G35" s="31"/>
      <c r="H35" s="31" t="s">
        <v>157</v>
      </c>
      <c r="I35" s="31"/>
      <c r="J35" s="31"/>
      <c r="K35" s="30"/>
      <c r="L35" s="30"/>
      <c r="M35" s="28"/>
      <c r="N35" s="131"/>
    </row>
    <row r="36" spans="1:14" ht="15.75">
      <c r="A36" s="27"/>
      <c r="B36" s="28" t="s">
        <v>23</v>
      </c>
      <c r="C36" s="28"/>
      <c r="D36" s="31"/>
      <c r="E36" s="28"/>
      <c r="F36" s="31" t="s">
        <v>158</v>
      </c>
      <c r="G36" s="31"/>
      <c r="H36" s="31" t="s">
        <v>158</v>
      </c>
      <c r="I36" s="31"/>
      <c r="J36" s="31"/>
      <c r="K36" s="30"/>
      <c r="L36" s="30"/>
      <c r="M36" s="28"/>
      <c r="N36" s="131"/>
    </row>
    <row r="37" spans="1:14" ht="15.75">
      <c r="A37" s="27"/>
      <c r="B37" s="28" t="s">
        <v>24</v>
      </c>
      <c r="C37" s="28"/>
      <c r="D37" s="31"/>
      <c r="E37" s="28"/>
      <c r="F37" s="31" t="s">
        <v>159</v>
      </c>
      <c r="G37" s="31"/>
      <c r="H37" s="31" t="s">
        <v>169</v>
      </c>
      <c r="I37" s="31"/>
      <c r="J37" s="31"/>
      <c r="K37" s="30"/>
      <c r="L37" s="30"/>
      <c r="M37" s="28"/>
      <c r="N37" s="131"/>
    </row>
    <row r="38" spans="1:14" ht="15.75">
      <c r="A38" s="27"/>
      <c r="B38" s="28"/>
      <c r="C38" s="28"/>
      <c r="D38" s="47"/>
      <c r="E38" s="47"/>
      <c r="F38" s="28"/>
      <c r="G38" s="47"/>
      <c r="H38" s="47"/>
      <c r="I38" s="47"/>
      <c r="J38" s="47"/>
      <c r="K38" s="47"/>
      <c r="L38" s="47"/>
      <c r="M38" s="28"/>
      <c r="N38" s="131"/>
    </row>
    <row r="39" spans="1:14" ht="15.75">
      <c r="A39" s="27"/>
      <c r="B39" s="28" t="s">
        <v>25</v>
      </c>
      <c r="C39" s="28"/>
      <c r="D39" s="28"/>
      <c r="E39" s="28"/>
      <c r="F39" s="28"/>
      <c r="G39" s="28"/>
      <c r="H39" s="28"/>
      <c r="I39" s="28"/>
      <c r="J39" s="28"/>
      <c r="K39" s="28"/>
      <c r="L39" s="46">
        <f>H29/F29</f>
        <v>0.10119047619047619</v>
      </c>
      <c r="M39" s="28"/>
      <c r="N39" s="131"/>
    </row>
    <row r="40" spans="1:14" ht="15.75">
      <c r="A40" s="27"/>
      <c r="B40" s="28" t="s">
        <v>26</v>
      </c>
      <c r="C40" s="28"/>
      <c r="D40" s="28"/>
      <c r="E40" s="28"/>
      <c r="F40" s="28"/>
      <c r="G40" s="28"/>
      <c r="H40" s="28"/>
      <c r="I40" s="28"/>
      <c r="J40" s="28"/>
      <c r="K40" s="28"/>
      <c r="L40" s="46">
        <f>H31/F31</f>
        <v>0.11978379616664796</v>
      </c>
      <c r="M40" s="28"/>
      <c r="N40" s="131"/>
    </row>
    <row r="41" spans="1:14" ht="15.75">
      <c r="A41" s="27"/>
      <c r="B41" s="28" t="s">
        <v>27</v>
      </c>
      <c r="C41" s="28"/>
      <c r="D41" s="28"/>
      <c r="E41" s="28"/>
      <c r="F41" s="28"/>
      <c r="G41" s="28"/>
      <c r="H41" s="28"/>
      <c r="I41" s="28"/>
      <c r="J41" s="31" t="s">
        <v>151</v>
      </c>
      <c r="K41" s="31" t="s">
        <v>183</v>
      </c>
      <c r="L41" s="35">
        <v>75500</v>
      </c>
      <c r="M41" s="28"/>
      <c r="N41" s="131"/>
    </row>
    <row r="42" spans="1:14" ht="15.75">
      <c r="A42" s="27"/>
      <c r="B42" s="28"/>
      <c r="C42" s="28"/>
      <c r="D42" s="28"/>
      <c r="E42" s="28"/>
      <c r="F42" s="28"/>
      <c r="G42" s="28"/>
      <c r="H42" s="28"/>
      <c r="I42" s="28"/>
      <c r="J42" s="28" t="s">
        <v>175</v>
      </c>
      <c r="K42" s="28"/>
      <c r="L42" s="48"/>
      <c r="M42" s="28"/>
      <c r="N42" s="131"/>
    </row>
    <row r="43" spans="1:14" ht="15.75">
      <c r="A43" s="27"/>
      <c r="B43" s="28" t="s">
        <v>28</v>
      </c>
      <c r="C43" s="28"/>
      <c r="D43" s="28"/>
      <c r="E43" s="28"/>
      <c r="F43" s="28"/>
      <c r="G43" s="28"/>
      <c r="H43" s="28"/>
      <c r="I43" s="28"/>
      <c r="J43" s="31"/>
      <c r="K43" s="31"/>
      <c r="L43" s="31" t="s">
        <v>187</v>
      </c>
      <c r="M43" s="28"/>
      <c r="N43" s="131"/>
    </row>
    <row r="44" spans="1:14" ht="15.75">
      <c r="A44" s="32"/>
      <c r="B44" s="33" t="s">
        <v>29</v>
      </c>
      <c r="C44" s="33"/>
      <c r="D44" s="33"/>
      <c r="E44" s="33"/>
      <c r="F44" s="33"/>
      <c r="G44" s="33"/>
      <c r="H44" s="33"/>
      <c r="I44" s="33"/>
      <c r="J44" s="49"/>
      <c r="K44" s="49"/>
      <c r="L44" s="50">
        <v>37179</v>
      </c>
      <c r="M44" s="33"/>
      <c r="N44" s="131"/>
    </row>
    <row r="45" spans="1:14" ht="15.75">
      <c r="A45" s="27"/>
      <c r="B45" s="28" t="s">
        <v>30</v>
      </c>
      <c r="C45" s="28"/>
      <c r="D45" s="28"/>
      <c r="E45" s="28"/>
      <c r="F45" s="28"/>
      <c r="G45" s="28"/>
      <c r="H45" s="28"/>
      <c r="I45" s="28">
        <f>L45-J45+1</f>
        <v>90</v>
      </c>
      <c r="J45" s="51">
        <v>36998</v>
      </c>
      <c r="K45" s="52"/>
      <c r="L45" s="51">
        <v>37087</v>
      </c>
      <c r="M45" s="28"/>
      <c r="N45" s="131"/>
    </row>
    <row r="46" spans="1:14" ht="15.75">
      <c r="A46" s="27"/>
      <c r="B46" s="28" t="s">
        <v>31</v>
      </c>
      <c r="C46" s="28"/>
      <c r="D46" s="28"/>
      <c r="E46" s="28"/>
      <c r="F46" s="28"/>
      <c r="G46" s="28"/>
      <c r="H46" s="28"/>
      <c r="I46" s="28">
        <f>L46-J46+1</f>
        <v>91</v>
      </c>
      <c r="J46" s="51">
        <v>37088</v>
      </c>
      <c r="K46" s="52"/>
      <c r="L46" s="51">
        <v>37178</v>
      </c>
      <c r="M46" s="28"/>
      <c r="N46" s="131"/>
    </row>
    <row r="47" spans="1:14" ht="15.75">
      <c r="A47" s="27"/>
      <c r="B47" s="28" t="s">
        <v>32</v>
      </c>
      <c r="C47" s="28"/>
      <c r="D47" s="28"/>
      <c r="E47" s="28"/>
      <c r="F47" s="28"/>
      <c r="G47" s="28"/>
      <c r="H47" s="28"/>
      <c r="I47" s="28"/>
      <c r="J47" s="51"/>
      <c r="K47" s="52"/>
      <c r="L47" s="51" t="s">
        <v>188</v>
      </c>
      <c r="M47" s="28"/>
      <c r="N47" s="131"/>
    </row>
    <row r="48" spans="1:14" ht="15.75">
      <c r="A48" s="27"/>
      <c r="B48" s="28" t="s">
        <v>33</v>
      </c>
      <c r="C48" s="28"/>
      <c r="D48" s="28"/>
      <c r="E48" s="28"/>
      <c r="F48" s="28"/>
      <c r="G48" s="28"/>
      <c r="H48" s="28"/>
      <c r="I48" s="28"/>
      <c r="J48" s="51"/>
      <c r="K48" s="52"/>
      <c r="L48" s="51">
        <v>37170</v>
      </c>
      <c r="M48" s="28"/>
      <c r="N48" s="131"/>
    </row>
    <row r="49" spans="1:14" ht="15.75">
      <c r="A49" s="27"/>
      <c r="B49" s="28"/>
      <c r="C49" s="28"/>
      <c r="D49" s="28"/>
      <c r="E49" s="28"/>
      <c r="F49" s="28"/>
      <c r="G49" s="28"/>
      <c r="H49" s="28"/>
      <c r="I49" s="28"/>
      <c r="J49" s="28"/>
      <c r="K49" s="28"/>
      <c r="L49" s="134"/>
      <c r="M49" s="28"/>
      <c r="N49" s="131"/>
    </row>
    <row r="50" spans="1:14" ht="15.75">
      <c r="A50" s="8"/>
      <c r="B50" s="10"/>
      <c r="C50" s="10"/>
      <c r="D50" s="10"/>
      <c r="E50" s="10"/>
      <c r="F50" s="10"/>
      <c r="G50" s="10"/>
      <c r="H50" s="10"/>
      <c r="I50" s="10"/>
      <c r="J50" s="10"/>
      <c r="K50" s="10"/>
      <c r="L50" s="56"/>
      <c r="M50" s="10"/>
      <c r="N50" s="131"/>
    </row>
    <row r="51" spans="1:14" ht="19.5" thickBot="1">
      <c r="A51" s="138"/>
      <c r="B51" s="139" t="s">
        <v>206</v>
      </c>
      <c r="C51" s="140"/>
      <c r="D51" s="140"/>
      <c r="E51" s="140"/>
      <c r="F51" s="140"/>
      <c r="G51" s="140"/>
      <c r="H51" s="140"/>
      <c r="I51" s="140"/>
      <c r="J51" s="140"/>
      <c r="K51" s="140"/>
      <c r="L51" s="141"/>
      <c r="M51" s="142"/>
      <c r="N51" s="131"/>
    </row>
    <row r="52" spans="1:14" ht="15.75">
      <c r="A52" s="2"/>
      <c r="B52" s="5"/>
      <c r="C52" s="5"/>
      <c r="D52" s="5"/>
      <c r="E52" s="5"/>
      <c r="F52" s="5"/>
      <c r="G52" s="5"/>
      <c r="H52" s="5"/>
      <c r="I52" s="5"/>
      <c r="J52" s="5"/>
      <c r="K52" s="5"/>
      <c r="L52" s="57"/>
      <c r="M52" s="5"/>
      <c r="N52" s="131"/>
    </row>
    <row r="53" spans="1:14" ht="15.75">
      <c r="A53" s="8"/>
      <c r="B53" s="58" t="s">
        <v>35</v>
      </c>
      <c r="C53" s="16"/>
      <c r="D53" s="10"/>
      <c r="E53" s="10"/>
      <c r="F53" s="10"/>
      <c r="G53" s="10"/>
      <c r="H53" s="10"/>
      <c r="I53" s="10"/>
      <c r="J53" s="10"/>
      <c r="K53" s="10"/>
      <c r="L53" s="59"/>
      <c r="M53" s="10"/>
      <c r="N53" s="131"/>
    </row>
    <row r="54" spans="1:14" ht="15.75">
      <c r="A54" s="8"/>
      <c r="B54" s="16"/>
      <c r="C54" s="16"/>
      <c r="D54" s="10"/>
      <c r="E54" s="10"/>
      <c r="F54" s="10"/>
      <c r="G54" s="10"/>
      <c r="H54" s="10"/>
      <c r="I54" s="10"/>
      <c r="J54" s="10"/>
      <c r="K54" s="10"/>
      <c r="L54" s="59"/>
      <c r="M54" s="10"/>
      <c r="N54" s="131"/>
    </row>
    <row r="55" spans="1:14" s="165" customFormat="1" ht="63">
      <c r="A55" s="159"/>
      <c r="B55" s="160" t="s">
        <v>36</v>
      </c>
      <c r="C55" s="161" t="s">
        <v>145</v>
      </c>
      <c r="D55" s="161" t="s">
        <v>147</v>
      </c>
      <c r="E55" s="161"/>
      <c r="F55" s="161" t="s">
        <v>160</v>
      </c>
      <c r="G55" s="161"/>
      <c r="H55" s="161" t="s">
        <v>170</v>
      </c>
      <c r="I55" s="161"/>
      <c r="J55" s="161" t="s">
        <v>176</v>
      </c>
      <c r="K55" s="161"/>
      <c r="L55" s="162" t="s">
        <v>189</v>
      </c>
      <c r="M55" s="163"/>
      <c r="N55" s="171"/>
    </row>
    <row r="56" spans="1:14" ht="15.75">
      <c r="A56" s="27"/>
      <c r="B56" s="28" t="s">
        <v>37</v>
      </c>
      <c r="C56" s="38">
        <v>162582</v>
      </c>
      <c r="D56" s="60">
        <v>162043</v>
      </c>
      <c r="E56" s="38"/>
      <c r="F56" s="38">
        <v>4857</v>
      </c>
      <c r="G56" s="38"/>
      <c r="H56" s="38">
        <v>1736</v>
      </c>
      <c r="I56" s="38"/>
      <c r="J56" s="38">
        <v>0</v>
      </c>
      <c r="K56" s="38"/>
      <c r="L56" s="60">
        <f>D56-F56+H56-J56</f>
        <v>158922</v>
      </c>
      <c r="M56" s="28"/>
      <c r="N56" s="131"/>
    </row>
    <row r="57" spans="1:14" ht="15.75">
      <c r="A57" s="27"/>
      <c r="B57" s="28" t="s">
        <v>38</v>
      </c>
      <c r="C57" s="38">
        <v>66</v>
      </c>
      <c r="D57" s="60">
        <v>0</v>
      </c>
      <c r="E57" s="38"/>
      <c r="F57" s="38">
        <v>0</v>
      </c>
      <c r="G57" s="38"/>
      <c r="H57" s="38">
        <v>0</v>
      </c>
      <c r="I57" s="38"/>
      <c r="J57" s="38">
        <v>0</v>
      </c>
      <c r="K57" s="38"/>
      <c r="L57" s="60">
        <f>D57-F57</f>
        <v>0</v>
      </c>
      <c r="M57" s="28"/>
      <c r="N57" s="131"/>
    </row>
    <row r="58" spans="1:14" ht="15.75">
      <c r="A58" s="27"/>
      <c r="B58" s="28"/>
      <c r="C58" s="38"/>
      <c r="D58" s="60"/>
      <c r="E58" s="38"/>
      <c r="F58" s="38"/>
      <c r="G58" s="38"/>
      <c r="H58" s="38"/>
      <c r="I58" s="38"/>
      <c r="J58" s="38"/>
      <c r="K58" s="38"/>
      <c r="L58" s="60"/>
      <c r="M58" s="28"/>
      <c r="N58" s="131"/>
    </row>
    <row r="59" spans="1:14" ht="15.75">
      <c r="A59" s="27"/>
      <c r="B59" s="28" t="s">
        <v>39</v>
      </c>
      <c r="C59" s="38">
        <f>SUM(C56:C58)</f>
        <v>162648</v>
      </c>
      <c r="D59" s="38">
        <f>SUM(D56:D58)</f>
        <v>162043</v>
      </c>
      <c r="E59" s="38"/>
      <c r="F59" s="38">
        <f>SUM(F56:F58)</f>
        <v>4857</v>
      </c>
      <c r="G59" s="38"/>
      <c r="H59" s="38">
        <f>SUM(H56:H58)</f>
        <v>1736</v>
      </c>
      <c r="I59" s="38"/>
      <c r="J59" s="38">
        <f>SUM(J56:J58)</f>
        <v>0</v>
      </c>
      <c r="K59" s="38"/>
      <c r="L59" s="61">
        <f>SUM(L56:L58)</f>
        <v>158922</v>
      </c>
      <c r="M59" s="28"/>
      <c r="N59" s="131"/>
    </row>
    <row r="60" spans="1:14" ht="15.75">
      <c r="A60" s="27"/>
      <c r="B60" s="28"/>
      <c r="C60" s="38"/>
      <c r="D60" s="38"/>
      <c r="E60" s="38"/>
      <c r="F60" s="38"/>
      <c r="G60" s="38"/>
      <c r="H60" s="38"/>
      <c r="I60" s="38"/>
      <c r="J60" s="38"/>
      <c r="K60" s="38"/>
      <c r="L60" s="61"/>
      <c r="M60" s="28"/>
      <c r="N60" s="131"/>
    </row>
    <row r="61" spans="1:14" ht="15.75">
      <c r="A61" s="8"/>
      <c r="B61" s="154" t="s">
        <v>40</v>
      </c>
      <c r="C61" s="62"/>
      <c r="D61" s="62"/>
      <c r="E61" s="62"/>
      <c r="F61" s="62"/>
      <c r="G61" s="62"/>
      <c r="H61" s="62"/>
      <c r="I61" s="62"/>
      <c r="J61" s="62"/>
      <c r="K61" s="62"/>
      <c r="L61" s="63"/>
      <c r="M61" s="10"/>
      <c r="N61" s="131"/>
    </row>
    <row r="62" spans="1:14" ht="15.75">
      <c r="A62" s="8"/>
      <c r="B62" s="10"/>
      <c r="C62" s="62"/>
      <c r="D62" s="62"/>
      <c r="E62" s="62"/>
      <c r="F62" s="62"/>
      <c r="G62" s="62"/>
      <c r="H62" s="62"/>
      <c r="I62" s="62"/>
      <c r="J62" s="62"/>
      <c r="K62" s="62"/>
      <c r="L62" s="63"/>
      <c r="M62" s="10"/>
      <c r="N62" s="131"/>
    </row>
    <row r="63" spans="1:14" ht="15.75">
      <c r="A63" s="27"/>
      <c r="B63" s="28" t="s">
        <v>37</v>
      </c>
      <c r="C63" s="38"/>
      <c r="D63" s="38"/>
      <c r="E63" s="38"/>
      <c r="F63" s="38"/>
      <c r="G63" s="38"/>
      <c r="H63" s="38"/>
      <c r="I63" s="38"/>
      <c r="J63" s="38"/>
      <c r="K63" s="38"/>
      <c r="L63" s="61"/>
      <c r="M63" s="28"/>
      <c r="N63" s="131"/>
    </row>
    <row r="64" spans="1:14" ht="15.75">
      <c r="A64" s="27"/>
      <c r="B64" s="28" t="s">
        <v>38</v>
      </c>
      <c r="C64" s="38"/>
      <c r="D64" s="38"/>
      <c r="E64" s="38"/>
      <c r="F64" s="38"/>
      <c r="G64" s="38"/>
      <c r="H64" s="38"/>
      <c r="I64" s="38"/>
      <c r="J64" s="38"/>
      <c r="K64" s="38"/>
      <c r="L64" s="61"/>
      <c r="M64" s="28"/>
      <c r="N64" s="131"/>
    </row>
    <row r="65" spans="1:14" ht="15.75">
      <c r="A65" s="27"/>
      <c r="B65" s="28"/>
      <c r="C65" s="38"/>
      <c r="D65" s="38"/>
      <c r="E65" s="38"/>
      <c r="F65" s="38"/>
      <c r="G65" s="38"/>
      <c r="H65" s="38"/>
      <c r="I65" s="38"/>
      <c r="J65" s="38"/>
      <c r="K65" s="38"/>
      <c r="L65" s="61"/>
      <c r="M65" s="28"/>
      <c r="N65" s="131"/>
    </row>
    <row r="66" spans="1:14" ht="15.75">
      <c r="A66" s="27"/>
      <c r="B66" s="28" t="s">
        <v>39</v>
      </c>
      <c r="C66" s="38"/>
      <c r="D66" s="38"/>
      <c r="E66" s="38"/>
      <c r="F66" s="38"/>
      <c r="G66" s="38"/>
      <c r="H66" s="38"/>
      <c r="I66" s="38"/>
      <c r="J66" s="38"/>
      <c r="K66" s="38"/>
      <c r="L66" s="38"/>
      <c r="M66" s="28"/>
      <c r="N66" s="131"/>
    </row>
    <row r="67" spans="1:14" ht="15.75">
      <c r="A67" s="27"/>
      <c r="B67" s="28"/>
      <c r="C67" s="38"/>
      <c r="D67" s="38"/>
      <c r="E67" s="38"/>
      <c r="F67" s="38"/>
      <c r="G67" s="38"/>
      <c r="H67" s="38"/>
      <c r="I67" s="38"/>
      <c r="J67" s="38"/>
      <c r="K67" s="38"/>
      <c r="L67" s="38"/>
      <c r="M67" s="28"/>
      <c r="N67" s="131"/>
    </row>
    <row r="68" spans="1:14" ht="15.75">
      <c r="A68" s="27"/>
      <c r="B68" s="28" t="s">
        <v>41</v>
      </c>
      <c r="C68" s="38">
        <v>0</v>
      </c>
      <c r="D68" s="38">
        <v>0</v>
      </c>
      <c r="E68" s="38"/>
      <c r="F68" s="38"/>
      <c r="G68" s="38"/>
      <c r="H68" s="38"/>
      <c r="I68" s="38"/>
      <c r="J68" s="38"/>
      <c r="K68" s="38"/>
      <c r="L68" s="60">
        <f>D68-F68+H68-J68</f>
        <v>0</v>
      </c>
      <c r="M68" s="28"/>
      <c r="N68" s="131"/>
    </row>
    <row r="69" spans="1:14" ht="15.75">
      <c r="A69" s="27"/>
      <c r="B69" s="28" t="s">
        <v>42</v>
      </c>
      <c r="C69" s="38">
        <v>22352</v>
      </c>
      <c r="D69" s="38">
        <v>0</v>
      </c>
      <c r="E69" s="38"/>
      <c r="F69" s="38"/>
      <c r="G69" s="38"/>
      <c r="H69" s="38"/>
      <c r="I69" s="38"/>
      <c r="J69" s="38"/>
      <c r="K69" s="38"/>
      <c r="L69" s="61">
        <v>0</v>
      </c>
      <c r="M69" s="28"/>
      <c r="N69" s="131"/>
    </row>
    <row r="70" spans="1:14" ht="15.75">
      <c r="A70" s="27"/>
      <c r="B70" s="28" t="s">
        <v>43</v>
      </c>
      <c r="C70" s="38">
        <v>0</v>
      </c>
      <c r="D70" s="38">
        <f>L127</f>
        <v>0</v>
      </c>
      <c r="E70" s="38"/>
      <c r="F70" s="38"/>
      <c r="G70" s="38"/>
      <c r="H70" s="38"/>
      <c r="I70" s="38"/>
      <c r="J70" s="38"/>
      <c r="K70" s="38"/>
      <c r="L70" s="61">
        <f>SUM(C70:K70)</f>
        <v>0</v>
      </c>
      <c r="M70" s="28"/>
      <c r="N70" s="131"/>
    </row>
    <row r="71" spans="1:14" ht="15.75">
      <c r="A71" s="27"/>
      <c r="B71" s="28" t="s">
        <v>44</v>
      </c>
      <c r="C71" s="61">
        <f>SUM(C59:C70)</f>
        <v>185000</v>
      </c>
      <c r="D71" s="61">
        <f>SUM(D59:D70)</f>
        <v>162043</v>
      </c>
      <c r="E71" s="38"/>
      <c r="F71" s="61"/>
      <c r="G71" s="38"/>
      <c r="H71" s="61"/>
      <c r="I71" s="38"/>
      <c r="J71" s="61"/>
      <c r="K71" s="38"/>
      <c r="L71" s="61">
        <f>SUM(L59:L70)</f>
        <v>158922</v>
      </c>
      <c r="M71" s="28"/>
      <c r="N71" s="131"/>
    </row>
    <row r="72" spans="1:14" ht="15.75">
      <c r="A72" s="27"/>
      <c r="B72" s="28"/>
      <c r="C72" s="38"/>
      <c r="D72" s="38"/>
      <c r="E72" s="38"/>
      <c r="F72" s="38"/>
      <c r="G72" s="38"/>
      <c r="H72" s="38"/>
      <c r="I72" s="38"/>
      <c r="J72" s="38"/>
      <c r="K72" s="38"/>
      <c r="L72" s="61"/>
      <c r="M72" s="28"/>
      <c r="N72" s="131"/>
    </row>
    <row r="73" spans="1:14" ht="15.75">
      <c r="A73" s="8"/>
      <c r="B73" s="10"/>
      <c r="C73" s="10"/>
      <c r="D73" s="10"/>
      <c r="E73" s="10"/>
      <c r="F73" s="10"/>
      <c r="G73" s="10"/>
      <c r="H73" s="10"/>
      <c r="I73" s="10"/>
      <c r="J73" s="10"/>
      <c r="K73" s="10"/>
      <c r="L73" s="10"/>
      <c r="M73" s="10"/>
      <c r="N73" s="131"/>
    </row>
    <row r="74" spans="1:14" ht="15.75">
      <c r="A74" s="8"/>
      <c r="B74" s="58" t="s">
        <v>45</v>
      </c>
      <c r="C74" s="17"/>
      <c r="D74" s="17"/>
      <c r="E74" s="17"/>
      <c r="F74" s="17"/>
      <c r="G74" s="17"/>
      <c r="H74" s="17"/>
      <c r="I74" s="20"/>
      <c r="J74" s="20" t="s">
        <v>177</v>
      </c>
      <c r="K74" s="20"/>
      <c r="L74" s="20" t="s">
        <v>190</v>
      </c>
      <c r="M74" s="10"/>
      <c r="N74" s="131"/>
    </row>
    <row r="75" spans="1:14" ht="15.75">
      <c r="A75" s="27"/>
      <c r="B75" s="28" t="s">
        <v>46</v>
      </c>
      <c r="C75" s="28"/>
      <c r="D75" s="28"/>
      <c r="E75" s="28"/>
      <c r="F75" s="28"/>
      <c r="G75" s="28"/>
      <c r="H75" s="28"/>
      <c r="I75" s="28"/>
      <c r="J75" s="38">
        <v>0</v>
      </c>
      <c r="K75" s="28"/>
      <c r="L75" s="60">
        <v>0</v>
      </c>
      <c r="M75" s="28"/>
      <c r="N75" s="131"/>
    </row>
    <row r="76" spans="1:14" ht="15.75">
      <c r="A76" s="27"/>
      <c r="B76" s="28" t="s">
        <v>47</v>
      </c>
      <c r="C76" s="47" t="s">
        <v>146</v>
      </c>
      <c r="D76" s="65">
        <v>37072</v>
      </c>
      <c r="E76" s="28"/>
      <c r="F76" s="28"/>
      <c r="G76" s="28"/>
      <c r="H76" s="28"/>
      <c r="I76" s="28"/>
      <c r="J76" s="38">
        <v>4857</v>
      </c>
      <c r="K76" s="28"/>
      <c r="L76" s="60"/>
      <c r="M76" s="28"/>
      <c r="N76" s="131"/>
    </row>
    <row r="77" spans="1:14" ht="15.75">
      <c r="A77" s="27"/>
      <c r="B77" s="28" t="s">
        <v>48</v>
      </c>
      <c r="C77" s="28"/>
      <c r="D77" s="28"/>
      <c r="E77" s="28"/>
      <c r="F77" s="28"/>
      <c r="G77" s="28"/>
      <c r="H77" s="28"/>
      <c r="I77" s="28"/>
      <c r="J77" s="38"/>
      <c r="K77" s="28"/>
      <c r="L77" s="60">
        <f>2753+378-4</f>
        <v>3127</v>
      </c>
      <c r="M77" s="28"/>
      <c r="N77" s="131"/>
    </row>
    <row r="78" spans="1:14" ht="15.75">
      <c r="A78" s="27"/>
      <c r="B78" s="28" t="s">
        <v>49</v>
      </c>
      <c r="C78" s="28"/>
      <c r="D78" s="28"/>
      <c r="E78" s="28"/>
      <c r="F78" s="28"/>
      <c r="G78" s="28"/>
      <c r="H78" s="28"/>
      <c r="I78" s="28"/>
      <c r="J78" s="38"/>
      <c r="K78" s="28"/>
      <c r="L78" s="60">
        <v>0</v>
      </c>
      <c r="M78" s="28"/>
      <c r="N78" s="131"/>
    </row>
    <row r="79" spans="1:14" ht="15.75">
      <c r="A79" s="27"/>
      <c r="B79" s="28" t="s">
        <v>50</v>
      </c>
      <c r="C79" s="28"/>
      <c r="D79" s="28"/>
      <c r="E79" s="28"/>
      <c r="F79" s="28"/>
      <c r="G79" s="28"/>
      <c r="H79" s="28"/>
      <c r="I79" s="28"/>
      <c r="J79" s="38">
        <f>SUM(J75:J78)</f>
        <v>4857</v>
      </c>
      <c r="K79" s="28"/>
      <c r="L79" s="61">
        <f>SUM(L75:L78)</f>
        <v>3127</v>
      </c>
      <c r="M79" s="28"/>
      <c r="N79" s="131"/>
    </row>
    <row r="80" spans="1:14" ht="15.75">
      <c r="A80" s="27"/>
      <c r="B80" s="28" t="s">
        <v>51</v>
      </c>
      <c r="C80" s="28"/>
      <c r="D80" s="28"/>
      <c r="E80" s="28"/>
      <c r="F80" s="28"/>
      <c r="G80" s="28"/>
      <c r="H80" s="28"/>
      <c r="I80" s="28"/>
      <c r="J80" s="38">
        <v>0</v>
      </c>
      <c r="K80" s="28"/>
      <c r="L80" s="60">
        <v>0</v>
      </c>
      <c r="M80" s="28"/>
      <c r="N80" s="131"/>
    </row>
    <row r="81" spans="1:14" ht="15.75">
      <c r="A81" s="27"/>
      <c r="B81" s="28" t="s">
        <v>52</v>
      </c>
      <c r="C81" s="28"/>
      <c r="D81" s="28"/>
      <c r="E81" s="28"/>
      <c r="F81" s="28"/>
      <c r="G81" s="28"/>
      <c r="H81" s="28"/>
      <c r="I81" s="28"/>
      <c r="J81" s="38">
        <f>J79+J80</f>
        <v>4857</v>
      </c>
      <c r="K81" s="28"/>
      <c r="L81" s="61">
        <f>L79+L80</f>
        <v>3127</v>
      </c>
      <c r="M81" s="28"/>
      <c r="N81" s="131"/>
    </row>
    <row r="82" spans="1:14" ht="15.75">
      <c r="A82" s="27"/>
      <c r="B82" s="166" t="s">
        <v>53</v>
      </c>
      <c r="C82" s="66"/>
      <c r="D82" s="28"/>
      <c r="E82" s="28"/>
      <c r="F82" s="28"/>
      <c r="G82" s="28"/>
      <c r="H82" s="28"/>
      <c r="I82" s="28"/>
      <c r="J82" s="38"/>
      <c r="K82" s="28"/>
      <c r="L82" s="60"/>
      <c r="M82" s="28"/>
      <c r="N82" s="131"/>
    </row>
    <row r="83" spans="1:14" ht="15.75">
      <c r="A83" s="27">
        <v>1</v>
      </c>
      <c r="B83" s="28" t="s">
        <v>54</v>
      </c>
      <c r="C83" s="28"/>
      <c r="D83" s="28"/>
      <c r="E83" s="28"/>
      <c r="F83" s="28"/>
      <c r="G83" s="28"/>
      <c r="H83" s="28"/>
      <c r="I83" s="28"/>
      <c r="J83" s="28"/>
      <c r="K83" s="28"/>
      <c r="L83" s="60">
        <v>0</v>
      </c>
      <c r="M83" s="28"/>
      <c r="N83" s="131"/>
    </row>
    <row r="84" spans="1:14" ht="15.75">
      <c r="A84" s="27">
        <v>2</v>
      </c>
      <c r="B84" s="28" t="s">
        <v>55</v>
      </c>
      <c r="C84" s="28"/>
      <c r="D84" s="28"/>
      <c r="E84" s="28"/>
      <c r="F84" s="28"/>
      <c r="G84" s="28"/>
      <c r="H84" s="28"/>
      <c r="I84" s="28"/>
      <c r="J84" s="28"/>
      <c r="K84" s="28"/>
      <c r="L84" s="60">
        <v>-3</v>
      </c>
      <c r="M84" s="28"/>
      <c r="N84" s="131"/>
    </row>
    <row r="85" spans="1:14" ht="15.75">
      <c r="A85" s="27">
        <v>3</v>
      </c>
      <c r="B85" s="28" t="s">
        <v>56</v>
      </c>
      <c r="C85" s="28"/>
      <c r="D85" s="28"/>
      <c r="E85" s="28"/>
      <c r="F85" s="28"/>
      <c r="G85" s="28"/>
      <c r="H85" s="28"/>
      <c r="I85" s="28"/>
      <c r="J85" s="28"/>
      <c r="K85" s="28"/>
      <c r="L85" s="60">
        <v>-125</v>
      </c>
      <c r="M85" s="28"/>
      <c r="N85" s="131"/>
    </row>
    <row r="86" spans="1:14" ht="15.75">
      <c r="A86" s="27">
        <v>4</v>
      </c>
      <c r="B86" s="28" t="s">
        <v>57</v>
      </c>
      <c r="C86" s="28"/>
      <c r="D86" s="28"/>
      <c r="E86" s="28"/>
      <c r="F86" s="28"/>
      <c r="G86" s="28"/>
      <c r="H86" s="28"/>
      <c r="I86" s="28"/>
      <c r="J86" s="28"/>
      <c r="K86" s="28"/>
      <c r="L86" s="60">
        <v>-82</v>
      </c>
      <c r="M86" s="28"/>
      <c r="N86" s="131"/>
    </row>
    <row r="87" spans="1:14" ht="15.75">
      <c r="A87" s="27">
        <v>5</v>
      </c>
      <c r="B87" s="28" t="s">
        <v>58</v>
      </c>
      <c r="C87" s="28"/>
      <c r="D87" s="28"/>
      <c r="E87" s="28"/>
      <c r="F87" s="28"/>
      <c r="G87" s="28"/>
      <c r="H87" s="28"/>
      <c r="I87" s="28"/>
      <c r="J87" s="28"/>
      <c r="K87" s="28"/>
      <c r="L87" s="60">
        <v>-2000</v>
      </c>
      <c r="M87" s="28"/>
      <c r="N87" s="131"/>
    </row>
    <row r="88" spans="1:14" ht="15.75">
      <c r="A88" s="27">
        <v>6</v>
      </c>
      <c r="B88" s="28" t="s">
        <v>59</v>
      </c>
      <c r="C88" s="28"/>
      <c r="D88" s="28"/>
      <c r="E88" s="28"/>
      <c r="F88" s="28"/>
      <c r="G88" s="28"/>
      <c r="H88" s="28"/>
      <c r="I88" s="28"/>
      <c r="J88" s="28"/>
      <c r="K88" s="28"/>
      <c r="L88" s="60">
        <v>-256</v>
      </c>
      <c r="M88" s="28"/>
      <c r="N88" s="131"/>
    </row>
    <row r="89" spans="1:14" ht="15.75">
      <c r="A89" s="27">
        <v>7</v>
      </c>
      <c r="B89" s="28" t="s">
        <v>60</v>
      </c>
      <c r="C89" s="28"/>
      <c r="D89" s="28"/>
      <c r="E89" s="28"/>
      <c r="F89" s="28"/>
      <c r="G89" s="28"/>
      <c r="H89" s="28"/>
      <c r="I89" s="28"/>
      <c r="J89" s="28"/>
      <c r="K89" s="28"/>
      <c r="L89" s="60">
        <v>-3</v>
      </c>
      <c r="M89" s="28"/>
      <c r="N89" s="131"/>
    </row>
    <row r="90" spans="1:14" ht="15.75">
      <c r="A90" s="27">
        <v>8</v>
      </c>
      <c r="B90" s="28" t="s">
        <v>61</v>
      </c>
      <c r="C90" s="28"/>
      <c r="D90" s="28"/>
      <c r="E90" s="28"/>
      <c r="F90" s="28"/>
      <c r="G90" s="28"/>
      <c r="H90" s="28"/>
      <c r="I90" s="28"/>
      <c r="J90" s="28"/>
      <c r="K90" s="28"/>
      <c r="L90" s="60">
        <v>0</v>
      </c>
      <c r="M90" s="28"/>
      <c r="N90" s="131"/>
    </row>
    <row r="91" spans="1:14" ht="15.75">
      <c r="A91" s="27">
        <v>9</v>
      </c>
      <c r="B91" s="28" t="s">
        <v>62</v>
      </c>
      <c r="C91" s="28"/>
      <c r="D91" s="28"/>
      <c r="E91" s="28"/>
      <c r="F91" s="28"/>
      <c r="G91" s="28"/>
      <c r="H91" s="28"/>
      <c r="I91" s="28"/>
      <c r="J91" s="28"/>
      <c r="K91" s="28"/>
      <c r="L91" s="60">
        <v>0</v>
      </c>
      <c r="M91" s="28"/>
      <c r="N91" s="131"/>
    </row>
    <row r="92" spans="1:14" ht="15.75">
      <c r="A92" s="27">
        <v>10</v>
      </c>
      <c r="B92" s="28" t="s">
        <v>63</v>
      </c>
      <c r="C92" s="28"/>
      <c r="D92" s="28"/>
      <c r="E92" s="28"/>
      <c r="F92" s="28"/>
      <c r="G92" s="28"/>
      <c r="H92" s="28"/>
      <c r="I92" s="28"/>
      <c r="J92" s="28"/>
      <c r="K92" s="28"/>
      <c r="L92" s="60">
        <v>0</v>
      </c>
      <c r="M92" s="28"/>
      <c r="N92" s="131"/>
    </row>
    <row r="93" spans="1:14" ht="15.75">
      <c r="A93" s="27">
        <v>11</v>
      </c>
      <c r="B93" s="28" t="s">
        <v>64</v>
      </c>
      <c r="C93" s="28"/>
      <c r="D93" s="28"/>
      <c r="E93" s="28"/>
      <c r="F93" s="28"/>
      <c r="G93" s="28"/>
      <c r="H93" s="28"/>
      <c r="I93" s="28"/>
      <c r="J93" s="28"/>
      <c r="K93" s="28"/>
      <c r="L93" s="60">
        <v>0</v>
      </c>
      <c r="M93" s="28"/>
      <c r="N93" s="131"/>
    </row>
    <row r="94" spans="1:14" ht="15.75">
      <c r="A94" s="27">
        <v>12</v>
      </c>
      <c r="B94" s="28" t="s">
        <v>65</v>
      </c>
      <c r="C94" s="28"/>
      <c r="D94" s="28"/>
      <c r="E94" s="28"/>
      <c r="F94" s="28"/>
      <c r="G94" s="28"/>
      <c r="H94" s="28"/>
      <c r="I94" s="28"/>
      <c r="J94" s="28"/>
      <c r="K94" s="28"/>
      <c r="L94" s="60">
        <v>-134</v>
      </c>
      <c r="M94" s="28"/>
      <c r="N94" s="131"/>
    </row>
    <row r="95" spans="1:14" ht="15.75">
      <c r="A95" s="27">
        <v>13</v>
      </c>
      <c r="B95" s="28" t="s">
        <v>66</v>
      </c>
      <c r="C95" s="28"/>
      <c r="D95" s="28"/>
      <c r="E95" s="28"/>
      <c r="F95" s="28"/>
      <c r="G95" s="28"/>
      <c r="H95" s="28"/>
      <c r="I95" s="28"/>
      <c r="J95" s="28"/>
      <c r="K95" s="28"/>
      <c r="L95" s="60">
        <f>-SUM(L81:L94)</f>
        <v>-524</v>
      </c>
      <c r="M95" s="28"/>
      <c r="N95" s="131"/>
    </row>
    <row r="96" spans="1:14" ht="15.75">
      <c r="A96" s="27"/>
      <c r="B96" s="166" t="s">
        <v>67</v>
      </c>
      <c r="C96" s="66"/>
      <c r="D96" s="28"/>
      <c r="E96" s="28"/>
      <c r="F96" s="28"/>
      <c r="G96" s="28"/>
      <c r="H96" s="28"/>
      <c r="I96" s="28"/>
      <c r="J96" s="28"/>
      <c r="K96" s="28"/>
      <c r="L96" s="67"/>
      <c r="M96" s="28"/>
      <c r="N96" s="131"/>
    </row>
    <row r="97" spans="1:14" ht="15.75">
      <c r="A97" s="27"/>
      <c r="B97" s="28" t="s">
        <v>68</v>
      </c>
      <c r="C97" s="66"/>
      <c r="D97" s="28"/>
      <c r="E97" s="28"/>
      <c r="F97" s="28"/>
      <c r="G97" s="28"/>
      <c r="H97" s="28"/>
      <c r="I97" s="28"/>
      <c r="J97" s="38">
        <f>-J143</f>
        <v>-5</v>
      </c>
      <c r="K97" s="38"/>
      <c r="L97" s="60"/>
      <c r="M97" s="28"/>
      <c r="N97" s="131"/>
    </row>
    <row r="98" spans="1:14" ht="15.75">
      <c r="A98" s="27"/>
      <c r="B98" s="28" t="s">
        <v>69</v>
      </c>
      <c r="C98" s="28"/>
      <c r="D98" s="28"/>
      <c r="E98" s="28"/>
      <c r="F98" s="28"/>
      <c r="G98" s="28"/>
      <c r="H98" s="28"/>
      <c r="I98" s="28"/>
      <c r="J98" s="38">
        <f>-H143</f>
        <v>-1731</v>
      </c>
      <c r="K98" s="38"/>
      <c r="L98" s="60"/>
      <c r="M98" s="28"/>
      <c r="N98" s="131"/>
    </row>
    <row r="99" spans="1:14" ht="15.75">
      <c r="A99" s="27"/>
      <c r="B99" s="28" t="s">
        <v>70</v>
      </c>
      <c r="C99" s="28"/>
      <c r="D99" s="28"/>
      <c r="E99" s="28"/>
      <c r="F99" s="28"/>
      <c r="G99" s="28"/>
      <c r="H99" s="28"/>
      <c r="I99" s="28"/>
      <c r="J99" s="38">
        <v>-3121</v>
      </c>
      <c r="K99" s="38"/>
      <c r="L99" s="60"/>
      <c r="M99" s="28"/>
      <c r="N99" s="131"/>
    </row>
    <row r="100" spans="1:14" ht="15.75">
      <c r="A100" s="27"/>
      <c r="B100" s="28" t="s">
        <v>71</v>
      </c>
      <c r="C100" s="28"/>
      <c r="D100" s="28"/>
      <c r="E100" s="28"/>
      <c r="F100" s="28"/>
      <c r="G100" s="28"/>
      <c r="H100" s="28"/>
      <c r="I100" s="28"/>
      <c r="J100" s="38">
        <v>0</v>
      </c>
      <c r="K100" s="38"/>
      <c r="L100" s="60"/>
      <c r="M100" s="28"/>
      <c r="N100" s="131"/>
    </row>
    <row r="101" spans="1:14" ht="15.75">
      <c r="A101" s="27"/>
      <c r="B101" s="28" t="s">
        <v>72</v>
      </c>
      <c r="C101" s="28"/>
      <c r="D101" s="28"/>
      <c r="E101" s="28"/>
      <c r="F101" s="28"/>
      <c r="G101" s="28"/>
      <c r="H101" s="28"/>
      <c r="I101" s="28"/>
      <c r="J101" s="38">
        <f>SUM(J82:J100)</f>
        <v>-4857</v>
      </c>
      <c r="K101" s="38"/>
      <c r="L101" s="38">
        <f>SUM(L82:L100)</f>
        <v>-3127</v>
      </c>
      <c r="M101" s="28"/>
      <c r="N101" s="131"/>
    </row>
    <row r="102" spans="1:14" ht="15.75">
      <c r="A102" s="27"/>
      <c r="B102" s="28" t="s">
        <v>73</v>
      </c>
      <c r="C102" s="28"/>
      <c r="D102" s="28"/>
      <c r="E102" s="28"/>
      <c r="F102" s="28"/>
      <c r="G102" s="28"/>
      <c r="H102" s="28"/>
      <c r="I102" s="28"/>
      <c r="J102" s="38">
        <f>J81+J101</f>
        <v>0</v>
      </c>
      <c r="K102" s="38"/>
      <c r="L102" s="38">
        <f>L81+L101</f>
        <v>0</v>
      </c>
      <c r="M102" s="28"/>
      <c r="N102" s="131"/>
    </row>
    <row r="103" spans="1:14" ht="15.75">
      <c r="A103" s="27"/>
      <c r="B103" s="28"/>
      <c r="C103" s="28"/>
      <c r="D103" s="28"/>
      <c r="E103" s="28"/>
      <c r="F103" s="28"/>
      <c r="G103" s="28"/>
      <c r="H103" s="28"/>
      <c r="I103" s="28"/>
      <c r="J103" s="38"/>
      <c r="K103" s="38"/>
      <c r="L103" s="38"/>
      <c r="M103" s="28"/>
      <c r="N103" s="131"/>
    </row>
    <row r="104" spans="1:14" ht="15.75">
      <c r="A104" s="8"/>
      <c r="B104" s="10"/>
      <c r="C104" s="10"/>
      <c r="D104" s="10"/>
      <c r="E104" s="10"/>
      <c r="F104" s="10"/>
      <c r="G104" s="10"/>
      <c r="H104" s="10"/>
      <c r="I104" s="10"/>
      <c r="J104" s="62"/>
      <c r="K104" s="62"/>
      <c r="L104" s="62"/>
      <c r="M104" s="10"/>
      <c r="N104" s="131"/>
    </row>
    <row r="105" spans="1:14" ht="19.5" thickBot="1">
      <c r="A105" s="138"/>
      <c r="B105" s="139" t="s">
        <v>206</v>
      </c>
      <c r="C105" s="140"/>
      <c r="D105" s="140"/>
      <c r="E105" s="140"/>
      <c r="F105" s="140"/>
      <c r="G105" s="140"/>
      <c r="H105" s="140"/>
      <c r="I105" s="140"/>
      <c r="J105" s="143"/>
      <c r="K105" s="143"/>
      <c r="L105" s="143"/>
      <c r="M105" s="142"/>
      <c r="N105" s="131"/>
    </row>
    <row r="106" spans="1:14" ht="12" customHeight="1">
      <c r="A106" s="2"/>
      <c r="B106" s="5"/>
      <c r="C106" s="5"/>
      <c r="D106" s="5"/>
      <c r="E106" s="5"/>
      <c r="F106" s="5"/>
      <c r="G106" s="5"/>
      <c r="H106" s="5"/>
      <c r="I106" s="5"/>
      <c r="J106" s="5"/>
      <c r="K106" s="5"/>
      <c r="L106" s="57"/>
      <c r="M106" s="5"/>
      <c r="N106" s="131"/>
    </row>
    <row r="107" spans="1:14" ht="12" customHeight="1">
      <c r="A107" s="8"/>
      <c r="B107" s="10"/>
      <c r="C107" s="10"/>
      <c r="D107" s="10"/>
      <c r="E107" s="10"/>
      <c r="F107" s="10"/>
      <c r="G107" s="10"/>
      <c r="H107" s="10"/>
      <c r="I107" s="10"/>
      <c r="J107" s="10"/>
      <c r="K107" s="10"/>
      <c r="L107" s="59"/>
      <c r="M107" s="10"/>
      <c r="N107" s="131"/>
    </row>
    <row r="108" spans="1:14" ht="15.75">
      <c r="A108" s="8"/>
      <c r="B108" s="58" t="s">
        <v>74</v>
      </c>
      <c r="C108" s="16"/>
      <c r="D108" s="10"/>
      <c r="E108" s="10"/>
      <c r="F108" s="10"/>
      <c r="G108" s="10"/>
      <c r="H108" s="10"/>
      <c r="I108" s="10"/>
      <c r="J108" s="10"/>
      <c r="K108" s="10"/>
      <c r="L108" s="59"/>
      <c r="M108" s="10"/>
      <c r="N108" s="131"/>
    </row>
    <row r="109" spans="1:14" ht="15.75">
      <c r="A109" s="8"/>
      <c r="B109" s="23"/>
      <c r="C109" s="16"/>
      <c r="D109" s="10"/>
      <c r="E109" s="10"/>
      <c r="F109" s="10"/>
      <c r="G109" s="10"/>
      <c r="H109" s="10"/>
      <c r="I109" s="10"/>
      <c r="J109" s="10"/>
      <c r="K109" s="10"/>
      <c r="L109" s="59"/>
      <c r="M109" s="10"/>
      <c r="N109" s="131"/>
    </row>
    <row r="110" spans="1:14" ht="15.75">
      <c r="A110" s="8"/>
      <c r="B110" s="167" t="s">
        <v>75</v>
      </c>
      <c r="C110" s="16"/>
      <c r="D110" s="10"/>
      <c r="E110" s="10"/>
      <c r="F110" s="10"/>
      <c r="G110" s="10"/>
      <c r="H110" s="10"/>
      <c r="I110" s="10"/>
      <c r="J110" s="10"/>
      <c r="K110" s="10"/>
      <c r="L110" s="59"/>
      <c r="M110" s="10"/>
      <c r="N110" s="131"/>
    </row>
    <row r="111" spans="1:14" ht="15.75">
      <c r="A111" s="27"/>
      <c r="B111" s="28" t="s">
        <v>76</v>
      </c>
      <c r="C111" s="28"/>
      <c r="D111" s="28"/>
      <c r="E111" s="28"/>
      <c r="F111" s="28"/>
      <c r="G111" s="28"/>
      <c r="H111" s="28"/>
      <c r="I111" s="28"/>
      <c r="J111" s="28"/>
      <c r="K111" s="28"/>
      <c r="L111" s="60">
        <v>4625</v>
      </c>
      <c r="M111" s="28"/>
      <c r="N111" s="131"/>
    </row>
    <row r="112" spans="1:14" ht="15.75">
      <c r="A112" s="27"/>
      <c r="B112" s="28" t="s">
        <v>77</v>
      </c>
      <c r="C112" s="28"/>
      <c r="D112" s="28"/>
      <c r="E112" s="28"/>
      <c r="F112" s="28"/>
      <c r="G112" s="28"/>
      <c r="H112" s="28"/>
      <c r="I112" s="28"/>
      <c r="J112" s="28"/>
      <c r="K112" s="28"/>
      <c r="L112" s="60">
        <v>4625</v>
      </c>
      <c r="M112" s="28"/>
      <c r="N112" s="131"/>
    </row>
    <row r="113" spans="1:14" ht="15.75">
      <c r="A113" s="27"/>
      <c r="B113" s="28" t="s">
        <v>78</v>
      </c>
      <c r="C113" s="28"/>
      <c r="D113" s="28"/>
      <c r="E113" s="28"/>
      <c r="F113" s="28"/>
      <c r="G113" s="28"/>
      <c r="H113" s="28"/>
      <c r="I113" s="28"/>
      <c r="J113" s="28"/>
      <c r="K113" s="28"/>
      <c r="L113" s="60">
        <v>0</v>
      </c>
      <c r="M113" s="28"/>
      <c r="N113" s="131"/>
    </row>
    <row r="114" spans="1:14" ht="15.75">
      <c r="A114" s="27"/>
      <c r="B114" s="28" t="s">
        <v>79</v>
      </c>
      <c r="C114" s="28"/>
      <c r="D114" s="28"/>
      <c r="E114" s="28"/>
      <c r="F114" s="28"/>
      <c r="G114" s="28"/>
      <c r="H114" s="28"/>
      <c r="I114" s="28"/>
      <c r="J114" s="28"/>
      <c r="K114" s="28"/>
      <c r="L114" s="60">
        <v>0</v>
      </c>
      <c r="M114" s="28"/>
      <c r="N114" s="131"/>
    </row>
    <row r="115" spans="1:14" ht="15.75">
      <c r="A115" s="27"/>
      <c r="B115" s="28" t="s">
        <v>80</v>
      </c>
      <c r="C115" s="28"/>
      <c r="D115" s="28"/>
      <c r="E115" s="28"/>
      <c r="F115" s="28"/>
      <c r="G115" s="28"/>
      <c r="H115" s="28"/>
      <c r="I115" s="28"/>
      <c r="J115" s="28"/>
      <c r="K115" s="28"/>
      <c r="L115" s="60">
        <v>0</v>
      </c>
      <c r="M115" s="28"/>
      <c r="N115" s="131"/>
    </row>
    <row r="116" spans="1:14" ht="15.75">
      <c r="A116" s="27"/>
      <c r="B116" s="28" t="s">
        <v>58</v>
      </c>
      <c r="C116" s="28"/>
      <c r="D116" s="28"/>
      <c r="E116" s="28"/>
      <c r="F116" s="28"/>
      <c r="G116" s="28"/>
      <c r="H116" s="28"/>
      <c r="I116" s="28"/>
      <c r="J116" s="28"/>
      <c r="K116" s="28"/>
      <c r="L116" s="60">
        <v>0</v>
      </c>
      <c r="M116" s="28"/>
      <c r="N116" s="131"/>
    </row>
    <row r="117" spans="1:14" ht="15.75">
      <c r="A117" s="27"/>
      <c r="B117" s="28" t="s">
        <v>59</v>
      </c>
      <c r="C117" s="28"/>
      <c r="D117" s="28"/>
      <c r="E117" s="28"/>
      <c r="F117" s="28"/>
      <c r="G117" s="28"/>
      <c r="H117" s="28"/>
      <c r="I117" s="28"/>
      <c r="J117" s="28"/>
      <c r="K117" s="28"/>
      <c r="L117" s="60">
        <v>0</v>
      </c>
      <c r="M117" s="28"/>
      <c r="N117" s="131"/>
    </row>
    <row r="118" spans="1:14" ht="15.75">
      <c r="A118" s="27"/>
      <c r="B118" s="28" t="s">
        <v>81</v>
      </c>
      <c r="C118" s="28"/>
      <c r="D118" s="28"/>
      <c r="E118" s="28"/>
      <c r="F118" s="28"/>
      <c r="G118" s="28"/>
      <c r="H118" s="28"/>
      <c r="I118" s="28"/>
      <c r="J118" s="28"/>
      <c r="K118" s="28"/>
      <c r="L118" s="60">
        <f>SUM(L112:L116)</f>
        <v>4625</v>
      </c>
      <c r="M118" s="28"/>
      <c r="N118" s="131"/>
    </row>
    <row r="119" spans="1:14" ht="15.75">
      <c r="A119" s="27"/>
      <c r="B119" s="28"/>
      <c r="C119" s="28"/>
      <c r="D119" s="28"/>
      <c r="E119" s="28"/>
      <c r="F119" s="28"/>
      <c r="G119" s="28"/>
      <c r="H119" s="28"/>
      <c r="I119" s="28"/>
      <c r="J119" s="28"/>
      <c r="K119" s="28"/>
      <c r="L119" s="68"/>
      <c r="M119" s="28"/>
      <c r="N119" s="131"/>
    </row>
    <row r="120" spans="1:14" ht="15.75">
      <c r="A120" s="8"/>
      <c r="B120" s="167" t="s">
        <v>82</v>
      </c>
      <c r="C120" s="10"/>
      <c r="D120" s="10"/>
      <c r="E120" s="10"/>
      <c r="F120" s="10"/>
      <c r="G120" s="10"/>
      <c r="H120" s="10"/>
      <c r="I120" s="10"/>
      <c r="J120" s="10"/>
      <c r="K120" s="10"/>
      <c r="L120" s="59"/>
      <c r="M120" s="10"/>
      <c r="N120" s="131"/>
    </row>
    <row r="121" spans="1:14" ht="15.75">
      <c r="A121" s="27"/>
      <c r="B121" s="28" t="s">
        <v>83</v>
      </c>
      <c r="C121" s="28"/>
      <c r="D121" s="69"/>
      <c r="E121" s="28"/>
      <c r="F121" s="28"/>
      <c r="G121" s="28"/>
      <c r="H121" s="28"/>
      <c r="I121" s="28"/>
      <c r="J121" s="28"/>
      <c r="K121" s="28"/>
      <c r="L121" s="70" t="s">
        <v>156</v>
      </c>
      <c r="M121" s="28"/>
      <c r="N121" s="131"/>
    </row>
    <row r="122" spans="1:14" ht="15.75">
      <c r="A122" s="27"/>
      <c r="B122" s="28" t="s">
        <v>84</v>
      </c>
      <c r="C122" s="30"/>
      <c r="D122" s="30"/>
      <c r="E122" s="30"/>
      <c r="F122" s="30"/>
      <c r="G122" s="30"/>
      <c r="H122" s="30"/>
      <c r="I122" s="30"/>
      <c r="J122" s="30"/>
      <c r="K122" s="30"/>
      <c r="L122" s="70" t="s">
        <v>156</v>
      </c>
      <c r="M122" s="28"/>
      <c r="N122" s="131"/>
    </row>
    <row r="123" spans="1:14" ht="15.75">
      <c r="A123" s="27"/>
      <c r="B123" s="28" t="s">
        <v>85</v>
      </c>
      <c r="C123" s="28"/>
      <c r="D123" s="28"/>
      <c r="E123" s="28"/>
      <c r="F123" s="28"/>
      <c r="G123" s="28"/>
      <c r="H123" s="28"/>
      <c r="I123" s="28"/>
      <c r="J123" s="28"/>
      <c r="K123" s="28"/>
      <c r="L123" s="70" t="s">
        <v>156</v>
      </c>
      <c r="M123" s="28"/>
      <c r="N123" s="131"/>
    </row>
    <row r="124" spans="1:14" ht="15.75">
      <c r="A124" s="27"/>
      <c r="B124" s="28" t="s">
        <v>86</v>
      </c>
      <c r="C124" s="28"/>
      <c r="D124" s="28"/>
      <c r="E124" s="28"/>
      <c r="F124" s="28"/>
      <c r="G124" s="28"/>
      <c r="H124" s="28"/>
      <c r="I124" s="28"/>
      <c r="J124" s="28"/>
      <c r="K124" s="28"/>
      <c r="L124" s="70" t="s">
        <v>156</v>
      </c>
      <c r="M124" s="28"/>
      <c r="N124" s="131"/>
    </row>
    <row r="125" spans="1:14" ht="15.75">
      <c r="A125" s="27"/>
      <c r="B125" s="28"/>
      <c r="C125" s="28"/>
      <c r="D125" s="28"/>
      <c r="E125" s="28"/>
      <c r="F125" s="28"/>
      <c r="G125" s="28"/>
      <c r="H125" s="28"/>
      <c r="I125" s="28"/>
      <c r="J125" s="28"/>
      <c r="K125" s="28"/>
      <c r="L125" s="68"/>
      <c r="M125" s="28"/>
      <c r="N125" s="131"/>
    </row>
    <row r="126" spans="1:14" ht="15.75">
      <c r="A126" s="8"/>
      <c r="B126" s="167" t="s">
        <v>87</v>
      </c>
      <c r="C126" s="16"/>
      <c r="D126" s="10"/>
      <c r="E126" s="10"/>
      <c r="F126" s="10"/>
      <c r="G126" s="10"/>
      <c r="H126" s="10"/>
      <c r="I126" s="10"/>
      <c r="J126" s="10"/>
      <c r="K126" s="10"/>
      <c r="L126" s="71"/>
      <c r="M126" s="10"/>
      <c r="N126" s="131"/>
    </row>
    <row r="127" spans="1:14" ht="15.75">
      <c r="A127" s="27"/>
      <c r="B127" s="28" t="s">
        <v>88</v>
      </c>
      <c r="C127" s="28"/>
      <c r="D127" s="28"/>
      <c r="E127" s="28"/>
      <c r="F127" s="28"/>
      <c r="G127" s="28"/>
      <c r="H127" s="28"/>
      <c r="I127" s="28"/>
      <c r="J127" s="28"/>
      <c r="K127" s="28"/>
      <c r="L127" s="60">
        <v>0</v>
      </c>
      <c r="M127" s="28"/>
      <c r="N127" s="131"/>
    </row>
    <row r="128" spans="1:14" ht="15.75">
      <c r="A128" s="27"/>
      <c r="B128" s="28" t="s">
        <v>89</v>
      </c>
      <c r="C128" s="28"/>
      <c r="D128" s="28"/>
      <c r="E128" s="28"/>
      <c r="F128" s="28"/>
      <c r="G128" s="28"/>
      <c r="H128" s="28"/>
      <c r="I128" s="28"/>
      <c r="J128" s="28"/>
      <c r="K128" s="28"/>
      <c r="L128" s="60">
        <v>0</v>
      </c>
      <c r="M128" s="28"/>
      <c r="N128" s="131"/>
    </row>
    <row r="129" spans="1:14" ht="15.75">
      <c r="A129" s="27"/>
      <c r="B129" s="28" t="s">
        <v>90</v>
      </c>
      <c r="C129" s="28"/>
      <c r="D129" s="28"/>
      <c r="E129" s="28"/>
      <c r="F129" s="28"/>
      <c r="G129" s="28"/>
      <c r="H129" s="28"/>
      <c r="I129" s="28"/>
      <c r="J129" s="28"/>
      <c r="K129" s="28"/>
      <c r="L129" s="60">
        <f>L128+L127</f>
        <v>0</v>
      </c>
      <c r="M129" s="28"/>
      <c r="N129" s="131"/>
    </row>
    <row r="130" spans="1:14" ht="15.75">
      <c r="A130" s="27"/>
      <c r="B130" s="28" t="s">
        <v>91</v>
      </c>
      <c r="C130" s="28"/>
      <c r="D130" s="28"/>
      <c r="E130" s="28"/>
      <c r="F130" s="28"/>
      <c r="G130" s="28"/>
      <c r="H130" s="72"/>
      <c r="I130" s="28"/>
      <c r="J130" s="28"/>
      <c r="K130" s="28"/>
      <c r="L130" s="60">
        <v>0</v>
      </c>
      <c r="M130" s="28"/>
      <c r="N130" s="131"/>
    </row>
    <row r="131" spans="1:14" ht="15.75">
      <c r="A131" s="27"/>
      <c r="B131" s="28" t="s">
        <v>92</v>
      </c>
      <c r="C131" s="28"/>
      <c r="D131" s="28"/>
      <c r="E131" s="28"/>
      <c r="F131" s="28"/>
      <c r="G131" s="28"/>
      <c r="H131" s="28"/>
      <c r="I131" s="28"/>
      <c r="J131" s="28"/>
      <c r="K131" s="28"/>
      <c r="L131" s="60">
        <f>L129+L130</f>
        <v>0</v>
      </c>
      <c r="M131" s="28"/>
      <c r="N131" s="131"/>
    </row>
    <row r="132" spans="1:14" ht="7.5" customHeight="1">
      <c r="A132" s="27"/>
      <c r="B132" s="28"/>
      <c r="C132" s="28"/>
      <c r="D132" s="28"/>
      <c r="E132" s="28"/>
      <c r="F132" s="28"/>
      <c r="G132" s="28"/>
      <c r="H132" s="28"/>
      <c r="I132" s="28"/>
      <c r="J132" s="28"/>
      <c r="K132" s="28"/>
      <c r="L132" s="68"/>
      <c r="M132" s="28"/>
      <c r="N132" s="131"/>
    </row>
    <row r="133" spans="1:14" ht="6" customHeight="1">
      <c r="A133" s="2"/>
      <c r="B133" s="5"/>
      <c r="C133" s="5"/>
      <c r="D133" s="5"/>
      <c r="E133" s="5"/>
      <c r="F133" s="5"/>
      <c r="G133" s="5"/>
      <c r="H133" s="5"/>
      <c r="I133" s="5"/>
      <c r="J133" s="5"/>
      <c r="K133" s="5"/>
      <c r="L133" s="57"/>
      <c r="M133" s="5"/>
      <c r="N133" s="131"/>
    </row>
    <row r="134" spans="1:14" ht="15.75">
      <c r="A134" s="8"/>
      <c r="B134" s="167" t="s">
        <v>93</v>
      </c>
      <c r="C134" s="16"/>
      <c r="D134" s="10"/>
      <c r="E134" s="10"/>
      <c r="F134" s="10"/>
      <c r="G134" s="10"/>
      <c r="H134" s="10"/>
      <c r="I134" s="10"/>
      <c r="J134" s="10"/>
      <c r="K134" s="10"/>
      <c r="L134" s="59"/>
      <c r="M134" s="10"/>
      <c r="N134" s="131"/>
    </row>
    <row r="135" spans="1:14" ht="15.75">
      <c r="A135" s="8"/>
      <c r="B135" s="23"/>
      <c r="C135" s="16"/>
      <c r="D135" s="10"/>
      <c r="E135" s="10"/>
      <c r="F135" s="10"/>
      <c r="G135" s="10"/>
      <c r="H135" s="10"/>
      <c r="I135" s="10"/>
      <c r="J135" s="10"/>
      <c r="K135" s="10"/>
      <c r="L135" s="59"/>
      <c r="M135" s="10"/>
      <c r="N135" s="131"/>
    </row>
    <row r="136" spans="1:14" ht="15.75">
      <c r="A136" s="27"/>
      <c r="B136" s="28" t="s">
        <v>94</v>
      </c>
      <c r="C136" s="73"/>
      <c r="D136" s="28"/>
      <c r="E136" s="28"/>
      <c r="F136" s="28"/>
      <c r="G136" s="28"/>
      <c r="H136" s="28"/>
      <c r="I136" s="28"/>
      <c r="J136" s="28"/>
      <c r="K136" s="28"/>
      <c r="L136" s="60">
        <f>L59</f>
        <v>158922</v>
      </c>
      <c r="M136" s="28"/>
      <c r="N136" s="131"/>
    </row>
    <row r="137" spans="1:14" ht="15.75">
      <c r="A137" s="27"/>
      <c r="B137" s="28" t="s">
        <v>95</v>
      </c>
      <c r="C137" s="73"/>
      <c r="D137" s="28"/>
      <c r="E137" s="28"/>
      <c r="F137" s="28"/>
      <c r="G137" s="28"/>
      <c r="H137" s="28"/>
      <c r="I137" s="28"/>
      <c r="J137" s="28"/>
      <c r="K137" s="28"/>
      <c r="L137" s="60">
        <f>L71</f>
        <v>158922</v>
      </c>
      <c r="M137" s="28"/>
      <c r="N137" s="131"/>
    </row>
    <row r="138" spans="1:14" ht="7.5" customHeight="1">
      <c r="A138" s="27"/>
      <c r="B138" s="28"/>
      <c r="C138" s="28"/>
      <c r="D138" s="28"/>
      <c r="E138" s="28"/>
      <c r="F138" s="28"/>
      <c r="G138" s="28"/>
      <c r="H138" s="28"/>
      <c r="I138" s="28"/>
      <c r="J138" s="28"/>
      <c r="K138" s="28"/>
      <c r="L138" s="68"/>
      <c r="M138" s="28"/>
      <c r="N138" s="131"/>
    </row>
    <row r="139" spans="1:14" ht="15.75">
      <c r="A139" s="2"/>
      <c r="B139" s="5"/>
      <c r="C139" s="5"/>
      <c r="D139" s="5"/>
      <c r="E139" s="5"/>
      <c r="F139" s="5"/>
      <c r="G139" s="5"/>
      <c r="H139" s="5"/>
      <c r="I139" s="5"/>
      <c r="J139" s="5"/>
      <c r="K139" s="5"/>
      <c r="L139" s="57"/>
      <c r="M139" s="5"/>
      <c r="N139" s="131"/>
    </row>
    <row r="140" spans="1:14" ht="15.75">
      <c r="A140" s="132"/>
      <c r="B140" s="167" t="s">
        <v>96</v>
      </c>
      <c r="C140" s="154"/>
      <c r="D140" s="154"/>
      <c r="E140" s="154"/>
      <c r="F140" s="154"/>
      <c r="G140" s="154"/>
      <c r="H140" s="168" t="s">
        <v>171</v>
      </c>
      <c r="I140" s="168"/>
      <c r="J140" s="168" t="s">
        <v>178</v>
      </c>
      <c r="K140" s="154"/>
      <c r="L140" s="169" t="s">
        <v>191</v>
      </c>
      <c r="M140" s="12"/>
      <c r="N140" s="131"/>
    </row>
    <row r="141" spans="1:14" ht="15.75">
      <c r="A141" s="27"/>
      <c r="B141" s="28" t="s">
        <v>97</v>
      </c>
      <c r="C141" s="28"/>
      <c r="D141" s="28"/>
      <c r="E141" s="28"/>
      <c r="F141" s="28"/>
      <c r="G141" s="28"/>
      <c r="H141" s="60">
        <v>20000</v>
      </c>
      <c r="I141" s="28"/>
      <c r="J141" s="47"/>
      <c r="K141" s="28"/>
      <c r="L141" s="60"/>
      <c r="M141" s="28"/>
      <c r="N141" s="131"/>
    </row>
    <row r="142" spans="1:14" ht="15.75">
      <c r="A142" s="27"/>
      <c r="B142" s="28" t="s">
        <v>98</v>
      </c>
      <c r="C142" s="28"/>
      <c r="D142" s="28"/>
      <c r="E142" s="28"/>
      <c r="F142" s="28"/>
      <c r="G142" s="28"/>
      <c r="H142" s="60">
        <v>10665</v>
      </c>
      <c r="I142" s="28"/>
      <c r="J142" s="28">
        <v>516</v>
      </c>
      <c r="K142" s="28"/>
      <c r="L142" s="60">
        <f>J142+H142</f>
        <v>11181</v>
      </c>
      <c r="M142" s="28"/>
      <c r="N142" s="131"/>
    </row>
    <row r="143" spans="1:14" ht="15.75">
      <c r="A143" s="27"/>
      <c r="B143" s="28" t="s">
        <v>99</v>
      </c>
      <c r="C143" s="28"/>
      <c r="D143" s="28"/>
      <c r="E143" s="28"/>
      <c r="F143" s="28"/>
      <c r="G143" s="28"/>
      <c r="H143" s="38">
        <v>1731</v>
      </c>
      <c r="I143" s="28"/>
      <c r="J143" s="28">
        <v>5</v>
      </c>
      <c r="K143" s="28"/>
      <c r="L143" s="60">
        <f>J143+H143</f>
        <v>1736</v>
      </c>
      <c r="M143" s="28"/>
      <c r="N143" s="131"/>
    </row>
    <row r="144" spans="1:14" ht="15.75">
      <c r="A144" s="27"/>
      <c r="B144" s="28" t="s">
        <v>100</v>
      </c>
      <c r="C144" s="28"/>
      <c r="D144" s="28"/>
      <c r="E144" s="28"/>
      <c r="F144" s="28"/>
      <c r="G144" s="28"/>
      <c r="H144" s="60">
        <f>H142+H143</f>
        <v>12396</v>
      </c>
      <c r="I144" s="28"/>
      <c r="J144" s="60">
        <f>J143+J142</f>
        <v>521</v>
      </c>
      <c r="K144" s="28"/>
      <c r="L144" s="60">
        <f>J144+H144</f>
        <v>12917</v>
      </c>
      <c r="M144" s="28"/>
      <c r="N144" s="131"/>
    </row>
    <row r="145" spans="1:14" ht="15.75">
      <c r="A145" s="27"/>
      <c r="B145" s="28" t="s">
        <v>101</v>
      </c>
      <c r="C145" s="28"/>
      <c r="D145" s="28"/>
      <c r="E145" s="28"/>
      <c r="F145" s="28"/>
      <c r="G145" s="28"/>
      <c r="H145" s="60">
        <f>H141-H144-J144</f>
        <v>7083</v>
      </c>
      <c r="I145" s="28"/>
      <c r="J145" s="47"/>
      <c r="K145" s="28"/>
      <c r="L145" s="60"/>
      <c r="M145" s="28"/>
      <c r="N145" s="131"/>
    </row>
    <row r="146" spans="1:14" ht="7.5" customHeight="1">
      <c r="A146" s="27"/>
      <c r="B146" s="28"/>
      <c r="C146" s="28"/>
      <c r="D146" s="28"/>
      <c r="E146" s="28"/>
      <c r="F146" s="28"/>
      <c r="G146" s="28"/>
      <c r="H146" s="28"/>
      <c r="I146" s="28"/>
      <c r="J146" s="28"/>
      <c r="K146" s="28"/>
      <c r="L146" s="68"/>
      <c r="M146" s="28"/>
      <c r="N146" s="131"/>
    </row>
    <row r="147" spans="1:14" ht="9" customHeight="1">
      <c r="A147" s="2"/>
      <c r="B147" s="5"/>
      <c r="C147" s="5"/>
      <c r="D147" s="5"/>
      <c r="E147" s="5"/>
      <c r="F147" s="5"/>
      <c r="G147" s="5"/>
      <c r="H147" s="5"/>
      <c r="I147" s="5"/>
      <c r="J147" s="5"/>
      <c r="K147" s="5"/>
      <c r="L147" s="57"/>
      <c r="M147" s="5"/>
      <c r="N147" s="131"/>
    </row>
    <row r="148" spans="1:14" ht="15.75">
      <c r="A148" s="8"/>
      <c r="B148" s="167" t="s">
        <v>102</v>
      </c>
      <c r="C148" s="16"/>
      <c r="D148" s="10"/>
      <c r="E148" s="10"/>
      <c r="F148" s="10"/>
      <c r="G148" s="10"/>
      <c r="H148" s="10"/>
      <c r="I148" s="10"/>
      <c r="J148" s="10"/>
      <c r="K148" s="10"/>
      <c r="L148" s="74"/>
      <c r="M148" s="10"/>
      <c r="N148" s="131"/>
    </row>
    <row r="149" spans="1:14" ht="15.75">
      <c r="A149" s="27"/>
      <c r="B149" s="28" t="s">
        <v>103</v>
      </c>
      <c r="C149" s="28"/>
      <c r="D149" s="28"/>
      <c r="E149" s="28"/>
      <c r="F149" s="28"/>
      <c r="G149" s="28"/>
      <c r="H149" s="28"/>
      <c r="I149" s="28"/>
      <c r="J149" s="28"/>
      <c r="K149" s="28"/>
      <c r="L149" s="67">
        <f>(L81+L83+L84+L85+L86)/-L87</f>
        <v>1.4585</v>
      </c>
      <c r="M149" s="28" t="s">
        <v>192</v>
      </c>
      <c r="N149" s="131"/>
    </row>
    <row r="150" spans="1:14" ht="15.75">
      <c r="A150" s="27"/>
      <c r="B150" s="28" t="s">
        <v>104</v>
      </c>
      <c r="C150" s="28"/>
      <c r="D150" s="28"/>
      <c r="E150" s="28"/>
      <c r="F150" s="28"/>
      <c r="G150" s="28"/>
      <c r="H150" s="28"/>
      <c r="I150" s="28"/>
      <c r="J150" s="28"/>
      <c r="K150" s="28"/>
      <c r="L150" s="67">
        <v>1.35</v>
      </c>
      <c r="M150" s="28" t="s">
        <v>192</v>
      </c>
      <c r="N150" s="131"/>
    </row>
    <row r="151" spans="1:14" ht="15.75">
      <c r="A151" s="27"/>
      <c r="B151" s="28" t="s">
        <v>105</v>
      </c>
      <c r="C151" s="28"/>
      <c r="D151" s="28"/>
      <c r="E151" s="28"/>
      <c r="F151" s="28"/>
      <c r="G151" s="28"/>
      <c r="H151" s="28"/>
      <c r="I151" s="28"/>
      <c r="J151" s="28"/>
      <c r="K151" s="28"/>
      <c r="L151" s="67">
        <f>(L81+SUM(L83:L87))/-L88</f>
        <v>3.58203125</v>
      </c>
      <c r="M151" s="28" t="s">
        <v>192</v>
      </c>
      <c r="N151" s="131"/>
    </row>
    <row r="152" spans="1:14" ht="15.75">
      <c r="A152" s="27"/>
      <c r="B152" s="28" t="s">
        <v>106</v>
      </c>
      <c r="C152" s="28"/>
      <c r="D152" s="28"/>
      <c r="E152" s="28"/>
      <c r="F152" s="28"/>
      <c r="G152" s="28"/>
      <c r="H152" s="28"/>
      <c r="I152" s="28"/>
      <c r="J152" s="28"/>
      <c r="K152" s="28"/>
      <c r="L152" s="75">
        <v>3.02</v>
      </c>
      <c r="M152" s="28" t="s">
        <v>192</v>
      </c>
      <c r="N152" s="131"/>
    </row>
    <row r="153" spans="1:14" ht="7.5" customHeight="1">
      <c r="A153" s="27"/>
      <c r="B153" s="28"/>
      <c r="C153" s="28"/>
      <c r="D153" s="28"/>
      <c r="E153" s="28"/>
      <c r="F153" s="28"/>
      <c r="G153" s="28"/>
      <c r="H153" s="28"/>
      <c r="I153" s="28"/>
      <c r="J153" s="28"/>
      <c r="K153" s="28"/>
      <c r="L153" s="28"/>
      <c r="M153" s="28"/>
      <c r="N153" s="131"/>
    </row>
    <row r="154" spans="1:14" ht="15.75">
      <c r="A154" s="8"/>
      <c r="B154" s="15"/>
      <c r="C154" s="15"/>
      <c r="D154" s="15"/>
      <c r="E154" s="15"/>
      <c r="F154" s="15"/>
      <c r="G154" s="15"/>
      <c r="H154" s="15"/>
      <c r="I154" s="15"/>
      <c r="J154" s="15"/>
      <c r="K154" s="15"/>
      <c r="L154" s="15"/>
      <c r="M154" s="15"/>
      <c r="N154" s="131"/>
    </row>
    <row r="155" spans="1:14" ht="15.75">
      <c r="A155" s="8"/>
      <c r="B155" s="15"/>
      <c r="C155" s="15"/>
      <c r="D155" s="15"/>
      <c r="E155" s="15"/>
      <c r="F155" s="15"/>
      <c r="G155" s="15"/>
      <c r="H155" s="15"/>
      <c r="I155" s="15"/>
      <c r="J155" s="15"/>
      <c r="K155" s="15"/>
      <c r="L155" s="15"/>
      <c r="M155" s="15"/>
      <c r="N155" s="131"/>
    </row>
    <row r="156" spans="1:14" ht="19.5" thickBot="1">
      <c r="A156" s="138"/>
      <c r="B156" s="139" t="s">
        <v>206</v>
      </c>
      <c r="C156" s="144"/>
      <c r="D156" s="144"/>
      <c r="E156" s="144"/>
      <c r="F156" s="144"/>
      <c r="G156" s="144"/>
      <c r="H156" s="144"/>
      <c r="I156" s="144"/>
      <c r="J156" s="144"/>
      <c r="K156" s="144"/>
      <c r="L156" s="144"/>
      <c r="M156" s="145"/>
      <c r="N156" s="131"/>
    </row>
    <row r="157" spans="1:14" ht="15.75">
      <c r="A157" s="133"/>
      <c r="B157" s="77" t="s">
        <v>107</v>
      </c>
      <c r="C157" s="78"/>
      <c r="D157" s="78"/>
      <c r="E157" s="78"/>
      <c r="F157" s="78"/>
      <c r="G157" s="79"/>
      <c r="H157" s="79"/>
      <c r="I157" s="79"/>
      <c r="J157" s="79">
        <v>37164</v>
      </c>
      <c r="K157" s="80"/>
      <c r="L157" s="5"/>
      <c r="M157" s="5"/>
      <c r="N157" s="131"/>
    </row>
    <row r="158" spans="1:14" ht="15.75">
      <c r="A158" s="82"/>
      <c r="B158" s="83"/>
      <c r="C158" s="84"/>
      <c r="D158" s="84"/>
      <c r="E158" s="84"/>
      <c r="F158" s="84"/>
      <c r="G158" s="85"/>
      <c r="H158" s="85"/>
      <c r="I158" s="85"/>
      <c r="J158" s="85"/>
      <c r="K158" s="10"/>
      <c r="L158" s="10"/>
      <c r="M158" s="10"/>
      <c r="N158" s="131"/>
    </row>
    <row r="159" spans="1:14" ht="15.75">
      <c r="A159" s="86"/>
      <c r="B159" s="87" t="s">
        <v>108</v>
      </c>
      <c r="C159" s="88"/>
      <c r="D159" s="88"/>
      <c r="E159" s="88"/>
      <c r="F159" s="88"/>
      <c r="G159" s="72"/>
      <c r="H159" s="72"/>
      <c r="I159" s="72"/>
      <c r="J159" s="89">
        <v>0.0714</v>
      </c>
      <c r="K159" s="28"/>
      <c r="L159" s="28"/>
      <c r="M159" s="28"/>
      <c r="N159" s="131"/>
    </row>
    <row r="160" spans="1:14" ht="15.75">
      <c r="A160" s="86"/>
      <c r="B160" s="87" t="s">
        <v>109</v>
      </c>
      <c r="C160" s="88"/>
      <c r="D160" s="88"/>
      <c r="E160" s="88"/>
      <c r="F160" s="88"/>
      <c r="G160" s="72"/>
      <c r="H160" s="72"/>
      <c r="I160" s="72"/>
      <c r="J160" s="46">
        <v>0.0553</v>
      </c>
      <c r="K160" s="28"/>
      <c r="L160" s="28"/>
      <c r="M160" s="28"/>
      <c r="N160" s="131"/>
    </row>
    <row r="161" spans="1:14" ht="15.75">
      <c r="A161" s="86"/>
      <c r="B161" s="87" t="s">
        <v>110</v>
      </c>
      <c r="C161" s="88"/>
      <c r="D161" s="88"/>
      <c r="E161" s="88"/>
      <c r="F161" s="88"/>
      <c r="G161" s="72"/>
      <c r="H161" s="72"/>
      <c r="I161" s="72"/>
      <c r="J161" s="89">
        <f>J159-J160</f>
        <v>0.016100000000000003</v>
      </c>
      <c r="K161" s="28"/>
      <c r="L161" s="28"/>
      <c r="M161" s="28"/>
      <c r="N161" s="131"/>
    </row>
    <row r="162" spans="1:14" ht="15.75">
      <c r="A162" s="86"/>
      <c r="B162" s="87" t="s">
        <v>111</v>
      </c>
      <c r="C162" s="88"/>
      <c r="D162" s="88"/>
      <c r="E162" s="88"/>
      <c r="F162" s="88"/>
      <c r="G162" s="72"/>
      <c r="H162" s="72"/>
      <c r="I162" s="72"/>
      <c r="J162" s="89">
        <v>0.0714</v>
      </c>
      <c r="K162" s="28"/>
      <c r="L162" s="28"/>
      <c r="M162" s="28"/>
      <c r="N162" s="131"/>
    </row>
    <row r="163" spans="1:14" ht="15.75">
      <c r="A163" s="86"/>
      <c r="B163" s="87" t="s">
        <v>112</v>
      </c>
      <c r="C163" s="88"/>
      <c r="D163" s="88"/>
      <c r="E163" s="88"/>
      <c r="F163" s="88"/>
      <c r="G163" s="72"/>
      <c r="H163" s="72"/>
      <c r="I163" s="72"/>
      <c r="J163" s="89">
        <f>L33</f>
        <v>0.05585803375219793</v>
      </c>
      <c r="K163" s="28"/>
      <c r="L163" s="28"/>
      <c r="M163" s="28"/>
      <c r="N163" s="131"/>
    </row>
    <row r="164" spans="1:14" ht="15.75">
      <c r="A164" s="86"/>
      <c r="B164" s="87" t="s">
        <v>113</v>
      </c>
      <c r="C164" s="88"/>
      <c r="D164" s="88"/>
      <c r="E164" s="88"/>
      <c r="F164" s="88"/>
      <c r="G164" s="72"/>
      <c r="H164" s="72"/>
      <c r="I164" s="72"/>
      <c r="J164" s="89">
        <f>J162-J163</f>
        <v>0.015541966247802075</v>
      </c>
      <c r="K164" s="28"/>
      <c r="L164" s="28"/>
      <c r="M164" s="28"/>
      <c r="N164" s="131"/>
    </row>
    <row r="165" spans="1:14" ht="15.75">
      <c r="A165" s="86"/>
      <c r="B165" s="87" t="s">
        <v>114</v>
      </c>
      <c r="C165" s="88"/>
      <c r="D165" s="88"/>
      <c r="E165" s="88"/>
      <c r="F165" s="88"/>
      <c r="G165" s="72"/>
      <c r="H165" s="72"/>
      <c r="I165" s="72"/>
      <c r="J165" s="90" t="s">
        <v>179</v>
      </c>
      <c r="K165" s="28"/>
      <c r="L165" s="28"/>
      <c r="M165" s="28"/>
      <c r="N165" s="131"/>
    </row>
    <row r="166" spans="1:14" ht="15.75">
      <c r="A166" s="86"/>
      <c r="B166" s="87" t="s">
        <v>115</v>
      </c>
      <c r="C166" s="88"/>
      <c r="D166" s="88"/>
      <c r="E166" s="88"/>
      <c r="F166" s="88"/>
      <c r="G166" s="72"/>
      <c r="H166" s="72"/>
      <c r="I166" s="72"/>
      <c r="J166" s="90" t="s">
        <v>180</v>
      </c>
      <c r="K166" s="28"/>
      <c r="L166" s="28"/>
      <c r="M166" s="28"/>
      <c r="N166" s="131"/>
    </row>
    <row r="167" spans="1:14" ht="15.75">
      <c r="A167" s="86"/>
      <c r="B167" s="87" t="s">
        <v>116</v>
      </c>
      <c r="C167" s="88"/>
      <c r="D167" s="88"/>
      <c r="E167" s="88"/>
      <c r="F167" s="88"/>
      <c r="G167" s="72"/>
      <c r="H167" s="72"/>
      <c r="I167" s="72"/>
      <c r="J167" s="91">
        <v>18.53</v>
      </c>
      <c r="K167" s="28" t="s">
        <v>184</v>
      </c>
      <c r="L167" s="28"/>
      <c r="M167" s="28"/>
      <c r="N167" s="131"/>
    </row>
    <row r="168" spans="1:14" ht="15.75">
      <c r="A168" s="86"/>
      <c r="B168" s="87" t="s">
        <v>117</v>
      </c>
      <c r="C168" s="88"/>
      <c r="D168" s="88"/>
      <c r="E168" s="88"/>
      <c r="F168" s="88"/>
      <c r="G168" s="72"/>
      <c r="H168" s="72"/>
      <c r="I168" s="72"/>
      <c r="J168" s="91">
        <v>16.61</v>
      </c>
      <c r="K168" s="28" t="s">
        <v>184</v>
      </c>
      <c r="L168" s="28"/>
      <c r="M168" s="28"/>
      <c r="N168" s="131"/>
    </row>
    <row r="169" spans="1:14" ht="15.75">
      <c r="A169" s="86"/>
      <c r="B169" s="87" t="s">
        <v>118</v>
      </c>
      <c r="C169" s="88"/>
      <c r="D169" s="88"/>
      <c r="E169" s="88"/>
      <c r="F169" s="88"/>
      <c r="G169" s="72"/>
      <c r="H169" s="72"/>
      <c r="I169" s="72"/>
      <c r="J169" s="89">
        <f>F56/'Jun 01'!L56</f>
        <v>0.029973525545688492</v>
      </c>
      <c r="K169" s="28"/>
      <c r="L169" s="28"/>
      <c r="M169" s="28"/>
      <c r="N169" s="131"/>
    </row>
    <row r="170" spans="1:14" ht="15.75">
      <c r="A170" s="86"/>
      <c r="B170" s="87" t="s">
        <v>119</v>
      </c>
      <c r="C170" s="88"/>
      <c r="D170" s="88"/>
      <c r="E170" s="88"/>
      <c r="F170" s="88"/>
      <c r="G170" s="72"/>
      <c r="H170" s="72"/>
      <c r="I170" s="72"/>
      <c r="J170" s="89">
        <v>0.0966</v>
      </c>
      <c r="K170" s="28"/>
      <c r="L170" s="28"/>
      <c r="M170" s="28"/>
      <c r="N170" s="131"/>
    </row>
    <row r="171" spans="1:14" ht="15.75">
      <c r="A171" s="86"/>
      <c r="B171" s="87"/>
      <c r="C171" s="87"/>
      <c r="D171" s="87"/>
      <c r="E171" s="87"/>
      <c r="F171" s="87"/>
      <c r="G171" s="28"/>
      <c r="H171" s="28"/>
      <c r="I171" s="28"/>
      <c r="J171" s="68"/>
      <c r="K171" s="28"/>
      <c r="L171" s="92"/>
      <c r="M171" s="28"/>
      <c r="N171" s="131"/>
    </row>
    <row r="172" spans="1:14" ht="15.75">
      <c r="A172" s="93"/>
      <c r="B172" s="17" t="s">
        <v>120</v>
      </c>
      <c r="C172" s="20"/>
      <c r="D172" s="94"/>
      <c r="E172" s="20"/>
      <c r="F172" s="94"/>
      <c r="G172" s="20"/>
      <c r="H172" s="94"/>
      <c r="I172" s="20" t="s">
        <v>172</v>
      </c>
      <c r="J172" s="94" t="s">
        <v>181</v>
      </c>
      <c r="K172" s="18"/>
      <c r="L172" s="18"/>
      <c r="M172" s="10"/>
      <c r="N172" s="131"/>
    </row>
    <row r="173" spans="1:14" ht="15.75">
      <c r="A173" s="95"/>
      <c r="B173" s="87" t="s">
        <v>121</v>
      </c>
      <c r="C173" s="61"/>
      <c r="D173" s="61"/>
      <c r="E173" s="61"/>
      <c r="F173" s="28"/>
      <c r="G173" s="28"/>
      <c r="H173" s="28"/>
      <c r="I173" s="31">
        <v>34</v>
      </c>
      <c r="J173" s="96">
        <v>1029</v>
      </c>
      <c r="K173" s="28"/>
      <c r="L173" s="92"/>
      <c r="M173" s="97"/>
      <c r="N173" s="131"/>
    </row>
    <row r="174" spans="1:14" ht="15.75">
      <c r="A174" s="95"/>
      <c r="B174" s="87" t="s">
        <v>122</v>
      </c>
      <c r="C174" s="61"/>
      <c r="D174" s="61"/>
      <c r="E174" s="61"/>
      <c r="F174" s="28"/>
      <c r="G174" s="28"/>
      <c r="H174" s="28"/>
      <c r="I174" s="31">
        <v>0</v>
      </c>
      <c r="J174" s="96">
        <v>0</v>
      </c>
      <c r="K174" s="28"/>
      <c r="L174" s="92"/>
      <c r="M174" s="97"/>
      <c r="N174" s="131"/>
    </row>
    <row r="175" spans="1:14" ht="15.75">
      <c r="A175" s="95"/>
      <c r="B175" s="170" t="s">
        <v>123</v>
      </c>
      <c r="C175" s="61"/>
      <c r="D175" s="61"/>
      <c r="E175" s="61"/>
      <c r="F175" s="28"/>
      <c r="G175" s="28"/>
      <c r="H175" s="28"/>
      <c r="I175" s="28"/>
      <c r="J175" s="96">
        <v>0</v>
      </c>
      <c r="K175" s="28"/>
      <c r="L175" s="92"/>
      <c r="M175" s="97"/>
      <c r="N175" s="131"/>
    </row>
    <row r="176" spans="1:14" ht="15.75">
      <c r="A176" s="95"/>
      <c r="B176" s="170" t="s">
        <v>124</v>
      </c>
      <c r="C176" s="61"/>
      <c r="D176" s="61"/>
      <c r="E176" s="61"/>
      <c r="F176" s="28"/>
      <c r="G176" s="28"/>
      <c r="H176" s="28"/>
      <c r="I176" s="28"/>
      <c r="J176" s="96">
        <v>22352</v>
      </c>
      <c r="K176" s="28"/>
      <c r="L176" s="92"/>
      <c r="M176" s="97"/>
      <c r="N176" s="131"/>
    </row>
    <row r="177" spans="1:14" ht="15.75">
      <c r="A177" s="98"/>
      <c r="B177" s="170" t="s">
        <v>125</v>
      </c>
      <c r="C177" s="61"/>
      <c r="D177" s="87"/>
      <c r="E177" s="87"/>
      <c r="F177" s="87"/>
      <c r="G177" s="28"/>
      <c r="H177" s="28"/>
      <c r="I177" s="28"/>
      <c r="J177" s="96">
        <v>0</v>
      </c>
      <c r="K177" s="28"/>
      <c r="L177" s="92"/>
      <c r="M177" s="99"/>
      <c r="N177" s="131"/>
    </row>
    <row r="178" spans="1:14" ht="15.75">
      <c r="A178" s="95"/>
      <c r="B178" s="87" t="s">
        <v>126</v>
      </c>
      <c r="C178" s="61"/>
      <c r="D178" s="61"/>
      <c r="E178" s="61"/>
      <c r="F178" s="61"/>
      <c r="G178" s="28"/>
      <c r="H178" s="28"/>
      <c r="I178" s="28"/>
      <c r="J178" s="96">
        <v>0</v>
      </c>
      <c r="K178" s="28"/>
      <c r="L178" s="92"/>
      <c r="M178" s="99"/>
      <c r="N178" s="131"/>
    </row>
    <row r="179" spans="1:14" ht="15.75">
      <c r="A179" s="95"/>
      <c r="B179" s="87" t="s">
        <v>127</v>
      </c>
      <c r="C179" s="61"/>
      <c r="D179" s="61"/>
      <c r="E179" s="61"/>
      <c r="F179" s="61"/>
      <c r="G179" s="28"/>
      <c r="H179" s="28"/>
      <c r="I179" s="28"/>
      <c r="J179" s="96">
        <v>0</v>
      </c>
      <c r="K179" s="28"/>
      <c r="L179" s="92"/>
      <c r="M179" s="99"/>
      <c r="N179" s="131"/>
    </row>
    <row r="180" spans="1:14" ht="15.75">
      <c r="A180" s="95"/>
      <c r="B180" s="87" t="s">
        <v>204</v>
      </c>
      <c r="C180" s="61"/>
      <c r="D180" s="61"/>
      <c r="E180" s="61"/>
      <c r="F180" s="61"/>
      <c r="G180" s="28"/>
      <c r="H180" s="28"/>
      <c r="I180" s="28"/>
      <c r="J180" s="96">
        <v>0</v>
      </c>
      <c r="K180" s="28"/>
      <c r="L180" s="92"/>
      <c r="M180" s="99"/>
      <c r="N180" s="131"/>
    </row>
    <row r="181" spans="1:14" ht="15.75">
      <c r="A181" s="98"/>
      <c r="B181" s="170" t="s">
        <v>128</v>
      </c>
      <c r="C181" s="61"/>
      <c r="D181" s="87"/>
      <c r="E181" s="87"/>
      <c r="F181" s="87"/>
      <c r="G181" s="28"/>
      <c r="H181" s="28"/>
      <c r="I181" s="28"/>
      <c r="J181" s="96"/>
      <c r="K181" s="28"/>
      <c r="L181" s="92"/>
      <c r="M181" s="99"/>
      <c r="N181" s="131"/>
    </row>
    <row r="182" spans="1:14" ht="15.75">
      <c r="A182" s="98"/>
      <c r="B182" s="87" t="s">
        <v>129</v>
      </c>
      <c r="C182" s="61"/>
      <c r="D182" s="87"/>
      <c r="E182" s="87"/>
      <c r="F182" s="87"/>
      <c r="G182" s="28"/>
      <c r="H182" s="28"/>
      <c r="I182" s="28"/>
      <c r="J182" s="96">
        <v>0</v>
      </c>
      <c r="K182" s="28"/>
      <c r="L182" s="92"/>
      <c r="M182" s="99"/>
      <c r="N182" s="131"/>
    </row>
    <row r="183" spans="1:14" ht="15.75">
      <c r="A183" s="95"/>
      <c r="B183" s="87" t="s">
        <v>130</v>
      </c>
      <c r="C183" s="61"/>
      <c r="D183" s="100"/>
      <c r="E183" s="100"/>
      <c r="F183" s="101"/>
      <c r="G183" s="28"/>
      <c r="H183" s="28"/>
      <c r="I183" s="28"/>
      <c r="J183" s="96">
        <v>0</v>
      </c>
      <c r="K183" s="28"/>
      <c r="L183" s="92"/>
      <c r="M183" s="99"/>
      <c r="N183" s="131"/>
    </row>
    <row r="184" spans="1:14" ht="15.75">
      <c r="A184" s="95"/>
      <c r="B184" s="87" t="s">
        <v>131</v>
      </c>
      <c r="C184" s="61"/>
      <c r="D184" s="100"/>
      <c r="E184" s="100"/>
      <c r="F184" s="101"/>
      <c r="G184" s="28"/>
      <c r="H184" s="28"/>
      <c r="I184" s="28"/>
      <c r="J184" s="96">
        <v>0</v>
      </c>
      <c r="K184" s="28"/>
      <c r="L184" s="92"/>
      <c r="M184" s="99"/>
      <c r="N184" s="131"/>
    </row>
    <row r="185" spans="1:14" ht="15.75">
      <c r="A185" s="95"/>
      <c r="B185" s="87" t="s">
        <v>132</v>
      </c>
      <c r="C185" s="61"/>
      <c r="D185" s="102"/>
      <c r="E185" s="100"/>
      <c r="F185" s="101"/>
      <c r="G185" s="28"/>
      <c r="H185" s="28"/>
      <c r="I185" s="28"/>
      <c r="J185" s="103">
        <v>0</v>
      </c>
      <c r="K185" s="28"/>
      <c r="L185" s="92"/>
      <c r="M185" s="99"/>
      <c r="N185" s="131"/>
    </row>
    <row r="186" spans="1:14" ht="15.75">
      <c r="A186" s="95"/>
      <c r="B186" s="87"/>
      <c r="C186" s="61"/>
      <c r="D186" s="102"/>
      <c r="E186" s="100"/>
      <c r="F186" s="101"/>
      <c r="G186" s="28"/>
      <c r="H186" s="28"/>
      <c r="I186" s="28"/>
      <c r="J186" s="103"/>
      <c r="K186" s="28"/>
      <c r="L186" s="92"/>
      <c r="M186" s="99"/>
      <c r="N186" s="131"/>
    </row>
    <row r="187" spans="1:14" ht="15.75">
      <c r="A187" s="8"/>
      <c r="B187" s="17" t="s">
        <v>133</v>
      </c>
      <c r="C187" s="20"/>
      <c r="D187" s="94"/>
      <c r="E187" s="20"/>
      <c r="F187" s="94"/>
      <c r="G187" s="20"/>
      <c r="H187" s="94" t="s">
        <v>172</v>
      </c>
      <c r="I187" s="20" t="s">
        <v>173</v>
      </c>
      <c r="J187" s="94" t="s">
        <v>182</v>
      </c>
      <c r="K187" s="20" t="s">
        <v>173</v>
      </c>
      <c r="L187" s="18"/>
      <c r="M187" s="104"/>
      <c r="N187" s="131"/>
    </row>
    <row r="188" spans="1:14" ht="15.75">
      <c r="A188" s="27"/>
      <c r="B188" s="61" t="s">
        <v>134</v>
      </c>
      <c r="C188" s="105"/>
      <c r="D188" s="61"/>
      <c r="E188" s="105"/>
      <c r="F188" s="28"/>
      <c r="G188" s="105"/>
      <c r="H188" s="61">
        <v>3067</v>
      </c>
      <c r="I188" s="105">
        <f>H188/H194</f>
        <v>0.9665931295304129</v>
      </c>
      <c r="J188" s="60">
        <v>154563</v>
      </c>
      <c r="K188" s="106">
        <f>J188/J194</f>
        <v>0.9725714501453543</v>
      </c>
      <c r="L188" s="92"/>
      <c r="M188" s="99"/>
      <c r="N188" s="131"/>
    </row>
    <row r="189" spans="1:14" ht="15.75">
      <c r="A189" s="27"/>
      <c r="B189" s="61" t="s">
        <v>135</v>
      </c>
      <c r="C189" s="105"/>
      <c r="D189" s="61"/>
      <c r="E189" s="105"/>
      <c r="F189" s="28"/>
      <c r="G189" s="107"/>
      <c r="H189" s="61">
        <v>36</v>
      </c>
      <c r="I189" s="105">
        <f>H189/$H194</f>
        <v>0.01134572959344469</v>
      </c>
      <c r="J189" s="60">
        <v>1414</v>
      </c>
      <c r="K189" s="106">
        <f>J189/J194</f>
        <v>0.008897446546104379</v>
      </c>
      <c r="L189" s="92"/>
      <c r="M189" s="99"/>
      <c r="N189" s="131"/>
    </row>
    <row r="190" spans="1:14" ht="15.75">
      <c r="A190" s="27"/>
      <c r="B190" s="61" t="s">
        <v>136</v>
      </c>
      <c r="C190" s="105"/>
      <c r="D190" s="61"/>
      <c r="E190" s="105"/>
      <c r="F190" s="28"/>
      <c r="G190" s="107"/>
      <c r="H190" s="61">
        <v>39</v>
      </c>
      <c r="I190" s="105">
        <f>H190/H194</f>
        <v>0.01229120705956508</v>
      </c>
      <c r="J190" s="60">
        <v>1412</v>
      </c>
      <c r="K190" s="106">
        <f>J190/J194</f>
        <v>0.0088848617560816</v>
      </c>
      <c r="L190" s="92"/>
      <c r="M190" s="99"/>
      <c r="N190" s="131"/>
    </row>
    <row r="191" spans="1:14" ht="15.75">
      <c r="A191" s="27"/>
      <c r="B191" s="61" t="s">
        <v>137</v>
      </c>
      <c r="C191" s="105"/>
      <c r="D191" s="61"/>
      <c r="E191" s="105"/>
      <c r="F191" s="28"/>
      <c r="G191" s="107"/>
      <c r="H191" s="61">
        <f>11+8+4+8</f>
        <v>31</v>
      </c>
      <c r="I191" s="105">
        <f>H191/H194</f>
        <v>0.009769933816577371</v>
      </c>
      <c r="J191" s="60">
        <f>605+294+299+335</f>
        <v>1533</v>
      </c>
      <c r="K191" s="106">
        <f>J191/J194</f>
        <v>0.009646241552459698</v>
      </c>
      <c r="L191" s="92"/>
      <c r="M191" s="99"/>
      <c r="N191" s="131"/>
    </row>
    <row r="192" spans="1:14" ht="15.75">
      <c r="A192" s="27"/>
      <c r="B192" s="30"/>
      <c r="C192" s="105"/>
      <c r="D192" s="61"/>
      <c r="E192" s="105"/>
      <c r="F192" s="28"/>
      <c r="G192" s="107"/>
      <c r="H192" s="61"/>
      <c r="I192" s="105"/>
      <c r="J192" s="60"/>
      <c r="K192" s="106"/>
      <c r="L192" s="92"/>
      <c r="M192" s="99"/>
      <c r="N192" s="131"/>
    </row>
    <row r="193" spans="1:14" ht="15.75">
      <c r="A193" s="27"/>
      <c r="B193" s="61"/>
      <c r="C193" s="108"/>
      <c r="D193" s="97"/>
      <c r="E193" s="108"/>
      <c r="F193" s="28"/>
      <c r="G193" s="108"/>
      <c r="H193" s="97"/>
      <c r="I193" s="108"/>
      <c r="J193" s="60"/>
      <c r="K193" s="106"/>
      <c r="L193" s="92"/>
      <c r="M193" s="99"/>
      <c r="N193" s="131"/>
    </row>
    <row r="194" spans="1:14" ht="15.75">
      <c r="A194" s="27"/>
      <c r="B194" s="28"/>
      <c r="C194" s="28"/>
      <c r="D194" s="28"/>
      <c r="E194" s="28"/>
      <c r="F194" s="28"/>
      <c r="G194" s="28"/>
      <c r="H194" s="38">
        <f>SUM(H188:H192)</f>
        <v>3173</v>
      </c>
      <c r="I194" s="109">
        <f>SUM(I188:I193)</f>
        <v>1</v>
      </c>
      <c r="J194" s="60">
        <f>SUM(J188:J193)</f>
        <v>158922</v>
      </c>
      <c r="K194" s="127">
        <f>SUM(K188:K193)</f>
        <v>1</v>
      </c>
      <c r="L194" s="28"/>
      <c r="M194" s="28"/>
      <c r="N194" s="131"/>
    </row>
    <row r="195" spans="1:14" ht="15.75">
      <c r="A195" s="27"/>
      <c r="B195" s="28"/>
      <c r="C195" s="28"/>
      <c r="D195" s="28"/>
      <c r="E195" s="28"/>
      <c r="F195" s="28"/>
      <c r="G195" s="28"/>
      <c r="H195" s="38"/>
      <c r="I195" s="109"/>
      <c r="J195" s="60"/>
      <c r="K195" s="127"/>
      <c r="L195" s="28"/>
      <c r="M195" s="28"/>
      <c r="N195" s="131"/>
    </row>
    <row r="196" spans="1:14" ht="15.75">
      <c r="A196" s="27"/>
      <c r="B196" s="28"/>
      <c r="C196" s="28"/>
      <c r="D196" s="28"/>
      <c r="E196" s="28"/>
      <c r="F196" s="28"/>
      <c r="G196" s="28"/>
      <c r="H196" s="38"/>
      <c r="I196" s="109"/>
      <c r="J196" s="60"/>
      <c r="K196" s="127"/>
      <c r="L196" s="28"/>
      <c r="M196" s="28"/>
      <c r="N196" s="131"/>
    </row>
    <row r="197" spans="1:14" ht="15.75">
      <c r="A197" s="114"/>
      <c r="B197" s="17" t="s">
        <v>139</v>
      </c>
      <c r="C197" s="115"/>
      <c r="D197" s="20" t="s">
        <v>148</v>
      </c>
      <c r="E197" s="18"/>
      <c r="F197" s="17" t="s">
        <v>161</v>
      </c>
      <c r="G197" s="116"/>
      <c r="H197" s="116"/>
      <c r="I197" s="15"/>
      <c r="J197" s="15"/>
      <c r="K197" s="15"/>
      <c r="L197" s="15"/>
      <c r="M197" s="15"/>
      <c r="N197" s="131"/>
    </row>
    <row r="198" spans="1:14" ht="15.75">
      <c r="A198" s="114"/>
      <c r="B198" s="15"/>
      <c r="C198" s="15"/>
      <c r="D198" s="10"/>
      <c r="E198" s="10"/>
      <c r="F198" s="10"/>
      <c r="G198" s="15"/>
      <c r="H198" s="15"/>
      <c r="I198" s="15"/>
      <c r="J198" s="15"/>
      <c r="K198" s="15"/>
      <c r="L198" s="15"/>
      <c r="M198" s="15"/>
      <c r="N198" s="131"/>
    </row>
    <row r="199" spans="1:14" ht="15.75">
      <c r="A199" s="114"/>
      <c r="B199" s="16" t="s">
        <v>140</v>
      </c>
      <c r="C199" s="117"/>
      <c r="D199" s="118" t="s">
        <v>149</v>
      </c>
      <c r="E199" s="16"/>
      <c r="F199" s="16" t="s">
        <v>162</v>
      </c>
      <c r="G199" s="117"/>
      <c r="H199" s="117"/>
      <c r="I199" s="15"/>
      <c r="J199" s="15"/>
      <c r="K199" s="15"/>
      <c r="L199" s="15"/>
      <c r="M199" s="15"/>
      <c r="N199" s="131"/>
    </row>
    <row r="200" spans="1:14" ht="15.75">
      <c r="A200" s="114"/>
      <c r="B200" s="16" t="s">
        <v>141</v>
      </c>
      <c r="C200" s="117"/>
      <c r="D200" s="118" t="s">
        <v>150</v>
      </c>
      <c r="E200" s="16"/>
      <c r="F200" s="16" t="s">
        <v>163</v>
      </c>
      <c r="G200" s="117"/>
      <c r="H200" s="117"/>
      <c r="I200" s="15"/>
      <c r="J200" s="15"/>
      <c r="K200" s="15"/>
      <c r="L200" s="15"/>
      <c r="M200" s="15"/>
      <c r="N200" s="131"/>
    </row>
    <row r="201" spans="1:14" ht="15.75">
      <c r="A201" s="114"/>
      <c r="B201" s="16"/>
      <c r="C201" s="117"/>
      <c r="D201" s="118"/>
      <c r="E201" s="16"/>
      <c r="F201" s="16"/>
      <c r="G201" s="117"/>
      <c r="H201" s="117"/>
      <c r="I201" s="15"/>
      <c r="J201" s="15"/>
      <c r="K201" s="15"/>
      <c r="L201" s="15"/>
      <c r="M201" s="15"/>
      <c r="N201" s="131"/>
    </row>
    <row r="202" spans="1:14" ht="15.75">
      <c r="A202" s="114"/>
      <c r="B202" s="16"/>
      <c r="C202" s="117"/>
      <c r="D202" s="118"/>
      <c r="E202" s="16"/>
      <c r="F202" s="16"/>
      <c r="G202" s="117"/>
      <c r="H202" s="117"/>
      <c r="I202" s="15"/>
      <c r="J202" s="15"/>
      <c r="K202" s="15"/>
      <c r="L202" s="15"/>
      <c r="M202" s="15"/>
      <c r="N202" s="131"/>
    </row>
    <row r="203" spans="1:14" ht="18.75">
      <c r="A203" s="114"/>
      <c r="B203" s="55" t="s">
        <v>206</v>
      </c>
      <c r="C203" s="117"/>
      <c r="D203" s="118"/>
      <c r="E203" s="16"/>
      <c r="F203" s="16"/>
      <c r="G203" s="117"/>
      <c r="H203" s="117"/>
      <c r="I203" s="15"/>
      <c r="J203" s="15"/>
      <c r="K203" s="15"/>
      <c r="L203" s="15"/>
      <c r="M203" s="15"/>
      <c r="N203" s="131"/>
    </row>
    <row r="204" spans="1:13" ht="15">
      <c r="A204" s="130"/>
      <c r="B204" s="130"/>
      <c r="C204" s="130"/>
      <c r="D204" s="130"/>
      <c r="E204" s="130"/>
      <c r="F204" s="130"/>
      <c r="G204" s="130"/>
      <c r="H204" s="130"/>
      <c r="I204" s="130"/>
      <c r="J204" s="130"/>
      <c r="K204" s="130"/>
      <c r="L204" s="130"/>
      <c r="M204" s="130"/>
    </row>
  </sheetData>
  <printOptions horizontalCentered="1" verticalCentered="1"/>
  <pageMargins left="0.5118110236220472" right="0.5118110236220472" top="0.31496062992125984" bottom="0.35433070866141736" header="0" footer="0"/>
  <pageSetup horizontalDpi="600" verticalDpi="600" orientation="landscape" paperSize="9" scale="50" r:id="rId2"/>
  <rowBreaks count="5" manualBreakCount="5">
    <brk id="51" min="105" max="156" man="1"/>
    <brk id="51" max="13" man="1"/>
    <brk id="105" max="13" man="1"/>
    <brk id="156" max="13" man="1"/>
    <brk id="204" max="0"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